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9750" yWindow="0" windowWidth="26850" windowHeight="12120"/>
  </bookViews>
  <sheets>
    <sheet name="Assumptions" sheetId="1" r:id="rId1"/>
    <sheet name="BE CFs" sheetId="2" r:id="rId2"/>
    <sheet name="BE CFs_+Random" sheetId="11" r:id="rId3"/>
    <sheet name="BE CFs_+Future" sheetId="12" r:id="rId4"/>
    <sheet name="BE CFs_+Event" sheetId="13" r:id="rId5"/>
    <sheet name="Results (i) to (iii)" sheetId="7" r:id="rId6"/>
    <sheet name="Stressed CFs" sheetId="14" r:id="rId7"/>
    <sheet name="Results (iv)" sheetId="1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" i="12" l="1"/>
  <c r="Z5" i="11"/>
  <c r="Z41" i="12" l="1"/>
  <c r="Z40" i="12"/>
  <c r="Z39" i="12"/>
  <c r="Z38" i="12"/>
  <c r="Z37" i="12"/>
  <c r="Z36" i="12"/>
  <c r="Z35" i="12"/>
  <c r="Z34" i="12"/>
  <c r="Z33" i="12"/>
  <c r="Z32" i="12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Z14" i="12"/>
  <c r="Z13" i="12"/>
  <c r="Z12" i="12"/>
  <c r="Z11" i="12"/>
  <c r="Z10" i="12"/>
  <c r="Z9" i="12"/>
  <c r="Z8" i="12"/>
  <c r="Z7" i="12"/>
  <c r="Z6" i="12"/>
  <c r="Z17" i="11"/>
  <c r="Z16" i="11"/>
  <c r="Z15" i="11"/>
  <c r="Z14" i="11"/>
  <c r="Z13" i="11"/>
  <c r="Z12" i="11"/>
  <c r="Z11" i="11"/>
  <c r="Z10" i="11"/>
  <c r="Z9" i="11"/>
  <c r="Z8" i="11"/>
  <c r="Z7" i="11"/>
  <c r="Z6" i="11"/>
  <c r="Z7" i="2" l="1"/>
  <c r="Q6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J6" i="14" s="1"/>
  <c r="K6" i="14" s="1"/>
  <c r="L6" i="13"/>
  <c r="AD78" i="14"/>
  <c r="Y78" i="14"/>
  <c r="AC78" i="14" s="1"/>
  <c r="AE78" i="14" s="1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G6" i="14"/>
  <c r="E6" i="14"/>
  <c r="H6" i="14" s="1"/>
  <c r="D6" i="14"/>
  <c r="C6" i="14"/>
  <c r="C7" i="14" s="1"/>
  <c r="C8" i="14" s="1"/>
  <c r="D8" i="14" s="1"/>
  <c r="D5" i="14"/>
  <c r="X4" i="14"/>
  <c r="W4" i="14"/>
  <c r="V4" i="14"/>
  <c r="U4" i="14"/>
  <c r="T4" i="14"/>
  <c r="S4" i="14"/>
  <c r="R4" i="14"/>
  <c r="P6" i="14" l="1"/>
  <c r="N6" i="14"/>
  <c r="O6" i="14" s="1"/>
  <c r="J8" i="14"/>
  <c r="F6" i="14"/>
  <c r="D7" i="14"/>
  <c r="E7" i="14" s="1"/>
  <c r="E8" i="14"/>
  <c r="F8" i="14" s="1"/>
  <c r="C9" i="14"/>
  <c r="C10" i="14" l="1"/>
  <c r="D9" i="14"/>
  <c r="E9" i="14" s="1"/>
  <c r="J7" i="14"/>
  <c r="K7" i="14" s="1"/>
  <c r="K8" i="14" s="1"/>
  <c r="F7" i="14"/>
  <c r="F9" i="14" l="1"/>
  <c r="J9" i="14"/>
  <c r="K9" i="14" s="1"/>
  <c r="C11" i="14"/>
  <c r="D10" i="14"/>
  <c r="E10" i="14" s="1"/>
  <c r="J10" i="14" l="1"/>
  <c r="K10" i="14" s="1"/>
  <c r="F10" i="14"/>
  <c r="D11" i="14"/>
  <c r="E11" i="14" s="1"/>
  <c r="C12" i="14"/>
  <c r="C13" i="14" l="1"/>
  <c r="D12" i="14"/>
  <c r="E12" i="14" s="1"/>
  <c r="J11" i="14"/>
  <c r="K11" i="14" s="1"/>
  <c r="F11" i="14"/>
  <c r="F12" i="14" l="1"/>
  <c r="J12" i="14"/>
  <c r="K12" i="14" s="1"/>
  <c r="C14" i="14"/>
  <c r="D13" i="14"/>
  <c r="E13" i="14" s="1"/>
  <c r="J13" i="14" l="1"/>
  <c r="K13" i="14" s="1"/>
  <c r="F13" i="14"/>
  <c r="D14" i="14"/>
  <c r="E14" i="14" s="1"/>
  <c r="C15" i="14"/>
  <c r="D15" i="14" l="1"/>
  <c r="E15" i="14" s="1"/>
  <c r="C16" i="14"/>
  <c r="J14" i="14"/>
  <c r="K14" i="14" s="1"/>
  <c r="F14" i="14"/>
  <c r="F15" i="14" l="1"/>
  <c r="J15" i="14"/>
  <c r="K15" i="14" s="1"/>
  <c r="C17" i="14"/>
  <c r="D16" i="14"/>
  <c r="E16" i="14" s="1"/>
  <c r="C18" i="14" l="1"/>
  <c r="D17" i="14"/>
  <c r="E17" i="14" s="1"/>
  <c r="F16" i="14"/>
  <c r="J16" i="14"/>
  <c r="K16" i="14" s="1"/>
  <c r="J17" i="14" l="1"/>
  <c r="K17" i="14" s="1"/>
  <c r="F17" i="14"/>
  <c r="D18" i="14"/>
  <c r="E18" i="14" s="1"/>
  <c r="C19" i="14"/>
  <c r="J18" i="14" l="1"/>
  <c r="K18" i="14" s="1"/>
  <c r="F18" i="14"/>
  <c r="D19" i="14"/>
  <c r="E19" i="14" s="1"/>
  <c r="C20" i="14"/>
  <c r="F19" i="14" l="1"/>
  <c r="J19" i="14"/>
  <c r="K19" i="14" s="1"/>
  <c r="C21" i="14"/>
  <c r="D20" i="14"/>
  <c r="E20" i="14" s="1"/>
  <c r="F20" i="14" l="1"/>
  <c r="J20" i="14"/>
  <c r="K20" i="14" s="1"/>
  <c r="D21" i="14"/>
  <c r="E21" i="14" s="1"/>
  <c r="C22" i="14"/>
  <c r="F21" i="14" l="1"/>
  <c r="J21" i="14"/>
  <c r="K21" i="14" s="1"/>
  <c r="D22" i="14"/>
  <c r="E22" i="14" s="1"/>
  <c r="C23" i="14"/>
  <c r="D23" i="14" l="1"/>
  <c r="E23" i="14" s="1"/>
  <c r="C24" i="14"/>
  <c r="F22" i="14"/>
  <c r="J22" i="14"/>
  <c r="K22" i="14" s="1"/>
  <c r="D24" i="14" l="1"/>
  <c r="E24" i="14" s="1"/>
  <c r="C25" i="14"/>
  <c r="F23" i="14"/>
  <c r="J23" i="14"/>
  <c r="K23" i="14" s="1"/>
  <c r="F24" i="14" l="1"/>
  <c r="J24" i="14"/>
  <c r="K24" i="14" s="1"/>
  <c r="D25" i="14"/>
  <c r="E25" i="14" s="1"/>
  <c r="C26" i="14"/>
  <c r="D26" i="14" l="1"/>
  <c r="E26" i="14" s="1"/>
  <c r="C27" i="14"/>
  <c r="F25" i="14"/>
  <c r="J25" i="14"/>
  <c r="K25" i="14" s="1"/>
  <c r="D27" i="14" l="1"/>
  <c r="E27" i="14" s="1"/>
  <c r="C28" i="14"/>
  <c r="F26" i="14"/>
  <c r="J26" i="14"/>
  <c r="K26" i="14" s="1"/>
  <c r="D28" i="14" l="1"/>
  <c r="E28" i="14" s="1"/>
  <c r="C29" i="14"/>
  <c r="F27" i="14"/>
  <c r="J27" i="14"/>
  <c r="K27" i="14" s="1"/>
  <c r="F28" i="14" l="1"/>
  <c r="J28" i="14"/>
  <c r="K28" i="14" s="1"/>
  <c r="C30" i="14"/>
  <c r="D29" i="14"/>
  <c r="E29" i="14" s="1"/>
  <c r="F29" i="14" l="1"/>
  <c r="J29" i="14"/>
  <c r="K29" i="14" s="1"/>
  <c r="D30" i="14"/>
  <c r="E30" i="14" s="1"/>
  <c r="C31" i="14"/>
  <c r="F30" i="14" l="1"/>
  <c r="J30" i="14"/>
  <c r="K30" i="14" s="1"/>
  <c r="C32" i="14"/>
  <c r="D31" i="14"/>
  <c r="E31" i="14" s="1"/>
  <c r="C33" i="14" l="1"/>
  <c r="D32" i="14"/>
  <c r="E32" i="14" s="1"/>
  <c r="F31" i="14"/>
  <c r="J31" i="14"/>
  <c r="K31" i="14" s="1"/>
  <c r="F32" i="14" l="1"/>
  <c r="J32" i="14"/>
  <c r="K32" i="14" s="1"/>
  <c r="C34" i="14"/>
  <c r="D33" i="14"/>
  <c r="E33" i="14" s="1"/>
  <c r="C35" i="14" l="1"/>
  <c r="D34" i="14"/>
  <c r="E34" i="14" s="1"/>
  <c r="F33" i="14"/>
  <c r="J33" i="14"/>
  <c r="K33" i="14" s="1"/>
  <c r="C36" i="14" l="1"/>
  <c r="D35" i="14"/>
  <c r="E35" i="14" s="1"/>
  <c r="F34" i="14"/>
  <c r="J34" i="14"/>
  <c r="K34" i="14" s="1"/>
  <c r="F35" i="14" l="1"/>
  <c r="J35" i="14"/>
  <c r="K35" i="14" s="1"/>
  <c r="C37" i="14"/>
  <c r="D36" i="14"/>
  <c r="E36" i="14" s="1"/>
  <c r="J36" i="14" l="1"/>
  <c r="K36" i="14" s="1"/>
  <c r="F36" i="14"/>
  <c r="C38" i="14"/>
  <c r="D37" i="14"/>
  <c r="E37" i="14" s="1"/>
  <c r="J37" i="14" l="1"/>
  <c r="K37" i="14" s="1"/>
  <c r="F37" i="14"/>
  <c r="D38" i="14"/>
  <c r="E38" i="14" s="1"/>
  <c r="C39" i="14"/>
  <c r="C40" i="14" l="1"/>
  <c r="D39" i="14"/>
  <c r="E39" i="14" s="1"/>
  <c r="F38" i="14"/>
  <c r="J38" i="14"/>
  <c r="K38" i="14" s="1"/>
  <c r="C41" i="14" l="1"/>
  <c r="D40" i="14"/>
  <c r="E40" i="14" s="1"/>
  <c r="F39" i="14"/>
  <c r="J39" i="14"/>
  <c r="K39" i="14" s="1"/>
  <c r="F40" i="14" l="1"/>
  <c r="J40" i="14"/>
  <c r="K40" i="14" s="1"/>
  <c r="C42" i="14"/>
  <c r="D41" i="14"/>
  <c r="E41" i="14" s="1"/>
  <c r="J41" i="14" l="1"/>
  <c r="K41" i="14" s="1"/>
  <c r="F41" i="14"/>
  <c r="C43" i="14"/>
  <c r="D42" i="14"/>
  <c r="E42" i="14" s="1"/>
  <c r="J42" i="14" l="1"/>
  <c r="K42" i="14" s="1"/>
  <c r="F42" i="14"/>
  <c r="C44" i="14"/>
  <c r="D43" i="14"/>
  <c r="E43" i="14" s="1"/>
  <c r="J43" i="14" l="1"/>
  <c r="F43" i="14"/>
  <c r="C45" i="14"/>
  <c r="D44" i="14"/>
  <c r="E44" i="14" s="1"/>
  <c r="K43" i="14"/>
  <c r="D45" i="14" l="1"/>
  <c r="E45" i="14" s="1"/>
  <c r="C46" i="14"/>
  <c r="F44" i="14"/>
  <c r="J44" i="14"/>
  <c r="K44" i="14" s="1"/>
  <c r="D46" i="14" l="1"/>
  <c r="E46" i="14" s="1"/>
  <c r="C47" i="14"/>
  <c r="F45" i="14"/>
  <c r="J45" i="14"/>
  <c r="K45" i="14" s="1"/>
  <c r="F46" i="14" l="1"/>
  <c r="J46" i="14"/>
  <c r="K46" i="14" s="1"/>
  <c r="D47" i="14"/>
  <c r="E47" i="14" s="1"/>
  <c r="C48" i="14"/>
  <c r="C49" i="14" l="1"/>
  <c r="D48" i="14"/>
  <c r="E48" i="14" s="1"/>
  <c r="F47" i="14"/>
  <c r="J47" i="14"/>
  <c r="K47" i="14" s="1"/>
  <c r="D49" i="14" l="1"/>
  <c r="E49" i="14" s="1"/>
  <c r="C50" i="14"/>
  <c r="F48" i="14"/>
  <c r="J48" i="14"/>
  <c r="K48" i="14" s="1"/>
  <c r="D50" i="14" l="1"/>
  <c r="E50" i="14" s="1"/>
  <c r="C51" i="14"/>
  <c r="F49" i="14"/>
  <c r="J49" i="14"/>
  <c r="K49" i="14" s="1"/>
  <c r="D51" i="14" l="1"/>
  <c r="E51" i="14" s="1"/>
  <c r="C52" i="14"/>
  <c r="J50" i="14"/>
  <c r="K50" i="14" s="1"/>
  <c r="F50" i="14"/>
  <c r="C53" i="14" l="1"/>
  <c r="D52" i="14"/>
  <c r="E52" i="14" s="1"/>
  <c r="F51" i="14"/>
  <c r="J51" i="14"/>
  <c r="K51" i="14" s="1"/>
  <c r="D53" i="14" l="1"/>
  <c r="E53" i="14" s="1"/>
  <c r="C54" i="14"/>
  <c r="F52" i="14"/>
  <c r="J52" i="14"/>
  <c r="K52" i="14" s="1"/>
  <c r="F53" i="14" l="1"/>
  <c r="J53" i="14"/>
  <c r="K53" i="14" s="1"/>
  <c r="D54" i="14"/>
  <c r="E54" i="14" s="1"/>
  <c r="C55" i="14"/>
  <c r="F54" i="14" l="1"/>
  <c r="J54" i="14"/>
  <c r="K54" i="14" s="1"/>
  <c r="D55" i="14"/>
  <c r="E55" i="14" s="1"/>
  <c r="C56" i="14"/>
  <c r="F55" i="14" l="1"/>
  <c r="J55" i="14"/>
  <c r="K55" i="14" s="1"/>
  <c r="C57" i="14"/>
  <c r="D56" i="14"/>
  <c r="E56" i="14" s="1"/>
  <c r="C58" i="14" l="1"/>
  <c r="D57" i="14"/>
  <c r="E57" i="14" s="1"/>
  <c r="F56" i="14"/>
  <c r="J56" i="14"/>
  <c r="K56" i="14" s="1"/>
  <c r="F57" i="14" l="1"/>
  <c r="J57" i="14"/>
  <c r="K57" i="14" s="1"/>
  <c r="D58" i="14"/>
  <c r="E58" i="14" s="1"/>
  <c r="C59" i="14"/>
  <c r="D59" i="14" l="1"/>
  <c r="E59" i="14" s="1"/>
  <c r="C60" i="14"/>
  <c r="F58" i="14"/>
  <c r="J58" i="14"/>
  <c r="K58" i="14" s="1"/>
  <c r="C61" i="14" l="1"/>
  <c r="D60" i="14"/>
  <c r="E60" i="14" s="1"/>
  <c r="F59" i="14"/>
  <c r="J59" i="14"/>
  <c r="K59" i="14" s="1"/>
  <c r="C62" i="14" l="1"/>
  <c r="D61" i="14"/>
  <c r="E61" i="14" s="1"/>
  <c r="F60" i="14"/>
  <c r="J60" i="14"/>
  <c r="K60" i="14" s="1"/>
  <c r="D62" i="14" l="1"/>
  <c r="E62" i="14" s="1"/>
  <c r="C63" i="14"/>
  <c r="F61" i="14"/>
  <c r="J61" i="14"/>
  <c r="K61" i="14" s="1"/>
  <c r="D63" i="14" l="1"/>
  <c r="E63" i="14" s="1"/>
  <c r="C64" i="14"/>
  <c r="F62" i="14"/>
  <c r="J62" i="14"/>
  <c r="K62" i="14" s="1"/>
  <c r="D64" i="14" l="1"/>
  <c r="E64" i="14" s="1"/>
  <c r="C65" i="14"/>
  <c r="F63" i="14"/>
  <c r="J63" i="14"/>
  <c r="K63" i="14" s="1"/>
  <c r="F64" i="14" l="1"/>
  <c r="J64" i="14"/>
  <c r="K64" i="14" s="1"/>
  <c r="C66" i="14"/>
  <c r="D65" i="14"/>
  <c r="E65" i="14" s="1"/>
  <c r="F65" i="14" l="1"/>
  <c r="J65" i="14"/>
  <c r="K65" i="14" s="1"/>
  <c r="D66" i="14"/>
  <c r="E66" i="14" s="1"/>
  <c r="C67" i="14"/>
  <c r="F66" i="14" l="1"/>
  <c r="J66" i="14"/>
  <c r="K66" i="14" s="1"/>
  <c r="D67" i="14"/>
  <c r="E67" i="14" s="1"/>
  <c r="C68" i="14"/>
  <c r="D68" i="14" l="1"/>
  <c r="E68" i="14" s="1"/>
  <c r="C69" i="14"/>
  <c r="F67" i="14"/>
  <c r="J67" i="14"/>
  <c r="K67" i="14" s="1"/>
  <c r="C70" i="14" l="1"/>
  <c r="D69" i="14"/>
  <c r="E69" i="14" s="1"/>
  <c r="F68" i="14"/>
  <c r="J68" i="14"/>
  <c r="K68" i="14" s="1"/>
  <c r="D70" i="14" l="1"/>
  <c r="E70" i="14" s="1"/>
  <c r="C71" i="14"/>
  <c r="F69" i="14"/>
  <c r="J69" i="14"/>
  <c r="K69" i="14" s="1"/>
  <c r="D71" i="14" l="1"/>
  <c r="E71" i="14" s="1"/>
  <c r="C72" i="14"/>
  <c r="F70" i="14"/>
  <c r="J70" i="14"/>
  <c r="K70" i="14" s="1"/>
  <c r="C73" i="14" l="1"/>
  <c r="D72" i="14"/>
  <c r="E72" i="14" s="1"/>
  <c r="F71" i="14"/>
  <c r="J71" i="14"/>
  <c r="K71" i="14" s="1"/>
  <c r="F72" i="14" l="1"/>
  <c r="J72" i="14"/>
  <c r="K72" i="14" s="1"/>
  <c r="C74" i="14"/>
  <c r="D73" i="14"/>
  <c r="E73" i="14" s="1"/>
  <c r="F73" i="14" l="1"/>
  <c r="J73" i="14"/>
  <c r="K73" i="14" s="1"/>
  <c r="D74" i="14"/>
  <c r="E74" i="14" s="1"/>
  <c r="C75" i="14"/>
  <c r="D75" i="14" l="1"/>
  <c r="E75" i="14" s="1"/>
  <c r="C76" i="14"/>
  <c r="F74" i="14"/>
  <c r="J74" i="14"/>
  <c r="K74" i="14" s="1"/>
  <c r="C77" i="14" l="1"/>
  <c r="D76" i="14"/>
  <c r="E76" i="14" s="1"/>
  <c r="F75" i="14"/>
  <c r="J75" i="14"/>
  <c r="K75" i="14" s="1"/>
  <c r="C78" i="14" l="1"/>
  <c r="D78" i="14" s="1"/>
  <c r="E78" i="14" s="1"/>
  <c r="D77" i="14"/>
  <c r="E77" i="14" s="1"/>
  <c r="F76" i="14"/>
  <c r="J76" i="14"/>
  <c r="K76" i="14" s="1"/>
  <c r="F78" i="14" l="1"/>
  <c r="J78" i="14"/>
  <c r="F77" i="14"/>
  <c r="J77" i="14"/>
  <c r="K77" i="14" s="1"/>
  <c r="AD78" i="13" l="1"/>
  <c r="AC78" i="13"/>
  <c r="AE78" i="13" s="1"/>
  <c r="Y78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C8" i="13"/>
  <c r="C9" i="13" s="1"/>
  <c r="C10" i="13" s="1"/>
  <c r="C11" i="13" s="1"/>
  <c r="A8" i="13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I7" i="13"/>
  <c r="C7" i="13"/>
  <c r="D7" i="13" s="1"/>
  <c r="A7" i="13"/>
  <c r="I6" i="13"/>
  <c r="G6" i="13"/>
  <c r="D6" i="13"/>
  <c r="C6" i="13"/>
  <c r="D5" i="13"/>
  <c r="X4" i="13"/>
  <c r="W4" i="13"/>
  <c r="V4" i="13"/>
  <c r="U4" i="13"/>
  <c r="T4" i="13"/>
  <c r="S4" i="13"/>
  <c r="R4" i="13"/>
  <c r="AD78" i="12"/>
  <c r="Y78" i="12"/>
  <c r="AC78" i="12" s="1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C8" i="12"/>
  <c r="C9" i="12" s="1"/>
  <c r="I7" i="12"/>
  <c r="J7" i="12" s="1"/>
  <c r="C7" i="12"/>
  <c r="D7" i="12" s="1"/>
  <c r="E7" i="12" s="1"/>
  <c r="F7" i="12" s="1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I6" i="12"/>
  <c r="G6" i="12"/>
  <c r="D6" i="12"/>
  <c r="C6" i="12"/>
  <c r="D5" i="12"/>
  <c r="E6" i="12" s="1"/>
  <c r="X4" i="12"/>
  <c r="W4" i="12"/>
  <c r="V4" i="12"/>
  <c r="U4" i="12"/>
  <c r="T4" i="12"/>
  <c r="S4" i="12"/>
  <c r="R4" i="12"/>
  <c r="J7" i="13" l="1"/>
  <c r="D11" i="13"/>
  <c r="C12" i="13"/>
  <c r="D10" i="13"/>
  <c r="D8" i="13"/>
  <c r="E8" i="13" s="1"/>
  <c r="E6" i="13"/>
  <c r="J6" i="13"/>
  <c r="K6" i="13" s="1"/>
  <c r="K7" i="13" s="1"/>
  <c r="D9" i="13"/>
  <c r="E9" i="13" s="1"/>
  <c r="E7" i="13"/>
  <c r="F7" i="13" s="1"/>
  <c r="AE78" i="12"/>
  <c r="F6" i="12"/>
  <c r="H6" i="12"/>
  <c r="L6" i="12" s="1"/>
  <c r="D9" i="12"/>
  <c r="C10" i="12"/>
  <c r="D8" i="12"/>
  <c r="E8" i="12" s="1"/>
  <c r="F8" i="12" s="1"/>
  <c r="J6" i="12"/>
  <c r="K6" i="12" s="1"/>
  <c r="AD78" i="11"/>
  <c r="Y78" i="11"/>
  <c r="AC78" i="11" s="1"/>
  <c r="AE78" i="11" s="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I7" i="11"/>
  <c r="A7" i="11"/>
  <c r="I6" i="11"/>
  <c r="G6" i="11"/>
  <c r="D6" i="11"/>
  <c r="C6" i="11"/>
  <c r="C7" i="11" s="1"/>
  <c r="D5" i="11"/>
  <c r="X4" i="11"/>
  <c r="W4" i="11"/>
  <c r="V4" i="11"/>
  <c r="U4" i="11"/>
  <c r="T4" i="11"/>
  <c r="S4" i="11"/>
  <c r="R4" i="11"/>
  <c r="AD78" i="2"/>
  <c r="K8" i="13" l="1"/>
  <c r="K9" i="13" s="1"/>
  <c r="F8" i="13"/>
  <c r="J8" i="13"/>
  <c r="F9" i="13"/>
  <c r="J9" i="13"/>
  <c r="E10" i="13"/>
  <c r="C13" i="13"/>
  <c r="D12" i="13"/>
  <c r="E12" i="13" s="1"/>
  <c r="H6" i="13"/>
  <c r="F6" i="13"/>
  <c r="E11" i="13"/>
  <c r="J8" i="12"/>
  <c r="D10" i="12"/>
  <c r="E10" i="12" s="1"/>
  <c r="C11" i="12"/>
  <c r="E9" i="12"/>
  <c r="K7" i="12"/>
  <c r="N6" i="12"/>
  <c r="O6" i="12" s="1"/>
  <c r="M6" i="12"/>
  <c r="Q6" i="12"/>
  <c r="P6" i="12"/>
  <c r="D7" i="11"/>
  <c r="E7" i="11" s="1"/>
  <c r="C8" i="11"/>
  <c r="E6" i="11"/>
  <c r="C14" i="13" l="1"/>
  <c r="D13" i="13"/>
  <c r="E13" i="13" s="1"/>
  <c r="F10" i="13"/>
  <c r="J10" i="13"/>
  <c r="K10" i="13" s="1"/>
  <c r="K11" i="13" s="1"/>
  <c r="K12" i="13" s="1"/>
  <c r="J11" i="13"/>
  <c r="F11" i="13"/>
  <c r="F12" i="13"/>
  <c r="J12" i="13"/>
  <c r="Z5" i="13"/>
  <c r="Q6" i="13"/>
  <c r="P6" i="13"/>
  <c r="N6" i="13"/>
  <c r="O6" i="13" s="1"/>
  <c r="K8" i="12"/>
  <c r="G7" i="12"/>
  <c r="AA5" i="12"/>
  <c r="AB5" i="12" s="1"/>
  <c r="F9" i="12"/>
  <c r="J9" i="12"/>
  <c r="D11" i="12"/>
  <c r="E11" i="12" s="1"/>
  <c r="C12" i="12"/>
  <c r="F10" i="12"/>
  <c r="J10" i="12"/>
  <c r="H6" i="11"/>
  <c r="L6" i="11" s="1"/>
  <c r="F6" i="11"/>
  <c r="C9" i="11"/>
  <c r="D8" i="11"/>
  <c r="E8" i="11" s="1"/>
  <c r="J7" i="11"/>
  <c r="F7" i="11"/>
  <c r="J6" i="11"/>
  <c r="K6" i="11" s="1"/>
  <c r="M6" i="13" l="1"/>
  <c r="G7" i="13"/>
  <c r="J13" i="13"/>
  <c r="K13" i="13" s="1"/>
  <c r="F13" i="13"/>
  <c r="AA5" i="13"/>
  <c r="AB5" i="13" s="1"/>
  <c r="D14" i="13"/>
  <c r="E14" i="13" s="1"/>
  <c r="C15" i="13"/>
  <c r="K9" i="12"/>
  <c r="K10" i="12" s="1"/>
  <c r="K11" i="12" s="1"/>
  <c r="C13" i="12"/>
  <c r="D12" i="12"/>
  <c r="E12" i="12" s="1"/>
  <c r="F11" i="12"/>
  <c r="J11" i="12"/>
  <c r="H7" i="12"/>
  <c r="L7" i="12" s="1"/>
  <c r="K7" i="11"/>
  <c r="F8" i="11"/>
  <c r="J8" i="11"/>
  <c r="C10" i="11"/>
  <c r="D9" i="11"/>
  <c r="E9" i="11" s="1"/>
  <c r="Q6" i="11"/>
  <c r="P6" i="11"/>
  <c r="N6" i="11"/>
  <c r="O6" i="11" s="1"/>
  <c r="M6" i="11"/>
  <c r="F14" i="13" l="1"/>
  <c r="J14" i="13"/>
  <c r="K14" i="13" s="1"/>
  <c r="H7" i="13"/>
  <c r="L7" i="13" s="1"/>
  <c r="D15" i="13"/>
  <c r="E15" i="13" s="1"/>
  <c r="C16" i="13"/>
  <c r="P7" i="12"/>
  <c r="Q7" i="12"/>
  <c r="N7" i="12"/>
  <c r="O7" i="12" s="1"/>
  <c r="F12" i="12"/>
  <c r="J12" i="12"/>
  <c r="K12" i="12" s="1"/>
  <c r="D13" i="12"/>
  <c r="E13" i="12" s="1"/>
  <c r="C14" i="12"/>
  <c r="F9" i="11"/>
  <c r="J9" i="11"/>
  <c r="D10" i="11"/>
  <c r="E10" i="11" s="1"/>
  <c r="C11" i="11"/>
  <c r="G7" i="11"/>
  <c r="AA5" i="11"/>
  <c r="AB5" i="11" s="1"/>
  <c r="K8" i="11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C17" i="13" l="1"/>
  <c r="D16" i="13"/>
  <c r="E16" i="13" s="1"/>
  <c r="J15" i="13"/>
  <c r="K15" i="13" s="1"/>
  <c r="F15" i="13"/>
  <c r="Z6" i="13"/>
  <c r="Q7" i="13"/>
  <c r="P7" i="13"/>
  <c r="N7" i="13"/>
  <c r="O7" i="13" s="1"/>
  <c r="K9" i="11"/>
  <c r="AA6" i="12"/>
  <c r="AB6" i="12" s="1"/>
  <c r="C15" i="12"/>
  <c r="D14" i="12"/>
  <c r="E14" i="12" s="1"/>
  <c r="M7" i="12"/>
  <c r="G8" i="12"/>
  <c r="J13" i="12"/>
  <c r="K13" i="12" s="1"/>
  <c r="F13" i="12"/>
  <c r="H7" i="11"/>
  <c r="L7" i="11" s="1"/>
  <c r="D11" i="11"/>
  <c r="E11" i="11" s="1"/>
  <c r="C12" i="11"/>
  <c r="F10" i="11"/>
  <c r="J10" i="11"/>
  <c r="K10" i="11" s="1"/>
  <c r="Y78" i="2"/>
  <c r="AC78" i="2" s="1"/>
  <c r="AE78" i="2" s="1"/>
  <c r="X4" i="2"/>
  <c r="W4" i="2"/>
  <c r="V4" i="2"/>
  <c r="U4" i="2"/>
  <c r="T4" i="2"/>
  <c r="S4" i="2"/>
  <c r="R4" i="2"/>
  <c r="AA6" i="13" l="1"/>
  <c r="AB6" i="13" s="1"/>
  <c r="M7" i="13"/>
  <c r="G8" i="13"/>
  <c r="F16" i="13"/>
  <c r="J16" i="13"/>
  <c r="K16" i="13" s="1"/>
  <c r="C18" i="13"/>
  <c r="D17" i="13"/>
  <c r="E17" i="13" s="1"/>
  <c r="H8" i="12"/>
  <c r="L8" i="12" s="1"/>
  <c r="F14" i="12"/>
  <c r="J14" i="12"/>
  <c r="K14" i="12" s="1"/>
  <c r="D15" i="12"/>
  <c r="E15" i="12" s="1"/>
  <c r="C16" i="12"/>
  <c r="F11" i="11"/>
  <c r="J11" i="11"/>
  <c r="K11" i="11" s="1"/>
  <c r="D12" i="11"/>
  <c r="E12" i="11" s="1"/>
  <c r="C13" i="11"/>
  <c r="Q7" i="11"/>
  <c r="P7" i="11"/>
  <c r="N7" i="11"/>
  <c r="O7" i="11" s="1"/>
  <c r="G6" i="2"/>
  <c r="H8" i="13" l="1"/>
  <c r="L8" i="13" s="1"/>
  <c r="C19" i="13"/>
  <c r="D18" i="13"/>
  <c r="E18" i="13" s="1"/>
  <c r="J17" i="13"/>
  <c r="K17" i="13" s="1"/>
  <c r="F17" i="13"/>
  <c r="D16" i="12"/>
  <c r="E16" i="12" s="1"/>
  <c r="C17" i="12"/>
  <c r="F15" i="12"/>
  <c r="J15" i="12"/>
  <c r="K15" i="12" s="1"/>
  <c r="N8" i="12"/>
  <c r="O8" i="12" s="1"/>
  <c r="P8" i="12"/>
  <c r="Q8" i="12"/>
  <c r="AA6" i="11"/>
  <c r="AB6" i="11" s="1"/>
  <c r="M7" i="11"/>
  <c r="G8" i="11"/>
  <c r="C14" i="11"/>
  <c r="D13" i="11"/>
  <c r="E13" i="11" s="1"/>
  <c r="F12" i="11"/>
  <c r="J12" i="11"/>
  <c r="K12" i="11" s="1"/>
  <c r="D5" i="2"/>
  <c r="A7" i="2"/>
  <c r="C6" i="2"/>
  <c r="F18" i="13" l="1"/>
  <c r="J18" i="13"/>
  <c r="K18" i="13" s="1"/>
  <c r="D19" i="13"/>
  <c r="E19" i="13" s="1"/>
  <c r="C20" i="13"/>
  <c r="Q8" i="13"/>
  <c r="N8" i="13"/>
  <c r="O8" i="13" s="1"/>
  <c r="Z7" i="13"/>
  <c r="P8" i="13"/>
  <c r="M8" i="12"/>
  <c r="G9" i="12"/>
  <c r="D17" i="12"/>
  <c r="E17" i="12" s="1"/>
  <c r="C18" i="12"/>
  <c r="F16" i="12"/>
  <c r="J16" i="12"/>
  <c r="K16" i="12" s="1"/>
  <c r="AA7" i="12"/>
  <c r="AB7" i="12" s="1"/>
  <c r="F13" i="11"/>
  <c r="J13" i="11"/>
  <c r="K13" i="11" s="1"/>
  <c r="H8" i="11"/>
  <c r="L8" i="11" s="1"/>
  <c r="D14" i="11"/>
  <c r="E14" i="11" s="1"/>
  <c r="C15" i="11"/>
  <c r="D6" i="2"/>
  <c r="E6" i="2" s="1"/>
  <c r="F6" i="2" s="1"/>
  <c r="A8" i="2"/>
  <c r="C7" i="2"/>
  <c r="C21" i="13" l="1"/>
  <c r="D20" i="13"/>
  <c r="E20" i="13" s="1"/>
  <c r="M8" i="13"/>
  <c r="G9" i="13"/>
  <c r="F19" i="13"/>
  <c r="J19" i="13"/>
  <c r="K19" i="13" s="1"/>
  <c r="AA7" i="13"/>
  <c r="AB7" i="13" s="1"/>
  <c r="D18" i="12"/>
  <c r="E18" i="12" s="1"/>
  <c r="C19" i="12"/>
  <c r="J17" i="12"/>
  <c r="K17" i="12" s="1"/>
  <c r="F17" i="12"/>
  <c r="H9" i="12"/>
  <c r="L9" i="12" s="1"/>
  <c r="D15" i="11"/>
  <c r="E15" i="11" s="1"/>
  <c r="C16" i="11"/>
  <c r="F14" i="11"/>
  <c r="J14" i="11"/>
  <c r="K14" i="11" s="1"/>
  <c r="P8" i="11"/>
  <c r="N8" i="11"/>
  <c r="O8" i="11" s="1"/>
  <c r="Q8" i="11"/>
  <c r="H6" i="2"/>
  <c r="J6" i="2"/>
  <c r="K6" i="2" s="1"/>
  <c r="A9" i="2"/>
  <c r="C8" i="2"/>
  <c r="D7" i="2"/>
  <c r="E7" i="2" s="1"/>
  <c r="H9" i="13" l="1"/>
  <c r="L9" i="13" s="1"/>
  <c r="F20" i="13"/>
  <c r="J20" i="13"/>
  <c r="K20" i="13" s="1"/>
  <c r="C22" i="13"/>
  <c r="D21" i="13"/>
  <c r="E21" i="13" s="1"/>
  <c r="Z5" i="2"/>
  <c r="AA5" i="2" s="1"/>
  <c r="AB5" i="2" s="1"/>
  <c r="C5" i="7" s="1"/>
  <c r="Q9" i="12"/>
  <c r="P9" i="12"/>
  <c r="N9" i="12"/>
  <c r="O9" i="12" s="1"/>
  <c r="D19" i="12"/>
  <c r="E19" i="12" s="1"/>
  <c r="C20" i="12"/>
  <c r="F18" i="12"/>
  <c r="J18" i="12"/>
  <c r="K18" i="12" s="1"/>
  <c r="C17" i="11"/>
  <c r="D16" i="11"/>
  <c r="E16" i="11" s="1"/>
  <c r="M8" i="11"/>
  <c r="G9" i="11"/>
  <c r="F15" i="11"/>
  <c r="J15" i="11"/>
  <c r="K15" i="11" s="1"/>
  <c r="AA7" i="11"/>
  <c r="AB7" i="11" s="1"/>
  <c r="A10" i="2"/>
  <c r="J7" i="2"/>
  <c r="K7" i="2" s="1"/>
  <c r="D8" i="2"/>
  <c r="E8" i="2" s="1"/>
  <c r="F7" i="2"/>
  <c r="C9" i="2"/>
  <c r="F21" i="13" l="1"/>
  <c r="J21" i="13"/>
  <c r="K21" i="13" s="1"/>
  <c r="D22" i="13"/>
  <c r="E22" i="13" s="1"/>
  <c r="C23" i="13"/>
  <c r="Q9" i="13"/>
  <c r="P9" i="13"/>
  <c r="Z8" i="13"/>
  <c r="N9" i="13"/>
  <c r="O9" i="13" s="1"/>
  <c r="F19" i="12"/>
  <c r="J19" i="12"/>
  <c r="K19" i="12" s="1"/>
  <c r="AA8" i="12"/>
  <c r="AB8" i="12" s="1"/>
  <c r="C21" i="12"/>
  <c r="D20" i="12"/>
  <c r="E20" i="12" s="1"/>
  <c r="M9" i="12"/>
  <c r="G10" i="12"/>
  <c r="H9" i="11"/>
  <c r="L9" i="11" s="1"/>
  <c r="F16" i="11"/>
  <c r="J16" i="11"/>
  <c r="K16" i="11" s="1"/>
  <c r="D17" i="11"/>
  <c r="E17" i="11" s="1"/>
  <c r="C18" i="11"/>
  <c r="F8" i="2"/>
  <c r="J8" i="2"/>
  <c r="K8" i="2" s="1"/>
  <c r="D9" i="2"/>
  <c r="E9" i="2" s="1"/>
  <c r="A11" i="2"/>
  <c r="C10" i="2"/>
  <c r="C11" i="2"/>
  <c r="D23" i="13" l="1"/>
  <c r="E23" i="13" s="1"/>
  <c r="C24" i="13"/>
  <c r="F22" i="13"/>
  <c r="J22" i="13"/>
  <c r="K22" i="13" s="1"/>
  <c r="AA8" i="13"/>
  <c r="AB8" i="13" s="1"/>
  <c r="M9" i="13"/>
  <c r="G10" i="13"/>
  <c r="F20" i="12"/>
  <c r="J20" i="12"/>
  <c r="K20" i="12" s="1"/>
  <c r="D21" i="12"/>
  <c r="E21" i="12" s="1"/>
  <c r="C22" i="12"/>
  <c r="H10" i="12"/>
  <c r="L10" i="12" s="1"/>
  <c r="D18" i="11"/>
  <c r="E18" i="11" s="1"/>
  <c r="C19" i="11"/>
  <c r="P9" i="11"/>
  <c r="Q9" i="11"/>
  <c r="N9" i="11"/>
  <c r="O9" i="11" s="1"/>
  <c r="F17" i="11"/>
  <c r="J17" i="11"/>
  <c r="K17" i="11" s="1"/>
  <c r="A12" i="2"/>
  <c r="F9" i="2"/>
  <c r="J9" i="2"/>
  <c r="K9" i="2" s="1"/>
  <c r="D11" i="2"/>
  <c r="E11" i="2" s="1"/>
  <c r="D10" i="2"/>
  <c r="E10" i="2" s="1"/>
  <c r="C12" i="2"/>
  <c r="D24" i="13" l="1"/>
  <c r="E24" i="13" s="1"/>
  <c r="C25" i="13"/>
  <c r="F23" i="13"/>
  <c r="J23" i="13"/>
  <c r="K23" i="13" s="1"/>
  <c r="H10" i="13"/>
  <c r="L10" i="13" s="1"/>
  <c r="N10" i="12"/>
  <c r="O10" i="12" s="1"/>
  <c r="Q10" i="12"/>
  <c r="P10" i="12"/>
  <c r="C23" i="12"/>
  <c r="D22" i="12"/>
  <c r="E22" i="12" s="1"/>
  <c r="J21" i="12"/>
  <c r="K21" i="12" s="1"/>
  <c r="F21" i="12"/>
  <c r="AA8" i="11"/>
  <c r="AB8" i="11" s="1"/>
  <c r="M9" i="11"/>
  <c r="G10" i="11"/>
  <c r="D19" i="11"/>
  <c r="E19" i="11" s="1"/>
  <c r="C20" i="11"/>
  <c r="F18" i="11"/>
  <c r="J18" i="11"/>
  <c r="K18" i="11" s="1"/>
  <c r="D12" i="2"/>
  <c r="E12" i="2" s="1"/>
  <c r="F11" i="2"/>
  <c r="J11" i="2"/>
  <c r="A13" i="2"/>
  <c r="F10" i="2"/>
  <c r="J10" i="2"/>
  <c r="K10" i="2" s="1"/>
  <c r="C13" i="2"/>
  <c r="C26" i="13" l="1"/>
  <c r="D25" i="13"/>
  <c r="E25" i="13" s="1"/>
  <c r="F24" i="13"/>
  <c r="J24" i="13"/>
  <c r="K24" i="13" s="1"/>
  <c r="N10" i="13"/>
  <c r="O10" i="13" s="1"/>
  <c r="Z9" i="13"/>
  <c r="P10" i="13"/>
  <c r="Q10" i="13"/>
  <c r="C24" i="12"/>
  <c r="D23" i="12"/>
  <c r="E23" i="12" s="1"/>
  <c r="M10" i="12"/>
  <c r="G11" i="12"/>
  <c r="F22" i="12"/>
  <c r="J22" i="12"/>
  <c r="K22" i="12" s="1"/>
  <c r="AA9" i="12"/>
  <c r="AB9" i="12" s="1"/>
  <c r="K19" i="11"/>
  <c r="C21" i="11"/>
  <c r="D20" i="11"/>
  <c r="E20" i="11" s="1"/>
  <c r="H10" i="11"/>
  <c r="L10" i="11" s="1"/>
  <c r="F19" i="11"/>
  <c r="J19" i="11"/>
  <c r="K11" i="2"/>
  <c r="D13" i="2"/>
  <c r="E13" i="2" s="1"/>
  <c r="A14" i="2"/>
  <c r="F12" i="2"/>
  <c r="J12" i="2"/>
  <c r="C14" i="2"/>
  <c r="C15" i="2"/>
  <c r="M10" i="13" l="1"/>
  <c r="G11" i="13"/>
  <c r="F25" i="13"/>
  <c r="J25" i="13"/>
  <c r="K25" i="13" s="1"/>
  <c r="AA9" i="13"/>
  <c r="AB9" i="13" s="1"/>
  <c r="D26" i="13"/>
  <c r="E26" i="13" s="1"/>
  <c r="C27" i="13"/>
  <c r="H11" i="12"/>
  <c r="L11" i="12" s="1"/>
  <c r="J23" i="12"/>
  <c r="K23" i="12" s="1"/>
  <c r="F23" i="12"/>
  <c r="D24" i="12"/>
  <c r="E24" i="12" s="1"/>
  <c r="C25" i="12"/>
  <c r="F20" i="11"/>
  <c r="J20" i="11"/>
  <c r="K20" i="11" s="1"/>
  <c r="N10" i="11"/>
  <c r="O10" i="11" s="1"/>
  <c r="Q10" i="11"/>
  <c r="P10" i="11"/>
  <c r="C22" i="11"/>
  <c r="D21" i="11"/>
  <c r="E21" i="11" s="1"/>
  <c r="K12" i="2"/>
  <c r="D15" i="2"/>
  <c r="A15" i="2"/>
  <c r="D14" i="2"/>
  <c r="E14" i="2" s="1"/>
  <c r="F13" i="2"/>
  <c r="J13" i="2"/>
  <c r="K13" i="2" s="1"/>
  <c r="C16" i="2"/>
  <c r="H11" i="13" l="1"/>
  <c r="L11" i="13" s="1"/>
  <c r="F26" i="13"/>
  <c r="J26" i="13"/>
  <c r="K26" i="13" s="1"/>
  <c r="D27" i="13"/>
  <c r="E27" i="13" s="1"/>
  <c r="C28" i="13"/>
  <c r="D25" i="12"/>
  <c r="E25" i="12" s="1"/>
  <c r="C26" i="12"/>
  <c r="P11" i="12"/>
  <c r="N11" i="12"/>
  <c r="O11" i="12" s="1"/>
  <c r="Q11" i="12"/>
  <c r="F24" i="12"/>
  <c r="J24" i="12"/>
  <c r="K24" i="12" s="1"/>
  <c r="AA9" i="11"/>
  <c r="AB9" i="11" s="1"/>
  <c r="M10" i="11"/>
  <c r="G11" i="11"/>
  <c r="F21" i="11"/>
  <c r="J21" i="11"/>
  <c r="K21" i="11" s="1"/>
  <c r="D22" i="11"/>
  <c r="E22" i="11" s="1"/>
  <c r="C23" i="11"/>
  <c r="D16" i="2"/>
  <c r="E16" i="2" s="1"/>
  <c r="A16" i="2"/>
  <c r="F14" i="2"/>
  <c r="J14" i="2"/>
  <c r="K14" i="2" s="1"/>
  <c r="E15" i="2"/>
  <c r="C17" i="2"/>
  <c r="Z10" i="13" l="1"/>
  <c r="Q11" i="13"/>
  <c r="P11" i="13"/>
  <c r="N11" i="13"/>
  <c r="O11" i="13" s="1"/>
  <c r="F27" i="13"/>
  <c r="J27" i="13"/>
  <c r="K27" i="13" s="1"/>
  <c r="D28" i="13"/>
  <c r="E28" i="13" s="1"/>
  <c r="C29" i="13"/>
  <c r="AA10" i="12"/>
  <c r="AB10" i="12" s="1"/>
  <c r="M11" i="12"/>
  <c r="G12" i="12"/>
  <c r="D26" i="12"/>
  <c r="E26" i="12" s="1"/>
  <c r="C27" i="12"/>
  <c r="F25" i="12"/>
  <c r="J25" i="12"/>
  <c r="K25" i="12" s="1"/>
  <c r="F22" i="11"/>
  <c r="J22" i="11"/>
  <c r="K22" i="11" s="1"/>
  <c r="H11" i="11"/>
  <c r="L11" i="11" s="1"/>
  <c r="C24" i="11"/>
  <c r="D23" i="11"/>
  <c r="E23" i="11" s="1"/>
  <c r="A17" i="2"/>
  <c r="D17" i="2"/>
  <c r="E17" i="2" s="1"/>
  <c r="F16" i="2"/>
  <c r="J16" i="2"/>
  <c r="F15" i="2"/>
  <c r="J15" i="2"/>
  <c r="K15" i="2" s="1"/>
  <c r="C18" i="2"/>
  <c r="AA10" i="13" l="1"/>
  <c r="AB10" i="13" s="1"/>
  <c r="D29" i="13"/>
  <c r="E29" i="13" s="1"/>
  <c r="C30" i="13"/>
  <c r="M11" i="13"/>
  <c r="G12" i="13"/>
  <c r="F28" i="13"/>
  <c r="J28" i="13"/>
  <c r="K28" i="13" s="1"/>
  <c r="C28" i="12"/>
  <c r="D27" i="12"/>
  <c r="E27" i="12" s="1"/>
  <c r="H12" i="12"/>
  <c r="L12" i="12" s="1"/>
  <c r="F26" i="12"/>
  <c r="J26" i="12"/>
  <c r="K26" i="12" s="1"/>
  <c r="N11" i="11"/>
  <c r="O11" i="11" s="1"/>
  <c r="Q11" i="11"/>
  <c r="P11" i="11"/>
  <c r="F23" i="11"/>
  <c r="J23" i="11"/>
  <c r="K23" i="11" s="1"/>
  <c r="C25" i="11"/>
  <c r="D24" i="11"/>
  <c r="E24" i="11" s="1"/>
  <c r="K16" i="2"/>
  <c r="F17" i="2"/>
  <c r="J17" i="2"/>
  <c r="A18" i="2"/>
  <c r="D18" i="2"/>
  <c r="E18" i="2" s="1"/>
  <c r="C19" i="2"/>
  <c r="H12" i="13" l="1"/>
  <c r="L12" i="13" s="1"/>
  <c r="C31" i="13"/>
  <c r="D30" i="13"/>
  <c r="E30" i="13" s="1"/>
  <c r="J29" i="13"/>
  <c r="K29" i="13" s="1"/>
  <c r="F29" i="13"/>
  <c r="F27" i="12"/>
  <c r="J27" i="12"/>
  <c r="K27" i="12" s="1"/>
  <c r="N12" i="12"/>
  <c r="O12" i="12" s="1"/>
  <c r="Q12" i="12"/>
  <c r="P12" i="12"/>
  <c r="D28" i="12"/>
  <c r="E28" i="12" s="1"/>
  <c r="C29" i="12"/>
  <c r="M11" i="11"/>
  <c r="G12" i="11"/>
  <c r="AA10" i="11"/>
  <c r="AB10" i="11" s="1"/>
  <c r="J24" i="11"/>
  <c r="K24" i="11" s="1"/>
  <c r="F24" i="11"/>
  <c r="C26" i="11"/>
  <c r="D25" i="11"/>
  <c r="E25" i="11" s="1"/>
  <c r="K17" i="2"/>
  <c r="A19" i="2"/>
  <c r="F18" i="2"/>
  <c r="J18" i="2"/>
  <c r="D19" i="2"/>
  <c r="E19" i="2" s="1"/>
  <c r="C20" i="2"/>
  <c r="F30" i="13" l="1"/>
  <c r="J30" i="13"/>
  <c r="K30" i="13" s="1"/>
  <c r="C32" i="13"/>
  <c r="D31" i="13"/>
  <c r="E31" i="13" s="1"/>
  <c r="Q12" i="13"/>
  <c r="N12" i="13"/>
  <c r="O12" i="13" s="1"/>
  <c r="P12" i="13"/>
  <c r="Z11" i="13"/>
  <c r="M12" i="12"/>
  <c r="G13" i="12"/>
  <c r="AA11" i="12"/>
  <c r="AB11" i="12" s="1"/>
  <c r="D29" i="12"/>
  <c r="E29" i="12" s="1"/>
  <c r="C30" i="12"/>
  <c r="F28" i="12"/>
  <c r="J28" i="12"/>
  <c r="K28" i="12" s="1"/>
  <c r="H12" i="11"/>
  <c r="L12" i="11" s="1"/>
  <c r="D26" i="11"/>
  <c r="E26" i="11" s="1"/>
  <c r="C27" i="11"/>
  <c r="F25" i="11"/>
  <c r="J25" i="11"/>
  <c r="K25" i="11" s="1"/>
  <c r="K18" i="2"/>
  <c r="F19" i="2"/>
  <c r="J19" i="2"/>
  <c r="D20" i="2"/>
  <c r="E20" i="2" s="1"/>
  <c r="A20" i="2"/>
  <c r="C21" i="2"/>
  <c r="F31" i="13" l="1"/>
  <c r="J31" i="13"/>
  <c r="K31" i="13" s="1"/>
  <c r="C33" i="13"/>
  <c r="D32" i="13"/>
  <c r="E32" i="13" s="1"/>
  <c r="AA11" i="13"/>
  <c r="AB11" i="13" s="1"/>
  <c r="M12" i="13"/>
  <c r="G13" i="13"/>
  <c r="F29" i="12"/>
  <c r="J29" i="12"/>
  <c r="K29" i="12" s="1"/>
  <c r="H13" i="12"/>
  <c r="L13" i="12" s="1"/>
  <c r="C31" i="12"/>
  <c r="D30" i="12"/>
  <c r="E30" i="12" s="1"/>
  <c r="C28" i="11"/>
  <c r="D27" i="11"/>
  <c r="E27" i="11" s="1"/>
  <c r="J26" i="11"/>
  <c r="K26" i="11" s="1"/>
  <c r="F26" i="11"/>
  <c r="P12" i="11"/>
  <c r="N12" i="11"/>
  <c r="O12" i="11" s="1"/>
  <c r="Q12" i="11"/>
  <c r="K19" i="2"/>
  <c r="F20" i="2"/>
  <c r="J20" i="2"/>
  <c r="D21" i="2"/>
  <c r="E21" i="2" s="1"/>
  <c r="A21" i="2"/>
  <c r="C22" i="2"/>
  <c r="F32" i="13" l="1"/>
  <c r="J32" i="13"/>
  <c r="K32" i="13" s="1"/>
  <c r="D33" i="13"/>
  <c r="E33" i="13" s="1"/>
  <c r="C34" i="13"/>
  <c r="H13" i="13"/>
  <c r="L13" i="13" s="1"/>
  <c r="D31" i="12"/>
  <c r="E31" i="12" s="1"/>
  <c r="C32" i="12"/>
  <c r="F30" i="12"/>
  <c r="J30" i="12"/>
  <c r="K30" i="12" s="1"/>
  <c r="Q13" i="12"/>
  <c r="P13" i="12"/>
  <c r="N13" i="12"/>
  <c r="O13" i="12" s="1"/>
  <c r="AA11" i="11"/>
  <c r="AB11" i="11" s="1"/>
  <c r="F27" i="11"/>
  <c r="J27" i="11"/>
  <c r="K27" i="11" s="1"/>
  <c r="M12" i="11"/>
  <c r="G13" i="11"/>
  <c r="C29" i="11"/>
  <c r="D28" i="11"/>
  <c r="E28" i="11" s="1"/>
  <c r="K20" i="2"/>
  <c r="A22" i="2"/>
  <c r="D22" i="2"/>
  <c r="E22" i="2" s="1"/>
  <c r="F21" i="2"/>
  <c r="J21" i="2"/>
  <c r="C23" i="2"/>
  <c r="C35" i="13" l="1"/>
  <c r="D34" i="13"/>
  <c r="E34" i="13" s="1"/>
  <c r="F33" i="13"/>
  <c r="J33" i="13"/>
  <c r="K33" i="13" s="1"/>
  <c r="Q13" i="13"/>
  <c r="P13" i="13"/>
  <c r="Z12" i="13"/>
  <c r="N13" i="13"/>
  <c r="O13" i="13" s="1"/>
  <c r="K21" i="2"/>
  <c r="AA12" i="12"/>
  <c r="AB12" i="12" s="1"/>
  <c r="C33" i="12"/>
  <c r="D32" i="12"/>
  <c r="E32" i="12" s="1"/>
  <c r="J31" i="12"/>
  <c r="K31" i="12" s="1"/>
  <c r="F31" i="12"/>
  <c r="M13" i="12"/>
  <c r="G14" i="12"/>
  <c r="C30" i="11"/>
  <c r="D29" i="11"/>
  <c r="E29" i="11" s="1"/>
  <c r="H13" i="11"/>
  <c r="L13" i="11" s="1"/>
  <c r="J28" i="11"/>
  <c r="K28" i="11" s="1"/>
  <c r="F28" i="11"/>
  <c r="D23" i="2"/>
  <c r="E23" i="2" s="1"/>
  <c r="F22" i="2"/>
  <c r="J22" i="2"/>
  <c r="K22" i="2" s="1"/>
  <c r="A23" i="2"/>
  <c r="C24" i="2"/>
  <c r="F34" i="13" l="1"/>
  <c r="J34" i="13"/>
  <c r="K34" i="13" s="1"/>
  <c r="M13" i="13"/>
  <c r="G14" i="13"/>
  <c r="C36" i="13"/>
  <c r="D35" i="13"/>
  <c r="E35" i="13" s="1"/>
  <c r="AA12" i="13"/>
  <c r="AB12" i="13" s="1"/>
  <c r="F32" i="12"/>
  <c r="J32" i="12"/>
  <c r="K32" i="12" s="1"/>
  <c r="D33" i="12"/>
  <c r="E33" i="12" s="1"/>
  <c r="C34" i="12"/>
  <c r="H14" i="12"/>
  <c r="L14" i="12" s="1"/>
  <c r="D30" i="11"/>
  <c r="E30" i="11" s="1"/>
  <c r="C31" i="11"/>
  <c r="P13" i="11"/>
  <c r="Q13" i="11"/>
  <c r="N13" i="11"/>
  <c r="O13" i="11" s="1"/>
  <c r="F29" i="11"/>
  <c r="J29" i="11"/>
  <c r="K29" i="11" s="1"/>
  <c r="A24" i="2"/>
  <c r="D24" i="2"/>
  <c r="E24" i="2" s="1"/>
  <c r="F23" i="2"/>
  <c r="J23" i="2"/>
  <c r="K23" i="2" s="1"/>
  <c r="C25" i="2"/>
  <c r="H14" i="13" l="1"/>
  <c r="L14" i="13" s="1"/>
  <c r="J35" i="13"/>
  <c r="K35" i="13" s="1"/>
  <c r="F35" i="13"/>
  <c r="D36" i="13"/>
  <c r="E36" i="13" s="1"/>
  <c r="C37" i="13"/>
  <c r="N14" i="12"/>
  <c r="O14" i="12" s="1"/>
  <c r="Q14" i="12"/>
  <c r="P14" i="12"/>
  <c r="C35" i="12"/>
  <c r="D34" i="12"/>
  <c r="E34" i="12" s="1"/>
  <c r="F33" i="12"/>
  <c r="J33" i="12"/>
  <c r="K33" i="12" s="1"/>
  <c r="M13" i="11"/>
  <c r="G14" i="11"/>
  <c r="AA12" i="11"/>
  <c r="AB12" i="11" s="1"/>
  <c r="C32" i="11"/>
  <c r="D31" i="11"/>
  <c r="E31" i="11" s="1"/>
  <c r="F30" i="11"/>
  <c r="J30" i="11"/>
  <c r="K30" i="11" s="1"/>
  <c r="D25" i="2"/>
  <c r="E25" i="2" s="1"/>
  <c r="F24" i="2"/>
  <c r="J24" i="2"/>
  <c r="K24" i="2" s="1"/>
  <c r="A25" i="2"/>
  <c r="C26" i="2"/>
  <c r="D37" i="13" l="1"/>
  <c r="E37" i="13" s="1"/>
  <c r="C38" i="13"/>
  <c r="Q14" i="13"/>
  <c r="P14" i="13"/>
  <c r="N14" i="13"/>
  <c r="O14" i="13" s="1"/>
  <c r="Z13" i="13"/>
  <c r="F36" i="13"/>
  <c r="J36" i="13"/>
  <c r="K36" i="13" s="1"/>
  <c r="D35" i="12"/>
  <c r="E35" i="12" s="1"/>
  <c r="C36" i="12"/>
  <c r="M14" i="12"/>
  <c r="G15" i="12"/>
  <c r="AA13" i="12"/>
  <c r="AB13" i="12" s="1"/>
  <c r="F34" i="12"/>
  <c r="J34" i="12"/>
  <c r="K34" i="12" s="1"/>
  <c r="D32" i="11"/>
  <c r="E32" i="11" s="1"/>
  <c r="C33" i="11"/>
  <c r="F31" i="11"/>
  <c r="J31" i="11"/>
  <c r="K31" i="11" s="1"/>
  <c r="H14" i="11"/>
  <c r="L14" i="11" s="1"/>
  <c r="A26" i="2"/>
  <c r="D26" i="2"/>
  <c r="E26" i="2" s="1"/>
  <c r="F25" i="2"/>
  <c r="J25" i="2"/>
  <c r="K25" i="2" s="1"/>
  <c r="C27" i="2"/>
  <c r="M14" i="13" l="1"/>
  <c r="G15" i="13"/>
  <c r="C39" i="13"/>
  <c r="D38" i="13"/>
  <c r="E38" i="13" s="1"/>
  <c r="J37" i="13"/>
  <c r="K37" i="13" s="1"/>
  <c r="F37" i="13"/>
  <c r="AA13" i="13"/>
  <c r="AB13" i="13" s="1"/>
  <c r="D36" i="12"/>
  <c r="E36" i="12" s="1"/>
  <c r="C37" i="12"/>
  <c r="H15" i="12"/>
  <c r="L15" i="12" s="1"/>
  <c r="J35" i="12"/>
  <c r="K35" i="12" s="1"/>
  <c r="F35" i="12"/>
  <c r="Q14" i="11"/>
  <c r="P14" i="11"/>
  <c r="N14" i="11"/>
  <c r="O14" i="11" s="1"/>
  <c r="F32" i="11"/>
  <c r="J32" i="11"/>
  <c r="K32" i="11" s="1"/>
  <c r="D33" i="11"/>
  <c r="E33" i="11" s="1"/>
  <c r="C34" i="11"/>
  <c r="D27" i="2"/>
  <c r="E27" i="2" s="1"/>
  <c r="F26" i="2"/>
  <c r="J26" i="2"/>
  <c r="K26" i="2" s="1"/>
  <c r="A27" i="2"/>
  <c r="C28" i="2"/>
  <c r="C40" i="13" l="1"/>
  <c r="D39" i="13"/>
  <c r="E39" i="13" s="1"/>
  <c r="H15" i="13"/>
  <c r="L15" i="13" s="1"/>
  <c r="F38" i="13"/>
  <c r="J38" i="13"/>
  <c r="K38" i="13" s="1"/>
  <c r="P15" i="12"/>
  <c r="Q15" i="12"/>
  <c r="N15" i="12"/>
  <c r="O15" i="12" s="1"/>
  <c r="D37" i="12"/>
  <c r="E37" i="12" s="1"/>
  <c r="C38" i="12"/>
  <c r="F36" i="12"/>
  <c r="J36" i="12"/>
  <c r="K36" i="12" s="1"/>
  <c r="AA13" i="11"/>
  <c r="AB13" i="11" s="1"/>
  <c r="C35" i="11"/>
  <c r="D34" i="11"/>
  <c r="E34" i="11" s="1"/>
  <c r="M14" i="11"/>
  <c r="G15" i="11"/>
  <c r="J33" i="11"/>
  <c r="K33" i="11" s="1"/>
  <c r="F33" i="11"/>
  <c r="A28" i="2"/>
  <c r="D28" i="2"/>
  <c r="E28" i="2" s="1"/>
  <c r="F27" i="2"/>
  <c r="J27" i="2"/>
  <c r="K27" i="2" s="1"/>
  <c r="C29" i="2"/>
  <c r="Z14" i="13" l="1"/>
  <c r="P15" i="13"/>
  <c r="N15" i="13"/>
  <c r="O15" i="13" s="1"/>
  <c r="Q15" i="13"/>
  <c r="J39" i="13"/>
  <c r="K39" i="13" s="1"/>
  <c r="F39" i="13"/>
  <c r="C41" i="13"/>
  <c r="D40" i="13"/>
  <c r="E40" i="13" s="1"/>
  <c r="C39" i="12"/>
  <c r="D38" i="12"/>
  <c r="E38" i="12" s="1"/>
  <c r="F37" i="12"/>
  <c r="J37" i="12"/>
  <c r="K37" i="12" s="1"/>
  <c r="AA14" i="12"/>
  <c r="AB14" i="12" s="1"/>
  <c r="M15" i="12"/>
  <c r="G16" i="12"/>
  <c r="F34" i="11"/>
  <c r="J34" i="11"/>
  <c r="K34" i="11" s="1"/>
  <c r="C36" i="11"/>
  <c r="D35" i="11"/>
  <c r="E35" i="11" s="1"/>
  <c r="H15" i="11"/>
  <c r="L15" i="11" s="1"/>
  <c r="D29" i="2"/>
  <c r="E29" i="2" s="1"/>
  <c r="F28" i="2"/>
  <c r="J28" i="2"/>
  <c r="K28" i="2" s="1"/>
  <c r="A29" i="2"/>
  <c r="C30" i="2"/>
  <c r="AA14" i="13" l="1"/>
  <c r="AB14" i="13" s="1"/>
  <c r="F40" i="13"/>
  <c r="J40" i="13"/>
  <c r="K40" i="13" s="1"/>
  <c r="M15" i="13"/>
  <c r="G16" i="13"/>
  <c r="D41" i="13"/>
  <c r="E41" i="13" s="1"/>
  <c r="C42" i="13"/>
  <c r="F38" i="12"/>
  <c r="J38" i="12"/>
  <c r="K38" i="12" s="1"/>
  <c r="D39" i="12"/>
  <c r="E39" i="12" s="1"/>
  <c r="C40" i="12"/>
  <c r="H16" i="12"/>
  <c r="L16" i="12" s="1"/>
  <c r="P15" i="11"/>
  <c r="N15" i="11"/>
  <c r="O15" i="11" s="1"/>
  <c r="Q15" i="11"/>
  <c r="J35" i="11"/>
  <c r="K35" i="11" s="1"/>
  <c r="F35" i="11"/>
  <c r="C37" i="11"/>
  <c r="D36" i="11"/>
  <c r="E36" i="11" s="1"/>
  <c r="D30" i="2"/>
  <c r="E30" i="2" s="1"/>
  <c r="F29" i="2"/>
  <c r="J29" i="2"/>
  <c r="K29" i="2" s="1"/>
  <c r="A30" i="2"/>
  <c r="C31" i="2"/>
  <c r="H16" i="13" l="1"/>
  <c r="L16" i="13" s="1"/>
  <c r="F41" i="13"/>
  <c r="J41" i="13"/>
  <c r="K41" i="13" s="1"/>
  <c r="C43" i="13"/>
  <c r="D42" i="13"/>
  <c r="E42" i="13" s="1"/>
  <c r="J39" i="12"/>
  <c r="K39" i="12" s="1"/>
  <c r="F39" i="12"/>
  <c r="C41" i="12"/>
  <c r="D40" i="12"/>
  <c r="E40" i="12" s="1"/>
  <c r="N16" i="12"/>
  <c r="O16" i="12" s="1"/>
  <c r="P16" i="12"/>
  <c r="Q16" i="12"/>
  <c r="M15" i="11"/>
  <c r="G16" i="11"/>
  <c r="AA14" i="11"/>
  <c r="AB14" i="11" s="1"/>
  <c r="F36" i="11"/>
  <c r="J36" i="11"/>
  <c r="K36" i="11" s="1"/>
  <c r="D37" i="11"/>
  <c r="E37" i="11" s="1"/>
  <c r="C38" i="11"/>
  <c r="D31" i="2"/>
  <c r="E31" i="2" s="1"/>
  <c r="A31" i="2"/>
  <c r="F30" i="2"/>
  <c r="J30" i="2"/>
  <c r="K30" i="2" s="1"/>
  <c r="C32" i="2"/>
  <c r="F42" i="13" l="1"/>
  <c r="J42" i="13"/>
  <c r="K42" i="13" s="1"/>
  <c r="Q16" i="13"/>
  <c r="N16" i="13"/>
  <c r="O16" i="13" s="1"/>
  <c r="Z15" i="13"/>
  <c r="P16" i="13"/>
  <c r="C44" i="13"/>
  <c r="D43" i="13"/>
  <c r="E43" i="13" s="1"/>
  <c r="F40" i="12"/>
  <c r="J40" i="12"/>
  <c r="K40" i="12" s="1"/>
  <c r="C42" i="12"/>
  <c r="D41" i="12"/>
  <c r="E41" i="12" s="1"/>
  <c r="M16" i="12"/>
  <c r="G17" i="12"/>
  <c r="AA15" i="12"/>
  <c r="AB15" i="12" s="1"/>
  <c r="H16" i="11"/>
  <c r="L16" i="11" s="1"/>
  <c r="J37" i="11"/>
  <c r="K37" i="11" s="1"/>
  <c r="F37" i="11"/>
  <c r="C39" i="11"/>
  <c r="D38" i="11"/>
  <c r="E38" i="11" s="1"/>
  <c r="D32" i="2"/>
  <c r="E32" i="2" s="1"/>
  <c r="A32" i="2"/>
  <c r="F31" i="2"/>
  <c r="J31" i="2"/>
  <c r="K31" i="2" s="1"/>
  <c r="C33" i="2"/>
  <c r="M16" i="13" l="1"/>
  <c r="G17" i="13"/>
  <c r="AA15" i="13"/>
  <c r="AB15" i="13" s="1"/>
  <c r="J43" i="13"/>
  <c r="K43" i="13" s="1"/>
  <c r="F43" i="13"/>
  <c r="D44" i="13"/>
  <c r="E44" i="13" s="1"/>
  <c r="C45" i="13"/>
  <c r="H17" i="12"/>
  <c r="L17" i="12" s="1"/>
  <c r="F41" i="12"/>
  <c r="J41" i="12"/>
  <c r="K41" i="12" s="1"/>
  <c r="C43" i="12"/>
  <c r="D42" i="12"/>
  <c r="E42" i="12" s="1"/>
  <c r="P16" i="11"/>
  <c r="N16" i="11"/>
  <c r="O16" i="11" s="1"/>
  <c r="Q16" i="11"/>
  <c r="F38" i="11"/>
  <c r="J38" i="11"/>
  <c r="K38" i="11" s="1"/>
  <c r="C40" i="11"/>
  <c r="D39" i="11"/>
  <c r="E39" i="11" s="1"/>
  <c r="A33" i="2"/>
  <c r="D33" i="2"/>
  <c r="E33" i="2" s="1"/>
  <c r="F32" i="2"/>
  <c r="J32" i="2"/>
  <c r="K32" i="2" s="1"/>
  <c r="C34" i="2"/>
  <c r="F44" i="13" l="1"/>
  <c r="J44" i="13"/>
  <c r="K44" i="13" s="1"/>
  <c r="H17" i="13"/>
  <c r="L17" i="13" s="1"/>
  <c r="D45" i="13"/>
  <c r="E45" i="13" s="1"/>
  <c r="C46" i="13"/>
  <c r="C44" i="12"/>
  <c r="D43" i="12"/>
  <c r="E43" i="12" s="1"/>
  <c r="F42" i="12"/>
  <c r="J42" i="12"/>
  <c r="K42" i="12" s="1"/>
  <c r="Q17" i="12"/>
  <c r="P17" i="12"/>
  <c r="N17" i="12"/>
  <c r="O17" i="12" s="1"/>
  <c r="AA15" i="11"/>
  <c r="AB15" i="11" s="1"/>
  <c r="M16" i="11"/>
  <c r="G17" i="11"/>
  <c r="F39" i="11"/>
  <c r="J39" i="11"/>
  <c r="K39" i="11" s="1"/>
  <c r="C41" i="11"/>
  <c r="D40" i="11"/>
  <c r="E40" i="11" s="1"/>
  <c r="D34" i="2"/>
  <c r="E34" i="2" s="1"/>
  <c r="F33" i="2"/>
  <c r="J33" i="2"/>
  <c r="K33" i="2" s="1"/>
  <c r="A34" i="2"/>
  <c r="C35" i="2"/>
  <c r="C47" i="13" l="1"/>
  <c r="D46" i="13"/>
  <c r="E46" i="13" s="1"/>
  <c r="F45" i="13"/>
  <c r="J45" i="13"/>
  <c r="K45" i="13" s="1"/>
  <c r="Q17" i="13"/>
  <c r="P17" i="13"/>
  <c r="N17" i="13"/>
  <c r="O17" i="13" s="1"/>
  <c r="Z16" i="13"/>
  <c r="M17" i="12"/>
  <c r="G18" i="12"/>
  <c r="AA16" i="12"/>
  <c r="AB16" i="12" s="1"/>
  <c r="F43" i="12"/>
  <c r="J43" i="12"/>
  <c r="K43" i="12" s="1"/>
  <c r="D44" i="12"/>
  <c r="E44" i="12" s="1"/>
  <c r="C45" i="12"/>
  <c r="H17" i="11"/>
  <c r="L17" i="11" s="1"/>
  <c r="D41" i="11"/>
  <c r="E41" i="11" s="1"/>
  <c r="C42" i="11"/>
  <c r="F40" i="11"/>
  <c r="J40" i="11"/>
  <c r="K40" i="11" s="1"/>
  <c r="A35" i="2"/>
  <c r="D35" i="2"/>
  <c r="E35" i="2" s="1"/>
  <c r="F34" i="2"/>
  <c r="J34" i="2"/>
  <c r="K34" i="2" s="1"/>
  <c r="C36" i="2"/>
  <c r="F46" i="13" l="1"/>
  <c r="J46" i="13"/>
  <c r="K46" i="13" s="1"/>
  <c r="AA16" i="13"/>
  <c r="AB16" i="13" s="1"/>
  <c r="C48" i="13"/>
  <c r="D47" i="13"/>
  <c r="E47" i="13" s="1"/>
  <c r="M17" i="13"/>
  <c r="G18" i="13"/>
  <c r="J44" i="12"/>
  <c r="K44" i="12" s="1"/>
  <c r="F44" i="12"/>
  <c r="H18" i="12"/>
  <c r="L18" i="12" s="1"/>
  <c r="C46" i="12"/>
  <c r="D45" i="12"/>
  <c r="E45" i="12" s="1"/>
  <c r="F41" i="11"/>
  <c r="J41" i="11"/>
  <c r="K41" i="11" s="1"/>
  <c r="P17" i="11"/>
  <c r="Q17" i="11"/>
  <c r="N17" i="11"/>
  <c r="O17" i="11" s="1"/>
  <c r="D42" i="11"/>
  <c r="E42" i="11" s="1"/>
  <c r="C43" i="11"/>
  <c r="D36" i="2"/>
  <c r="E36" i="2" s="1"/>
  <c r="F35" i="2"/>
  <c r="J35" i="2"/>
  <c r="K35" i="2" s="1"/>
  <c r="A36" i="2"/>
  <c r="C37" i="2"/>
  <c r="J47" i="13" l="1"/>
  <c r="K47" i="13" s="1"/>
  <c r="F47" i="13"/>
  <c r="D48" i="13"/>
  <c r="E48" i="13" s="1"/>
  <c r="C49" i="13"/>
  <c r="H18" i="13"/>
  <c r="L18" i="13" s="1"/>
  <c r="F45" i="12"/>
  <c r="J45" i="12"/>
  <c r="K45" i="12" s="1"/>
  <c r="C47" i="12"/>
  <c r="D46" i="12"/>
  <c r="E46" i="12" s="1"/>
  <c r="N18" i="12"/>
  <c r="O18" i="12" s="1"/>
  <c r="P18" i="12"/>
  <c r="Q18" i="12"/>
  <c r="AA16" i="11"/>
  <c r="AB16" i="11" s="1"/>
  <c r="M17" i="11"/>
  <c r="G18" i="11"/>
  <c r="C44" i="11"/>
  <c r="D43" i="11"/>
  <c r="E43" i="11" s="1"/>
  <c r="F42" i="11"/>
  <c r="J42" i="11"/>
  <c r="K42" i="11" s="1"/>
  <c r="D37" i="2"/>
  <c r="E37" i="2" s="1"/>
  <c r="A37" i="2"/>
  <c r="F36" i="2"/>
  <c r="J36" i="2"/>
  <c r="K36" i="2" s="1"/>
  <c r="C38" i="2"/>
  <c r="D49" i="13" l="1"/>
  <c r="E49" i="13" s="1"/>
  <c r="C50" i="13"/>
  <c r="F48" i="13"/>
  <c r="J48" i="13"/>
  <c r="K48" i="13" s="1"/>
  <c r="Z17" i="13"/>
  <c r="Q18" i="13"/>
  <c r="P18" i="13"/>
  <c r="N18" i="13"/>
  <c r="O18" i="13" s="1"/>
  <c r="J46" i="12"/>
  <c r="K46" i="12" s="1"/>
  <c r="F46" i="12"/>
  <c r="C48" i="12"/>
  <c r="D47" i="12"/>
  <c r="E47" i="12" s="1"/>
  <c r="AA17" i="12"/>
  <c r="AB17" i="12" s="1"/>
  <c r="M18" i="12"/>
  <c r="G19" i="12"/>
  <c r="H18" i="11"/>
  <c r="F43" i="11"/>
  <c r="J43" i="11"/>
  <c r="K43" i="11" s="1"/>
  <c r="D44" i="11"/>
  <c r="E44" i="11" s="1"/>
  <c r="C45" i="11"/>
  <c r="D38" i="2"/>
  <c r="E38" i="2" s="1"/>
  <c r="A38" i="2"/>
  <c r="F37" i="2"/>
  <c r="J37" i="2"/>
  <c r="K37" i="2" s="1"/>
  <c r="C39" i="2"/>
  <c r="AA17" i="13" l="1"/>
  <c r="AB17" i="13" s="1"/>
  <c r="C51" i="13"/>
  <c r="D50" i="13"/>
  <c r="E50" i="13" s="1"/>
  <c r="F49" i="13"/>
  <c r="J49" i="13"/>
  <c r="K49" i="13" s="1"/>
  <c r="M18" i="13"/>
  <c r="G19" i="13"/>
  <c r="D48" i="12"/>
  <c r="E48" i="12" s="1"/>
  <c r="C49" i="12"/>
  <c r="F47" i="12"/>
  <c r="J47" i="12"/>
  <c r="K47" i="12" s="1"/>
  <c r="H19" i="12"/>
  <c r="L19" i="12" s="1"/>
  <c r="J44" i="11"/>
  <c r="K44" i="11" s="1"/>
  <c r="F44" i="11"/>
  <c r="N18" i="11"/>
  <c r="O18" i="11" s="1"/>
  <c r="L18" i="11"/>
  <c r="P18" i="11"/>
  <c r="Q18" i="11"/>
  <c r="C46" i="11"/>
  <c r="D45" i="11"/>
  <c r="E45" i="11" s="1"/>
  <c r="D39" i="2"/>
  <c r="E39" i="2" s="1"/>
  <c r="A39" i="2"/>
  <c r="F38" i="2"/>
  <c r="J38" i="2"/>
  <c r="K38" i="2" s="1"/>
  <c r="C40" i="2"/>
  <c r="F50" i="13" l="1"/>
  <c r="J50" i="13"/>
  <c r="K50" i="13" s="1"/>
  <c r="C52" i="13"/>
  <c r="D51" i="13"/>
  <c r="E51" i="13" s="1"/>
  <c r="H19" i="13"/>
  <c r="L19" i="13" s="1"/>
  <c r="C50" i="12"/>
  <c r="D49" i="12"/>
  <c r="E49" i="12" s="1"/>
  <c r="P19" i="12"/>
  <c r="N19" i="12"/>
  <c r="O19" i="12" s="1"/>
  <c r="Q19" i="12"/>
  <c r="J48" i="12"/>
  <c r="K48" i="12" s="1"/>
  <c r="F48" i="12"/>
  <c r="AA17" i="11"/>
  <c r="AB17" i="11" s="1"/>
  <c r="M18" i="11"/>
  <c r="G19" i="11"/>
  <c r="F45" i="11"/>
  <c r="J45" i="11"/>
  <c r="K45" i="11" s="1"/>
  <c r="D46" i="11"/>
  <c r="E46" i="11" s="1"/>
  <c r="C47" i="11"/>
  <c r="D40" i="2"/>
  <c r="E40" i="2" s="1"/>
  <c r="A40" i="2"/>
  <c r="F39" i="2"/>
  <c r="J39" i="2"/>
  <c r="K39" i="2" s="1"/>
  <c r="C41" i="2"/>
  <c r="J51" i="13" l="1"/>
  <c r="K51" i="13" s="1"/>
  <c r="F51" i="13"/>
  <c r="Z18" i="13"/>
  <c r="P19" i="13"/>
  <c r="Q19" i="13"/>
  <c r="N19" i="13"/>
  <c r="O19" i="13" s="1"/>
  <c r="C53" i="13"/>
  <c r="D52" i="13"/>
  <c r="E52" i="13" s="1"/>
  <c r="AA18" i="12"/>
  <c r="AB18" i="12" s="1"/>
  <c r="M19" i="12"/>
  <c r="G20" i="12"/>
  <c r="F49" i="12"/>
  <c r="J49" i="12"/>
  <c r="K49" i="12" s="1"/>
  <c r="C51" i="12"/>
  <c r="D50" i="12"/>
  <c r="E50" i="12" s="1"/>
  <c r="F46" i="11"/>
  <c r="J46" i="11"/>
  <c r="K46" i="11" s="1"/>
  <c r="H19" i="11"/>
  <c r="C48" i="11"/>
  <c r="D47" i="11"/>
  <c r="E47" i="11" s="1"/>
  <c r="A41" i="2"/>
  <c r="F40" i="2"/>
  <c r="J40" i="2"/>
  <c r="K40" i="2" s="1"/>
  <c r="D41" i="2"/>
  <c r="E41" i="2" s="1"/>
  <c r="C42" i="2"/>
  <c r="AA18" i="13" l="1"/>
  <c r="AB18" i="13" s="1"/>
  <c r="M19" i="13"/>
  <c r="G20" i="13"/>
  <c r="F52" i="13"/>
  <c r="J52" i="13"/>
  <c r="K52" i="13" s="1"/>
  <c r="D53" i="13"/>
  <c r="E53" i="13" s="1"/>
  <c r="C54" i="13"/>
  <c r="H20" i="12"/>
  <c r="L20" i="12" s="1"/>
  <c r="D51" i="12"/>
  <c r="E51" i="12" s="1"/>
  <c r="C52" i="12"/>
  <c r="J50" i="12"/>
  <c r="K50" i="12" s="1"/>
  <c r="F50" i="12"/>
  <c r="P19" i="11"/>
  <c r="N19" i="11"/>
  <c r="O19" i="11" s="1"/>
  <c r="L19" i="11"/>
  <c r="Z18" i="11"/>
  <c r="Q19" i="11"/>
  <c r="D48" i="11"/>
  <c r="E48" i="11" s="1"/>
  <c r="C49" i="11"/>
  <c r="F47" i="11"/>
  <c r="J47" i="11"/>
  <c r="K47" i="11" s="1"/>
  <c r="J41" i="2"/>
  <c r="K41" i="2" s="1"/>
  <c r="A42" i="2"/>
  <c r="D42" i="2"/>
  <c r="E42" i="2" s="1"/>
  <c r="F41" i="2"/>
  <c r="C43" i="2"/>
  <c r="H20" i="13" l="1"/>
  <c r="L20" i="13" s="1"/>
  <c r="F53" i="13"/>
  <c r="J53" i="13"/>
  <c r="K53" i="13" s="1"/>
  <c r="C55" i="13"/>
  <c r="D54" i="13"/>
  <c r="E54" i="13" s="1"/>
  <c r="D52" i="12"/>
  <c r="E52" i="12" s="1"/>
  <c r="C53" i="12"/>
  <c r="N20" i="12"/>
  <c r="O20" i="12" s="1"/>
  <c r="Q20" i="12"/>
  <c r="P20" i="12"/>
  <c r="F51" i="12"/>
  <c r="J51" i="12"/>
  <c r="K51" i="12" s="1"/>
  <c r="AA18" i="11"/>
  <c r="AB18" i="11" s="1"/>
  <c r="M19" i="11"/>
  <c r="G20" i="11"/>
  <c r="J48" i="11"/>
  <c r="K48" i="11" s="1"/>
  <c r="F48" i="11"/>
  <c r="C50" i="11"/>
  <c r="D49" i="11"/>
  <c r="E49" i="11" s="1"/>
  <c r="C44" i="2"/>
  <c r="F42" i="2"/>
  <c r="J42" i="2"/>
  <c r="K42" i="2" s="1"/>
  <c r="A43" i="2"/>
  <c r="D44" i="2"/>
  <c r="C45" i="2"/>
  <c r="D43" i="2"/>
  <c r="E43" i="2" s="1"/>
  <c r="C56" i="13" l="1"/>
  <c r="D55" i="13"/>
  <c r="E55" i="13" s="1"/>
  <c r="Q20" i="13"/>
  <c r="N20" i="13"/>
  <c r="O20" i="13" s="1"/>
  <c r="Z19" i="13"/>
  <c r="P20" i="13"/>
  <c r="F54" i="13"/>
  <c r="J54" i="13"/>
  <c r="K54" i="13" s="1"/>
  <c r="M20" i="12"/>
  <c r="G21" i="12"/>
  <c r="AA19" i="12"/>
  <c r="AB19" i="12" s="1"/>
  <c r="C54" i="12"/>
  <c r="D53" i="12"/>
  <c r="E53" i="12" s="1"/>
  <c r="F52" i="12"/>
  <c r="J52" i="12"/>
  <c r="K52" i="12" s="1"/>
  <c r="H20" i="11"/>
  <c r="D50" i="11"/>
  <c r="E50" i="11" s="1"/>
  <c r="C51" i="11"/>
  <c r="F49" i="11"/>
  <c r="J49" i="11"/>
  <c r="K49" i="11" s="1"/>
  <c r="J43" i="2"/>
  <c r="K43" i="2" s="1"/>
  <c r="A44" i="2"/>
  <c r="E44" i="2"/>
  <c r="F43" i="2"/>
  <c r="D45" i="2"/>
  <c r="E45" i="2" s="1"/>
  <c r="C46" i="2"/>
  <c r="M20" i="13" l="1"/>
  <c r="G21" i="13"/>
  <c r="AA19" i="13"/>
  <c r="AB19" i="13" s="1"/>
  <c r="F55" i="13"/>
  <c r="J55" i="13"/>
  <c r="K55" i="13" s="1"/>
  <c r="C57" i="13"/>
  <c r="D56" i="13"/>
  <c r="E56" i="13" s="1"/>
  <c r="F53" i="12"/>
  <c r="J53" i="12"/>
  <c r="K53" i="12" s="1"/>
  <c r="C55" i="12"/>
  <c r="D54" i="12"/>
  <c r="E54" i="12" s="1"/>
  <c r="H21" i="12"/>
  <c r="L21" i="12" s="1"/>
  <c r="J50" i="11"/>
  <c r="K50" i="11" s="1"/>
  <c r="F50" i="11"/>
  <c r="P20" i="11"/>
  <c r="N20" i="11"/>
  <c r="O20" i="11" s="1"/>
  <c r="Q20" i="11"/>
  <c r="L20" i="11"/>
  <c r="Z19" i="11"/>
  <c r="C52" i="11"/>
  <c r="D51" i="11"/>
  <c r="E51" i="11" s="1"/>
  <c r="A45" i="2"/>
  <c r="F45" i="2"/>
  <c r="J45" i="2"/>
  <c r="F44" i="2"/>
  <c r="J44" i="2"/>
  <c r="K44" i="2" s="1"/>
  <c r="K45" i="2" s="1"/>
  <c r="D46" i="2"/>
  <c r="E46" i="2" s="1"/>
  <c r="C47" i="2"/>
  <c r="H21" i="13" l="1"/>
  <c r="L21" i="13" s="1"/>
  <c r="C58" i="13"/>
  <c r="D57" i="13"/>
  <c r="E57" i="13" s="1"/>
  <c r="F56" i="13"/>
  <c r="J56" i="13"/>
  <c r="K56" i="13" s="1"/>
  <c r="Q21" i="12"/>
  <c r="P21" i="12"/>
  <c r="N21" i="12"/>
  <c r="O21" i="12" s="1"/>
  <c r="J54" i="12"/>
  <c r="K54" i="12" s="1"/>
  <c r="F54" i="12"/>
  <c r="D55" i="12"/>
  <c r="E55" i="12" s="1"/>
  <c r="C56" i="12"/>
  <c r="M20" i="11"/>
  <c r="G21" i="11"/>
  <c r="AA19" i="11"/>
  <c r="AB19" i="11" s="1"/>
  <c r="F51" i="11"/>
  <c r="J51" i="11"/>
  <c r="K51" i="11" s="1"/>
  <c r="D52" i="11"/>
  <c r="E52" i="11" s="1"/>
  <c r="C53" i="11"/>
  <c r="F46" i="2"/>
  <c r="J46" i="2"/>
  <c r="K46" i="2" s="1"/>
  <c r="A46" i="2"/>
  <c r="D47" i="2"/>
  <c r="E47" i="2" s="1"/>
  <c r="C48" i="2"/>
  <c r="C59" i="13" l="1"/>
  <c r="D58" i="13"/>
  <c r="E58" i="13" s="1"/>
  <c r="N21" i="13"/>
  <c r="O21" i="13" s="1"/>
  <c r="Q21" i="13"/>
  <c r="P21" i="13"/>
  <c r="Z20" i="13"/>
  <c r="F57" i="13"/>
  <c r="J57" i="13"/>
  <c r="K57" i="13" s="1"/>
  <c r="AA20" i="12"/>
  <c r="AB20" i="12" s="1"/>
  <c r="C57" i="12"/>
  <c r="D56" i="12"/>
  <c r="E56" i="12" s="1"/>
  <c r="M21" i="12"/>
  <c r="G22" i="12"/>
  <c r="F55" i="12"/>
  <c r="J55" i="12"/>
  <c r="K55" i="12" s="1"/>
  <c r="F52" i="11"/>
  <c r="J52" i="11"/>
  <c r="K52" i="11" s="1"/>
  <c r="H21" i="11"/>
  <c r="D53" i="11"/>
  <c r="E53" i="11" s="1"/>
  <c r="C54" i="11"/>
  <c r="F47" i="2"/>
  <c r="J47" i="2"/>
  <c r="K47" i="2" s="1"/>
  <c r="A47" i="2"/>
  <c r="D48" i="2"/>
  <c r="E48" i="2" s="1"/>
  <c r="C49" i="2"/>
  <c r="F58" i="13" l="1"/>
  <c r="J58" i="13"/>
  <c r="K58" i="13" s="1"/>
  <c r="AA20" i="13"/>
  <c r="AB20" i="13" s="1"/>
  <c r="C60" i="13"/>
  <c r="D59" i="13"/>
  <c r="E59" i="13" s="1"/>
  <c r="M21" i="13"/>
  <c r="G22" i="13"/>
  <c r="F56" i="12"/>
  <c r="J56" i="12"/>
  <c r="K56" i="12" s="1"/>
  <c r="C58" i="12"/>
  <c r="D57" i="12"/>
  <c r="E57" i="12" s="1"/>
  <c r="H22" i="12"/>
  <c r="L22" i="12" s="1"/>
  <c r="F53" i="11"/>
  <c r="J53" i="11"/>
  <c r="K53" i="11" s="1"/>
  <c r="D54" i="11"/>
  <c r="E54" i="11" s="1"/>
  <c r="C55" i="11"/>
  <c r="Q21" i="11"/>
  <c r="L21" i="11"/>
  <c r="Z20" i="11"/>
  <c r="P21" i="11"/>
  <c r="N21" i="11"/>
  <c r="O21" i="11" s="1"/>
  <c r="F48" i="2"/>
  <c r="J48" i="2"/>
  <c r="K48" i="2" s="1"/>
  <c r="A48" i="2"/>
  <c r="C50" i="2"/>
  <c r="D49" i="2"/>
  <c r="E49" i="2" s="1"/>
  <c r="D60" i="13" l="1"/>
  <c r="E60" i="13" s="1"/>
  <c r="C61" i="13"/>
  <c r="J59" i="13"/>
  <c r="K59" i="13" s="1"/>
  <c r="F59" i="13"/>
  <c r="H22" i="13"/>
  <c r="L22" i="13" s="1"/>
  <c r="N22" i="12"/>
  <c r="O22" i="12" s="1"/>
  <c r="Q22" i="12"/>
  <c r="P22" i="12"/>
  <c r="D58" i="12"/>
  <c r="E58" i="12" s="1"/>
  <c r="C59" i="12"/>
  <c r="F57" i="12"/>
  <c r="J57" i="12"/>
  <c r="K57" i="12" s="1"/>
  <c r="C56" i="11"/>
  <c r="D55" i="11"/>
  <c r="E55" i="11" s="1"/>
  <c r="F54" i="11"/>
  <c r="J54" i="11"/>
  <c r="K54" i="11" s="1"/>
  <c r="M21" i="11"/>
  <c r="G22" i="11"/>
  <c r="AA20" i="11"/>
  <c r="AB20" i="11" s="1"/>
  <c r="F49" i="2"/>
  <c r="J49" i="2"/>
  <c r="K49" i="2" s="1"/>
  <c r="A49" i="2"/>
  <c r="D50" i="2"/>
  <c r="E50" i="2" s="1"/>
  <c r="C51" i="2"/>
  <c r="C62" i="13" l="1"/>
  <c r="D61" i="13"/>
  <c r="E61" i="13" s="1"/>
  <c r="P22" i="13"/>
  <c r="Z21" i="13"/>
  <c r="N22" i="13"/>
  <c r="O22" i="13" s="1"/>
  <c r="Q22" i="13"/>
  <c r="F60" i="13"/>
  <c r="J60" i="13"/>
  <c r="K60" i="13" s="1"/>
  <c r="AA21" i="12"/>
  <c r="AB21" i="12" s="1"/>
  <c r="M22" i="12"/>
  <c r="G23" i="12"/>
  <c r="D59" i="12"/>
  <c r="E59" i="12" s="1"/>
  <c r="C60" i="12"/>
  <c r="F58" i="12"/>
  <c r="J58" i="12"/>
  <c r="K58" i="12" s="1"/>
  <c r="H22" i="11"/>
  <c r="F55" i="11"/>
  <c r="J55" i="11"/>
  <c r="K55" i="11" s="1"/>
  <c r="D56" i="11"/>
  <c r="E56" i="11" s="1"/>
  <c r="C57" i="11"/>
  <c r="F50" i="2"/>
  <c r="J50" i="2"/>
  <c r="K50" i="2" s="1"/>
  <c r="A50" i="2"/>
  <c r="D51" i="2"/>
  <c r="E51" i="2" s="1"/>
  <c r="C52" i="2"/>
  <c r="M22" i="13" l="1"/>
  <c r="G23" i="13"/>
  <c r="F61" i="13"/>
  <c r="J61" i="13"/>
  <c r="K61" i="13" s="1"/>
  <c r="AA21" i="13"/>
  <c r="AB21" i="13" s="1"/>
  <c r="C63" i="13"/>
  <c r="D62" i="13"/>
  <c r="E62" i="13" s="1"/>
  <c r="D60" i="12"/>
  <c r="E60" i="12" s="1"/>
  <c r="C61" i="12"/>
  <c r="F59" i="12"/>
  <c r="J59" i="12"/>
  <c r="K59" i="12" s="1"/>
  <c r="H23" i="12"/>
  <c r="L23" i="12" s="1"/>
  <c r="C58" i="11"/>
  <c r="D57" i="11"/>
  <c r="E57" i="11" s="1"/>
  <c r="L22" i="11"/>
  <c r="Z21" i="11"/>
  <c r="Q22" i="11"/>
  <c r="N22" i="11"/>
  <c r="O22" i="11" s="1"/>
  <c r="P22" i="11"/>
  <c r="F56" i="11"/>
  <c r="J56" i="11"/>
  <c r="K56" i="11" s="1"/>
  <c r="F51" i="2"/>
  <c r="J51" i="2"/>
  <c r="K51" i="2" s="1"/>
  <c r="A51" i="2"/>
  <c r="D52" i="2"/>
  <c r="E52" i="2" s="1"/>
  <c r="C53" i="2"/>
  <c r="H23" i="13" l="1"/>
  <c r="L23" i="13" s="1"/>
  <c r="C64" i="13"/>
  <c r="D63" i="13"/>
  <c r="E63" i="13" s="1"/>
  <c r="F62" i="13"/>
  <c r="J62" i="13"/>
  <c r="K62" i="13" s="1"/>
  <c r="C62" i="12"/>
  <c r="D61" i="12"/>
  <c r="E61" i="12" s="1"/>
  <c r="Q23" i="12"/>
  <c r="P23" i="12"/>
  <c r="N23" i="12"/>
  <c r="O23" i="12" s="1"/>
  <c r="F60" i="12"/>
  <c r="J60" i="12"/>
  <c r="K60" i="12" s="1"/>
  <c r="M22" i="11"/>
  <c r="G23" i="11"/>
  <c r="AA21" i="11"/>
  <c r="AB21" i="11" s="1"/>
  <c r="F57" i="11"/>
  <c r="J57" i="11"/>
  <c r="K57" i="11" s="1"/>
  <c r="D58" i="11"/>
  <c r="E58" i="11" s="1"/>
  <c r="C59" i="11"/>
  <c r="A52" i="2"/>
  <c r="F52" i="2"/>
  <c r="J52" i="2"/>
  <c r="K52" i="2" s="1"/>
  <c r="C54" i="2"/>
  <c r="D53" i="2"/>
  <c r="E53" i="2" s="1"/>
  <c r="D64" i="13" l="1"/>
  <c r="E64" i="13" s="1"/>
  <c r="C65" i="13"/>
  <c r="N23" i="13"/>
  <c r="O23" i="13" s="1"/>
  <c r="Z22" i="13"/>
  <c r="Q23" i="13"/>
  <c r="P23" i="13"/>
  <c r="J63" i="13"/>
  <c r="K63" i="13" s="1"/>
  <c r="F63" i="13"/>
  <c r="M23" i="12"/>
  <c r="G24" i="12"/>
  <c r="AA22" i="12"/>
  <c r="AB22" i="12" s="1"/>
  <c r="F61" i="12"/>
  <c r="J61" i="12"/>
  <c r="K61" i="12" s="1"/>
  <c r="D62" i="12"/>
  <c r="E62" i="12" s="1"/>
  <c r="C63" i="12"/>
  <c r="H23" i="11"/>
  <c r="F58" i="11"/>
  <c r="J58" i="11"/>
  <c r="K58" i="11" s="1"/>
  <c r="D59" i="11"/>
  <c r="E59" i="11" s="1"/>
  <c r="C60" i="11"/>
  <c r="F53" i="2"/>
  <c r="J53" i="2"/>
  <c r="K53" i="2" s="1"/>
  <c r="A53" i="2"/>
  <c r="C55" i="2"/>
  <c r="D54" i="2"/>
  <c r="E54" i="2" s="1"/>
  <c r="M23" i="13" l="1"/>
  <c r="G24" i="13"/>
  <c r="C66" i="13"/>
  <c r="D65" i="13"/>
  <c r="E65" i="13" s="1"/>
  <c r="AA22" i="13"/>
  <c r="AB22" i="13" s="1"/>
  <c r="F64" i="13"/>
  <c r="J64" i="13"/>
  <c r="K64" i="13" s="1"/>
  <c r="H24" i="12"/>
  <c r="L24" i="12" s="1"/>
  <c r="F62" i="12"/>
  <c r="J62" i="12"/>
  <c r="K62" i="12" s="1"/>
  <c r="D63" i="12"/>
  <c r="E63" i="12" s="1"/>
  <c r="C64" i="12"/>
  <c r="F59" i="11"/>
  <c r="J59" i="11"/>
  <c r="K59" i="11" s="1"/>
  <c r="Q23" i="11"/>
  <c r="N23" i="11"/>
  <c r="O23" i="11" s="1"/>
  <c r="L23" i="11"/>
  <c r="P23" i="11"/>
  <c r="Z22" i="11"/>
  <c r="D60" i="11"/>
  <c r="E60" i="11" s="1"/>
  <c r="C61" i="11"/>
  <c r="A54" i="2"/>
  <c r="F54" i="2"/>
  <c r="J54" i="2"/>
  <c r="K54" i="2" s="1"/>
  <c r="D55" i="2"/>
  <c r="E55" i="2" s="1"/>
  <c r="C56" i="2"/>
  <c r="F65" i="13" l="1"/>
  <c r="J65" i="13"/>
  <c r="K65" i="13" s="1"/>
  <c r="C67" i="13"/>
  <c r="D66" i="13"/>
  <c r="E66" i="13" s="1"/>
  <c r="H24" i="13"/>
  <c r="L24" i="13" s="1"/>
  <c r="C65" i="12"/>
  <c r="D64" i="12"/>
  <c r="E64" i="12" s="1"/>
  <c r="Q24" i="12"/>
  <c r="P24" i="12"/>
  <c r="N24" i="12"/>
  <c r="O24" i="12" s="1"/>
  <c r="F63" i="12"/>
  <c r="J63" i="12"/>
  <c r="K63" i="12" s="1"/>
  <c r="AA22" i="11"/>
  <c r="AB22" i="11" s="1"/>
  <c r="M23" i="11"/>
  <c r="G24" i="11"/>
  <c r="C62" i="11"/>
  <c r="D61" i="11"/>
  <c r="E61" i="11" s="1"/>
  <c r="F60" i="11"/>
  <c r="J60" i="11"/>
  <c r="K60" i="11" s="1"/>
  <c r="F55" i="2"/>
  <c r="J55" i="2"/>
  <c r="K55" i="2" s="1"/>
  <c r="A55" i="2"/>
  <c r="D56" i="2"/>
  <c r="E56" i="2" s="1"/>
  <c r="C57" i="2"/>
  <c r="D67" i="13" l="1"/>
  <c r="E67" i="13" s="1"/>
  <c r="C68" i="13"/>
  <c r="Z23" i="13"/>
  <c r="Q24" i="13"/>
  <c r="P24" i="13"/>
  <c r="N24" i="13"/>
  <c r="O24" i="13" s="1"/>
  <c r="F66" i="13"/>
  <c r="J66" i="13"/>
  <c r="K66" i="13" s="1"/>
  <c r="AA23" i="12"/>
  <c r="AB23" i="12" s="1"/>
  <c r="M24" i="12"/>
  <c r="G25" i="12"/>
  <c r="F64" i="12"/>
  <c r="J64" i="12"/>
  <c r="K64" i="12" s="1"/>
  <c r="C66" i="12"/>
  <c r="D65" i="12"/>
  <c r="E65" i="12" s="1"/>
  <c r="F61" i="11"/>
  <c r="J61" i="11"/>
  <c r="K61" i="11" s="1"/>
  <c r="H24" i="11"/>
  <c r="C63" i="11"/>
  <c r="D62" i="11"/>
  <c r="E62" i="11" s="1"/>
  <c r="F56" i="2"/>
  <c r="J56" i="2"/>
  <c r="K56" i="2" s="1"/>
  <c r="A56" i="2"/>
  <c r="C58" i="2"/>
  <c r="D57" i="2"/>
  <c r="E57" i="2" s="1"/>
  <c r="AA23" i="13" l="1"/>
  <c r="AB23" i="13" s="1"/>
  <c r="M24" i="13"/>
  <c r="G25" i="13"/>
  <c r="D68" i="13"/>
  <c r="E68" i="13" s="1"/>
  <c r="C69" i="13"/>
  <c r="F67" i="13"/>
  <c r="J67" i="13"/>
  <c r="K67" i="13" s="1"/>
  <c r="D66" i="12"/>
  <c r="E66" i="12" s="1"/>
  <c r="C67" i="12"/>
  <c r="H25" i="12"/>
  <c r="L25" i="12" s="1"/>
  <c r="F65" i="12"/>
  <c r="J65" i="12"/>
  <c r="K65" i="12" s="1"/>
  <c r="F62" i="11"/>
  <c r="J62" i="11"/>
  <c r="K62" i="11" s="1"/>
  <c r="D63" i="11"/>
  <c r="E63" i="11" s="1"/>
  <c r="C64" i="11"/>
  <c r="Q24" i="11"/>
  <c r="P24" i="11"/>
  <c r="L24" i="11"/>
  <c r="Z23" i="11"/>
  <c r="N24" i="11"/>
  <c r="O24" i="11" s="1"/>
  <c r="F57" i="2"/>
  <c r="J57" i="2"/>
  <c r="K57" i="2" s="1"/>
  <c r="A57" i="2"/>
  <c r="D58" i="2"/>
  <c r="E58" i="2" s="1"/>
  <c r="C59" i="2"/>
  <c r="H25" i="13" l="1"/>
  <c r="L25" i="13" s="1"/>
  <c r="C70" i="13"/>
  <c r="D69" i="13"/>
  <c r="E69" i="13" s="1"/>
  <c r="F68" i="13"/>
  <c r="J68" i="13"/>
  <c r="K68" i="13" s="1"/>
  <c r="D67" i="12"/>
  <c r="E67" i="12" s="1"/>
  <c r="C68" i="12"/>
  <c r="N25" i="12"/>
  <c r="O25" i="12" s="1"/>
  <c r="Q25" i="12"/>
  <c r="P25" i="12"/>
  <c r="F66" i="12"/>
  <c r="J66" i="12"/>
  <c r="K66" i="12" s="1"/>
  <c r="M24" i="11"/>
  <c r="G25" i="11"/>
  <c r="F63" i="11"/>
  <c r="J63" i="11"/>
  <c r="K63" i="11" s="1"/>
  <c r="D64" i="11"/>
  <c r="E64" i="11" s="1"/>
  <c r="C65" i="11"/>
  <c r="AA23" i="11"/>
  <c r="AB23" i="11" s="1"/>
  <c r="A58" i="2"/>
  <c r="F58" i="2"/>
  <c r="J58" i="2"/>
  <c r="K58" i="2" s="1"/>
  <c r="C60" i="2"/>
  <c r="D59" i="2"/>
  <c r="E59" i="2" s="1"/>
  <c r="J69" i="13" l="1"/>
  <c r="K69" i="13" s="1"/>
  <c r="F69" i="13"/>
  <c r="D70" i="13"/>
  <c r="E70" i="13" s="1"/>
  <c r="C71" i="13"/>
  <c r="N25" i="13"/>
  <c r="O25" i="13" s="1"/>
  <c r="Q25" i="13"/>
  <c r="P25" i="13"/>
  <c r="Z24" i="13"/>
  <c r="M25" i="12"/>
  <c r="G26" i="12"/>
  <c r="C69" i="12"/>
  <c r="D68" i="12"/>
  <c r="E68" i="12" s="1"/>
  <c r="AA24" i="12"/>
  <c r="AB24" i="12" s="1"/>
  <c r="F67" i="12"/>
  <c r="J67" i="12"/>
  <c r="K67" i="12" s="1"/>
  <c r="F64" i="11"/>
  <c r="J64" i="11"/>
  <c r="K64" i="11" s="1"/>
  <c r="H25" i="11"/>
  <c r="C66" i="11"/>
  <c r="D65" i="11"/>
  <c r="E65" i="11" s="1"/>
  <c r="F59" i="2"/>
  <c r="J59" i="2"/>
  <c r="K59" i="2" s="1"/>
  <c r="A59" i="2"/>
  <c r="D60" i="2"/>
  <c r="E60" i="2" s="1"/>
  <c r="C61" i="2"/>
  <c r="D71" i="13" l="1"/>
  <c r="E71" i="13" s="1"/>
  <c r="C72" i="13"/>
  <c r="J70" i="13"/>
  <c r="K70" i="13" s="1"/>
  <c r="F70" i="13"/>
  <c r="M25" i="13"/>
  <c r="G26" i="13"/>
  <c r="AA24" i="13"/>
  <c r="AB24" i="13" s="1"/>
  <c r="C70" i="12"/>
  <c r="D69" i="12"/>
  <c r="E69" i="12" s="1"/>
  <c r="H26" i="12"/>
  <c r="L26" i="12" s="1"/>
  <c r="F68" i="12"/>
  <c r="J68" i="12"/>
  <c r="K68" i="12" s="1"/>
  <c r="F65" i="11"/>
  <c r="J65" i="11"/>
  <c r="K65" i="11" s="1"/>
  <c r="Q25" i="11"/>
  <c r="P25" i="11"/>
  <c r="L25" i="11"/>
  <c r="N25" i="11"/>
  <c r="O25" i="11" s="1"/>
  <c r="Z24" i="11"/>
  <c r="C67" i="11"/>
  <c r="D66" i="11"/>
  <c r="E66" i="11" s="1"/>
  <c r="F60" i="2"/>
  <c r="J60" i="2"/>
  <c r="K60" i="2" s="1"/>
  <c r="A60" i="2"/>
  <c r="C62" i="2"/>
  <c r="D61" i="2"/>
  <c r="E61" i="2" s="1"/>
  <c r="D72" i="13" l="1"/>
  <c r="E72" i="13" s="1"/>
  <c r="C73" i="13"/>
  <c r="F71" i="13"/>
  <c r="J71" i="13"/>
  <c r="K71" i="13" s="1"/>
  <c r="H26" i="13"/>
  <c r="L26" i="13" s="1"/>
  <c r="F69" i="12"/>
  <c r="J69" i="12"/>
  <c r="K69" i="12" s="1"/>
  <c r="D70" i="12"/>
  <c r="E70" i="12" s="1"/>
  <c r="C71" i="12"/>
  <c r="P26" i="12"/>
  <c r="N26" i="12"/>
  <c r="O26" i="12" s="1"/>
  <c r="Q26" i="12"/>
  <c r="M25" i="11"/>
  <c r="G26" i="11"/>
  <c r="AA24" i="11"/>
  <c r="AB24" i="11" s="1"/>
  <c r="F66" i="11"/>
  <c r="J66" i="11"/>
  <c r="K66" i="11" s="1"/>
  <c r="D67" i="11"/>
  <c r="E67" i="11" s="1"/>
  <c r="C68" i="11"/>
  <c r="F61" i="2"/>
  <c r="J61" i="2"/>
  <c r="K61" i="2" s="1"/>
  <c r="A61" i="2"/>
  <c r="D62" i="2"/>
  <c r="E62" i="2" s="1"/>
  <c r="C63" i="2"/>
  <c r="P26" i="13" l="1"/>
  <c r="Z25" i="13"/>
  <c r="N26" i="13"/>
  <c r="O26" i="13" s="1"/>
  <c r="Q26" i="13"/>
  <c r="C74" i="13"/>
  <c r="D73" i="13"/>
  <c r="E73" i="13" s="1"/>
  <c r="F72" i="13"/>
  <c r="J72" i="13"/>
  <c r="K72" i="13" s="1"/>
  <c r="D71" i="12"/>
  <c r="E71" i="12" s="1"/>
  <c r="C72" i="12"/>
  <c r="M26" i="12"/>
  <c r="G27" i="12"/>
  <c r="F70" i="12"/>
  <c r="J70" i="12"/>
  <c r="K70" i="12" s="1"/>
  <c r="AA25" i="12"/>
  <c r="AB25" i="12" s="1"/>
  <c r="F67" i="11"/>
  <c r="J67" i="11"/>
  <c r="K67" i="11" s="1"/>
  <c r="H26" i="11"/>
  <c r="D68" i="11"/>
  <c r="E68" i="11" s="1"/>
  <c r="C69" i="11"/>
  <c r="F62" i="2"/>
  <c r="J62" i="2"/>
  <c r="K62" i="2" s="1"/>
  <c r="A62" i="2"/>
  <c r="C64" i="2"/>
  <c r="D63" i="2"/>
  <c r="E63" i="2" s="1"/>
  <c r="AA25" i="13" l="1"/>
  <c r="AB25" i="13" s="1"/>
  <c r="M26" i="13"/>
  <c r="G27" i="13"/>
  <c r="J73" i="13"/>
  <c r="K73" i="13" s="1"/>
  <c r="F73" i="13"/>
  <c r="D74" i="13"/>
  <c r="E74" i="13" s="1"/>
  <c r="C75" i="13"/>
  <c r="D72" i="12"/>
  <c r="E72" i="12" s="1"/>
  <c r="C73" i="12"/>
  <c r="H27" i="12"/>
  <c r="L27" i="12" s="1"/>
  <c r="F71" i="12"/>
  <c r="J71" i="12"/>
  <c r="K71" i="12" s="1"/>
  <c r="L26" i="11"/>
  <c r="Z25" i="11"/>
  <c r="Q26" i="11"/>
  <c r="N26" i="11"/>
  <c r="O26" i="11" s="1"/>
  <c r="P26" i="11"/>
  <c r="C70" i="11"/>
  <c r="D69" i="11"/>
  <c r="E69" i="11" s="1"/>
  <c r="F68" i="11"/>
  <c r="J68" i="11"/>
  <c r="K68" i="11" s="1"/>
  <c r="F63" i="2"/>
  <c r="J63" i="2"/>
  <c r="K63" i="2" s="1"/>
  <c r="A63" i="2"/>
  <c r="D64" i="2"/>
  <c r="E64" i="2" s="1"/>
  <c r="C65" i="2"/>
  <c r="H27" i="13" l="1"/>
  <c r="L27" i="13" s="1"/>
  <c r="J74" i="13"/>
  <c r="K74" i="13" s="1"/>
  <c r="F74" i="13"/>
  <c r="D75" i="13"/>
  <c r="E75" i="13" s="1"/>
  <c r="C76" i="13"/>
  <c r="C74" i="12"/>
  <c r="D73" i="12"/>
  <c r="E73" i="12" s="1"/>
  <c r="F72" i="12"/>
  <c r="J72" i="12"/>
  <c r="K72" i="12" s="1"/>
  <c r="Q27" i="12"/>
  <c r="P27" i="12"/>
  <c r="N27" i="12"/>
  <c r="O27" i="12" s="1"/>
  <c r="D70" i="11"/>
  <c r="E70" i="11" s="1"/>
  <c r="C71" i="11"/>
  <c r="AA25" i="11"/>
  <c r="AB25" i="11" s="1"/>
  <c r="J69" i="11"/>
  <c r="K69" i="11" s="1"/>
  <c r="F69" i="11"/>
  <c r="M26" i="11"/>
  <c r="G27" i="11"/>
  <c r="F64" i="2"/>
  <c r="J64" i="2"/>
  <c r="K64" i="2" s="1"/>
  <c r="A64" i="2"/>
  <c r="C66" i="2"/>
  <c r="D65" i="2"/>
  <c r="E65" i="2" s="1"/>
  <c r="N27" i="13" l="1"/>
  <c r="O27" i="13" s="1"/>
  <c r="Z26" i="13"/>
  <c r="Q27" i="13"/>
  <c r="P27" i="13"/>
  <c r="D76" i="13"/>
  <c r="E76" i="13" s="1"/>
  <c r="C77" i="13"/>
  <c r="F75" i="13"/>
  <c r="J75" i="13"/>
  <c r="K75" i="13" s="1"/>
  <c r="F73" i="12"/>
  <c r="J73" i="12"/>
  <c r="K73" i="12" s="1"/>
  <c r="AA26" i="12"/>
  <c r="AB26" i="12" s="1"/>
  <c r="D74" i="12"/>
  <c r="E74" i="12" s="1"/>
  <c r="C75" i="12"/>
  <c r="M27" i="12"/>
  <c r="G28" i="12"/>
  <c r="D71" i="11"/>
  <c r="E71" i="11" s="1"/>
  <c r="C72" i="11"/>
  <c r="F70" i="11"/>
  <c r="J70" i="11"/>
  <c r="K70" i="11" s="1"/>
  <c r="H27" i="11"/>
  <c r="F65" i="2"/>
  <c r="J65" i="2"/>
  <c r="K65" i="2" s="1"/>
  <c r="A65" i="2"/>
  <c r="D66" i="2"/>
  <c r="E66" i="2" s="1"/>
  <c r="C67" i="2"/>
  <c r="F76" i="13" l="1"/>
  <c r="J76" i="13"/>
  <c r="K76" i="13" s="1"/>
  <c r="AA26" i="13"/>
  <c r="AB26" i="13" s="1"/>
  <c r="C78" i="13"/>
  <c r="D78" i="13" s="1"/>
  <c r="E78" i="13" s="1"/>
  <c r="D77" i="13"/>
  <c r="E77" i="13" s="1"/>
  <c r="M27" i="13"/>
  <c r="G28" i="13"/>
  <c r="D75" i="12"/>
  <c r="E75" i="12" s="1"/>
  <c r="C76" i="12"/>
  <c r="F74" i="12"/>
  <c r="J74" i="12"/>
  <c r="K74" i="12" s="1"/>
  <c r="H28" i="12"/>
  <c r="L28" i="12" s="1"/>
  <c r="D72" i="11"/>
  <c r="E72" i="11" s="1"/>
  <c r="C73" i="11"/>
  <c r="Q27" i="11"/>
  <c r="N27" i="11"/>
  <c r="O27" i="11" s="1"/>
  <c r="P27" i="11"/>
  <c r="Z26" i="11"/>
  <c r="L27" i="11"/>
  <c r="F71" i="11"/>
  <c r="J71" i="11"/>
  <c r="K71" i="11" s="1"/>
  <c r="F66" i="2"/>
  <c r="J66" i="2"/>
  <c r="K66" i="2" s="1"/>
  <c r="A66" i="2"/>
  <c r="D67" i="2"/>
  <c r="E67" i="2" s="1"/>
  <c r="C68" i="2"/>
  <c r="J77" i="13" l="1"/>
  <c r="K77" i="13" s="1"/>
  <c r="F77" i="13"/>
  <c r="J78" i="13"/>
  <c r="F78" i="13"/>
  <c r="H28" i="13"/>
  <c r="L28" i="13" s="1"/>
  <c r="Q28" i="12"/>
  <c r="P28" i="12"/>
  <c r="N28" i="12"/>
  <c r="O28" i="12" s="1"/>
  <c r="D76" i="12"/>
  <c r="E76" i="12" s="1"/>
  <c r="C77" i="12"/>
  <c r="F75" i="12"/>
  <c r="J75" i="12"/>
  <c r="K75" i="12" s="1"/>
  <c r="M27" i="11"/>
  <c r="G28" i="11"/>
  <c r="C74" i="11"/>
  <c r="D73" i="11"/>
  <c r="E73" i="11" s="1"/>
  <c r="F72" i="11"/>
  <c r="J72" i="11"/>
  <c r="K72" i="11" s="1"/>
  <c r="AA26" i="11"/>
  <c r="AB26" i="11" s="1"/>
  <c r="F67" i="2"/>
  <c r="J67" i="2"/>
  <c r="K67" i="2" s="1"/>
  <c r="A67" i="2"/>
  <c r="D68" i="2"/>
  <c r="E68" i="2" s="1"/>
  <c r="C69" i="2"/>
  <c r="N28" i="13" l="1"/>
  <c r="O28" i="13" s="1"/>
  <c r="Z27" i="13"/>
  <c r="Q28" i="13"/>
  <c r="P28" i="13"/>
  <c r="C78" i="12"/>
  <c r="D78" i="12" s="1"/>
  <c r="D77" i="12"/>
  <c r="E77" i="12" s="1"/>
  <c r="AA27" i="12"/>
  <c r="AB27" i="12" s="1"/>
  <c r="F76" i="12"/>
  <c r="J76" i="12"/>
  <c r="K76" i="12" s="1"/>
  <c r="M28" i="12"/>
  <c r="G29" i="12"/>
  <c r="D74" i="11"/>
  <c r="E74" i="11" s="1"/>
  <c r="C75" i="11"/>
  <c r="H28" i="11"/>
  <c r="J73" i="11"/>
  <c r="K73" i="11" s="1"/>
  <c r="F73" i="11"/>
  <c r="A68" i="2"/>
  <c r="F68" i="2"/>
  <c r="J68" i="2"/>
  <c r="K68" i="2" s="1"/>
  <c r="D69" i="2"/>
  <c r="E69" i="2" s="1"/>
  <c r="C70" i="2"/>
  <c r="M28" i="13" l="1"/>
  <c r="G29" i="13"/>
  <c r="AA27" i="13"/>
  <c r="AB27" i="13" s="1"/>
  <c r="F77" i="12"/>
  <c r="J77" i="12"/>
  <c r="K77" i="12" s="1"/>
  <c r="E78" i="12"/>
  <c r="H29" i="12"/>
  <c r="L29" i="12" s="1"/>
  <c r="D75" i="11"/>
  <c r="E75" i="11" s="1"/>
  <c r="C76" i="11"/>
  <c r="F74" i="11"/>
  <c r="J74" i="11"/>
  <c r="K74" i="11" s="1"/>
  <c r="Q28" i="11"/>
  <c r="P28" i="11"/>
  <c r="N28" i="11"/>
  <c r="O28" i="11" s="1"/>
  <c r="L28" i="11"/>
  <c r="Z27" i="11"/>
  <c r="F69" i="2"/>
  <c r="J69" i="2"/>
  <c r="K69" i="2" s="1"/>
  <c r="A69" i="2"/>
  <c r="D70" i="2"/>
  <c r="E70" i="2" s="1"/>
  <c r="C71" i="2"/>
  <c r="H29" i="13" l="1"/>
  <c r="L29" i="13" s="1"/>
  <c r="F78" i="12"/>
  <c r="J78" i="12"/>
  <c r="N29" i="12"/>
  <c r="O29" i="12" s="1"/>
  <c r="Q29" i="12"/>
  <c r="P29" i="12"/>
  <c r="D76" i="11"/>
  <c r="E76" i="11" s="1"/>
  <c r="C77" i="11"/>
  <c r="AA27" i="11"/>
  <c r="AB27" i="11" s="1"/>
  <c r="F75" i="11"/>
  <c r="J75" i="11"/>
  <c r="K75" i="11" s="1"/>
  <c r="M28" i="11"/>
  <c r="G29" i="11"/>
  <c r="F70" i="2"/>
  <c r="J70" i="2"/>
  <c r="K70" i="2" s="1"/>
  <c r="A70" i="2"/>
  <c r="D71" i="2"/>
  <c r="E71" i="2" s="1"/>
  <c r="C72" i="2"/>
  <c r="Z28" i="13" l="1"/>
  <c r="Q29" i="13"/>
  <c r="P29" i="13"/>
  <c r="N29" i="13"/>
  <c r="O29" i="13" s="1"/>
  <c r="AA28" i="12"/>
  <c r="AB28" i="12" s="1"/>
  <c r="M29" i="12"/>
  <c r="G30" i="12"/>
  <c r="C78" i="11"/>
  <c r="D78" i="11" s="1"/>
  <c r="D77" i="11"/>
  <c r="E77" i="11" s="1"/>
  <c r="F76" i="11"/>
  <c r="J76" i="11"/>
  <c r="K76" i="11" s="1"/>
  <c r="H29" i="11"/>
  <c r="F71" i="2"/>
  <c r="J71" i="2"/>
  <c r="K71" i="2" s="1"/>
  <c r="A71" i="2"/>
  <c r="D72" i="2"/>
  <c r="E72" i="2" s="1"/>
  <c r="C73" i="2"/>
  <c r="AA28" i="13" l="1"/>
  <c r="AB28" i="13" s="1"/>
  <c r="M29" i="13"/>
  <c r="G30" i="13"/>
  <c r="H30" i="12"/>
  <c r="L30" i="12" s="1"/>
  <c r="Q29" i="11"/>
  <c r="N29" i="11"/>
  <c r="O29" i="11" s="1"/>
  <c r="Z28" i="11"/>
  <c r="L29" i="11"/>
  <c r="P29" i="11"/>
  <c r="J77" i="11"/>
  <c r="K77" i="11" s="1"/>
  <c r="F77" i="11"/>
  <c r="E78" i="11"/>
  <c r="A72" i="2"/>
  <c r="F72" i="2"/>
  <c r="J72" i="2"/>
  <c r="K72" i="2" s="1"/>
  <c r="D73" i="2"/>
  <c r="E73" i="2" s="1"/>
  <c r="C74" i="2"/>
  <c r="H30" i="13" l="1"/>
  <c r="P30" i="12"/>
  <c r="N30" i="12"/>
  <c r="O30" i="12" s="1"/>
  <c r="Q30" i="12"/>
  <c r="M29" i="11"/>
  <c r="G30" i="11"/>
  <c r="AA28" i="11"/>
  <c r="AB28" i="11" s="1"/>
  <c r="F78" i="11"/>
  <c r="J78" i="11"/>
  <c r="F73" i="2"/>
  <c r="J73" i="2"/>
  <c r="K73" i="2" s="1"/>
  <c r="A73" i="2"/>
  <c r="C75" i="2"/>
  <c r="D74" i="2"/>
  <c r="E74" i="2" s="1"/>
  <c r="Q30" i="13" l="1"/>
  <c r="N30" i="13"/>
  <c r="O30" i="13" s="1"/>
  <c r="P30" i="13"/>
  <c r="L30" i="13"/>
  <c r="Z29" i="13"/>
  <c r="AA29" i="12"/>
  <c r="AB29" i="12" s="1"/>
  <c r="M30" i="12"/>
  <c r="G31" i="12"/>
  <c r="H30" i="11"/>
  <c r="F74" i="2"/>
  <c r="J74" i="2"/>
  <c r="K74" i="2" s="1"/>
  <c r="A74" i="2"/>
  <c r="D75" i="2"/>
  <c r="E75" i="2" s="1"/>
  <c r="C76" i="2"/>
  <c r="M30" i="13" l="1"/>
  <c r="G31" i="13"/>
  <c r="AA29" i="13"/>
  <c r="AB29" i="13" s="1"/>
  <c r="H31" i="12"/>
  <c r="L31" i="12" s="1"/>
  <c r="L30" i="11"/>
  <c r="Z29" i="11"/>
  <c r="Q30" i="11"/>
  <c r="P30" i="11"/>
  <c r="N30" i="11"/>
  <c r="O30" i="11" s="1"/>
  <c r="F75" i="2"/>
  <c r="J75" i="2"/>
  <c r="K75" i="2" s="1"/>
  <c r="A75" i="2"/>
  <c r="C77" i="2"/>
  <c r="D76" i="2"/>
  <c r="E76" i="2" s="1"/>
  <c r="H31" i="13" l="1"/>
  <c r="Q31" i="12"/>
  <c r="P31" i="12"/>
  <c r="N31" i="12"/>
  <c r="O31" i="12" s="1"/>
  <c r="AA29" i="11"/>
  <c r="AB29" i="11" s="1"/>
  <c r="M30" i="11"/>
  <c r="G31" i="11"/>
  <c r="F76" i="2"/>
  <c r="J76" i="2"/>
  <c r="K76" i="2" s="1"/>
  <c r="A76" i="2"/>
  <c r="D77" i="2"/>
  <c r="E77" i="2" s="1"/>
  <c r="C78" i="2"/>
  <c r="Q31" i="13" l="1"/>
  <c r="P31" i="13"/>
  <c r="L31" i="13"/>
  <c r="N31" i="13"/>
  <c r="O31" i="13" s="1"/>
  <c r="Z30" i="13"/>
  <c r="AA30" i="12"/>
  <c r="AB30" i="12" s="1"/>
  <c r="M31" i="12"/>
  <c r="G32" i="12"/>
  <c r="H31" i="11"/>
  <c r="D78" i="2"/>
  <c r="E78" i="2" s="1"/>
  <c r="A77" i="2"/>
  <c r="F77" i="2"/>
  <c r="J77" i="2"/>
  <c r="K77" i="2" s="1"/>
  <c r="P6" i="2"/>
  <c r="M31" i="13" l="1"/>
  <c r="G32" i="13"/>
  <c r="AA30" i="13"/>
  <c r="AB30" i="13" s="1"/>
  <c r="H32" i="12"/>
  <c r="L32" i="12" s="1"/>
  <c r="Q31" i="11"/>
  <c r="P31" i="11"/>
  <c r="Z30" i="11"/>
  <c r="N31" i="11"/>
  <c r="O31" i="11" s="1"/>
  <c r="L31" i="11"/>
  <c r="A78" i="2"/>
  <c r="F78" i="2"/>
  <c r="J78" i="2"/>
  <c r="Q6" i="2"/>
  <c r="N6" i="2"/>
  <c r="O6" i="2" s="1"/>
  <c r="L6" i="2"/>
  <c r="H32" i="13" l="1"/>
  <c r="N32" i="12"/>
  <c r="O32" i="12" s="1"/>
  <c r="Q32" i="12"/>
  <c r="P32" i="12"/>
  <c r="AA30" i="11"/>
  <c r="AB30" i="11" s="1"/>
  <c r="M31" i="11"/>
  <c r="G32" i="11"/>
  <c r="G7" i="2"/>
  <c r="H7" i="2" s="1"/>
  <c r="Z6" i="2" s="1"/>
  <c r="M6" i="2"/>
  <c r="N32" i="13" l="1"/>
  <c r="O32" i="13" s="1"/>
  <c r="Z31" i="13"/>
  <c r="Q32" i="13"/>
  <c r="P32" i="13"/>
  <c r="L32" i="13"/>
  <c r="AA31" i="12"/>
  <c r="AB31" i="12" s="1"/>
  <c r="M32" i="12"/>
  <c r="G33" i="12"/>
  <c r="H32" i="11"/>
  <c r="L7" i="2"/>
  <c r="Q7" i="2"/>
  <c r="N7" i="2"/>
  <c r="O7" i="2" s="1"/>
  <c r="P7" i="2"/>
  <c r="AA31" i="13" l="1"/>
  <c r="AB31" i="13"/>
  <c r="M32" i="13"/>
  <c r="G33" i="13"/>
  <c r="H33" i="12"/>
  <c r="L33" i="12" s="1"/>
  <c r="P32" i="11"/>
  <c r="L32" i="11"/>
  <c r="Z31" i="11"/>
  <c r="Q32" i="11"/>
  <c r="N32" i="11"/>
  <c r="O32" i="11" s="1"/>
  <c r="M7" i="2"/>
  <c r="G8" i="2"/>
  <c r="H8" i="2" s="1"/>
  <c r="H33" i="13" l="1"/>
  <c r="P33" i="12"/>
  <c r="Q33" i="12"/>
  <c r="N33" i="12"/>
  <c r="O33" i="12" s="1"/>
  <c r="M32" i="11"/>
  <c r="G33" i="11"/>
  <c r="AA31" i="11"/>
  <c r="AB31" i="11" s="1"/>
  <c r="L33" i="13" l="1"/>
  <c r="Z32" i="13"/>
  <c r="Q33" i="13"/>
  <c r="P33" i="13"/>
  <c r="N33" i="13"/>
  <c r="O33" i="13" s="1"/>
  <c r="AA32" i="12"/>
  <c r="AB32" i="12" s="1"/>
  <c r="M33" i="12"/>
  <c r="G34" i="12"/>
  <c r="H33" i="11"/>
  <c r="N8" i="2"/>
  <c r="O8" i="2" s="1"/>
  <c r="Q8" i="2"/>
  <c r="P8" i="2"/>
  <c r="L8" i="2"/>
  <c r="AA32" i="13" l="1"/>
  <c r="AB32" i="13"/>
  <c r="M33" i="13"/>
  <c r="G34" i="13"/>
  <c r="H34" i="12"/>
  <c r="L34" i="12" s="1"/>
  <c r="L33" i="11"/>
  <c r="Z32" i="11"/>
  <c r="Q33" i="11"/>
  <c r="P33" i="11"/>
  <c r="N33" i="11"/>
  <c r="O33" i="11" s="1"/>
  <c r="M8" i="2"/>
  <c r="G9" i="2"/>
  <c r="H9" i="2" s="1"/>
  <c r="H34" i="13" l="1"/>
  <c r="N34" i="12"/>
  <c r="O34" i="12" s="1"/>
  <c r="P34" i="12"/>
  <c r="Q34" i="12"/>
  <c r="Z8" i="2"/>
  <c r="AA32" i="11"/>
  <c r="AB32" i="11" s="1"/>
  <c r="M33" i="11"/>
  <c r="G34" i="11"/>
  <c r="L9" i="2"/>
  <c r="M9" i="2" s="1"/>
  <c r="Q34" i="13" l="1"/>
  <c r="N34" i="13"/>
  <c r="O34" i="13" s="1"/>
  <c r="P34" i="13"/>
  <c r="L34" i="13"/>
  <c r="Z33" i="13"/>
  <c r="AA33" i="12"/>
  <c r="AB33" i="12" s="1"/>
  <c r="M34" i="12"/>
  <c r="G35" i="12"/>
  <c r="P9" i="2"/>
  <c r="Q9" i="2"/>
  <c r="N9" i="2"/>
  <c r="O9" i="2" s="1"/>
  <c r="G10" i="2"/>
  <c r="H10" i="2" s="1"/>
  <c r="H34" i="11"/>
  <c r="AA33" i="13" l="1"/>
  <c r="AB33" i="13" s="1"/>
  <c r="M34" i="13"/>
  <c r="G35" i="13"/>
  <c r="H35" i="12"/>
  <c r="L35" i="12" s="1"/>
  <c r="Z9" i="2"/>
  <c r="AA9" i="2" s="1"/>
  <c r="AB9" i="2" s="1"/>
  <c r="N34" i="11"/>
  <c r="O34" i="11" s="1"/>
  <c r="P34" i="11"/>
  <c r="L34" i="11"/>
  <c r="Z33" i="11"/>
  <c r="Q34" i="11"/>
  <c r="AA8" i="2"/>
  <c r="AB8" i="2" s="1"/>
  <c r="AA7" i="2"/>
  <c r="AB7" i="2" s="1"/>
  <c r="AA6" i="2"/>
  <c r="AB6" i="2" s="1"/>
  <c r="H35" i="13" l="1"/>
  <c r="Q35" i="12"/>
  <c r="P35" i="12"/>
  <c r="N35" i="12"/>
  <c r="O35" i="12" s="1"/>
  <c r="N10" i="2"/>
  <c r="O10" i="2" s="1"/>
  <c r="Q10" i="2"/>
  <c r="P10" i="2"/>
  <c r="L10" i="2"/>
  <c r="M34" i="11"/>
  <c r="G35" i="11"/>
  <c r="AA33" i="11"/>
  <c r="AB33" i="11" s="1"/>
  <c r="Q35" i="13" l="1"/>
  <c r="P35" i="13"/>
  <c r="Z34" i="13"/>
  <c r="N35" i="13"/>
  <c r="O35" i="13" s="1"/>
  <c r="L35" i="13"/>
  <c r="AA34" i="12"/>
  <c r="AB34" i="12" s="1"/>
  <c r="M35" i="12"/>
  <c r="G36" i="12"/>
  <c r="M10" i="2"/>
  <c r="G11" i="2"/>
  <c r="H11" i="2" s="1"/>
  <c r="H35" i="11"/>
  <c r="AA34" i="13" l="1"/>
  <c r="AB34" i="13" s="1"/>
  <c r="M35" i="13"/>
  <c r="G36" i="13"/>
  <c r="H36" i="12"/>
  <c r="L36" i="12" s="1"/>
  <c r="Q35" i="11"/>
  <c r="P35" i="11"/>
  <c r="L35" i="11"/>
  <c r="Z34" i="11"/>
  <c r="N35" i="11"/>
  <c r="O35" i="11" s="1"/>
  <c r="H36" i="13" l="1"/>
  <c r="N36" i="12"/>
  <c r="O36" i="12" s="1"/>
  <c r="Q36" i="12"/>
  <c r="P36" i="12"/>
  <c r="L11" i="2"/>
  <c r="N11" i="2"/>
  <c r="O11" i="2" s="1"/>
  <c r="P11" i="2"/>
  <c r="Q11" i="2"/>
  <c r="Z10" i="2"/>
  <c r="AA10" i="2" s="1"/>
  <c r="AB10" i="2" s="1"/>
  <c r="M35" i="11"/>
  <c r="G36" i="11"/>
  <c r="AA34" i="11"/>
  <c r="AB34" i="11" s="1"/>
  <c r="Q36" i="13" l="1"/>
  <c r="P36" i="13"/>
  <c r="N36" i="13"/>
  <c r="O36" i="13" s="1"/>
  <c r="L36" i="13"/>
  <c r="Z35" i="13"/>
  <c r="AA35" i="12"/>
  <c r="AB35" i="12" s="1"/>
  <c r="M36" i="12"/>
  <c r="G37" i="12"/>
  <c r="G12" i="2"/>
  <c r="H12" i="2" s="1"/>
  <c r="M11" i="2"/>
  <c r="H36" i="11"/>
  <c r="M36" i="13" l="1"/>
  <c r="G37" i="13"/>
  <c r="AA35" i="13"/>
  <c r="AB35" i="13" s="1"/>
  <c r="H37" i="12"/>
  <c r="L37" i="12" s="1"/>
  <c r="Z35" i="11"/>
  <c r="Q36" i="11"/>
  <c r="P36" i="11"/>
  <c r="N36" i="11"/>
  <c r="O36" i="11" s="1"/>
  <c r="L36" i="11"/>
  <c r="H37" i="13" l="1"/>
  <c r="P37" i="12"/>
  <c r="N37" i="12"/>
  <c r="O37" i="12" s="1"/>
  <c r="Q37" i="12"/>
  <c r="Q12" i="2"/>
  <c r="N12" i="2"/>
  <c r="O12" i="2" s="1"/>
  <c r="L12" i="2"/>
  <c r="P12" i="2"/>
  <c r="Z11" i="2"/>
  <c r="AA11" i="2" s="1"/>
  <c r="AB11" i="2" s="1"/>
  <c r="M36" i="11"/>
  <c r="G37" i="11"/>
  <c r="AA35" i="11"/>
  <c r="AB35" i="11" s="1"/>
  <c r="L37" i="13" l="1"/>
  <c r="P37" i="13"/>
  <c r="N37" i="13"/>
  <c r="O37" i="13" s="1"/>
  <c r="Z36" i="13"/>
  <c r="Q37" i="13"/>
  <c r="AA36" i="12"/>
  <c r="AB36" i="12" s="1"/>
  <c r="M37" i="12"/>
  <c r="G38" i="12"/>
  <c r="M12" i="2"/>
  <c r="G13" i="2"/>
  <c r="H13" i="2" s="1"/>
  <c r="H37" i="11"/>
  <c r="AA36" i="13" l="1"/>
  <c r="AB36" i="13" s="1"/>
  <c r="M37" i="13"/>
  <c r="G38" i="13"/>
  <c r="H38" i="12"/>
  <c r="L38" i="12" s="1"/>
  <c r="L37" i="11"/>
  <c r="Z36" i="11"/>
  <c r="Q37" i="11"/>
  <c r="P37" i="11"/>
  <c r="N37" i="11"/>
  <c r="O37" i="11" s="1"/>
  <c r="H38" i="13" l="1"/>
  <c r="N38" i="12"/>
  <c r="O38" i="12" s="1"/>
  <c r="Q38" i="12"/>
  <c r="P38" i="12"/>
  <c r="P13" i="2"/>
  <c r="Q13" i="2"/>
  <c r="L13" i="2"/>
  <c r="N13" i="2"/>
  <c r="O13" i="2" s="1"/>
  <c r="Z12" i="2"/>
  <c r="AA12" i="2" s="1"/>
  <c r="AB12" i="2" s="1"/>
  <c r="AA36" i="11"/>
  <c r="AB36" i="11" s="1"/>
  <c r="M37" i="11"/>
  <c r="G38" i="11"/>
  <c r="Q38" i="13" l="1"/>
  <c r="N38" i="13"/>
  <c r="O38" i="13" s="1"/>
  <c r="Z37" i="13"/>
  <c r="P38" i="13"/>
  <c r="L38" i="13"/>
  <c r="AA37" i="12"/>
  <c r="AB37" i="12" s="1"/>
  <c r="M38" i="12"/>
  <c r="G39" i="12"/>
  <c r="M13" i="2"/>
  <c r="G14" i="2"/>
  <c r="H14" i="2" s="1"/>
  <c r="H38" i="11"/>
  <c r="AA37" i="13" l="1"/>
  <c r="AB37" i="13" s="1"/>
  <c r="M38" i="13"/>
  <c r="G39" i="13"/>
  <c r="H39" i="12"/>
  <c r="L39" i="12" s="1"/>
  <c r="N38" i="11"/>
  <c r="O38" i="11" s="1"/>
  <c r="Q38" i="11"/>
  <c r="Z37" i="11"/>
  <c r="P38" i="11"/>
  <c r="L38" i="11"/>
  <c r="H39" i="13" l="1"/>
  <c r="Q39" i="12"/>
  <c r="P39" i="12"/>
  <c r="N39" i="12"/>
  <c r="O39" i="12" s="1"/>
  <c r="N14" i="2"/>
  <c r="O14" i="2" s="1"/>
  <c r="Q14" i="2"/>
  <c r="L14" i="2"/>
  <c r="P14" i="2"/>
  <c r="Z13" i="2"/>
  <c r="AA13" i="2" s="1"/>
  <c r="AB13" i="2" s="1"/>
  <c r="AA37" i="11"/>
  <c r="AB37" i="11" s="1"/>
  <c r="M38" i="11"/>
  <c r="G39" i="11"/>
  <c r="Q39" i="13" l="1"/>
  <c r="P39" i="13"/>
  <c r="N39" i="13"/>
  <c r="O39" i="13" s="1"/>
  <c r="L39" i="13"/>
  <c r="Z38" i="13"/>
  <c r="AA38" i="12"/>
  <c r="AB38" i="12" s="1"/>
  <c r="M39" i="12"/>
  <c r="G40" i="12"/>
  <c r="G15" i="2"/>
  <c r="H15" i="2" s="1"/>
  <c r="M14" i="2"/>
  <c r="H39" i="11"/>
  <c r="AA38" i="13" l="1"/>
  <c r="AB38" i="13" s="1"/>
  <c r="M39" i="13"/>
  <c r="G40" i="13"/>
  <c r="H40" i="12"/>
  <c r="L40" i="12" s="1"/>
  <c r="Q39" i="11"/>
  <c r="P39" i="11"/>
  <c r="N39" i="11"/>
  <c r="O39" i="11" s="1"/>
  <c r="L39" i="11"/>
  <c r="Z38" i="11"/>
  <c r="H40" i="13" l="1"/>
  <c r="Q40" i="12"/>
  <c r="N40" i="12"/>
  <c r="O40" i="12" s="1"/>
  <c r="P40" i="12"/>
  <c r="L15" i="2"/>
  <c r="Q15" i="2"/>
  <c r="N15" i="2"/>
  <c r="O15" i="2" s="1"/>
  <c r="P15" i="2"/>
  <c r="Z14" i="2"/>
  <c r="AA14" i="2" s="1"/>
  <c r="AB14" i="2" s="1"/>
  <c r="AA38" i="11"/>
  <c r="AB38" i="11" s="1"/>
  <c r="M39" i="11"/>
  <c r="G40" i="11"/>
  <c r="Q40" i="13" l="1"/>
  <c r="N40" i="13"/>
  <c r="O40" i="13" s="1"/>
  <c r="Z39" i="13"/>
  <c r="L40" i="13"/>
  <c r="P40" i="13"/>
  <c r="AA39" i="12"/>
  <c r="AB39" i="12" s="1"/>
  <c r="M40" i="12"/>
  <c r="G41" i="12"/>
  <c r="M15" i="2"/>
  <c r="G16" i="2"/>
  <c r="H16" i="2" s="1"/>
  <c r="H40" i="11"/>
  <c r="M40" i="13" l="1"/>
  <c r="G41" i="13"/>
  <c r="AA39" i="13"/>
  <c r="AB39" i="13" s="1"/>
  <c r="H41" i="12"/>
  <c r="L41" i="12" s="1"/>
  <c r="Z39" i="11"/>
  <c r="P40" i="11"/>
  <c r="Q40" i="11"/>
  <c r="N40" i="11"/>
  <c r="O40" i="11" s="1"/>
  <c r="L40" i="11"/>
  <c r="H41" i="13" l="1"/>
  <c r="Q41" i="12"/>
  <c r="N41" i="12"/>
  <c r="O41" i="12" s="1"/>
  <c r="P41" i="12"/>
  <c r="Z15" i="2"/>
  <c r="AA15" i="2" s="1"/>
  <c r="AB15" i="2" s="1"/>
  <c r="N16" i="2"/>
  <c r="O16" i="2" s="1"/>
  <c r="L16" i="2"/>
  <c r="Q16" i="2"/>
  <c r="P16" i="2"/>
  <c r="M40" i="11"/>
  <c r="G41" i="11"/>
  <c r="AA39" i="11"/>
  <c r="AB39" i="11" s="1"/>
  <c r="L41" i="13" l="1"/>
  <c r="Z40" i="13"/>
  <c r="P41" i="13"/>
  <c r="N41" i="13"/>
  <c r="O41" i="13" s="1"/>
  <c r="Q41" i="13"/>
  <c r="M41" i="12"/>
  <c r="G42" i="12"/>
  <c r="AA40" i="12"/>
  <c r="AB40" i="12" s="1"/>
  <c r="M16" i="2"/>
  <c r="G17" i="2"/>
  <c r="H17" i="2" s="1"/>
  <c r="H41" i="11"/>
  <c r="AA40" i="13" l="1"/>
  <c r="AB40" i="13" s="1"/>
  <c r="M41" i="13"/>
  <c r="G42" i="13"/>
  <c r="H42" i="12"/>
  <c r="L41" i="11"/>
  <c r="Z40" i="11"/>
  <c r="Q41" i="11"/>
  <c r="P41" i="11"/>
  <c r="N41" i="11"/>
  <c r="O41" i="11" s="1"/>
  <c r="H42" i="13" l="1"/>
  <c r="Q42" i="12"/>
  <c r="P42" i="12"/>
  <c r="L42" i="12"/>
  <c r="N42" i="12"/>
  <c r="O42" i="12" s="1"/>
  <c r="P17" i="2"/>
  <c r="Q17" i="2"/>
  <c r="L17" i="2"/>
  <c r="N17" i="2"/>
  <c r="O17" i="2" s="1"/>
  <c r="Z16" i="2"/>
  <c r="AA16" i="2" s="1"/>
  <c r="AB16" i="2" s="1"/>
  <c r="AA40" i="11"/>
  <c r="AB40" i="11" s="1"/>
  <c r="M41" i="11"/>
  <c r="G42" i="11"/>
  <c r="Q42" i="13" l="1"/>
  <c r="N42" i="13"/>
  <c r="O42" i="13" s="1"/>
  <c r="L42" i="13"/>
  <c r="Z41" i="13"/>
  <c r="P42" i="13"/>
  <c r="M42" i="12"/>
  <c r="G43" i="12"/>
  <c r="AA41" i="12"/>
  <c r="AB41" i="12" s="1"/>
  <c r="G18" i="2"/>
  <c r="H18" i="2" s="1"/>
  <c r="M17" i="2"/>
  <c r="H42" i="11"/>
  <c r="AA41" i="13" l="1"/>
  <c r="AB41" i="13" s="1"/>
  <c r="M42" i="13"/>
  <c r="G43" i="13"/>
  <c r="H43" i="12"/>
  <c r="P42" i="11"/>
  <c r="L42" i="11"/>
  <c r="Z41" i="11"/>
  <c r="Q42" i="11"/>
  <c r="N42" i="11"/>
  <c r="O42" i="11" s="1"/>
  <c r="H43" i="13" l="1"/>
  <c r="N43" i="12"/>
  <c r="O43" i="12" s="1"/>
  <c r="P43" i="12"/>
  <c r="Z42" i="12"/>
  <c r="L43" i="12"/>
  <c r="Q43" i="12"/>
  <c r="N18" i="2"/>
  <c r="O18" i="2" s="1"/>
  <c r="Q18" i="2"/>
  <c r="L18" i="2"/>
  <c r="P18" i="2"/>
  <c r="Z17" i="2"/>
  <c r="AA17" i="2" s="1"/>
  <c r="AB17" i="2" s="1"/>
  <c r="AA41" i="11"/>
  <c r="AB41" i="11" s="1"/>
  <c r="M42" i="11"/>
  <c r="G43" i="11"/>
  <c r="Q43" i="13" l="1"/>
  <c r="P43" i="13"/>
  <c r="Z42" i="13"/>
  <c r="N43" i="13"/>
  <c r="O43" i="13" s="1"/>
  <c r="L43" i="13"/>
  <c r="M43" i="12"/>
  <c r="G44" i="12"/>
  <c r="AA42" i="12"/>
  <c r="AB42" i="12" s="1"/>
  <c r="M18" i="2"/>
  <c r="G19" i="2"/>
  <c r="H19" i="2" s="1"/>
  <c r="H43" i="11"/>
  <c r="AA42" i="13" l="1"/>
  <c r="AB42" i="13" s="1"/>
  <c r="M43" i="13"/>
  <c r="G44" i="13"/>
  <c r="H44" i="12"/>
  <c r="Q43" i="11"/>
  <c r="N43" i="11"/>
  <c r="O43" i="11" s="1"/>
  <c r="L43" i="11"/>
  <c r="Z42" i="11"/>
  <c r="P43" i="11"/>
  <c r="H44" i="13" l="1"/>
  <c r="L44" i="12"/>
  <c r="Z43" i="12"/>
  <c r="P44" i="12"/>
  <c r="Q44" i="12"/>
  <c r="N44" i="12"/>
  <c r="O44" i="12" s="1"/>
  <c r="L19" i="2"/>
  <c r="P19" i="2"/>
  <c r="N19" i="2"/>
  <c r="O19" i="2" s="1"/>
  <c r="Q19" i="2"/>
  <c r="Z18" i="2"/>
  <c r="AA18" i="2" s="1"/>
  <c r="AB18" i="2" s="1"/>
  <c r="M43" i="11"/>
  <c r="G44" i="11"/>
  <c r="AA42" i="11"/>
  <c r="AB42" i="11" s="1"/>
  <c r="L44" i="13" l="1"/>
  <c r="Q44" i="13"/>
  <c r="P44" i="13"/>
  <c r="Z43" i="13"/>
  <c r="N44" i="13"/>
  <c r="O44" i="13" s="1"/>
  <c r="AA43" i="12"/>
  <c r="AB43" i="12" s="1"/>
  <c r="M44" i="12"/>
  <c r="G45" i="12"/>
  <c r="M19" i="2"/>
  <c r="G20" i="2"/>
  <c r="H20" i="2" s="1"/>
  <c r="H44" i="11"/>
  <c r="AA43" i="13" l="1"/>
  <c r="AB43" i="13" s="1"/>
  <c r="M44" i="13"/>
  <c r="G45" i="13"/>
  <c r="H45" i="12"/>
  <c r="L44" i="11"/>
  <c r="Z43" i="11"/>
  <c r="Q44" i="11"/>
  <c r="P44" i="11"/>
  <c r="N44" i="11"/>
  <c r="O44" i="11" s="1"/>
  <c r="H45" i="13" l="1"/>
  <c r="Q45" i="12"/>
  <c r="N45" i="12"/>
  <c r="O45" i="12" s="1"/>
  <c r="P45" i="12"/>
  <c r="L45" i="12"/>
  <c r="Z44" i="12"/>
  <c r="P20" i="2"/>
  <c r="N20" i="2"/>
  <c r="O20" i="2" s="1"/>
  <c r="L20" i="2"/>
  <c r="Q20" i="2"/>
  <c r="Z19" i="2"/>
  <c r="AA19" i="2" s="1"/>
  <c r="AB19" i="2" s="1"/>
  <c r="AA43" i="11"/>
  <c r="AB43" i="11" s="1"/>
  <c r="M44" i="11"/>
  <c r="G45" i="11"/>
  <c r="L45" i="13" l="1"/>
  <c r="Z44" i="13"/>
  <c r="Q45" i="13"/>
  <c r="P45" i="13"/>
  <c r="N45" i="13"/>
  <c r="O45" i="13" s="1"/>
  <c r="AA44" i="12"/>
  <c r="AB44" i="12" s="1"/>
  <c r="M45" i="12"/>
  <c r="G46" i="12"/>
  <c r="G21" i="2"/>
  <c r="H21" i="2" s="1"/>
  <c r="M20" i="2"/>
  <c r="H45" i="11"/>
  <c r="AA44" i="13" l="1"/>
  <c r="AB44" i="13" s="1"/>
  <c r="M45" i="13"/>
  <c r="G46" i="13"/>
  <c r="H46" i="12"/>
  <c r="N45" i="11"/>
  <c r="O45" i="11" s="1"/>
  <c r="L45" i="11"/>
  <c r="Z44" i="11"/>
  <c r="P45" i="11"/>
  <c r="Q45" i="11"/>
  <c r="H46" i="13" l="1"/>
  <c r="Q46" i="12"/>
  <c r="P46" i="12"/>
  <c r="L46" i="12"/>
  <c r="N46" i="12"/>
  <c r="O46" i="12" s="1"/>
  <c r="Z45" i="12"/>
  <c r="L21" i="2"/>
  <c r="P21" i="2"/>
  <c r="N21" i="2"/>
  <c r="O21" i="2" s="1"/>
  <c r="Q21" i="2"/>
  <c r="Z20" i="2"/>
  <c r="AA20" i="2" s="1"/>
  <c r="AB20" i="2" s="1"/>
  <c r="AA44" i="11"/>
  <c r="AB44" i="11" s="1"/>
  <c r="M45" i="11"/>
  <c r="G46" i="11"/>
  <c r="Q46" i="13" l="1"/>
  <c r="N46" i="13"/>
  <c r="O46" i="13" s="1"/>
  <c r="L46" i="13"/>
  <c r="P46" i="13"/>
  <c r="Z45" i="13"/>
  <c r="M46" i="12"/>
  <c r="G47" i="12"/>
  <c r="AA45" i="12"/>
  <c r="AB45" i="12" s="1"/>
  <c r="M21" i="2"/>
  <c r="G22" i="2"/>
  <c r="H22" i="2" s="1"/>
  <c r="H46" i="11"/>
  <c r="M46" i="13" l="1"/>
  <c r="G47" i="13"/>
  <c r="AA45" i="13"/>
  <c r="AB45" i="13" s="1"/>
  <c r="H47" i="12"/>
  <c r="P46" i="11"/>
  <c r="L46" i="11"/>
  <c r="Z45" i="11"/>
  <c r="Q46" i="11"/>
  <c r="N46" i="11"/>
  <c r="O46" i="11" s="1"/>
  <c r="H47" i="13" l="1"/>
  <c r="L47" i="12"/>
  <c r="Q47" i="12"/>
  <c r="N47" i="12"/>
  <c r="O47" i="12" s="1"/>
  <c r="P47" i="12"/>
  <c r="Z46" i="12"/>
  <c r="Q22" i="2"/>
  <c r="L22" i="2"/>
  <c r="P22" i="2"/>
  <c r="N22" i="2"/>
  <c r="O22" i="2" s="1"/>
  <c r="Z21" i="2"/>
  <c r="AA21" i="2" s="1"/>
  <c r="AB21" i="2" s="1"/>
  <c r="AA45" i="11"/>
  <c r="AB45" i="11" s="1"/>
  <c r="M46" i="11"/>
  <c r="G47" i="11"/>
  <c r="Q47" i="13" l="1"/>
  <c r="P47" i="13"/>
  <c r="L47" i="13"/>
  <c r="Z46" i="13"/>
  <c r="N47" i="13"/>
  <c r="O47" i="13" s="1"/>
  <c r="AA46" i="12"/>
  <c r="AB46" i="12" s="1"/>
  <c r="M47" i="12"/>
  <c r="G48" i="12"/>
  <c r="M22" i="2"/>
  <c r="G23" i="2"/>
  <c r="H23" i="2" s="1"/>
  <c r="H47" i="11"/>
  <c r="M47" i="13" l="1"/>
  <c r="G48" i="13"/>
  <c r="AA46" i="13"/>
  <c r="AB46" i="13" s="1"/>
  <c r="H48" i="12"/>
  <c r="Q47" i="11"/>
  <c r="N47" i="11"/>
  <c r="O47" i="11" s="1"/>
  <c r="P47" i="11"/>
  <c r="Z46" i="11"/>
  <c r="L47" i="11"/>
  <c r="H48" i="13" l="1"/>
  <c r="L48" i="12"/>
  <c r="Z47" i="12"/>
  <c r="P48" i="12"/>
  <c r="N48" i="12"/>
  <c r="O48" i="12" s="1"/>
  <c r="Q48" i="12"/>
  <c r="P23" i="2"/>
  <c r="L23" i="2"/>
  <c r="Q23" i="2"/>
  <c r="N23" i="2"/>
  <c r="O23" i="2" s="1"/>
  <c r="Z22" i="2"/>
  <c r="AA22" i="2" s="1"/>
  <c r="AB22" i="2" s="1"/>
  <c r="AA46" i="11"/>
  <c r="AB46" i="11" s="1"/>
  <c r="M47" i="11"/>
  <c r="G48" i="11"/>
  <c r="P48" i="13" l="1"/>
  <c r="Q48" i="13"/>
  <c r="N48" i="13"/>
  <c r="O48" i="13" s="1"/>
  <c r="Z47" i="13"/>
  <c r="L48" i="13"/>
  <c r="AA47" i="12"/>
  <c r="AB47" i="12"/>
  <c r="M48" i="12"/>
  <c r="G49" i="12"/>
  <c r="G24" i="2"/>
  <c r="H24" i="2" s="1"/>
  <c r="M23" i="2"/>
  <c r="H48" i="11"/>
  <c r="M48" i="13" l="1"/>
  <c r="G49" i="13"/>
  <c r="AA47" i="13"/>
  <c r="AB47" i="13" s="1"/>
  <c r="H49" i="12"/>
  <c r="Z23" i="2"/>
  <c r="AA23" i="2" s="1"/>
  <c r="AB23" i="2" s="1"/>
  <c r="L48" i="11"/>
  <c r="Z47" i="11"/>
  <c r="Q48" i="11"/>
  <c r="P48" i="11"/>
  <c r="N48" i="11"/>
  <c r="O48" i="11" s="1"/>
  <c r="H49" i="13" l="1"/>
  <c r="Q49" i="12"/>
  <c r="N49" i="12"/>
  <c r="O49" i="12" s="1"/>
  <c r="Z48" i="12"/>
  <c r="P49" i="12"/>
  <c r="L49" i="12"/>
  <c r="L24" i="2"/>
  <c r="N24" i="2"/>
  <c r="O24" i="2" s="1"/>
  <c r="P24" i="2"/>
  <c r="Q24" i="2"/>
  <c r="AA47" i="11"/>
  <c r="AB47" i="11" s="1"/>
  <c r="M48" i="11"/>
  <c r="G49" i="11"/>
  <c r="L49" i="13" l="1"/>
  <c r="Z48" i="13"/>
  <c r="P49" i="13"/>
  <c r="Q49" i="13"/>
  <c r="N49" i="13"/>
  <c r="O49" i="13" s="1"/>
  <c r="AA48" i="12"/>
  <c r="AB48" i="12" s="1"/>
  <c r="M49" i="12"/>
  <c r="G50" i="12"/>
  <c r="M24" i="2"/>
  <c r="G25" i="2"/>
  <c r="H25" i="2" s="1"/>
  <c r="H49" i="11"/>
  <c r="AA48" i="13" l="1"/>
  <c r="AB48" i="13" s="1"/>
  <c r="M49" i="13"/>
  <c r="G50" i="13"/>
  <c r="H50" i="12"/>
  <c r="N49" i="11"/>
  <c r="O49" i="11" s="1"/>
  <c r="Q49" i="11"/>
  <c r="P49" i="11"/>
  <c r="L49" i="11"/>
  <c r="Z48" i="11"/>
  <c r="H50" i="13" l="1"/>
  <c r="Q50" i="12"/>
  <c r="P50" i="12"/>
  <c r="N50" i="12"/>
  <c r="O50" i="12" s="1"/>
  <c r="L50" i="12"/>
  <c r="Z49" i="12"/>
  <c r="N25" i="2"/>
  <c r="O25" i="2" s="1"/>
  <c r="P25" i="2"/>
  <c r="L25" i="2"/>
  <c r="Q25" i="2"/>
  <c r="Z24" i="2"/>
  <c r="AA24" i="2" s="1"/>
  <c r="AB24" i="2" s="1"/>
  <c r="AA48" i="11"/>
  <c r="AB48" i="11" s="1"/>
  <c r="M49" i="11"/>
  <c r="G50" i="11"/>
  <c r="Q50" i="13" l="1"/>
  <c r="N50" i="13"/>
  <c r="O50" i="13" s="1"/>
  <c r="P50" i="13"/>
  <c r="Z49" i="13"/>
  <c r="L50" i="13"/>
  <c r="AA49" i="12"/>
  <c r="AB49" i="12" s="1"/>
  <c r="M50" i="12"/>
  <c r="G51" i="12"/>
  <c r="M25" i="2"/>
  <c r="G26" i="2"/>
  <c r="H26" i="2" s="1"/>
  <c r="H50" i="11"/>
  <c r="M50" i="13" l="1"/>
  <c r="G51" i="13"/>
  <c r="AA49" i="13"/>
  <c r="AB49" i="13" s="1"/>
  <c r="H51" i="12"/>
  <c r="P50" i="11"/>
  <c r="L50" i="11"/>
  <c r="Z49" i="11"/>
  <c r="N50" i="11"/>
  <c r="O50" i="11" s="1"/>
  <c r="Q50" i="11"/>
  <c r="H51" i="13" l="1"/>
  <c r="P51" i="12"/>
  <c r="L51" i="12"/>
  <c r="Q51" i="12"/>
  <c r="Z50" i="12"/>
  <c r="N51" i="12"/>
  <c r="O51" i="12" s="1"/>
  <c r="Q26" i="2"/>
  <c r="P26" i="2"/>
  <c r="N26" i="2"/>
  <c r="O26" i="2" s="1"/>
  <c r="L26" i="2"/>
  <c r="Z25" i="2"/>
  <c r="AA25" i="2" s="1"/>
  <c r="AB25" i="2" s="1"/>
  <c r="AA49" i="11"/>
  <c r="AB49" i="11" s="1"/>
  <c r="M50" i="11"/>
  <c r="G51" i="11"/>
  <c r="Q51" i="13" l="1"/>
  <c r="P51" i="13"/>
  <c r="L51" i="13"/>
  <c r="N51" i="13"/>
  <c r="O51" i="13" s="1"/>
  <c r="Z50" i="13"/>
  <c r="M51" i="12"/>
  <c r="G52" i="12"/>
  <c r="AA50" i="12"/>
  <c r="AB50" i="12" s="1"/>
  <c r="M26" i="2"/>
  <c r="G27" i="2"/>
  <c r="H27" i="2" s="1"/>
  <c r="H51" i="11"/>
  <c r="M51" i="13" l="1"/>
  <c r="G52" i="13"/>
  <c r="AA50" i="13"/>
  <c r="AB50" i="13" s="1"/>
  <c r="H52" i="12"/>
  <c r="Q51" i="11"/>
  <c r="N51" i="11"/>
  <c r="O51" i="11" s="1"/>
  <c r="L51" i="11"/>
  <c r="Z50" i="11"/>
  <c r="P51" i="11"/>
  <c r="H52" i="13" l="1"/>
  <c r="L52" i="12"/>
  <c r="Z51" i="12"/>
  <c r="P52" i="12"/>
  <c r="N52" i="12"/>
  <c r="O52" i="12" s="1"/>
  <c r="Q52" i="12"/>
  <c r="L27" i="2"/>
  <c r="Q27" i="2"/>
  <c r="P27" i="2"/>
  <c r="N27" i="2"/>
  <c r="O27" i="2" s="1"/>
  <c r="Z26" i="2"/>
  <c r="AA26" i="2" s="1"/>
  <c r="AB26" i="2" s="1"/>
  <c r="M51" i="11"/>
  <c r="G52" i="11"/>
  <c r="AA50" i="11"/>
  <c r="AB50" i="11" s="1"/>
  <c r="L52" i="13" l="1"/>
  <c r="Z51" i="13"/>
  <c r="Q52" i="13"/>
  <c r="P52" i="13"/>
  <c r="N52" i="13"/>
  <c r="O52" i="13" s="1"/>
  <c r="AA51" i="12"/>
  <c r="AB51" i="12" s="1"/>
  <c r="M52" i="12"/>
  <c r="G53" i="12"/>
  <c r="M27" i="2"/>
  <c r="G28" i="2"/>
  <c r="H28" i="2" s="1"/>
  <c r="H52" i="11"/>
  <c r="AA51" i="13" l="1"/>
  <c r="AB51" i="13" s="1"/>
  <c r="M52" i="13"/>
  <c r="G53" i="13"/>
  <c r="H53" i="12"/>
  <c r="L52" i="11"/>
  <c r="Z51" i="11"/>
  <c r="Q52" i="11"/>
  <c r="P52" i="11"/>
  <c r="N52" i="11"/>
  <c r="O52" i="11" s="1"/>
  <c r="H53" i="13" l="1"/>
  <c r="Q53" i="12"/>
  <c r="N53" i="12"/>
  <c r="O53" i="12" s="1"/>
  <c r="L53" i="12"/>
  <c r="P53" i="12"/>
  <c r="Z52" i="12"/>
  <c r="P28" i="2"/>
  <c r="N28" i="2"/>
  <c r="O28" i="2" s="1"/>
  <c r="L28" i="2"/>
  <c r="Q28" i="2"/>
  <c r="Z27" i="2"/>
  <c r="AA27" i="2" s="1"/>
  <c r="AB27" i="2" s="1"/>
  <c r="AA51" i="11"/>
  <c r="AB51" i="11" s="1"/>
  <c r="M52" i="11"/>
  <c r="G53" i="11"/>
  <c r="L53" i="13" l="1"/>
  <c r="Z52" i="13"/>
  <c r="Q53" i="13"/>
  <c r="P53" i="13"/>
  <c r="N53" i="13"/>
  <c r="O53" i="13" s="1"/>
  <c r="M53" i="12"/>
  <c r="G54" i="12"/>
  <c r="AA52" i="12"/>
  <c r="AB52" i="12" s="1"/>
  <c r="M28" i="2"/>
  <c r="G29" i="2"/>
  <c r="H29" i="2" s="1"/>
  <c r="H53" i="11"/>
  <c r="AA52" i="13" l="1"/>
  <c r="AB52" i="13" s="1"/>
  <c r="M53" i="13"/>
  <c r="G54" i="13"/>
  <c r="H54" i="12"/>
  <c r="N53" i="11"/>
  <c r="O53" i="11" s="1"/>
  <c r="P53" i="11"/>
  <c r="Z52" i="11"/>
  <c r="Q53" i="11"/>
  <c r="L53" i="11"/>
  <c r="H54" i="13" l="1"/>
  <c r="Q54" i="12"/>
  <c r="P54" i="12"/>
  <c r="Z53" i="12"/>
  <c r="L54" i="12"/>
  <c r="N54" i="12"/>
  <c r="O54" i="12" s="1"/>
  <c r="Q29" i="2"/>
  <c r="L29" i="2"/>
  <c r="N29" i="2"/>
  <c r="O29" i="2" s="1"/>
  <c r="P29" i="2"/>
  <c r="Z28" i="2"/>
  <c r="AA52" i="11"/>
  <c r="AB52" i="11" s="1"/>
  <c r="M53" i="11"/>
  <c r="G54" i="11"/>
  <c r="Q54" i="13" l="1"/>
  <c r="N54" i="13"/>
  <c r="O54" i="13" s="1"/>
  <c r="Z53" i="13"/>
  <c r="P54" i="13"/>
  <c r="L54" i="13"/>
  <c r="AA53" i="12"/>
  <c r="AB53" i="12" s="1"/>
  <c r="M54" i="12"/>
  <c r="G55" i="12"/>
  <c r="G30" i="2"/>
  <c r="H30" i="2" s="1"/>
  <c r="M29" i="2"/>
  <c r="H54" i="11"/>
  <c r="AA53" i="13" l="1"/>
  <c r="AB53" i="13" s="1"/>
  <c r="M54" i="13"/>
  <c r="G55" i="13"/>
  <c r="H55" i="12"/>
  <c r="P54" i="11"/>
  <c r="L54" i="11"/>
  <c r="Z53" i="11"/>
  <c r="Q54" i="11"/>
  <c r="N54" i="11"/>
  <c r="O54" i="11" s="1"/>
  <c r="H55" i="13" l="1"/>
  <c r="Z54" i="12"/>
  <c r="P55" i="12"/>
  <c r="Q55" i="12"/>
  <c r="N55" i="12"/>
  <c r="O55" i="12" s="1"/>
  <c r="L55" i="12"/>
  <c r="N30" i="2"/>
  <c r="O30" i="2" s="1"/>
  <c r="L30" i="2"/>
  <c r="P30" i="2"/>
  <c r="Q30" i="2"/>
  <c r="Z29" i="2"/>
  <c r="AA29" i="2" s="1"/>
  <c r="AB29" i="2" s="1"/>
  <c r="M54" i="11"/>
  <c r="G55" i="11"/>
  <c r="AA53" i="11"/>
  <c r="AB53" i="11" s="1"/>
  <c r="Q55" i="13" l="1"/>
  <c r="P55" i="13"/>
  <c r="L55" i="13"/>
  <c r="Z54" i="13"/>
  <c r="N55" i="13"/>
  <c r="O55" i="13" s="1"/>
  <c r="M55" i="12"/>
  <c r="G56" i="12"/>
  <c r="AA54" i="12"/>
  <c r="AB54" i="12" s="1"/>
  <c r="G31" i="2"/>
  <c r="H31" i="2" s="1"/>
  <c r="M30" i="2"/>
  <c r="H55" i="11"/>
  <c r="M55" i="13" l="1"/>
  <c r="G56" i="13"/>
  <c r="AA54" i="13"/>
  <c r="AB54" i="13" s="1"/>
  <c r="H56" i="12"/>
  <c r="Q55" i="11"/>
  <c r="N55" i="11"/>
  <c r="O55" i="11" s="1"/>
  <c r="P55" i="11"/>
  <c r="Z54" i="11"/>
  <c r="L55" i="11"/>
  <c r="H56" i="13" l="1"/>
  <c r="P56" i="12"/>
  <c r="N56" i="12"/>
  <c r="O56" i="12" s="1"/>
  <c r="L56" i="12"/>
  <c r="Z55" i="12"/>
  <c r="Q56" i="12"/>
  <c r="Q31" i="2"/>
  <c r="L31" i="2"/>
  <c r="P31" i="2"/>
  <c r="N31" i="2"/>
  <c r="O31" i="2" s="1"/>
  <c r="Z30" i="2"/>
  <c r="AA30" i="2" s="1"/>
  <c r="AB30" i="2" s="1"/>
  <c r="AA54" i="11"/>
  <c r="AB54" i="11" s="1"/>
  <c r="M55" i="11"/>
  <c r="G56" i="11"/>
  <c r="P56" i="13" l="1"/>
  <c r="L56" i="13"/>
  <c r="Z55" i="13"/>
  <c r="Q56" i="13"/>
  <c r="N56" i="13"/>
  <c r="O56" i="13" s="1"/>
  <c r="M56" i="12"/>
  <c r="G57" i="12"/>
  <c r="AA55" i="12"/>
  <c r="AB55" i="12" s="1"/>
  <c r="G32" i="2"/>
  <c r="H32" i="2" s="1"/>
  <c r="M31" i="2"/>
  <c r="H56" i="11"/>
  <c r="AA55" i="13" l="1"/>
  <c r="AB55" i="13" s="1"/>
  <c r="M56" i="13"/>
  <c r="G57" i="13"/>
  <c r="H57" i="12"/>
  <c r="Z31" i="2"/>
  <c r="AA31" i="2" s="1"/>
  <c r="AB31" i="2" s="1"/>
  <c r="N56" i="11"/>
  <c r="O56" i="11" s="1"/>
  <c r="Q56" i="11"/>
  <c r="P56" i="11"/>
  <c r="Z55" i="11"/>
  <c r="L56" i="11"/>
  <c r="H57" i="13" l="1"/>
  <c r="Q57" i="12"/>
  <c r="P57" i="12"/>
  <c r="L57" i="12"/>
  <c r="Z56" i="12"/>
  <c r="N57" i="12"/>
  <c r="O57" i="12" s="1"/>
  <c r="Q32" i="2"/>
  <c r="L32" i="2"/>
  <c r="P32" i="2"/>
  <c r="N32" i="2"/>
  <c r="O32" i="2" s="1"/>
  <c r="AA55" i="11"/>
  <c r="AB55" i="11" s="1"/>
  <c r="M56" i="11"/>
  <c r="G57" i="11"/>
  <c r="Q57" i="13" l="1"/>
  <c r="N57" i="13"/>
  <c r="O57" i="13" s="1"/>
  <c r="L57" i="13"/>
  <c r="Z56" i="13"/>
  <c r="P57" i="13"/>
  <c r="M57" i="12"/>
  <c r="G58" i="12"/>
  <c r="AA56" i="12"/>
  <c r="AB56" i="12" s="1"/>
  <c r="M32" i="2"/>
  <c r="G33" i="2"/>
  <c r="H33" i="2" s="1"/>
  <c r="H57" i="11"/>
  <c r="M57" i="13" l="1"/>
  <c r="G58" i="13"/>
  <c r="AA56" i="13"/>
  <c r="AB56" i="13" s="1"/>
  <c r="H58" i="12"/>
  <c r="Q57" i="11"/>
  <c r="P57" i="11"/>
  <c r="L57" i="11"/>
  <c r="Z56" i="11"/>
  <c r="N57" i="11"/>
  <c r="O57" i="11" s="1"/>
  <c r="H58" i="13" l="1"/>
  <c r="L58" i="12"/>
  <c r="Z57" i="12"/>
  <c r="Q58" i="12"/>
  <c r="N58" i="12"/>
  <c r="O58" i="12" s="1"/>
  <c r="P58" i="12"/>
  <c r="N33" i="2"/>
  <c r="O33" i="2" s="1"/>
  <c r="P33" i="2"/>
  <c r="L33" i="2"/>
  <c r="Q33" i="2"/>
  <c r="Z32" i="2"/>
  <c r="AA32" i="2" s="1"/>
  <c r="AB32" i="2" s="1"/>
  <c r="M57" i="11"/>
  <c r="G58" i="11"/>
  <c r="AA56" i="11"/>
  <c r="AB56" i="11" s="1"/>
  <c r="Q58" i="13" l="1"/>
  <c r="P58" i="13"/>
  <c r="N58" i="13"/>
  <c r="O58" i="13" s="1"/>
  <c r="L58" i="13"/>
  <c r="Z57" i="13"/>
  <c r="AA57" i="12"/>
  <c r="AB57" i="12" s="1"/>
  <c r="M58" i="12"/>
  <c r="G59" i="12"/>
  <c r="G34" i="2"/>
  <c r="H34" i="2" s="1"/>
  <c r="M33" i="2"/>
  <c r="H58" i="11"/>
  <c r="AA57" i="13" l="1"/>
  <c r="AB57" i="13" s="1"/>
  <c r="M58" i="13"/>
  <c r="G59" i="13"/>
  <c r="H59" i="12"/>
  <c r="Z33" i="2"/>
  <c r="AA33" i="2" s="1"/>
  <c r="AB33" i="2" s="1"/>
  <c r="P58" i="11"/>
  <c r="Q58" i="11"/>
  <c r="L58" i="11"/>
  <c r="Z57" i="11"/>
  <c r="N58" i="11"/>
  <c r="O58" i="11" s="1"/>
  <c r="H59" i="13" l="1"/>
  <c r="N59" i="12"/>
  <c r="O59" i="12" s="1"/>
  <c r="L59" i="12"/>
  <c r="Z58" i="12"/>
  <c r="P59" i="12"/>
  <c r="Q59" i="12"/>
  <c r="N34" i="2"/>
  <c r="O34" i="2" s="1"/>
  <c r="P34" i="2"/>
  <c r="L34" i="2"/>
  <c r="Q34" i="2"/>
  <c r="M58" i="11"/>
  <c r="G59" i="11"/>
  <c r="AA57" i="11"/>
  <c r="AB57" i="11" s="1"/>
  <c r="Q59" i="13" l="1"/>
  <c r="P59" i="13"/>
  <c r="N59" i="13"/>
  <c r="O59" i="13" s="1"/>
  <c r="Z58" i="13"/>
  <c r="L59" i="13"/>
  <c r="AA58" i="12"/>
  <c r="AB58" i="12" s="1"/>
  <c r="M59" i="12"/>
  <c r="G60" i="12"/>
  <c r="M34" i="2"/>
  <c r="G35" i="2"/>
  <c r="H35" i="2" s="1"/>
  <c r="H59" i="11"/>
  <c r="M59" i="13" l="1"/>
  <c r="G60" i="13"/>
  <c r="AA58" i="13"/>
  <c r="AB58" i="13" s="1"/>
  <c r="H60" i="12"/>
  <c r="L59" i="11"/>
  <c r="Z58" i="11"/>
  <c r="Q59" i="11"/>
  <c r="P59" i="11"/>
  <c r="N59" i="11"/>
  <c r="O59" i="11" s="1"/>
  <c r="H60" i="13" l="1"/>
  <c r="P60" i="12"/>
  <c r="N60" i="12"/>
  <c r="O60" i="12" s="1"/>
  <c r="L60" i="12"/>
  <c r="Z59" i="12"/>
  <c r="Q60" i="12"/>
  <c r="N35" i="2"/>
  <c r="O35" i="2" s="1"/>
  <c r="L35" i="2"/>
  <c r="P35" i="2"/>
  <c r="Q35" i="2"/>
  <c r="Z34" i="2"/>
  <c r="AA34" i="2" s="1"/>
  <c r="AB34" i="2" s="1"/>
  <c r="AA58" i="11"/>
  <c r="AB58" i="11"/>
  <c r="M59" i="11"/>
  <c r="G60" i="11"/>
  <c r="L60" i="13" l="1"/>
  <c r="Z59" i="13"/>
  <c r="N60" i="13"/>
  <c r="O60" i="13" s="1"/>
  <c r="P60" i="13"/>
  <c r="Q60" i="13"/>
  <c r="AA59" i="12"/>
  <c r="AB59" i="12" s="1"/>
  <c r="M60" i="12"/>
  <c r="G61" i="12"/>
  <c r="M35" i="2"/>
  <c r="G36" i="2"/>
  <c r="H36" i="2" s="1"/>
  <c r="H60" i="11"/>
  <c r="AA59" i="13" l="1"/>
  <c r="AB59" i="13" s="1"/>
  <c r="M60" i="13"/>
  <c r="G61" i="13"/>
  <c r="H61" i="12"/>
  <c r="N60" i="11"/>
  <c r="O60" i="11" s="1"/>
  <c r="L60" i="11"/>
  <c r="Z59" i="11"/>
  <c r="P60" i="11"/>
  <c r="Q60" i="11"/>
  <c r="H61" i="13" l="1"/>
  <c r="Q61" i="12"/>
  <c r="P61" i="12"/>
  <c r="L61" i="12"/>
  <c r="Z60" i="12"/>
  <c r="N61" i="12"/>
  <c r="O61" i="12" s="1"/>
  <c r="N36" i="2"/>
  <c r="O36" i="2" s="1"/>
  <c r="Q36" i="2"/>
  <c r="P36" i="2"/>
  <c r="L36" i="2"/>
  <c r="Z35" i="2"/>
  <c r="AA35" i="2" s="1"/>
  <c r="AB35" i="2" s="1"/>
  <c r="AA59" i="11"/>
  <c r="AB59" i="11" s="1"/>
  <c r="M60" i="11"/>
  <c r="G61" i="11"/>
  <c r="Q61" i="13" l="1"/>
  <c r="N61" i="13"/>
  <c r="O61" i="13" s="1"/>
  <c r="L61" i="13"/>
  <c r="Z60" i="13"/>
  <c r="P61" i="13"/>
  <c r="M61" i="12"/>
  <c r="G62" i="12"/>
  <c r="AA60" i="12"/>
  <c r="AB60" i="12" s="1"/>
  <c r="G37" i="2"/>
  <c r="H37" i="2" s="1"/>
  <c r="M36" i="2"/>
  <c r="H61" i="11"/>
  <c r="M61" i="13" l="1"/>
  <c r="G62" i="13"/>
  <c r="AA60" i="13"/>
  <c r="AB60" i="13" s="1"/>
  <c r="H62" i="12"/>
  <c r="Q61" i="11"/>
  <c r="P61" i="11"/>
  <c r="N61" i="11"/>
  <c r="O61" i="11" s="1"/>
  <c r="L61" i="11"/>
  <c r="Z60" i="11"/>
  <c r="H62" i="13" l="1"/>
  <c r="L62" i="12"/>
  <c r="Z61" i="12"/>
  <c r="Q62" i="12"/>
  <c r="N62" i="12"/>
  <c r="O62" i="12" s="1"/>
  <c r="P62" i="12"/>
  <c r="L37" i="2"/>
  <c r="Q37" i="2"/>
  <c r="N37" i="2"/>
  <c r="O37" i="2" s="1"/>
  <c r="P37" i="2"/>
  <c r="Z36" i="2"/>
  <c r="AA36" i="2" s="1"/>
  <c r="AB36" i="2" s="1"/>
  <c r="AA60" i="11"/>
  <c r="AB60" i="11" s="1"/>
  <c r="M61" i="11"/>
  <c r="G62" i="11"/>
  <c r="Q62" i="13" l="1"/>
  <c r="P62" i="13"/>
  <c r="N62" i="13"/>
  <c r="O62" i="13" s="1"/>
  <c r="L62" i="13"/>
  <c r="Z61" i="13"/>
  <c r="AA61" i="12"/>
  <c r="AB61" i="12" s="1"/>
  <c r="M62" i="12"/>
  <c r="G63" i="12"/>
  <c r="M37" i="2"/>
  <c r="G38" i="2"/>
  <c r="H38" i="2" s="1"/>
  <c r="H62" i="11"/>
  <c r="M62" i="13" l="1"/>
  <c r="G63" i="13"/>
  <c r="AA61" i="13"/>
  <c r="AB61" i="13" s="1"/>
  <c r="H63" i="12"/>
  <c r="P62" i="11"/>
  <c r="Q62" i="11"/>
  <c r="N62" i="11"/>
  <c r="O62" i="11" s="1"/>
  <c r="L62" i="11"/>
  <c r="Z61" i="11"/>
  <c r="H63" i="13" l="1"/>
  <c r="N63" i="12"/>
  <c r="O63" i="12" s="1"/>
  <c r="L63" i="12"/>
  <c r="Z62" i="12"/>
  <c r="P63" i="12"/>
  <c r="Q63" i="12"/>
  <c r="L38" i="2"/>
  <c r="P38" i="2"/>
  <c r="Q38" i="2"/>
  <c r="N38" i="2"/>
  <c r="O38" i="2" s="1"/>
  <c r="Z37" i="2"/>
  <c r="AA37" i="2" s="1"/>
  <c r="AB37" i="2" s="1"/>
  <c r="AA61" i="11"/>
  <c r="AB61" i="11" s="1"/>
  <c r="M62" i="11"/>
  <c r="G63" i="11"/>
  <c r="Q63" i="13" l="1"/>
  <c r="P63" i="13"/>
  <c r="N63" i="13"/>
  <c r="O63" i="13" s="1"/>
  <c r="Z62" i="13"/>
  <c r="L63" i="13"/>
  <c r="AA62" i="12"/>
  <c r="AB62" i="12" s="1"/>
  <c r="M63" i="12"/>
  <c r="G64" i="12"/>
  <c r="M38" i="2"/>
  <c r="G39" i="2"/>
  <c r="H39" i="2" s="1"/>
  <c r="H63" i="11"/>
  <c r="M63" i="13" l="1"/>
  <c r="G64" i="13"/>
  <c r="AA62" i="13"/>
  <c r="AB62" i="13" s="1"/>
  <c r="H64" i="12"/>
  <c r="L63" i="11"/>
  <c r="Z62" i="11"/>
  <c r="Q63" i="11"/>
  <c r="P63" i="11"/>
  <c r="N63" i="11"/>
  <c r="O63" i="11" s="1"/>
  <c r="H64" i="13" l="1"/>
  <c r="P64" i="12"/>
  <c r="N64" i="12"/>
  <c r="O64" i="12" s="1"/>
  <c r="Q64" i="12"/>
  <c r="Z63" i="12"/>
  <c r="L64" i="12"/>
  <c r="L39" i="2"/>
  <c r="P39" i="2"/>
  <c r="N39" i="2"/>
  <c r="O39" i="2" s="1"/>
  <c r="Q39" i="2"/>
  <c r="Z38" i="2"/>
  <c r="AA38" i="2" s="1"/>
  <c r="AB38" i="2" s="1"/>
  <c r="AA62" i="11"/>
  <c r="AB62" i="11" s="1"/>
  <c r="M63" i="11"/>
  <c r="G64" i="11"/>
  <c r="L64" i="13" l="1"/>
  <c r="Z63" i="13"/>
  <c r="N64" i="13"/>
  <c r="O64" i="13" s="1"/>
  <c r="P64" i="13"/>
  <c r="Q64" i="13"/>
  <c r="M64" i="12"/>
  <c r="G65" i="12"/>
  <c r="AA63" i="12"/>
  <c r="AB63" i="12" s="1"/>
  <c r="M39" i="2"/>
  <c r="G40" i="2"/>
  <c r="H40" i="2" s="1"/>
  <c r="H64" i="11"/>
  <c r="AA63" i="13" l="1"/>
  <c r="AB63" i="13" s="1"/>
  <c r="M64" i="13"/>
  <c r="G65" i="13"/>
  <c r="H65" i="12"/>
  <c r="N64" i="11"/>
  <c r="O64" i="11" s="1"/>
  <c r="L64" i="11"/>
  <c r="Z63" i="11"/>
  <c r="Q64" i="11"/>
  <c r="P64" i="11"/>
  <c r="H65" i="13" l="1"/>
  <c r="Q65" i="12"/>
  <c r="P65" i="12"/>
  <c r="L65" i="12"/>
  <c r="Z64" i="12"/>
  <c r="N65" i="12"/>
  <c r="O65" i="12" s="1"/>
  <c r="P40" i="2"/>
  <c r="N40" i="2"/>
  <c r="O40" i="2" s="1"/>
  <c r="Q40" i="2"/>
  <c r="L40" i="2"/>
  <c r="Z39" i="2"/>
  <c r="AA39" i="2" s="1"/>
  <c r="AB39" i="2" s="1"/>
  <c r="AA63" i="11"/>
  <c r="AB63" i="11" s="1"/>
  <c r="M64" i="11"/>
  <c r="G65" i="11"/>
  <c r="Q65" i="13" l="1"/>
  <c r="N65" i="13"/>
  <c r="O65" i="13" s="1"/>
  <c r="L65" i="13"/>
  <c r="Z64" i="13"/>
  <c r="P65" i="13"/>
  <c r="M65" i="12"/>
  <c r="G66" i="12"/>
  <c r="AA64" i="12"/>
  <c r="AB64" i="12" s="1"/>
  <c r="M40" i="2"/>
  <c r="G41" i="2"/>
  <c r="H41" i="2" s="1"/>
  <c r="H65" i="11"/>
  <c r="M65" i="13" l="1"/>
  <c r="G66" i="13"/>
  <c r="AA64" i="13"/>
  <c r="AB64" i="13" s="1"/>
  <c r="H66" i="12"/>
  <c r="Q65" i="11"/>
  <c r="P65" i="11"/>
  <c r="N65" i="11"/>
  <c r="O65" i="11" s="1"/>
  <c r="Z64" i="11"/>
  <c r="L65" i="11"/>
  <c r="H66" i="13" l="1"/>
  <c r="L66" i="12"/>
  <c r="Z65" i="12"/>
  <c r="Q66" i="12"/>
  <c r="N66" i="12"/>
  <c r="O66" i="12" s="1"/>
  <c r="P66" i="12"/>
  <c r="P41" i="2"/>
  <c r="Q41" i="2"/>
  <c r="L41" i="2"/>
  <c r="N41" i="2"/>
  <c r="O41" i="2" s="1"/>
  <c r="Z40" i="2"/>
  <c r="AA40" i="2" s="1"/>
  <c r="AB40" i="2" s="1"/>
  <c r="AA64" i="11"/>
  <c r="AB64" i="11" s="1"/>
  <c r="M65" i="11"/>
  <c r="G66" i="11"/>
  <c r="Q66" i="13" l="1"/>
  <c r="P66" i="13"/>
  <c r="N66" i="13"/>
  <c r="O66" i="13" s="1"/>
  <c r="L66" i="13"/>
  <c r="Z65" i="13"/>
  <c r="AA65" i="12"/>
  <c r="AB65" i="12" s="1"/>
  <c r="M66" i="12"/>
  <c r="G67" i="12"/>
  <c r="G42" i="2"/>
  <c r="H42" i="2" s="1"/>
  <c r="M41" i="2"/>
  <c r="H66" i="11"/>
  <c r="AA65" i="13" l="1"/>
  <c r="AB65" i="13" s="1"/>
  <c r="M66" i="13"/>
  <c r="G67" i="13"/>
  <c r="H67" i="12"/>
  <c r="P66" i="11"/>
  <c r="L66" i="11"/>
  <c r="Z65" i="11"/>
  <c r="N66" i="11"/>
  <c r="O66" i="11" s="1"/>
  <c r="Q66" i="11"/>
  <c r="H67" i="13" l="1"/>
  <c r="N67" i="12"/>
  <c r="O67" i="12" s="1"/>
  <c r="L67" i="12"/>
  <c r="Z66" i="12"/>
  <c r="P67" i="12"/>
  <c r="Q67" i="12"/>
  <c r="P42" i="2"/>
  <c r="N42" i="2"/>
  <c r="O42" i="2" s="1"/>
  <c r="Q42" i="2"/>
  <c r="L42" i="2"/>
  <c r="Z41" i="2"/>
  <c r="AA41" i="2" s="1"/>
  <c r="AB41" i="2" s="1"/>
  <c r="AA65" i="11"/>
  <c r="AB65" i="11" s="1"/>
  <c r="M66" i="11"/>
  <c r="G67" i="11"/>
  <c r="N67" i="13" l="1"/>
  <c r="O67" i="13" s="1"/>
  <c r="L67" i="13"/>
  <c r="Z66" i="13"/>
  <c r="Q67" i="13"/>
  <c r="P67" i="13"/>
  <c r="AA66" i="12"/>
  <c r="AB66" i="12" s="1"/>
  <c r="M67" i="12"/>
  <c r="G68" i="12"/>
  <c r="M42" i="2"/>
  <c r="G43" i="2"/>
  <c r="H43" i="2" s="1"/>
  <c r="H67" i="11"/>
  <c r="AA66" i="13" l="1"/>
  <c r="AB66" i="13" s="1"/>
  <c r="M67" i="13"/>
  <c r="G68" i="13"/>
  <c r="H68" i="12"/>
  <c r="N67" i="11"/>
  <c r="O67" i="11" s="1"/>
  <c r="L67" i="11"/>
  <c r="Z66" i="11"/>
  <c r="Q67" i="11"/>
  <c r="P67" i="11"/>
  <c r="H68" i="13" l="1"/>
  <c r="P68" i="12"/>
  <c r="N68" i="12"/>
  <c r="O68" i="12" s="1"/>
  <c r="Z67" i="12"/>
  <c r="L68" i="12"/>
  <c r="Q68" i="12"/>
  <c r="L43" i="2"/>
  <c r="Q43" i="2"/>
  <c r="N43" i="2"/>
  <c r="O43" i="2" s="1"/>
  <c r="P43" i="2"/>
  <c r="Z42" i="2"/>
  <c r="AA42" i="2" s="1"/>
  <c r="AB42" i="2" s="1"/>
  <c r="AA66" i="11"/>
  <c r="AB66" i="11" s="1"/>
  <c r="M67" i="11"/>
  <c r="G68" i="11"/>
  <c r="P68" i="13" l="1"/>
  <c r="N68" i="13"/>
  <c r="O68" i="13" s="1"/>
  <c r="L68" i="13"/>
  <c r="Z67" i="13"/>
  <c r="Q68" i="13"/>
  <c r="AA67" i="12"/>
  <c r="AB67" i="12" s="1"/>
  <c r="M68" i="12"/>
  <c r="G69" i="12"/>
  <c r="G44" i="2"/>
  <c r="H44" i="2" s="1"/>
  <c r="M43" i="2"/>
  <c r="H68" i="11"/>
  <c r="M68" i="13" l="1"/>
  <c r="G69" i="13"/>
  <c r="AA67" i="13"/>
  <c r="AB67" i="13" s="1"/>
  <c r="H69" i="12"/>
  <c r="P68" i="11"/>
  <c r="N68" i="11"/>
  <c r="O68" i="11" s="1"/>
  <c r="L68" i="11"/>
  <c r="Z67" i="11"/>
  <c r="Q68" i="11"/>
  <c r="H69" i="13" l="1"/>
  <c r="Q69" i="12"/>
  <c r="P69" i="12"/>
  <c r="L69" i="12"/>
  <c r="Z68" i="12"/>
  <c r="N69" i="12"/>
  <c r="O69" i="12" s="1"/>
  <c r="Q44" i="2"/>
  <c r="N44" i="2"/>
  <c r="O44" i="2" s="1"/>
  <c r="L44" i="2"/>
  <c r="P44" i="2"/>
  <c r="Z43" i="2"/>
  <c r="AA43" i="2" s="1"/>
  <c r="AB43" i="2" s="1"/>
  <c r="AA67" i="11"/>
  <c r="AB67" i="11" s="1"/>
  <c r="M68" i="11"/>
  <c r="G69" i="11"/>
  <c r="Q69" i="13" l="1"/>
  <c r="P69" i="13"/>
  <c r="N69" i="13"/>
  <c r="O69" i="13" s="1"/>
  <c r="L69" i="13"/>
  <c r="Z68" i="13"/>
  <c r="M69" i="12"/>
  <c r="G70" i="12"/>
  <c r="AA68" i="12"/>
  <c r="AB68" i="12" s="1"/>
  <c r="G45" i="2"/>
  <c r="H45" i="2" s="1"/>
  <c r="M44" i="2"/>
  <c r="H69" i="11"/>
  <c r="AA68" i="13" l="1"/>
  <c r="AB68" i="13" s="1"/>
  <c r="M69" i="13"/>
  <c r="G70" i="13"/>
  <c r="H70" i="12"/>
  <c r="Q69" i="11"/>
  <c r="P69" i="11"/>
  <c r="N69" i="11"/>
  <c r="O69" i="11" s="1"/>
  <c r="Z68" i="11"/>
  <c r="L69" i="11"/>
  <c r="H70" i="13" l="1"/>
  <c r="L70" i="12"/>
  <c r="Z69" i="12"/>
  <c r="Q70" i="12"/>
  <c r="P70" i="12"/>
  <c r="N70" i="12"/>
  <c r="O70" i="12" s="1"/>
  <c r="L45" i="2"/>
  <c r="N45" i="2"/>
  <c r="O45" i="2" s="1"/>
  <c r="P45" i="2"/>
  <c r="Q45" i="2"/>
  <c r="Z44" i="2"/>
  <c r="AA44" i="2" s="1"/>
  <c r="AB44" i="2" s="1"/>
  <c r="AA68" i="11"/>
  <c r="AB68" i="11" s="1"/>
  <c r="M69" i="11"/>
  <c r="G70" i="11"/>
  <c r="L70" i="13" l="1"/>
  <c r="Z69" i="13"/>
  <c r="Q70" i="13"/>
  <c r="P70" i="13"/>
  <c r="N70" i="13"/>
  <c r="O70" i="13" s="1"/>
  <c r="AA69" i="12"/>
  <c r="AB69" i="12" s="1"/>
  <c r="M70" i="12"/>
  <c r="G71" i="12"/>
  <c r="M45" i="2"/>
  <c r="G46" i="2"/>
  <c r="H46" i="2" s="1"/>
  <c r="H70" i="11"/>
  <c r="AA69" i="13" l="1"/>
  <c r="AB69" i="13" s="1"/>
  <c r="M70" i="13"/>
  <c r="G71" i="13"/>
  <c r="H71" i="12"/>
  <c r="L70" i="11"/>
  <c r="Z69" i="11"/>
  <c r="Q70" i="11"/>
  <c r="P70" i="11"/>
  <c r="N70" i="11"/>
  <c r="O70" i="11" s="1"/>
  <c r="H71" i="13" l="1"/>
  <c r="N71" i="12"/>
  <c r="O71" i="12" s="1"/>
  <c r="L71" i="12"/>
  <c r="Z70" i="12"/>
  <c r="Q71" i="12"/>
  <c r="P71" i="12"/>
  <c r="Q46" i="2"/>
  <c r="N46" i="2"/>
  <c r="O46" i="2" s="1"/>
  <c r="L46" i="2"/>
  <c r="P46" i="2"/>
  <c r="Z45" i="2"/>
  <c r="AA45" i="2" s="1"/>
  <c r="AB45" i="2" s="1"/>
  <c r="AA69" i="11"/>
  <c r="AB69" i="11" s="1"/>
  <c r="M70" i="11"/>
  <c r="G71" i="11"/>
  <c r="N71" i="13" l="1"/>
  <c r="O71" i="13" s="1"/>
  <c r="L71" i="13"/>
  <c r="Z70" i="13"/>
  <c r="Q71" i="13"/>
  <c r="P71" i="13"/>
  <c r="AA70" i="12"/>
  <c r="AB70" i="12" s="1"/>
  <c r="M71" i="12"/>
  <c r="G72" i="12"/>
  <c r="G47" i="2"/>
  <c r="H47" i="2" s="1"/>
  <c r="M46" i="2"/>
  <c r="H71" i="11"/>
  <c r="AA70" i="13" l="1"/>
  <c r="AB70" i="13" s="1"/>
  <c r="M71" i="13"/>
  <c r="G72" i="13"/>
  <c r="H72" i="12"/>
  <c r="N71" i="11"/>
  <c r="O71" i="11" s="1"/>
  <c r="L71" i="11"/>
  <c r="Z70" i="11"/>
  <c r="Q71" i="11"/>
  <c r="P71" i="11"/>
  <c r="H72" i="13" l="1"/>
  <c r="P72" i="12"/>
  <c r="N72" i="12"/>
  <c r="O72" i="12" s="1"/>
  <c r="L72" i="12"/>
  <c r="Z71" i="12"/>
  <c r="Q72" i="12"/>
  <c r="L47" i="2"/>
  <c r="N47" i="2"/>
  <c r="O47" i="2" s="1"/>
  <c r="P47" i="2"/>
  <c r="Q47" i="2"/>
  <c r="Z46" i="2"/>
  <c r="AA46" i="2" s="1"/>
  <c r="AB46" i="2" s="1"/>
  <c r="AA70" i="11"/>
  <c r="AB70" i="11" s="1"/>
  <c r="M71" i="11"/>
  <c r="G72" i="11"/>
  <c r="P72" i="13" l="1"/>
  <c r="N72" i="13"/>
  <c r="O72" i="13" s="1"/>
  <c r="L72" i="13"/>
  <c r="Z71" i="13"/>
  <c r="Q72" i="13"/>
  <c r="M72" i="12"/>
  <c r="G73" i="12"/>
  <c r="AA71" i="12"/>
  <c r="AB71" i="12" s="1"/>
  <c r="M47" i="2"/>
  <c r="G48" i="2"/>
  <c r="H48" i="2" s="1"/>
  <c r="H72" i="11"/>
  <c r="M72" i="13" l="1"/>
  <c r="G73" i="13"/>
  <c r="AA71" i="13"/>
  <c r="AB71" i="13" s="1"/>
  <c r="H73" i="12"/>
  <c r="P72" i="11"/>
  <c r="N72" i="11"/>
  <c r="O72" i="11" s="1"/>
  <c r="L72" i="11"/>
  <c r="Z71" i="11"/>
  <c r="Q72" i="11"/>
  <c r="H73" i="13" l="1"/>
  <c r="Q73" i="12"/>
  <c r="P73" i="12"/>
  <c r="N73" i="12"/>
  <c r="O73" i="12" s="1"/>
  <c r="L73" i="12"/>
  <c r="Z72" i="12"/>
  <c r="N48" i="2"/>
  <c r="O48" i="2" s="1"/>
  <c r="L48" i="2"/>
  <c r="Q48" i="2"/>
  <c r="P48" i="2"/>
  <c r="Z47" i="2"/>
  <c r="AA47" i="2" s="1"/>
  <c r="AB47" i="2" s="1"/>
  <c r="M72" i="11"/>
  <c r="G73" i="11"/>
  <c r="AA71" i="11"/>
  <c r="AB71" i="11" s="1"/>
  <c r="Q73" i="13" l="1"/>
  <c r="P73" i="13"/>
  <c r="N73" i="13"/>
  <c r="O73" i="13" s="1"/>
  <c r="L73" i="13"/>
  <c r="Z72" i="13"/>
  <c r="AA72" i="12"/>
  <c r="AB72" i="12" s="1"/>
  <c r="M73" i="12"/>
  <c r="G74" i="12"/>
  <c r="M48" i="2"/>
  <c r="G49" i="2"/>
  <c r="H49" i="2" s="1"/>
  <c r="H73" i="11"/>
  <c r="AA72" i="13" l="1"/>
  <c r="AB72" i="13" s="1"/>
  <c r="M73" i="13"/>
  <c r="G74" i="13"/>
  <c r="H74" i="12"/>
  <c r="Q73" i="11"/>
  <c r="P73" i="11"/>
  <c r="N73" i="11"/>
  <c r="O73" i="11" s="1"/>
  <c r="Z72" i="11"/>
  <c r="L73" i="11"/>
  <c r="H74" i="13" l="1"/>
  <c r="L74" i="12"/>
  <c r="Z73" i="12"/>
  <c r="Q74" i="12"/>
  <c r="P74" i="12"/>
  <c r="N74" i="12"/>
  <c r="O74" i="12" s="1"/>
  <c r="L49" i="2"/>
  <c r="Q49" i="2"/>
  <c r="P49" i="2"/>
  <c r="N49" i="2"/>
  <c r="O49" i="2" s="1"/>
  <c r="Z48" i="2"/>
  <c r="AA48" i="2" s="1"/>
  <c r="AB48" i="2" s="1"/>
  <c r="M73" i="11"/>
  <c r="G74" i="11"/>
  <c r="AA72" i="11"/>
  <c r="AB72" i="11" s="1"/>
  <c r="L74" i="13" l="1"/>
  <c r="Z73" i="13"/>
  <c r="Q74" i="13"/>
  <c r="P74" i="13"/>
  <c r="N74" i="13"/>
  <c r="O74" i="13" s="1"/>
  <c r="AA73" i="12"/>
  <c r="AB73" i="12" s="1"/>
  <c r="M74" i="12"/>
  <c r="G75" i="12"/>
  <c r="G50" i="2"/>
  <c r="H50" i="2" s="1"/>
  <c r="M49" i="2"/>
  <c r="H74" i="11"/>
  <c r="AA73" i="13" l="1"/>
  <c r="AB73" i="13" s="1"/>
  <c r="M74" i="13"/>
  <c r="G75" i="13"/>
  <c r="H75" i="12"/>
  <c r="L74" i="11"/>
  <c r="Z73" i="11"/>
  <c r="Q74" i="11"/>
  <c r="P74" i="11"/>
  <c r="N74" i="11"/>
  <c r="O74" i="11" s="1"/>
  <c r="H75" i="13" l="1"/>
  <c r="N75" i="12"/>
  <c r="O75" i="12" s="1"/>
  <c r="L75" i="12"/>
  <c r="Z74" i="12"/>
  <c r="Q75" i="12"/>
  <c r="P75" i="12"/>
  <c r="P50" i="2"/>
  <c r="Q50" i="2"/>
  <c r="L50" i="2"/>
  <c r="N50" i="2"/>
  <c r="O50" i="2" s="1"/>
  <c r="Z49" i="2"/>
  <c r="AA49" i="2" s="1"/>
  <c r="AB49" i="2" s="1"/>
  <c r="AA73" i="11"/>
  <c r="AB73" i="11"/>
  <c r="M74" i="11"/>
  <c r="G75" i="11"/>
  <c r="N75" i="13" l="1"/>
  <c r="O75" i="13" s="1"/>
  <c r="L75" i="13"/>
  <c r="Z74" i="13"/>
  <c r="Q75" i="13"/>
  <c r="P75" i="13"/>
  <c r="AA74" i="12"/>
  <c r="AB74" i="12" s="1"/>
  <c r="M75" i="12"/>
  <c r="G76" i="12"/>
  <c r="M50" i="2"/>
  <c r="G51" i="2"/>
  <c r="H51" i="2" s="1"/>
  <c r="H75" i="11"/>
  <c r="AA74" i="13" l="1"/>
  <c r="AB74" i="13" s="1"/>
  <c r="M75" i="13"/>
  <c r="G76" i="13"/>
  <c r="H76" i="12"/>
  <c r="N75" i="11"/>
  <c r="O75" i="11" s="1"/>
  <c r="L75" i="11"/>
  <c r="Z74" i="11"/>
  <c r="Q75" i="11"/>
  <c r="P75" i="11"/>
  <c r="H76" i="13" l="1"/>
  <c r="P76" i="12"/>
  <c r="N76" i="12"/>
  <c r="O76" i="12" s="1"/>
  <c r="L76" i="12"/>
  <c r="Z75" i="12"/>
  <c r="Q76" i="12"/>
  <c r="P51" i="2"/>
  <c r="Q51" i="2"/>
  <c r="L51" i="2"/>
  <c r="N51" i="2"/>
  <c r="O51" i="2" s="1"/>
  <c r="Z50" i="2"/>
  <c r="AA50" i="2" s="1"/>
  <c r="AB50" i="2" s="1"/>
  <c r="AA74" i="11"/>
  <c r="AB74" i="11" s="1"/>
  <c r="M75" i="11"/>
  <c r="G76" i="11"/>
  <c r="P76" i="13" l="1"/>
  <c r="N76" i="13"/>
  <c r="O76" i="13" s="1"/>
  <c r="L76" i="13"/>
  <c r="Z75" i="13"/>
  <c r="Q76" i="13"/>
  <c r="M76" i="12"/>
  <c r="G77" i="12"/>
  <c r="AA75" i="12"/>
  <c r="AB75" i="12" s="1"/>
  <c r="G52" i="2"/>
  <c r="H52" i="2" s="1"/>
  <c r="M51" i="2"/>
  <c r="H76" i="11"/>
  <c r="M76" i="13" l="1"/>
  <c r="G77" i="13"/>
  <c r="AA75" i="13"/>
  <c r="AB75" i="13" s="1"/>
  <c r="H77" i="12"/>
  <c r="P76" i="11"/>
  <c r="N76" i="11"/>
  <c r="O76" i="11" s="1"/>
  <c r="L76" i="11"/>
  <c r="Z75" i="11"/>
  <c r="Q76" i="11"/>
  <c r="H77" i="13" l="1"/>
  <c r="Q77" i="12"/>
  <c r="P77" i="12"/>
  <c r="N77" i="12"/>
  <c r="O77" i="12" s="1"/>
  <c r="L77" i="12"/>
  <c r="Z76" i="12"/>
  <c r="Q52" i="2"/>
  <c r="L52" i="2"/>
  <c r="P52" i="2"/>
  <c r="N52" i="2"/>
  <c r="O52" i="2" s="1"/>
  <c r="Z51" i="2"/>
  <c r="AA51" i="2" s="1"/>
  <c r="AB51" i="2" s="1"/>
  <c r="M76" i="11"/>
  <c r="G77" i="11"/>
  <c r="AA75" i="11"/>
  <c r="AB75" i="11" s="1"/>
  <c r="Q77" i="13" l="1"/>
  <c r="P77" i="13"/>
  <c r="N77" i="13"/>
  <c r="O77" i="13" s="1"/>
  <c r="L77" i="13"/>
  <c r="Z76" i="13"/>
  <c r="AA76" i="12"/>
  <c r="AB76" i="12" s="1"/>
  <c r="M77" i="12"/>
  <c r="G78" i="12"/>
  <c r="H78" i="12" s="1"/>
  <c r="G53" i="2"/>
  <c r="H53" i="2" s="1"/>
  <c r="M52" i="2"/>
  <c r="H77" i="11"/>
  <c r="AA76" i="13" l="1"/>
  <c r="AB76" i="13" s="1"/>
  <c r="M77" i="13"/>
  <c r="G78" i="13"/>
  <c r="H78" i="13" s="1"/>
  <c r="Z77" i="12"/>
  <c r="L78" i="12"/>
  <c r="Q78" i="12"/>
  <c r="X77" i="12" s="1"/>
  <c r="X76" i="12" s="1"/>
  <c r="X75" i="12" s="1"/>
  <c r="X74" i="12" s="1"/>
  <c r="X73" i="12" s="1"/>
  <c r="X72" i="12" s="1"/>
  <c r="X71" i="12" s="1"/>
  <c r="X70" i="12" s="1"/>
  <c r="X69" i="12" s="1"/>
  <c r="X68" i="12" s="1"/>
  <c r="X67" i="12" s="1"/>
  <c r="X66" i="12" s="1"/>
  <c r="X65" i="12" s="1"/>
  <c r="X64" i="12" s="1"/>
  <c r="X63" i="12" s="1"/>
  <c r="X62" i="12" s="1"/>
  <c r="X61" i="12" s="1"/>
  <c r="X60" i="12" s="1"/>
  <c r="X59" i="12" s="1"/>
  <c r="X58" i="12" s="1"/>
  <c r="X57" i="12" s="1"/>
  <c r="X56" i="12" s="1"/>
  <c r="X55" i="12" s="1"/>
  <c r="X54" i="12" s="1"/>
  <c r="X53" i="12" s="1"/>
  <c r="X52" i="12" s="1"/>
  <c r="X51" i="12" s="1"/>
  <c r="X50" i="12" s="1"/>
  <c r="X49" i="12" s="1"/>
  <c r="X48" i="12" s="1"/>
  <c r="X47" i="12" s="1"/>
  <c r="X46" i="12" s="1"/>
  <c r="X45" i="12" s="1"/>
  <c r="X44" i="12" s="1"/>
  <c r="X43" i="12" s="1"/>
  <c r="X42" i="12" s="1"/>
  <c r="X41" i="12" s="1"/>
  <c r="X40" i="12" s="1"/>
  <c r="X39" i="12" s="1"/>
  <c r="X38" i="12" s="1"/>
  <c r="X37" i="12" s="1"/>
  <c r="X36" i="12" s="1"/>
  <c r="X35" i="12" s="1"/>
  <c r="X34" i="12" s="1"/>
  <c r="X33" i="12" s="1"/>
  <c r="X32" i="12" s="1"/>
  <c r="X31" i="12" s="1"/>
  <c r="X30" i="12" s="1"/>
  <c r="X29" i="12" s="1"/>
  <c r="X28" i="12" s="1"/>
  <c r="X27" i="12" s="1"/>
  <c r="X26" i="12" s="1"/>
  <c r="X25" i="12" s="1"/>
  <c r="X24" i="12" s="1"/>
  <c r="X23" i="12" s="1"/>
  <c r="X22" i="12" s="1"/>
  <c r="X21" i="12" s="1"/>
  <c r="X20" i="12" s="1"/>
  <c r="X19" i="12" s="1"/>
  <c r="X18" i="12" s="1"/>
  <c r="X17" i="12" s="1"/>
  <c r="X16" i="12" s="1"/>
  <c r="X15" i="12" s="1"/>
  <c r="X14" i="12" s="1"/>
  <c r="X13" i="12" s="1"/>
  <c r="X12" i="12" s="1"/>
  <c r="X11" i="12" s="1"/>
  <c r="X10" i="12" s="1"/>
  <c r="X9" i="12" s="1"/>
  <c r="X8" i="12" s="1"/>
  <c r="X7" i="12" s="1"/>
  <c r="X6" i="12" s="1"/>
  <c r="X5" i="12" s="1"/>
  <c r="P78" i="12"/>
  <c r="W77" i="12" s="1"/>
  <c r="W76" i="12" s="1"/>
  <c r="W75" i="12" s="1"/>
  <c r="W74" i="12" s="1"/>
  <c r="W73" i="12" s="1"/>
  <c r="W72" i="12" s="1"/>
  <c r="W71" i="12" s="1"/>
  <c r="W70" i="12" s="1"/>
  <c r="W69" i="12" s="1"/>
  <c r="W68" i="12" s="1"/>
  <c r="W67" i="12" s="1"/>
  <c r="W66" i="12" s="1"/>
  <c r="W65" i="12" s="1"/>
  <c r="W64" i="12" s="1"/>
  <c r="W63" i="12" s="1"/>
  <c r="W62" i="12" s="1"/>
  <c r="W61" i="12" s="1"/>
  <c r="W60" i="12" s="1"/>
  <c r="W59" i="12" s="1"/>
  <c r="W58" i="12" s="1"/>
  <c r="W57" i="12" s="1"/>
  <c r="W56" i="12" s="1"/>
  <c r="W55" i="12" s="1"/>
  <c r="W54" i="12" s="1"/>
  <c r="W53" i="12" s="1"/>
  <c r="W52" i="12" s="1"/>
  <c r="W51" i="12" s="1"/>
  <c r="W50" i="12" s="1"/>
  <c r="W49" i="12" s="1"/>
  <c r="W48" i="12" s="1"/>
  <c r="W47" i="12" s="1"/>
  <c r="W46" i="12" s="1"/>
  <c r="W45" i="12" s="1"/>
  <c r="W44" i="12" s="1"/>
  <c r="W43" i="12" s="1"/>
  <c r="W42" i="12" s="1"/>
  <c r="W41" i="12" s="1"/>
  <c r="W40" i="12" s="1"/>
  <c r="W39" i="12" s="1"/>
  <c r="W38" i="12" s="1"/>
  <c r="W37" i="12" s="1"/>
  <c r="W36" i="12" s="1"/>
  <c r="W35" i="12" s="1"/>
  <c r="W34" i="12" s="1"/>
  <c r="W33" i="12" s="1"/>
  <c r="W32" i="12" s="1"/>
  <c r="W31" i="12" s="1"/>
  <c r="W30" i="12" s="1"/>
  <c r="W29" i="12" s="1"/>
  <c r="W28" i="12" s="1"/>
  <c r="W27" i="12" s="1"/>
  <c r="W26" i="12" s="1"/>
  <c r="W25" i="12" s="1"/>
  <c r="W24" i="12" s="1"/>
  <c r="W23" i="12" s="1"/>
  <c r="W22" i="12" s="1"/>
  <c r="W21" i="12" s="1"/>
  <c r="W20" i="12" s="1"/>
  <c r="W19" i="12" s="1"/>
  <c r="W18" i="12" s="1"/>
  <c r="W17" i="12" s="1"/>
  <c r="W16" i="12" s="1"/>
  <c r="W15" i="12" s="1"/>
  <c r="W14" i="12" s="1"/>
  <c r="W13" i="12" s="1"/>
  <c r="W12" i="12" s="1"/>
  <c r="W11" i="12" s="1"/>
  <c r="W10" i="12" s="1"/>
  <c r="W9" i="12" s="1"/>
  <c r="W8" i="12" s="1"/>
  <c r="W7" i="12" s="1"/>
  <c r="W6" i="12" s="1"/>
  <c r="W5" i="12" s="1"/>
  <c r="N78" i="12"/>
  <c r="R77" i="12"/>
  <c r="Z52" i="2"/>
  <c r="AA52" i="2" s="1"/>
  <c r="AB52" i="2" s="1"/>
  <c r="Q77" i="11"/>
  <c r="P77" i="11"/>
  <c r="N77" i="11"/>
  <c r="O77" i="11" s="1"/>
  <c r="Z76" i="11"/>
  <c r="L77" i="11"/>
  <c r="Z77" i="13" l="1"/>
  <c r="L78" i="13"/>
  <c r="Q78" i="13"/>
  <c r="X77" i="13" s="1"/>
  <c r="X76" i="13" s="1"/>
  <c r="X75" i="13" s="1"/>
  <c r="X74" i="13" s="1"/>
  <c r="X73" i="13" s="1"/>
  <c r="X72" i="13" s="1"/>
  <c r="X71" i="13" s="1"/>
  <c r="X70" i="13" s="1"/>
  <c r="X69" i="13" s="1"/>
  <c r="X68" i="13" s="1"/>
  <c r="X67" i="13" s="1"/>
  <c r="X66" i="13" s="1"/>
  <c r="X65" i="13" s="1"/>
  <c r="X64" i="13" s="1"/>
  <c r="X63" i="13" s="1"/>
  <c r="X62" i="13" s="1"/>
  <c r="X61" i="13" s="1"/>
  <c r="X60" i="13" s="1"/>
  <c r="X59" i="13" s="1"/>
  <c r="X58" i="13" s="1"/>
  <c r="X57" i="13" s="1"/>
  <c r="X56" i="13" s="1"/>
  <c r="X55" i="13" s="1"/>
  <c r="X54" i="13" s="1"/>
  <c r="X53" i="13" s="1"/>
  <c r="X52" i="13" s="1"/>
  <c r="X51" i="13" s="1"/>
  <c r="X50" i="13" s="1"/>
  <c r="X49" i="13" s="1"/>
  <c r="X48" i="13" s="1"/>
  <c r="X47" i="13" s="1"/>
  <c r="X46" i="13" s="1"/>
  <c r="X45" i="13" s="1"/>
  <c r="X44" i="13" s="1"/>
  <c r="X43" i="13" s="1"/>
  <c r="X42" i="13" s="1"/>
  <c r="X41" i="13" s="1"/>
  <c r="X40" i="13" s="1"/>
  <c r="X39" i="13" s="1"/>
  <c r="X38" i="13" s="1"/>
  <c r="X37" i="13" s="1"/>
  <c r="X36" i="13" s="1"/>
  <c r="X35" i="13" s="1"/>
  <c r="X34" i="13" s="1"/>
  <c r="X33" i="13" s="1"/>
  <c r="X32" i="13" s="1"/>
  <c r="X31" i="13" s="1"/>
  <c r="X30" i="13" s="1"/>
  <c r="X29" i="13" s="1"/>
  <c r="X28" i="13" s="1"/>
  <c r="X27" i="13" s="1"/>
  <c r="X26" i="13" s="1"/>
  <c r="X25" i="13" s="1"/>
  <c r="X24" i="13" s="1"/>
  <c r="X23" i="13" s="1"/>
  <c r="X22" i="13" s="1"/>
  <c r="X21" i="13" s="1"/>
  <c r="X20" i="13" s="1"/>
  <c r="X19" i="13" s="1"/>
  <c r="X18" i="13" s="1"/>
  <c r="X17" i="13" s="1"/>
  <c r="X16" i="13" s="1"/>
  <c r="X15" i="13" s="1"/>
  <c r="X14" i="13" s="1"/>
  <c r="X13" i="13" s="1"/>
  <c r="X12" i="13" s="1"/>
  <c r="X11" i="13" s="1"/>
  <c r="X10" i="13" s="1"/>
  <c r="X9" i="13" s="1"/>
  <c r="X8" i="13" s="1"/>
  <c r="X7" i="13" s="1"/>
  <c r="X6" i="13" s="1"/>
  <c r="X5" i="13" s="1"/>
  <c r="P78" i="13"/>
  <c r="W77" i="13" s="1"/>
  <c r="W76" i="13" s="1"/>
  <c r="W75" i="13" s="1"/>
  <c r="W74" i="13" s="1"/>
  <c r="W73" i="13" s="1"/>
  <c r="W72" i="13" s="1"/>
  <c r="W71" i="13" s="1"/>
  <c r="W70" i="13" s="1"/>
  <c r="W69" i="13" s="1"/>
  <c r="W68" i="13" s="1"/>
  <c r="W67" i="13" s="1"/>
  <c r="W66" i="13" s="1"/>
  <c r="W65" i="13" s="1"/>
  <c r="W64" i="13" s="1"/>
  <c r="W63" i="13" s="1"/>
  <c r="W62" i="13" s="1"/>
  <c r="W61" i="13" s="1"/>
  <c r="W60" i="13" s="1"/>
  <c r="W59" i="13" s="1"/>
  <c r="W58" i="13" s="1"/>
  <c r="W57" i="13" s="1"/>
  <c r="W56" i="13" s="1"/>
  <c r="W55" i="13" s="1"/>
  <c r="W54" i="13" s="1"/>
  <c r="W53" i="13" s="1"/>
  <c r="W52" i="13" s="1"/>
  <c r="W51" i="13" s="1"/>
  <c r="W50" i="13" s="1"/>
  <c r="W49" i="13" s="1"/>
  <c r="W48" i="13" s="1"/>
  <c r="W47" i="13" s="1"/>
  <c r="W46" i="13" s="1"/>
  <c r="W45" i="13" s="1"/>
  <c r="W44" i="13" s="1"/>
  <c r="W43" i="13" s="1"/>
  <c r="W42" i="13" s="1"/>
  <c r="W41" i="13" s="1"/>
  <c r="W40" i="13" s="1"/>
  <c r="W39" i="13" s="1"/>
  <c r="W38" i="13" s="1"/>
  <c r="W37" i="13" s="1"/>
  <c r="W36" i="13" s="1"/>
  <c r="W35" i="13" s="1"/>
  <c r="W34" i="13" s="1"/>
  <c r="W33" i="13" s="1"/>
  <c r="W32" i="13" s="1"/>
  <c r="W31" i="13" s="1"/>
  <c r="W30" i="13" s="1"/>
  <c r="W29" i="13" s="1"/>
  <c r="W28" i="13" s="1"/>
  <c r="W27" i="13" s="1"/>
  <c r="W26" i="13" s="1"/>
  <c r="W25" i="13" s="1"/>
  <c r="W24" i="13" s="1"/>
  <c r="W23" i="13" s="1"/>
  <c r="W22" i="13" s="1"/>
  <c r="W21" i="13" s="1"/>
  <c r="W20" i="13" s="1"/>
  <c r="W19" i="13" s="1"/>
  <c r="W18" i="13" s="1"/>
  <c r="W17" i="13" s="1"/>
  <c r="W16" i="13" s="1"/>
  <c r="W15" i="13" s="1"/>
  <c r="W14" i="13" s="1"/>
  <c r="W13" i="13" s="1"/>
  <c r="W12" i="13" s="1"/>
  <c r="W11" i="13" s="1"/>
  <c r="W10" i="13" s="1"/>
  <c r="W9" i="13" s="1"/>
  <c r="W8" i="13" s="1"/>
  <c r="W7" i="13" s="1"/>
  <c r="W6" i="13" s="1"/>
  <c r="W5" i="13" s="1"/>
  <c r="N78" i="13"/>
  <c r="R77" i="13"/>
  <c r="AD77" i="12"/>
  <c r="R76" i="12"/>
  <c r="M78" i="12"/>
  <c r="T77" i="12" s="1"/>
  <c r="T76" i="12" s="1"/>
  <c r="T75" i="12" s="1"/>
  <c r="T74" i="12" s="1"/>
  <c r="T73" i="12" s="1"/>
  <c r="T72" i="12" s="1"/>
  <c r="T71" i="12" s="1"/>
  <c r="T70" i="12" s="1"/>
  <c r="T69" i="12" s="1"/>
  <c r="T68" i="12" s="1"/>
  <c r="T67" i="12" s="1"/>
  <c r="T66" i="12" s="1"/>
  <c r="T65" i="12" s="1"/>
  <c r="T64" i="12" s="1"/>
  <c r="T63" i="12" s="1"/>
  <c r="T62" i="12" s="1"/>
  <c r="T61" i="12" s="1"/>
  <c r="T60" i="12" s="1"/>
  <c r="T59" i="12" s="1"/>
  <c r="T58" i="12" s="1"/>
  <c r="T57" i="12" s="1"/>
  <c r="T56" i="12" s="1"/>
  <c r="T55" i="12" s="1"/>
  <c r="T54" i="12" s="1"/>
  <c r="T53" i="12" s="1"/>
  <c r="T52" i="12" s="1"/>
  <c r="T51" i="12" s="1"/>
  <c r="T50" i="12" s="1"/>
  <c r="T49" i="12" s="1"/>
  <c r="T48" i="12" s="1"/>
  <c r="T47" i="12" s="1"/>
  <c r="T46" i="12" s="1"/>
  <c r="T45" i="12" s="1"/>
  <c r="T44" i="12" s="1"/>
  <c r="T43" i="12" s="1"/>
  <c r="T42" i="12" s="1"/>
  <c r="T41" i="12" s="1"/>
  <c r="T40" i="12" s="1"/>
  <c r="T39" i="12" s="1"/>
  <c r="T38" i="12" s="1"/>
  <c r="T37" i="12" s="1"/>
  <c r="T36" i="12" s="1"/>
  <c r="T35" i="12" s="1"/>
  <c r="T34" i="12" s="1"/>
  <c r="T33" i="12" s="1"/>
  <c r="T32" i="12" s="1"/>
  <c r="T31" i="12" s="1"/>
  <c r="T30" i="12" s="1"/>
  <c r="T29" i="12" s="1"/>
  <c r="T28" i="12" s="1"/>
  <c r="T27" i="12" s="1"/>
  <c r="T26" i="12" s="1"/>
  <c r="T25" i="12" s="1"/>
  <c r="T24" i="12" s="1"/>
  <c r="T23" i="12" s="1"/>
  <c r="T22" i="12" s="1"/>
  <c r="T21" i="12" s="1"/>
  <c r="T20" i="12" s="1"/>
  <c r="T19" i="12" s="1"/>
  <c r="T18" i="12" s="1"/>
  <c r="T17" i="12" s="1"/>
  <c r="T16" i="12" s="1"/>
  <c r="T15" i="12" s="1"/>
  <c r="T14" i="12" s="1"/>
  <c r="T13" i="12" s="1"/>
  <c r="T12" i="12" s="1"/>
  <c r="T11" i="12" s="1"/>
  <c r="T10" i="12" s="1"/>
  <c r="T9" i="12" s="1"/>
  <c r="T8" i="12" s="1"/>
  <c r="T7" i="12" s="1"/>
  <c r="T6" i="12" s="1"/>
  <c r="T5" i="12" s="1"/>
  <c r="S77" i="12"/>
  <c r="S76" i="12" s="1"/>
  <c r="S75" i="12" s="1"/>
  <c r="S74" i="12" s="1"/>
  <c r="S73" i="12" s="1"/>
  <c r="S72" i="12" s="1"/>
  <c r="S71" i="12" s="1"/>
  <c r="S70" i="12" s="1"/>
  <c r="S69" i="12" s="1"/>
  <c r="S68" i="12" s="1"/>
  <c r="S67" i="12" s="1"/>
  <c r="S66" i="12" s="1"/>
  <c r="S65" i="12" s="1"/>
  <c r="S64" i="12" s="1"/>
  <c r="S63" i="12" s="1"/>
  <c r="S62" i="12" s="1"/>
  <c r="S61" i="12" s="1"/>
  <c r="S60" i="12" s="1"/>
  <c r="S59" i="12" s="1"/>
  <c r="S58" i="12" s="1"/>
  <c r="S57" i="12" s="1"/>
  <c r="S56" i="12" s="1"/>
  <c r="S55" i="12" s="1"/>
  <c r="S54" i="12" s="1"/>
  <c r="S53" i="12" s="1"/>
  <c r="S52" i="12" s="1"/>
  <c r="S51" i="12" s="1"/>
  <c r="S50" i="12" s="1"/>
  <c r="S49" i="12" s="1"/>
  <c r="S48" i="12" s="1"/>
  <c r="S47" i="12" s="1"/>
  <c r="S46" i="12" s="1"/>
  <c r="S45" i="12" s="1"/>
  <c r="S44" i="12" s="1"/>
  <c r="S43" i="12" s="1"/>
  <c r="S42" i="12" s="1"/>
  <c r="S41" i="12" s="1"/>
  <c r="S40" i="12" s="1"/>
  <c r="S39" i="12" s="1"/>
  <c r="S38" i="12" s="1"/>
  <c r="S37" i="12" s="1"/>
  <c r="S36" i="12" s="1"/>
  <c r="S35" i="12" s="1"/>
  <c r="S34" i="12" s="1"/>
  <c r="S33" i="12" s="1"/>
  <c r="S32" i="12" s="1"/>
  <c r="S31" i="12" s="1"/>
  <c r="S30" i="12" s="1"/>
  <c r="S29" i="12" s="1"/>
  <c r="S28" i="12" s="1"/>
  <c r="S27" i="12" s="1"/>
  <c r="S26" i="12" s="1"/>
  <c r="S25" i="12" s="1"/>
  <c r="S24" i="12" s="1"/>
  <c r="S23" i="12" s="1"/>
  <c r="S22" i="12" s="1"/>
  <c r="S21" i="12" s="1"/>
  <c r="S20" i="12" s="1"/>
  <c r="S19" i="12" s="1"/>
  <c r="S18" i="12" s="1"/>
  <c r="S17" i="12" s="1"/>
  <c r="S16" i="12" s="1"/>
  <c r="S15" i="12" s="1"/>
  <c r="S14" i="12" s="1"/>
  <c r="S13" i="12" s="1"/>
  <c r="S12" i="12" s="1"/>
  <c r="S11" i="12" s="1"/>
  <c r="S10" i="12" s="1"/>
  <c r="S9" i="12" s="1"/>
  <c r="S8" i="12" s="1"/>
  <c r="S7" i="12" s="1"/>
  <c r="S6" i="12" s="1"/>
  <c r="S5" i="12" s="1"/>
  <c r="O78" i="12"/>
  <c r="V77" i="12" s="1"/>
  <c r="V76" i="12" s="1"/>
  <c r="V75" i="12" s="1"/>
  <c r="V74" i="12" s="1"/>
  <c r="V73" i="12" s="1"/>
  <c r="V72" i="12" s="1"/>
  <c r="V71" i="12" s="1"/>
  <c r="V70" i="12" s="1"/>
  <c r="V69" i="12" s="1"/>
  <c r="V68" i="12" s="1"/>
  <c r="V67" i="12" s="1"/>
  <c r="V66" i="12" s="1"/>
  <c r="V65" i="12" s="1"/>
  <c r="V64" i="12" s="1"/>
  <c r="V63" i="12" s="1"/>
  <c r="V62" i="12" s="1"/>
  <c r="V61" i="12" s="1"/>
  <c r="V60" i="12" s="1"/>
  <c r="V59" i="12" s="1"/>
  <c r="V58" i="12" s="1"/>
  <c r="V57" i="12" s="1"/>
  <c r="V56" i="12" s="1"/>
  <c r="V55" i="12" s="1"/>
  <c r="V54" i="12" s="1"/>
  <c r="V53" i="12" s="1"/>
  <c r="V52" i="12" s="1"/>
  <c r="V51" i="12" s="1"/>
  <c r="V50" i="12" s="1"/>
  <c r="V49" i="12" s="1"/>
  <c r="V48" i="12" s="1"/>
  <c r="V47" i="12" s="1"/>
  <c r="V46" i="12" s="1"/>
  <c r="V45" i="12" s="1"/>
  <c r="V44" i="12" s="1"/>
  <c r="V43" i="12" s="1"/>
  <c r="V42" i="12" s="1"/>
  <c r="V41" i="12" s="1"/>
  <c r="V40" i="12" s="1"/>
  <c r="V39" i="12" s="1"/>
  <c r="V38" i="12" s="1"/>
  <c r="V37" i="12" s="1"/>
  <c r="V36" i="12" s="1"/>
  <c r="V35" i="12" s="1"/>
  <c r="V34" i="12" s="1"/>
  <c r="V33" i="12" s="1"/>
  <c r="V32" i="12" s="1"/>
  <c r="V31" i="12" s="1"/>
  <c r="V30" i="12" s="1"/>
  <c r="V29" i="12" s="1"/>
  <c r="V28" i="12" s="1"/>
  <c r="V27" i="12" s="1"/>
  <c r="V26" i="12" s="1"/>
  <c r="V25" i="12" s="1"/>
  <c r="V24" i="12" s="1"/>
  <c r="V23" i="12" s="1"/>
  <c r="V22" i="12" s="1"/>
  <c r="V21" i="12" s="1"/>
  <c r="V20" i="12" s="1"/>
  <c r="V19" i="12" s="1"/>
  <c r="V18" i="12" s="1"/>
  <c r="V17" i="12" s="1"/>
  <c r="V16" i="12" s="1"/>
  <c r="V15" i="12" s="1"/>
  <c r="V14" i="12" s="1"/>
  <c r="V13" i="12" s="1"/>
  <c r="V12" i="12" s="1"/>
  <c r="V11" i="12" s="1"/>
  <c r="V10" i="12" s="1"/>
  <c r="V9" i="12" s="1"/>
  <c r="V8" i="12" s="1"/>
  <c r="V7" i="12" s="1"/>
  <c r="V6" i="12" s="1"/>
  <c r="V5" i="12" s="1"/>
  <c r="U77" i="12"/>
  <c r="U76" i="12" s="1"/>
  <c r="U75" i="12" s="1"/>
  <c r="U74" i="12" s="1"/>
  <c r="U73" i="12" s="1"/>
  <c r="U72" i="12" s="1"/>
  <c r="U71" i="12" s="1"/>
  <c r="U70" i="12" s="1"/>
  <c r="U69" i="12" s="1"/>
  <c r="U68" i="12" s="1"/>
  <c r="U67" i="12" s="1"/>
  <c r="U66" i="12" s="1"/>
  <c r="U65" i="12" s="1"/>
  <c r="U64" i="12" s="1"/>
  <c r="U63" i="12" s="1"/>
  <c r="U62" i="12" s="1"/>
  <c r="U61" i="12" s="1"/>
  <c r="U60" i="12" s="1"/>
  <c r="U59" i="12" s="1"/>
  <c r="U58" i="12" s="1"/>
  <c r="U57" i="12" s="1"/>
  <c r="U56" i="12" s="1"/>
  <c r="U55" i="12" s="1"/>
  <c r="U54" i="12" s="1"/>
  <c r="U53" i="12" s="1"/>
  <c r="U52" i="12" s="1"/>
  <c r="U51" i="12" s="1"/>
  <c r="U50" i="12" s="1"/>
  <c r="U49" i="12" s="1"/>
  <c r="U48" i="12" s="1"/>
  <c r="U47" i="12" s="1"/>
  <c r="U46" i="12" s="1"/>
  <c r="U45" i="12" s="1"/>
  <c r="U44" i="12" s="1"/>
  <c r="U43" i="12" s="1"/>
  <c r="U42" i="12" s="1"/>
  <c r="U41" i="12" s="1"/>
  <c r="U40" i="12" s="1"/>
  <c r="U39" i="12" s="1"/>
  <c r="U38" i="12" s="1"/>
  <c r="U37" i="12" s="1"/>
  <c r="U36" i="12" s="1"/>
  <c r="U35" i="12" s="1"/>
  <c r="U34" i="12" s="1"/>
  <c r="U33" i="12" s="1"/>
  <c r="U32" i="12" s="1"/>
  <c r="U31" i="12" s="1"/>
  <c r="U30" i="12" s="1"/>
  <c r="U29" i="12" s="1"/>
  <c r="U28" i="12" s="1"/>
  <c r="U27" i="12" s="1"/>
  <c r="U26" i="12" s="1"/>
  <c r="U25" i="12" s="1"/>
  <c r="U24" i="12" s="1"/>
  <c r="U23" i="12" s="1"/>
  <c r="U22" i="12" s="1"/>
  <c r="U21" i="12" s="1"/>
  <c r="U20" i="12" s="1"/>
  <c r="U19" i="12" s="1"/>
  <c r="U18" i="12" s="1"/>
  <c r="U17" i="12" s="1"/>
  <c r="U16" i="12" s="1"/>
  <c r="U15" i="12" s="1"/>
  <c r="U14" i="12" s="1"/>
  <c r="U13" i="12" s="1"/>
  <c r="U12" i="12" s="1"/>
  <c r="U11" i="12" s="1"/>
  <c r="U10" i="12" s="1"/>
  <c r="U9" i="12" s="1"/>
  <c r="U8" i="12" s="1"/>
  <c r="U7" i="12" s="1"/>
  <c r="U6" i="12" s="1"/>
  <c r="U5" i="12" s="1"/>
  <c r="AA77" i="12"/>
  <c r="AB77" i="12" s="1"/>
  <c r="Q53" i="2"/>
  <c r="P53" i="2"/>
  <c r="L53" i="2"/>
  <c r="N53" i="2"/>
  <c r="O53" i="2" s="1"/>
  <c r="AA76" i="11"/>
  <c r="AB76" i="11" s="1"/>
  <c r="M77" i="11"/>
  <c r="G78" i="11"/>
  <c r="H78" i="11" s="1"/>
  <c r="AD77" i="13" l="1"/>
  <c r="R76" i="13"/>
  <c r="O78" i="13"/>
  <c r="V77" i="13" s="1"/>
  <c r="V76" i="13" s="1"/>
  <c r="V75" i="13" s="1"/>
  <c r="V74" i="13" s="1"/>
  <c r="V73" i="13" s="1"/>
  <c r="V72" i="13" s="1"/>
  <c r="V71" i="13" s="1"/>
  <c r="V70" i="13" s="1"/>
  <c r="V69" i="13" s="1"/>
  <c r="V68" i="13" s="1"/>
  <c r="V67" i="13" s="1"/>
  <c r="V66" i="13" s="1"/>
  <c r="V65" i="13" s="1"/>
  <c r="V64" i="13" s="1"/>
  <c r="V63" i="13" s="1"/>
  <c r="V62" i="13" s="1"/>
  <c r="V61" i="13" s="1"/>
  <c r="V60" i="13" s="1"/>
  <c r="V59" i="13" s="1"/>
  <c r="V58" i="13" s="1"/>
  <c r="V57" i="13" s="1"/>
  <c r="V56" i="13" s="1"/>
  <c r="V55" i="13" s="1"/>
  <c r="V54" i="13" s="1"/>
  <c r="V53" i="13" s="1"/>
  <c r="V52" i="13" s="1"/>
  <c r="V51" i="13" s="1"/>
  <c r="V50" i="13" s="1"/>
  <c r="V49" i="13" s="1"/>
  <c r="V48" i="13" s="1"/>
  <c r="V47" i="13" s="1"/>
  <c r="V46" i="13" s="1"/>
  <c r="V45" i="13" s="1"/>
  <c r="V44" i="13" s="1"/>
  <c r="V43" i="13" s="1"/>
  <c r="V42" i="13" s="1"/>
  <c r="V41" i="13" s="1"/>
  <c r="V40" i="13" s="1"/>
  <c r="V39" i="13" s="1"/>
  <c r="V38" i="13" s="1"/>
  <c r="V37" i="13" s="1"/>
  <c r="V36" i="13" s="1"/>
  <c r="V35" i="13" s="1"/>
  <c r="V34" i="13" s="1"/>
  <c r="V33" i="13" s="1"/>
  <c r="V32" i="13" s="1"/>
  <c r="V31" i="13" s="1"/>
  <c r="V30" i="13" s="1"/>
  <c r="V29" i="13" s="1"/>
  <c r="V28" i="13" s="1"/>
  <c r="V27" i="13" s="1"/>
  <c r="V26" i="13" s="1"/>
  <c r="V25" i="13" s="1"/>
  <c r="V24" i="13" s="1"/>
  <c r="V23" i="13" s="1"/>
  <c r="V22" i="13" s="1"/>
  <c r="V21" i="13" s="1"/>
  <c r="V20" i="13" s="1"/>
  <c r="V19" i="13" s="1"/>
  <c r="V18" i="13" s="1"/>
  <c r="V17" i="13" s="1"/>
  <c r="V16" i="13" s="1"/>
  <c r="V15" i="13" s="1"/>
  <c r="V14" i="13" s="1"/>
  <c r="V13" i="13" s="1"/>
  <c r="V12" i="13" s="1"/>
  <c r="V11" i="13" s="1"/>
  <c r="V10" i="13" s="1"/>
  <c r="V9" i="13" s="1"/>
  <c r="V8" i="13" s="1"/>
  <c r="V7" i="13" s="1"/>
  <c r="V6" i="13" s="1"/>
  <c r="V5" i="13" s="1"/>
  <c r="U77" i="13"/>
  <c r="U76" i="13" s="1"/>
  <c r="U75" i="13" s="1"/>
  <c r="U74" i="13" s="1"/>
  <c r="U73" i="13" s="1"/>
  <c r="U72" i="13" s="1"/>
  <c r="U71" i="13" s="1"/>
  <c r="U70" i="13" s="1"/>
  <c r="U69" i="13" s="1"/>
  <c r="U68" i="13" s="1"/>
  <c r="U67" i="13" s="1"/>
  <c r="U66" i="13" s="1"/>
  <c r="U65" i="13" s="1"/>
  <c r="U64" i="13" s="1"/>
  <c r="U63" i="13" s="1"/>
  <c r="U62" i="13" s="1"/>
  <c r="U61" i="13" s="1"/>
  <c r="U60" i="13" s="1"/>
  <c r="U59" i="13" s="1"/>
  <c r="U58" i="13" s="1"/>
  <c r="U57" i="13" s="1"/>
  <c r="U56" i="13" s="1"/>
  <c r="U55" i="13" s="1"/>
  <c r="U54" i="13" s="1"/>
  <c r="U53" i="13" s="1"/>
  <c r="U52" i="13" s="1"/>
  <c r="U51" i="13" s="1"/>
  <c r="U50" i="13" s="1"/>
  <c r="U49" i="13" s="1"/>
  <c r="U48" i="13" s="1"/>
  <c r="U47" i="13" s="1"/>
  <c r="U46" i="13" s="1"/>
  <c r="U45" i="13" s="1"/>
  <c r="U44" i="13" s="1"/>
  <c r="U43" i="13" s="1"/>
  <c r="U42" i="13" s="1"/>
  <c r="U41" i="13" s="1"/>
  <c r="U40" i="13" s="1"/>
  <c r="U39" i="13" s="1"/>
  <c r="U38" i="13" s="1"/>
  <c r="U37" i="13" s="1"/>
  <c r="U36" i="13" s="1"/>
  <c r="U35" i="13" s="1"/>
  <c r="U34" i="13" s="1"/>
  <c r="U33" i="13" s="1"/>
  <c r="U32" i="13" s="1"/>
  <c r="U31" i="13" s="1"/>
  <c r="U30" i="13" s="1"/>
  <c r="U29" i="13" s="1"/>
  <c r="U28" i="13" s="1"/>
  <c r="U27" i="13" s="1"/>
  <c r="U26" i="13" s="1"/>
  <c r="U25" i="13" s="1"/>
  <c r="U24" i="13" s="1"/>
  <c r="U23" i="13" s="1"/>
  <c r="U22" i="13" s="1"/>
  <c r="U21" i="13" s="1"/>
  <c r="U20" i="13" s="1"/>
  <c r="U19" i="13" s="1"/>
  <c r="U18" i="13" s="1"/>
  <c r="U17" i="13" s="1"/>
  <c r="U16" i="13" s="1"/>
  <c r="U15" i="13" s="1"/>
  <c r="U14" i="13" s="1"/>
  <c r="U13" i="13" s="1"/>
  <c r="U12" i="13" s="1"/>
  <c r="U11" i="13" s="1"/>
  <c r="U10" i="13" s="1"/>
  <c r="U9" i="13" s="1"/>
  <c r="U8" i="13" s="1"/>
  <c r="U7" i="13" s="1"/>
  <c r="U6" i="13" s="1"/>
  <c r="U5" i="13" s="1"/>
  <c r="M78" i="13"/>
  <c r="T77" i="13" s="1"/>
  <c r="T76" i="13" s="1"/>
  <c r="T75" i="13" s="1"/>
  <c r="T74" i="13" s="1"/>
  <c r="T73" i="13" s="1"/>
  <c r="T72" i="13" s="1"/>
  <c r="T71" i="13" s="1"/>
  <c r="T70" i="13" s="1"/>
  <c r="T69" i="13" s="1"/>
  <c r="T68" i="13" s="1"/>
  <c r="T67" i="13" s="1"/>
  <c r="T66" i="13" s="1"/>
  <c r="T65" i="13" s="1"/>
  <c r="T64" i="13" s="1"/>
  <c r="T63" i="13" s="1"/>
  <c r="T62" i="13" s="1"/>
  <c r="T61" i="13" s="1"/>
  <c r="T60" i="13" s="1"/>
  <c r="T59" i="13" s="1"/>
  <c r="T58" i="13" s="1"/>
  <c r="T57" i="13" s="1"/>
  <c r="T56" i="13" s="1"/>
  <c r="T55" i="13" s="1"/>
  <c r="T54" i="13" s="1"/>
  <c r="T53" i="13" s="1"/>
  <c r="T52" i="13" s="1"/>
  <c r="T51" i="13" s="1"/>
  <c r="T50" i="13" s="1"/>
  <c r="T49" i="13" s="1"/>
  <c r="T48" i="13" s="1"/>
  <c r="T47" i="13" s="1"/>
  <c r="T46" i="13" s="1"/>
  <c r="T45" i="13" s="1"/>
  <c r="T44" i="13" s="1"/>
  <c r="T43" i="13" s="1"/>
  <c r="T42" i="13" s="1"/>
  <c r="T41" i="13" s="1"/>
  <c r="T40" i="13" s="1"/>
  <c r="T39" i="13" s="1"/>
  <c r="T38" i="13" s="1"/>
  <c r="T37" i="13" s="1"/>
  <c r="T36" i="13" s="1"/>
  <c r="T35" i="13" s="1"/>
  <c r="T34" i="13" s="1"/>
  <c r="T33" i="13" s="1"/>
  <c r="T32" i="13" s="1"/>
  <c r="T31" i="13" s="1"/>
  <c r="T30" i="13" s="1"/>
  <c r="T29" i="13" s="1"/>
  <c r="T28" i="13" s="1"/>
  <c r="T27" i="13" s="1"/>
  <c r="T26" i="13" s="1"/>
  <c r="T25" i="13" s="1"/>
  <c r="T24" i="13" s="1"/>
  <c r="T23" i="13" s="1"/>
  <c r="T22" i="13" s="1"/>
  <c r="T21" i="13" s="1"/>
  <c r="T20" i="13" s="1"/>
  <c r="T19" i="13" s="1"/>
  <c r="T18" i="13" s="1"/>
  <c r="T17" i="13" s="1"/>
  <c r="T16" i="13" s="1"/>
  <c r="T15" i="13" s="1"/>
  <c r="T14" i="13" s="1"/>
  <c r="T13" i="13" s="1"/>
  <c r="T12" i="13" s="1"/>
  <c r="T11" i="13" s="1"/>
  <c r="T10" i="13" s="1"/>
  <c r="T9" i="13" s="1"/>
  <c r="T8" i="13" s="1"/>
  <c r="T7" i="13" s="1"/>
  <c r="T6" i="13" s="1"/>
  <c r="T5" i="13" s="1"/>
  <c r="S77" i="13"/>
  <c r="S76" i="13" s="1"/>
  <c r="S75" i="13" s="1"/>
  <c r="S74" i="13" s="1"/>
  <c r="S73" i="13" s="1"/>
  <c r="S72" i="13" s="1"/>
  <c r="S71" i="13" s="1"/>
  <c r="S70" i="13" s="1"/>
  <c r="S69" i="13" s="1"/>
  <c r="S68" i="13" s="1"/>
  <c r="S67" i="13" s="1"/>
  <c r="S66" i="13" s="1"/>
  <c r="S65" i="13" s="1"/>
  <c r="S64" i="13" s="1"/>
  <c r="S63" i="13" s="1"/>
  <c r="S62" i="13" s="1"/>
  <c r="S61" i="13" s="1"/>
  <c r="S60" i="13" s="1"/>
  <c r="S59" i="13" s="1"/>
  <c r="S58" i="13" s="1"/>
  <c r="S57" i="13" s="1"/>
  <c r="S56" i="13" s="1"/>
  <c r="S55" i="13" s="1"/>
  <c r="S54" i="13" s="1"/>
  <c r="S53" i="13" s="1"/>
  <c r="S52" i="13" s="1"/>
  <c r="S51" i="13" s="1"/>
  <c r="S50" i="13" s="1"/>
  <c r="S49" i="13" s="1"/>
  <c r="S48" i="13" s="1"/>
  <c r="S47" i="13" s="1"/>
  <c r="S46" i="13" s="1"/>
  <c r="S45" i="13" s="1"/>
  <c r="S44" i="13" s="1"/>
  <c r="S43" i="13" s="1"/>
  <c r="S42" i="13" s="1"/>
  <c r="S41" i="13" s="1"/>
  <c r="S40" i="13" s="1"/>
  <c r="S39" i="13" s="1"/>
  <c r="S38" i="13" s="1"/>
  <c r="S37" i="13" s="1"/>
  <c r="S36" i="13" s="1"/>
  <c r="S35" i="13" s="1"/>
  <c r="S34" i="13" s="1"/>
  <c r="S33" i="13" s="1"/>
  <c r="S32" i="13" s="1"/>
  <c r="S31" i="13" s="1"/>
  <c r="S30" i="13" s="1"/>
  <c r="S29" i="13" s="1"/>
  <c r="S28" i="13" s="1"/>
  <c r="S27" i="13" s="1"/>
  <c r="S26" i="13" s="1"/>
  <c r="S25" i="13" s="1"/>
  <c r="S24" i="13" s="1"/>
  <c r="S23" i="13" s="1"/>
  <c r="S22" i="13" s="1"/>
  <c r="S21" i="13" s="1"/>
  <c r="S20" i="13" s="1"/>
  <c r="S19" i="13" s="1"/>
  <c r="S18" i="13" s="1"/>
  <c r="S17" i="13" s="1"/>
  <c r="S16" i="13" s="1"/>
  <c r="S15" i="13" s="1"/>
  <c r="S14" i="13" s="1"/>
  <c r="S13" i="13" s="1"/>
  <c r="S12" i="13" s="1"/>
  <c r="S11" i="13" s="1"/>
  <c r="S10" i="13" s="1"/>
  <c r="S9" i="13" s="1"/>
  <c r="S8" i="13" s="1"/>
  <c r="S7" i="13" s="1"/>
  <c r="S6" i="13" s="1"/>
  <c r="S5" i="13" s="1"/>
  <c r="AA77" i="13"/>
  <c r="AB77" i="13" s="1"/>
  <c r="AD76" i="12"/>
  <c r="R75" i="12"/>
  <c r="Y76" i="12"/>
  <c r="AC76" i="12" s="1"/>
  <c r="Y77" i="12"/>
  <c r="AC77" i="12" s="1"/>
  <c r="AE77" i="12" s="1"/>
  <c r="M53" i="2"/>
  <c r="G54" i="2"/>
  <c r="H54" i="2" s="1"/>
  <c r="Z77" i="11"/>
  <c r="L78" i="11"/>
  <c r="Q78" i="11"/>
  <c r="X77" i="11" s="1"/>
  <c r="X76" i="11" s="1"/>
  <c r="X75" i="11" s="1"/>
  <c r="X74" i="11" s="1"/>
  <c r="X73" i="11" s="1"/>
  <c r="X72" i="11" s="1"/>
  <c r="X71" i="11" s="1"/>
  <c r="X70" i="11" s="1"/>
  <c r="X69" i="11" s="1"/>
  <c r="X68" i="11" s="1"/>
  <c r="X67" i="11" s="1"/>
  <c r="X66" i="11" s="1"/>
  <c r="X65" i="11" s="1"/>
  <c r="X64" i="11" s="1"/>
  <c r="X63" i="11" s="1"/>
  <c r="X62" i="11" s="1"/>
  <c r="X61" i="11" s="1"/>
  <c r="X60" i="11" s="1"/>
  <c r="X59" i="11" s="1"/>
  <c r="X58" i="11" s="1"/>
  <c r="X57" i="11" s="1"/>
  <c r="X56" i="11" s="1"/>
  <c r="X55" i="11" s="1"/>
  <c r="X54" i="11" s="1"/>
  <c r="X53" i="11" s="1"/>
  <c r="X52" i="11" s="1"/>
  <c r="X51" i="11" s="1"/>
  <c r="X50" i="11" s="1"/>
  <c r="X49" i="11" s="1"/>
  <c r="X48" i="11" s="1"/>
  <c r="X47" i="11" s="1"/>
  <c r="X46" i="11" s="1"/>
  <c r="X45" i="11" s="1"/>
  <c r="X44" i="11" s="1"/>
  <c r="X43" i="11" s="1"/>
  <c r="X42" i="11" s="1"/>
  <c r="X41" i="11" s="1"/>
  <c r="X40" i="11" s="1"/>
  <c r="X39" i="11" s="1"/>
  <c r="X38" i="11" s="1"/>
  <c r="X37" i="11" s="1"/>
  <c r="X36" i="11" s="1"/>
  <c r="X35" i="11" s="1"/>
  <c r="X34" i="11" s="1"/>
  <c r="X33" i="11" s="1"/>
  <c r="X32" i="11" s="1"/>
  <c r="X31" i="11" s="1"/>
  <c r="X30" i="11" s="1"/>
  <c r="X29" i="11" s="1"/>
  <c r="X28" i="11" s="1"/>
  <c r="X27" i="11" s="1"/>
  <c r="X26" i="11" s="1"/>
  <c r="X25" i="11" s="1"/>
  <c r="X24" i="11" s="1"/>
  <c r="X23" i="11" s="1"/>
  <c r="X22" i="11" s="1"/>
  <c r="X21" i="11" s="1"/>
  <c r="X20" i="11" s="1"/>
  <c r="X19" i="11" s="1"/>
  <c r="X18" i="11" s="1"/>
  <c r="X17" i="11" s="1"/>
  <c r="X16" i="11" s="1"/>
  <c r="X15" i="11" s="1"/>
  <c r="X14" i="11" s="1"/>
  <c r="X13" i="11" s="1"/>
  <c r="X12" i="11" s="1"/>
  <c r="X11" i="11" s="1"/>
  <c r="X10" i="11" s="1"/>
  <c r="X9" i="11" s="1"/>
  <c r="X8" i="11" s="1"/>
  <c r="X7" i="11" s="1"/>
  <c r="X6" i="11" s="1"/>
  <c r="X5" i="11" s="1"/>
  <c r="P78" i="11"/>
  <c r="W77" i="11" s="1"/>
  <c r="W76" i="11" s="1"/>
  <c r="W75" i="11" s="1"/>
  <c r="W74" i="11" s="1"/>
  <c r="W73" i="11" s="1"/>
  <c r="W72" i="11" s="1"/>
  <c r="W71" i="11" s="1"/>
  <c r="W70" i="11" s="1"/>
  <c r="W69" i="11" s="1"/>
  <c r="W68" i="11" s="1"/>
  <c r="W67" i="11" s="1"/>
  <c r="W66" i="11" s="1"/>
  <c r="W65" i="11" s="1"/>
  <c r="W64" i="11" s="1"/>
  <c r="W63" i="11" s="1"/>
  <c r="W62" i="11" s="1"/>
  <c r="W61" i="11" s="1"/>
  <c r="W60" i="11" s="1"/>
  <c r="W59" i="11" s="1"/>
  <c r="W58" i="11" s="1"/>
  <c r="W57" i="11" s="1"/>
  <c r="W56" i="11" s="1"/>
  <c r="W55" i="11" s="1"/>
  <c r="W54" i="11" s="1"/>
  <c r="W53" i="11" s="1"/>
  <c r="W52" i="11" s="1"/>
  <c r="W51" i="11" s="1"/>
  <c r="W50" i="11" s="1"/>
  <c r="W49" i="11" s="1"/>
  <c r="W48" i="11" s="1"/>
  <c r="W47" i="11" s="1"/>
  <c r="W46" i="11" s="1"/>
  <c r="W45" i="11" s="1"/>
  <c r="W44" i="11" s="1"/>
  <c r="W43" i="11" s="1"/>
  <c r="W42" i="11" s="1"/>
  <c r="W41" i="11" s="1"/>
  <c r="W40" i="11" s="1"/>
  <c r="W39" i="11" s="1"/>
  <c r="W38" i="11" s="1"/>
  <c r="W37" i="11" s="1"/>
  <c r="W36" i="11" s="1"/>
  <c r="W35" i="11" s="1"/>
  <c r="W34" i="11" s="1"/>
  <c r="W33" i="11" s="1"/>
  <c r="W32" i="11" s="1"/>
  <c r="W31" i="11" s="1"/>
  <c r="W30" i="11" s="1"/>
  <c r="W29" i="11" s="1"/>
  <c r="W28" i="11" s="1"/>
  <c r="W27" i="11" s="1"/>
  <c r="W26" i="11" s="1"/>
  <c r="W25" i="11" s="1"/>
  <c r="W24" i="11" s="1"/>
  <c r="W23" i="11" s="1"/>
  <c r="W22" i="11" s="1"/>
  <c r="W21" i="11" s="1"/>
  <c r="W20" i="11" s="1"/>
  <c r="W19" i="11" s="1"/>
  <c r="W18" i="11" s="1"/>
  <c r="W17" i="11" s="1"/>
  <c r="W16" i="11" s="1"/>
  <c r="W15" i="11" s="1"/>
  <c r="W14" i="11" s="1"/>
  <c r="W13" i="11" s="1"/>
  <c r="W12" i="11" s="1"/>
  <c r="W11" i="11" s="1"/>
  <c r="W10" i="11" s="1"/>
  <c r="W9" i="11" s="1"/>
  <c r="W8" i="11" s="1"/>
  <c r="W7" i="11" s="1"/>
  <c r="W6" i="11" s="1"/>
  <c r="W5" i="11" s="1"/>
  <c r="N78" i="11"/>
  <c r="R77" i="11"/>
  <c r="AD76" i="13" l="1"/>
  <c r="R75" i="13"/>
  <c r="Y76" i="13"/>
  <c r="AC76" i="13" s="1"/>
  <c r="AE76" i="13" s="1"/>
  <c r="Y77" i="13"/>
  <c r="AC77" i="13" s="1"/>
  <c r="AE77" i="13" s="1"/>
  <c r="AE76" i="12"/>
  <c r="AD75" i="12"/>
  <c r="R74" i="12"/>
  <c r="Y75" i="12"/>
  <c r="AC75" i="12" s="1"/>
  <c r="AE75" i="12" s="1"/>
  <c r="O78" i="11"/>
  <c r="V77" i="11" s="1"/>
  <c r="V76" i="11" s="1"/>
  <c r="V75" i="11" s="1"/>
  <c r="V74" i="11" s="1"/>
  <c r="V73" i="11" s="1"/>
  <c r="V72" i="11" s="1"/>
  <c r="V71" i="11" s="1"/>
  <c r="V70" i="11" s="1"/>
  <c r="V69" i="11" s="1"/>
  <c r="V68" i="11" s="1"/>
  <c r="V67" i="11" s="1"/>
  <c r="V66" i="11" s="1"/>
  <c r="V65" i="11" s="1"/>
  <c r="V64" i="11" s="1"/>
  <c r="V63" i="11" s="1"/>
  <c r="V62" i="11" s="1"/>
  <c r="V61" i="11" s="1"/>
  <c r="V60" i="11" s="1"/>
  <c r="V59" i="11" s="1"/>
  <c r="V58" i="11" s="1"/>
  <c r="V57" i="11" s="1"/>
  <c r="V56" i="11" s="1"/>
  <c r="V55" i="11" s="1"/>
  <c r="V54" i="11" s="1"/>
  <c r="V53" i="11" s="1"/>
  <c r="V52" i="11" s="1"/>
  <c r="V51" i="11" s="1"/>
  <c r="V50" i="11" s="1"/>
  <c r="V49" i="11" s="1"/>
  <c r="V48" i="11" s="1"/>
  <c r="V47" i="11" s="1"/>
  <c r="V46" i="11" s="1"/>
  <c r="V45" i="11" s="1"/>
  <c r="V44" i="11" s="1"/>
  <c r="V43" i="11" s="1"/>
  <c r="V42" i="11" s="1"/>
  <c r="V41" i="11" s="1"/>
  <c r="V40" i="11" s="1"/>
  <c r="V39" i="11" s="1"/>
  <c r="V38" i="11" s="1"/>
  <c r="V37" i="11" s="1"/>
  <c r="V36" i="11" s="1"/>
  <c r="V35" i="11" s="1"/>
  <c r="V34" i="11" s="1"/>
  <c r="V33" i="11" s="1"/>
  <c r="V32" i="11" s="1"/>
  <c r="V31" i="11" s="1"/>
  <c r="V30" i="11" s="1"/>
  <c r="V29" i="11" s="1"/>
  <c r="V28" i="11" s="1"/>
  <c r="V27" i="11" s="1"/>
  <c r="V26" i="11" s="1"/>
  <c r="V25" i="11" s="1"/>
  <c r="V24" i="11" s="1"/>
  <c r="V23" i="11" s="1"/>
  <c r="V22" i="11" s="1"/>
  <c r="V21" i="11" s="1"/>
  <c r="V20" i="11" s="1"/>
  <c r="V19" i="11" s="1"/>
  <c r="V18" i="11" s="1"/>
  <c r="V17" i="11" s="1"/>
  <c r="V16" i="11" s="1"/>
  <c r="V15" i="11" s="1"/>
  <c r="V14" i="11" s="1"/>
  <c r="V13" i="11" s="1"/>
  <c r="V12" i="11" s="1"/>
  <c r="V11" i="11" s="1"/>
  <c r="V10" i="11" s="1"/>
  <c r="V9" i="11" s="1"/>
  <c r="V8" i="11" s="1"/>
  <c r="V7" i="11" s="1"/>
  <c r="V6" i="11" s="1"/>
  <c r="V5" i="11" s="1"/>
  <c r="U77" i="11"/>
  <c r="U76" i="11" s="1"/>
  <c r="U75" i="11" s="1"/>
  <c r="U74" i="11" s="1"/>
  <c r="U73" i="11" s="1"/>
  <c r="U72" i="11" s="1"/>
  <c r="U71" i="11" s="1"/>
  <c r="U70" i="11" s="1"/>
  <c r="U69" i="11" s="1"/>
  <c r="U68" i="11" s="1"/>
  <c r="U67" i="11" s="1"/>
  <c r="U66" i="11" s="1"/>
  <c r="U65" i="11" s="1"/>
  <c r="U64" i="11" s="1"/>
  <c r="U63" i="11" s="1"/>
  <c r="U62" i="11" s="1"/>
  <c r="U61" i="11" s="1"/>
  <c r="U60" i="11" s="1"/>
  <c r="U59" i="11" s="1"/>
  <c r="U58" i="11" s="1"/>
  <c r="U57" i="11" s="1"/>
  <c r="U56" i="11" s="1"/>
  <c r="U55" i="11" s="1"/>
  <c r="U54" i="11" s="1"/>
  <c r="U53" i="11" s="1"/>
  <c r="U52" i="11" s="1"/>
  <c r="U51" i="11" s="1"/>
  <c r="U50" i="11" s="1"/>
  <c r="U49" i="11" s="1"/>
  <c r="U48" i="11" s="1"/>
  <c r="U47" i="11" s="1"/>
  <c r="U46" i="11" s="1"/>
  <c r="U45" i="11" s="1"/>
  <c r="U44" i="11" s="1"/>
  <c r="U43" i="11" s="1"/>
  <c r="U42" i="11" s="1"/>
  <c r="U41" i="11" s="1"/>
  <c r="U40" i="11" s="1"/>
  <c r="U39" i="11" s="1"/>
  <c r="U38" i="11" s="1"/>
  <c r="U37" i="11" s="1"/>
  <c r="U36" i="11" s="1"/>
  <c r="U35" i="11" s="1"/>
  <c r="U34" i="11" s="1"/>
  <c r="U33" i="11" s="1"/>
  <c r="U32" i="11" s="1"/>
  <c r="U31" i="11" s="1"/>
  <c r="U30" i="11" s="1"/>
  <c r="U29" i="11" s="1"/>
  <c r="U28" i="11" s="1"/>
  <c r="U27" i="11" s="1"/>
  <c r="U26" i="11" s="1"/>
  <c r="U25" i="11" s="1"/>
  <c r="U24" i="11" s="1"/>
  <c r="U23" i="11" s="1"/>
  <c r="U22" i="11" s="1"/>
  <c r="U21" i="11" s="1"/>
  <c r="U20" i="11" s="1"/>
  <c r="U19" i="11" s="1"/>
  <c r="U18" i="11" s="1"/>
  <c r="U17" i="11" s="1"/>
  <c r="U16" i="11" s="1"/>
  <c r="U15" i="11" s="1"/>
  <c r="U14" i="11" s="1"/>
  <c r="U13" i="11" s="1"/>
  <c r="U12" i="11" s="1"/>
  <c r="U11" i="11" s="1"/>
  <c r="U10" i="11" s="1"/>
  <c r="U9" i="11" s="1"/>
  <c r="U8" i="11" s="1"/>
  <c r="U7" i="11" s="1"/>
  <c r="U6" i="11" s="1"/>
  <c r="U5" i="11" s="1"/>
  <c r="M78" i="11"/>
  <c r="T77" i="11" s="1"/>
  <c r="T76" i="11" s="1"/>
  <c r="T75" i="11" s="1"/>
  <c r="T74" i="11" s="1"/>
  <c r="T73" i="11" s="1"/>
  <c r="T72" i="11" s="1"/>
  <c r="T71" i="11" s="1"/>
  <c r="T70" i="11" s="1"/>
  <c r="T69" i="11" s="1"/>
  <c r="T68" i="11" s="1"/>
  <c r="T67" i="11" s="1"/>
  <c r="T66" i="11" s="1"/>
  <c r="T65" i="11" s="1"/>
  <c r="T64" i="11" s="1"/>
  <c r="T63" i="11" s="1"/>
  <c r="T62" i="11" s="1"/>
  <c r="T61" i="11" s="1"/>
  <c r="T60" i="11" s="1"/>
  <c r="T59" i="11" s="1"/>
  <c r="T58" i="11" s="1"/>
  <c r="T57" i="11" s="1"/>
  <c r="T56" i="11" s="1"/>
  <c r="T55" i="11" s="1"/>
  <c r="T54" i="11" s="1"/>
  <c r="T53" i="11" s="1"/>
  <c r="T52" i="11" s="1"/>
  <c r="T51" i="11" s="1"/>
  <c r="T50" i="11" s="1"/>
  <c r="T49" i="11" s="1"/>
  <c r="T48" i="11" s="1"/>
  <c r="T47" i="11" s="1"/>
  <c r="T46" i="11" s="1"/>
  <c r="T45" i="11" s="1"/>
  <c r="T44" i="11" s="1"/>
  <c r="T43" i="11" s="1"/>
  <c r="T42" i="11" s="1"/>
  <c r="T41" i="11" s="1"/>
  <c r="T40" i="11" s="1"/>
  <c r="T39" i="11" s="1"/>
  <c r="T38" i="11" s="1"/>
  <c r="T37" i="11" s="1"/>
  <c r="T36" i="11" s="1"/>
  <c r="T35" i="11" s="1"/>
  <c r="T34" i="11" s="1"/>
  <c r="T33" i="11" s="1"/>
  <c r="T32" i="11" s="1"/>
  <c r="T31" i="11" s="1"/>
  <c r="T30" i="11" s="1"/>
  <c r="T29" i="11" s="1"/>
  <c r="T28" i="11" s="1"/>
  <c r="T27" i="11" s="1"/>
  <c r="T26" i="11" s="1"/>
  <c r="T25" i="11" s="1"/>
  <c r="T24" i="11" s="1"/>
  <c r="T23" i="11" s="1"/>
  <c r="T22" i="11" s="1"/>
  <c r="T21" i="11" s="1"/>
  <c r="T20" i="11" s="1"/>
  <c r="T19" i="11" s="1"/>
  <c r="T18" i="11" s="1"/>
  <c r="T17" i="11" s="1"/>
  <c r="T16" i="11" s="1"/>
  <c r="T15" i="11" s="1"/>
  <c r="T14" i="11" s="1"/>
  <c r="T13" i="11" s="1"/>
  <c r="T12" i="11" s="1"/>
  <c r="T11" i="11" s="1"/>
  <c r="T10" i="11" s="1"/>
  <c r="T9" i="11" s="1"/>
  <c r="T8" i="11" s="1"/>
  <c r="T7" i="11" s="1"/>
  <c r="T6" i="11" s="1"/>
  <c r="T5" i="11" s="1"/>
  <c r="S77" i="11"/>
  <c r="S76" i="11" s="1"/>
  <c r="S75" i="11" s="1"/>
  <c r="S74" i="11" s="1"/>
  <c r="S73" i="11" s="1"/>
  <c r="S72" i="11" s="1"/>
  <c r="S71" i="11" s="1"/>
  <c r="S70" i="11" s="1"/>
  <c r="S69" i="11" s="1"/>
  <c r="S68" i="11" s="1"/>
  <c r="S67" i="11" s="1"/>
  <c r="S66" i="11" s="1"/>
  <c r="S65" i="11" s="1"/>
  <c r="S64" i="11" s="1"/>
  <c r="S63" i="11" s="1"/>
  <c r="S62" i="11" s="1"/>
  <c r="S61" i="11" s="1"/>
  <c r="S60" i="11" s="1"/>
  <c r="S59" i="11" s="1"/>
  <c r="S58" i="11" s="1"/>
  <c r="S57" i="11" s="1"/>
  <c r="S56" i="11" s="1"/>
  <c r="S55" i="11" s="1"/>
  <c r="S54" i="11" s="1"/>
  <c r="S53" i="11" s="1"/>
  <c r="S52" i="11" s="1"/>
  <c r="S51" i="11" s="1"/>
  <c r="S50" i="11" s="1"/>
  <c r="S49" i="11" s="1"/>
  <c r="S48" i="11" s="1"/>
  <c r="S47" i="11" s="1"/>
  <c r="S46" i="11" s="1"/>
  <c r="S45" i="11" s="1"/>
  <c r="S44" i="11" s="1"/>
  <c r="S43" i="11" s="1"/>
  <c r="S42" i="11" s="1"/>
  <c r="S41" i="11" s="1"/>
  <c r="S40" i="11" s="1"/>
  <c r="S39" i="11" s="1"/>
  <c r="S38" i="11" s="1"/>
  <c r="S37" i="11" s="1"/>
  <c r="S36" i="11" s="1"/>
  <c r="S35" i="11" s="1"/>
  <c r="S34" i="11" s="1"/>
  <c r="S33" i="11" s="1"/>
  <c r="S32" i="11" s="1"/>
  <c r="S31" i="11" s="1"/>
  <c r="S30" i="11" s="1"/>
  <c r="S29" i="11" s="1"/>
  <c r="S28" i="11" s="1"/>
  <c r="S27" i="11" s="1"/>
  <c r="S26" i="11" s="1"/>
  <c r="S25" i="11" s="1"/>
  <c r="S24" i="11" s="1"/>
  <c r="S23" i="11" s="1"/>
  <c r="S22" i="11" s="1"/>
  <c r="S21" i="11" s="1"/>
  <c r="S20" i="11" s="1"/>
  <c r="S19" i="11" s="1"/>
  <c r="S18" i="11" s="1"/>
  <c r="S17" i="11" s="1"/>
  <c r="S16" i="11" s="1"/>
  <c r="S15" i="11" s="1"/>
  <c r="S14" i="11" s="1"/>
  <c r="S13" i="11" s="1"/>
  <c r="S12" i="11" s="1"/>
  <c r="S11" i="11" s="1"/>
  <c r="S10" i="11" s="1"/>
  <c r="S9" i="11" s="1"/>
  <c r="S8" i="11" s="1"/>
  <c r="S7" i="11" s="1"/>
  <c r="S6" i="11" s="1"/>
  <c r="S5" i="11" s="1"/>
  <c r="AD77" i="11"/>
  <c r="R76" i="11"/>
  <c r="AA77" i="11"/>
  <c r="AB77" i="11" s="1"/>
  <c r="AD75" i="13" l="1"/>
  <c r="R74" i="13"/>
  <c r="Y75" i="13"/>
  <c r="AC75" i="13" s="1"/>
  <c r="AE75" i="13" s="1"/>
  <c r="R73" i="12"/>
  <c r="Y74" i="12"/>
  <c r="AC74" i="12" s="1"/>
  <c r="AD74" i="12"/>
  <c r="P54" i="2"/>
  <c r="Q54" i="2"/>
  <c r="N54" i="2"/>
  <c r="O54" i="2" s="1"/>
  <c r="L54" i="2"/>
  <c r="Z53" i="2"/>
  <c r="AA53" i="2" s="1"/>
  <c r="AB53" i="2" s="1"/>
  <c r="AD76" i="11"/>
  <c r="R75" i="11"/>
  <c r="Y76" i="11"/>
  <c r="AC76" i="11" s="1"/>
  <c r="AE76" i="11" s="1"/>
  <c r="Y77" i="11"/>
  <c r="AC77" i="11" s="1"/>
  <c r="AE77" i="11" s="1"/>
  <c r="R73" i="13" l="1"/>
  <c r="Y74" i="13"/>
  <c r="AC74" i="13" s="1"/>
  <c r="AD74" i="13"/>
  <c r="AE74" i="12"/>
  <c r="Y73" i="12"/>
  <c r="AC73" i="12" s="1"/>
  <c r="AD73" i="12"/>
  <c r="R72" i="12"/>
  <c r="G55" i="2"/>
  <c r="H55" i="2" s="1"/>
  <c r="M54" i="2"/>
  <c r="AD75" i="11"/>
  <c r="R74" i="11"/>
  <c r="Y75" i="11"/>
  <c r="AC75" i="11" s="1"/>
  <c r="AE74" i="13" l="1"/>
  <c r="Y73" i="13"/>
  <c r="AC73" i="13" s="1"/>
  <c r="AD73" i="13"/>
  <c r="R72" i="13"/>
  <c r="AE75" i="11"/>
  <c r="AE73" i="12"/>
  <c r="AD72" i="12"/>
  <c r="R71" i="12"/>
  <c r="Y72" i="12"/>
  <c r="AC72" i="12" s="1"/>
  <c r="Z54" i="2"/>
  <c r="AA54" i="2" s="1"/>
  <c r="AB54" i="2" s="1"/>
  <c r="R73" i="11"/>
  <c r="Y74" i="11"/>
  <c r="AC74" i="11" s="1"/>
  <c r="AD74" i="11"/>
  <c r="AE72" i="12" l="1"/>
  <c r="AE73" i="13"/>
  <c r="AD72" i="13"/>
  <c r="R71" i="13"/>
  <c r="Y72" i="13"/>
  <c r="AC72" i="13" s="1"/>
  <c r="AE72" i="13" s="1"/>
  <c r="AD71" i="12"/>
  <c r="R70" i="12"/>
  <c r="Y71" i="12"/>
  <c r="AC71" i="12" s="1"/>
  <c r="AE71" i="12" s="1"/>
  <c r="L55" i="2"/>
  <c r="Q55" i="2"/>
  <c r="N55" i="2"/>
  <c r="O55" i="2" s="1"/>
  <c r="P55" i="2"/>
  <c r="AE74" i="11"/>
  <c r="Y73" i="11"/>
  <c r="AC73" i="11" s="1"/>
  <c r="AD73" i="11"/>
  <c r="R72" i="11"/>
  <c r="AD71" i="13" l="1"/>
  <c r="R70" i="13"/>
  <c r="Y71" i="13"/>
  <c r="AC71" i="13" s="1"/>
  <c r="AE71" i="13" s="1"/>
  <c r="R69" i="12"/>
  <c r="Y70" i="12"/>
  <c r="AC70" i="12" s="1"/>
  <c r="AD70" i="12"/>
  <c r="M55" i="2"/>
  <c r="G56" i="2"/>
  <c r="H56" i="2" s="1"/>
  <c r="AD72" i="11"/>
  <c r="R71" i="11"/>
  <c r="Y72" i="11"/>
  <c r="AC72" i="11" s="1"/>
  <c r="AE73" i="11"/>
  <c r="R69" i="13" l="1"/>
  <c r="Y70" i="13"/>
  <c r="AC70" i="13" s="1"/>
  <c r="AD70" i="13"/>
  <c r="AE72" i="11"/>
  <c r="AE70" i="12"/>
  <c r="Y69" i="12"/>
  <c r="AC69" i="12" s="1"/>
  <c r="AD69" i="12"/>
  <c r="R68" i="12"/>
  <c r="AD71" i="11"/>
  <c r="R70" i="11"/>
  <c r="Y71" i="11"/>
  <c r="AC71" i="11" s="1"/>
  <c r="AE71" i="11" s="1"/>
  <c r="AE70" i="13" l="1"/>
  <c r="Y69" i="13"/>
  <c r="AC69" i="13" s="1"/>
  <c r="AD69" i="13"/>
  <c r="R68" i="13"/>
  <c r="AE69" i="12"/>
  <c r="AD68" i="12"/>
  <c r="R67" i="12"/>
  <c r="Y68" i="12"/>
  <c r="AC68" i="12" s="1"/>
  <c r="AE68" i="12" s="1"/>
  <c r="L56" i="2"/>
  <c r="Q56" i="2"/>
  <c r="N56" i="2"/>
  <c r="O56" i="2" s="1"/>
  <c r="P56" i="2"/>
  <c r="Z55" i="2"/>
  <c r="AA55" i="2" s="1"/>
  <c r="AB55" i="2" s="1"/>
  <c r="R69" i="11"/>
  <c r="Y70" i="11"/>
  <c r="AC70" i="11" s="1"/>
  <c r="AD70" i="11"/>
  <c r="AE69" i="13" l="1"/>
  <c r="AD68" i="13"/>
  <c r="R67" i="13"/>
  <c r="Y68" i="13"/>
  <c r="AC68" i="13" s="1"/>
  <c r="AE68" i="13" s="1"/>
  <c r="AD67" i="12"/>
  <c r="R66" i="12"/>
  <c r="Y67" i="12"/>
  <c r="AC67" i="12" s="1"/>
  <c r="AE67" i="12" s="1"/>
  <c r="M56" i="2"/>
  <c r="G57" i="2"/>
  <c r="H57" i="2" s="1"/>
  <c r="AE70" i="11"/>
  <c r="Y69" i="11"/>
  <c r="AC69" i="11" s="1"/>
  <c r="AD69" i="11"/>
  <c r="R68" i="11"/>
  <c r="AD67" i="13" l="1"/>
  <c r="Y67" i="13"/>
  <c r="AC67" i="13" s="1"/>
  <c r="AE67" i="13" s="1"/>
  <c r="R66" i="13"/>
  <c r="R65" i="12"/>
  <c r="Y66" i="12"/>
  <c r="AC66" i="12" s="1"/>
  <c r="AD66" i="12"/>
  <c r="AD68" i="11"/>
  <c r="R67" i="11"/>
  <c r="Y68" i="11"/>
  <c r="AC68" i="11" s="1"/>
  <c r="AE69" i="11"/>
  <c r="Y66" i="13" l="1"/>
  <c r="AC66" i="13" s="1"/>
  <c r="AD66" i="13"/>
  <c r="R65" i="13"/>
  <c r="AE68" i="11"/>
  <c r="AE66" i="12"/>
  <c r="Y65" i="12"/>
  <c r="AC65" i="12" s="1"/>
  <c r="R64" i="12"/>
  <c r="AD65" i="12"/>
  <c r="Q57" i="2"/>
  <c r="N57" i="2"/>
  <c r="O57" i="2" s="1"/>
  <c r="L57" i="2"/>
  <c r="P57" i="2"/>
  <c r="Z56" i="2"/>
  <c r="AA56" i="2" s="1"/>
  <c r="AB56" i="2" s="1"/>
  <c r="AD67" i="11"/>
  <c r="R66" i="11"/>
  <c r="Y67" i="11"/>
  <c r="AC67" i="11" s="1"/>
  <c r="AE67" i="11" s="1"/>
  <c r="Y65" i="13" l="1"/>
  <c r="AC65" i="13" s="1"/>
  <c r="AD65" i="13"/>
  <c r="R64" i="13"/>
  <c r="AE66" i="13"/>
  <c r="AE65" i="12"/>
  <c r="AD64" i="12"/>
  <c r="R63" i="12"/>
  <c r="Y64" i="12"/>
  <c r="AC64" i="12" s="1"/>
  <c r="AE64" i="12" s="1"/>
  <c r="M57" i="2"/>
  <c r="G58" i="2"/>
  <c r="H58" i="2" s="1"/>
  <c r="AD66" i="11"/>
  <c r="R65" i="11"/>
  <c r="Y66" i="11"/>
  <c r="AC66" i="11" s="1"/>
  <c r="R63" i="13" l="1"/>
  <c r="AD64" i="13"/>
  <c r="Y64" i="13"/>
  <c r="AC64" i="13" s="1"/>
  <c r="AE65" i="13"/>
  <c r="AE66" i="11"/>
  <c r="AD63" i="12"/>
  <c r="R62" i="12"/>
  <c r="Y63" i="12"/>
  <c r="AC63" i="12" s="1"/>
  <c r="AE63" i="12" s="1"/>
  <c r="Y65" i="11"/>
  <c r="AC65" i="11" s="1"/>
  <c r="AD65" i="11"/>
  <c r="R64" i="11"/>
  <c r="AE64" i="13" l="1"/>
  <c r="Y63" i="13"/>
  <c r="AC63" i="13" s="1"/>
  <c r="AD63" i="13"/>
  <c r="R62" i="13"/>
  <c r="R61" i="12"/>
  <c r="Y62" i="12"/>
  <c r="AC62" i="12" s="1"/>
  <c r="AD62" i="12"/>
  <c r="Q58" i="2"/>
  <c r="P58" i="2"/>
  <c r="N58" i="2"/>
  <c r="O58" i="2" s="1"/>
  <c r="L58" i="2"/>
  <c r="Z57" i="2"/>
  <c r="AA57" i="2" s="1"/>
  <c r="AB57" i="2" s="1"/>
  <c r="AD64" i="11"/>
  <c r="R63" i="11"/>
  <c r="Y64" i="11"/>
  <c r="AC64" i="11" s="1"/>
  <c r="AE65" i="11"/>
  <c r="Y62" i="13" l="1"/>
  <c r="AC62" i="13" s="1"/>
  <c r="AD62" i="13"/>
  <c r="R61" i="13"/>
  <c r="AE63" i="13"/>
  <c r="AE64" i="11"/>
  <c r="AE62" i="12"/>
  <c r="Y61" i="12"/>
  <c r="AC61" i="12" s="1"/>
  <c r="R60" i="12"/>
  <c r="AD61" i="12"/>
  <c r="G59" i="2"/>
  <c r="H59" i="2" s="1"/>
  <c r="M58" i="2"/>
  <c r="R62" i="11"/>
  <c r="Y63" i="11"/>
  <c r="AC63" i="11" s="1"/>
  <c r="AD63" i="11"/>
  <c r="Y61" i="13" l="1"/>
  <c r="AC61" i="13" s="1"/>
  <c r="AD61" i="13"/>
  <c r="R60" i="13"/>
  <c r="AE62" i="13"/>
  <c r="AE61" i="12"/>
  <c r="AD60" i="12"/>
  <c r="R59" i="12"/>
  <c r="Y60" i="12"/>
  <c r="AC60" i="12" s="1"/>
  <c r="AE60" i="12" s="1"/>
  <c r="AE63" i="11"/>
  <c r="AD62" i="11"/>
  <c r="Y62" i="11"/>
  <c r="AC62" i="11" s="1"/>
  <c r="AE62" i="11" s="1"/>
  <c r="R61" i="11"/>
  <c r="R59" i="13" l="1"/>
  <c r="AD60" i="13"/>
  <c r="Y60" i="13"/>
  <c r="AC60" i="13" s="1"/>
  <c r="AE60" i="13" s="1"/>
  <c r="AE61" i="13"/>
  <c r="AD59" i="12"/>
  <c r="R58" i="12"/>
  <c r="Y59" i="12"/>
  <c r="AC59" i="12" s="1"/>
  <c r="P59" i="2"/>
  <c r="N59" i="2"/>
  <c r="O59" i="2" s="1"/>
  <c r="L59" i="2"/>
  <c r="Q59" i="2"/>
  <c r="Z58" i="2"/>
  <c r="AA58" i="2" s="1"/>
  <c r="AB58" i="2" s="1"/>
  <c r="Y61" i="11"/>
  <c r="AC61" i="11" s="1"/>
  <c r="AD61" i="11"/>
  <c r="R60" i="11"/>
  <c r="Y59" i="13" l="1"/>
  <c r="AC59" i="13" s="1"/>
  <c r="AD59" i="13"/>
  <c r="R58" i="13"/>
  <c r="AE59" i="12"/>
  <c r="R57" i="12"/>
  <c r="Y58" i="12"/>
  <c r="AC58" i="12" s="1"/>
  <c r="AD58" i="12"/>
  <c r="M59" i="2"/>
  <c r="G60" i="2"/>
  <c r="H60" i="2" s="1"/>
  <c r="AD60" i="11"/>
  <c r="R59" i="11"/>
  <c r="Y60" i="11"/>
  <c r="AC60" i="11" s="1"/>
  <c r="AE61" i="11"/>
  <c r="Y58" i="13" l="1"/>
  <c r="AC58" i="13" s="1"/>
  <c r="AD58" i="13"/>
  <c r="R57" i="13"/>
  <c r="AE59" i="13"/>
  <c r="AE60" i="11"/>
  <c r="AE58" i="12"/>
  <c r="Y57" i="12"/>
  <c r="AC57" i="12" s="1"/>
  <c r="R56" i="12"/>
  <c r="AD57" i="12"/>
  <c r="R58" i="11"/>
  <c r="Y59" i="11"/>
  <c r="AC59" i="11" s="1"/>
  <c r="AD59" i="11"/>
  <c r="Y57" i="13" l="1"/>
  <c r="AC57" i="13" s="1"/>
  <c r="AD57" i="13"/>
  <c r="R56" i="13"/>
  <c r="AE58" i="13"/>
  <c r="AE57" i="12"/>
  <c r="AD56" i="12"/>
  <c r="Y56" i="12"/>
  <c r="AC56" i="12" s="1"/>
  <c r="R55" i="12"/>
  <c r="Q60" i="2"/>
  <c r="L60" i="2"/>
  <c r="N60" i="2"/>
  <c r="O60" i="2" s="1"/>
  <c r="P60" i="2"/>
  <c r="Z59" i="2"/>
  <c r="AA59" i="2" s="1"/>
  <c r="AB59" i="2" s="1"/>
  <c r="AE59" i="11"/>
  <c r="R57" i="11"/>
  <c r="Y58" i="11"/>
  <c r="AC58" i="11" s="1"/>
  <c r="AD58" i="11"/>
  <c r="AD56" i="13" l="1"/>
  <c r="Y56" i="13"/>
  <c r="AC56" i="13" s="1"/>
  <c r="AE56" i="13" s="1"/>
  <c r="R55" i="13"/>
  <c r="AE57" i="13"/>
  <c r="AE56" i="12"/>
  <c r="AD55" i="12"/>
  <c r="R54" i="12"/>
  <c r="Y55" i="12"/>
  <c r="AC55" i="12" s="1"/>
  <c r="AE55" i="12" s="1"/>
  <c r="M60" i="2"/>
  <c r="G61" i="2"/>
  <c r="H61" i="2" s="1"/>
  <c r="AE58" i="11"/>
  <c r="Y57" i="11"/>
  <c r="AC57" i="11" s="1"/>
  <c r="AD57" i="11"/>
  <c r="R56" i="11"/>
  <c r="AD55" i="13" l="1"/>
  <c r="Y55" i="13"/>
  <c r="AC55" i="13" s="1"/>
  <c r="AE55" i="13" s="1"/>
  <c r="R54" i="13"/>
  <c r="Y54" i="12"/>
  <c r="AC54" i="12" s="1"/>
  <c r="AD54" i="12"/>
  <c r="R53" i="12"/>
  <c r="AD56" i="11"/>
  <c r="R55" i="11"/>
  <c r="Y56" i="11"/>
  <c r="AC56" i="11" s="1"/>
  <c r="AE57" i="11"/>
  <c r="Y54" i="13" l="1"/>
  <c r="AC54" i="13" s="1"/>
  <c r="AD54" i="13"/>
  <c r="R53" i="13"/>
  <c r="AE56" i="11"/>
  <c r="AE54" i="12"/>
  <c r="Y53" i="12"/>
  <c r="AC53" i="12" s="1"/>
  <c r="AD53" i="12"/>
  <c r="R52" i="12"/>
  <c r="P61" i="2"/>
  <c r="Q61" i="2"/>
  <c r="N61" i="2"/>
  <c r="O61" i="2" s="1"/>
  <c r="L61" i="2"/>
  <c r="Z60" i="2"/>
  <c r="AA60" i="2" s="1"/>
  <c r="AB60" i="2" s="1"/>
  <c r="Y55" i="11"/>
  <c r="AC55" i="11" s="1"/>
  <c r="AD55" i="11"/>
  <c r="R54" i="11"/>
  <c r="R52" i="13" l="1"/>
  <c r="AD53" i="13"/>
  <c r="Y53" i="13"/>
  <c r="AC53" i="13" s="1"/>
  <c r="AE53" i="13" s="1"/>
  <c r="AE54" i="13"/>
  <c r="AE53" i="12"/>
  <c r="R51" i="12"/>
  <c r="Y52" i="12"/>
  <c r="AC52" i="12" s="1"/>
  <c r="AD52" i="12"/>
  <c r="M61" i="2"/>
  <c r="G62" i="2"/>
  <c r="H62" i="2" s="1"/>
  <c r="R53" i="11"/>
  <c r="Y54" i="11"/>
  <c r="AC54" i="11" s="1"/>
  <c r="AD54" i="11"/>
  <c r="AE55" i="11"/>
  <c r="R51" i="13" l="1"/>
  <c r="Y52" i="13"/>
  <c r="AC52" i="13" s="1"/>
  <c r="AD52" i="13"/>
  <c r="AE52" i="12"/>
  <c r="AD51" i="12"/>
  <c r="Y51" i="12"/>
  <c r="AC51" i="12" s="1"/>
  <c r="R50" i="12"/>
  <c r="AE54" i="11"/>
  <c r="AD53" i="11"/>
  <c r="R52" i="11"/>
  <c r="Y53" i="11"/>
  <c r="AC53" i="11" s="1"/>
  <c r="AE53" i="11" s="1"/>
  <c r="AE52" i="13" l="1"/>
  <c r="Y51" i="13"/>
  <c r="AC51" i="13" s="1"/>
  <c r="R50" i="13"/>
  <c r="AD51" i="13"/>
  <c r="AE51" i="12"/>
  <c r="Y50" i="12"/>
  <c r="AC50" i="12" s="1"/>
  <c r="AD50" i="12"/>
  <c r="R49" i="12"/>
  <c r="L62" i="2"/>
  <c r="N62" i="2"/>
  <c r="O62" i="2" s="1"/>
  <c r="Q62" i="2"/>
  <c r="P62" i="2"/>
  <c r="Z61" i="2"/>
  <c r="AA61" i="2" s="1"/>
  <c r="AB61" i="2" s="1"/>
  <c r="R51" i="11"/>
  <c r="Y52" i="11"/>
  <c r="AC52" i="11" s="1"/>
  <c r="AD52" i="11"/>
  <c r="Y50" i="13" l="1"/>
  <c r="AC50" i="13" s="1"/>
  <c r="AD50" i="13"/>
  <c r="R49" i="13"/>
  <c r="AE51" i="13"/>
  <c r="Y49" i="12"/>
  <c r="AC49" i="12" s="1"/>
  <c r="AD49" i="12"/>
  <c r="R48" i="12"/>
  <c r="AE50" i="12"/>
  <c r="M62" i="2"/>
  <c r="G63" i="2"/>
  <c r="H63" i="2" s="1"/>
  <c r="AE52" i="11"/>
  <c r="Y51" i="11"/>
  <c r="AC51" i="11" s="1"/>
  <c r="AD51" i="11"/>
  <c r="R50" i="11"/>
  <c r="R48" i="13" l="1"/>
  <c r="Y49" i="13"/>
  <c r="AC49" i="13" s="1"/>
  <c r="AD49" i="13"/>
  <c r="AE50" i="13"/>
  <c r="R47" i="12"/>
  <c r="AD48" i="12"/>
  <c r="Y48" i="12"/>
  <c r="AC48" i="12" s="1"/>
  <c r="AE48" i="12" s="1"/>
  <c r="AE49" i="12"/>
  <c r="R49" i="11"/>
  <c r="Y50" i="11"/>
  <c r="AC50" i="11" s="1"/>
  <c r="AD50" i="11"/>
  <c r="AE51" i="11"/>
  <c r="AE49" i="13" l="1"/>
  <c r="AD48" i="13"/>
  <c r="Y48" i="13"/>
  <c r="AC48" i="13" s="1"/>
  <c r="AE48" i="13" s="1"/>
  <c r="R47" i="13"/>
  <c r="AD47" i="12"/>
  <c r="R46" i="12"/>
  <c r="Y47" i="12"/>
  <c r="AC47" i="12" s="1"/>
  <c r="AE47" i="12" s="1"/>
  <c r="P63" i="2"/>
  <c r="L63" i="2"/>
  <c r="N63" i="2"/>
  <c r="O63" i="2" s="1"/>
  <c r="Q63" i="2"/>
  <c r="Z62" i="2"/>
  <c r="AA62" i="2" s="1"/>
  <c r="AB62" i="2" s="1"/>
  <c r="AE50" i="11"/>
  <c r="AD49" i="11"/>
  <c r="Y49" i="11"/>
  <c r="AC49" i="11" s="1"/>
  <c r="AE49" i="11" s="1"/>
  <c r="R48" i="11"/>
  <c r="Y47" i="13" l="1"/>
  <c r="AC47" i="13" s="1"/>
  <c r="R46" i="13"/>
  <c r="AD47" i="13"/>
  <c r="Y46" i="12"/>
  <c r="AC46" i="12" s="1"/>
  <c r="R45" i="12"/>
  <c r="AD46" i="12"/>
  <c r="G64" i="2"/>
  <c r="H64" i="2" s="1"/>
  <c r="M63" i="2"/>
  <c r="R47" i="11"/>
  <c r="Y48" i="11"/>
  <c r="AC48" i="11" s="1"/>
  <c r="AD48" i="11"/>
  <c r="Y46" i="13" l="1"/>
  <c r="AC46" i="13" s="1"/>
  <c r="AD46" i="13"/>
  <c r="R45" i="13"/>
  <c r="AE47" i="13"/>
  <c r="Y45" i="12"/>
  <c r="AC45" i="12" s="1"/>
  <c r="AD45" i="12"/>
  <c r="R44" i="12"/>
  <c r="AE46" i="12"/>
  <c r="Z63" i="2"/>
  <c r="AA63" i="2" s="1"/>
  <c r="AB63" i="2" s="1"/>
  <c r="AE48" i="11"/>
  <c r="Y47" i="11"/>
  <c r="AC47" i="11" s="1"/>
  <c r="AD47" i="11"/>
  <c r="R46" i="11"/>
  <c r="R44" i="13" l="1"/>
  <c r="AD45" i="13"/>
  <c r="Y45" i="13"/>
  <c r="AC45" i="13" s="1"/>
  <c r="AE45" i="13" s="1"/>
  <c r="AE46" i="13"/>
  <c r="R43" i="12"/>
  <c r="Y44" i="12"/>
  <c r="AC44" i="12" s="1"/>
  <c r="AD44" i="12"/>
  <c r="AE45" i="12"/>
  <c r="N64" i="2"/>
  <c r="O64" i="2" s="1"/>
  <c r="L64" i="2"/>
  <c r="P64" i="2"/>
  <c r="Q64" i="2"/>
  <c r="AE47" i="11"/>
  <c r="R45" i="11"/>
  <c r="AD46" i="11"/>
  <c r="Y46" i="11"/>
  <c r="AC46" i="11" s="1"/>
  <c r="AE46" i="11" s="1"/>
  <c r="AD44" i="13" l="1"/>
  <c r="Y44" i="13"/>
  <c r="AC44" i="13" s="1"/>
  <c r="R43" i="13"/>
  <c r="AE44" i="12"/>
  <c r="Y43" i="12"/>
  <c r="AC43" i="12" s="1"/>
  <c r="R42" i="12"/>
  <c r="AD43" i="12"/>
  <c r="M64" i="2"/>
  <c r="G65" i="2"/>
  <c r="H65" i="2" s="1"/>
  <c r="AD45" i="11"/>
  <c r="R44" i="11"/>
  <c r="Y45" i="11"/>
  <c r="AC45" i="11" s="1"/>
  <c r="AE44" i="13" l="1"/>
  <c r="Y43" i="13"/>
  <c r="AC43" i="13" s="1"/>
  <c r="AD43" i="13"/>
  <c r="R42" i="13"/>
  <c r="AE45" i="11"/>
  <c r="Y42" i="12"/>
  <c r="AC42" i="12" s="1"/>
  <c r="R41" i="12"/>
  <c r="AD42" i="12"/>
  <c r="AE43" i="12"/>
  <c r="R43" i="11"/>
  <c r="Y44" i="11"/>
  <c r="AC44" i="11" s="1"/>
  <c r="AD44" i="11"/>
  <c r="Y42" i="13" l="1"/>
  <c r="AC42" i="13" s="1"/>
  <c r="AD42" i="13"/>
  <c r="R41" i="13"/>
  <c r="AE43" i="13"/>
  <c r="Y41" i="12"/>
  <c r="AC41" i="12" s="1"/>
  <c r="AD41" i="12"/>
  <c r="R40" i="12"/>
  <c r="AE42" i="12"/>
  <c r="Q65" i="2"/>
  <c r="L65" i="2"/>
  <c r="P65" i="2"/>
  <c r="N65" i="2"/>
  <c r="O65" i="2" s="1"/>
  <c r="Z64" i="2"/>
  <c r="AA64" i="2" s="1"/>
  <c r="AB64" i="2" s="1"/>
  <c r="AE44" i="11"/>
  <c r="Y43" i="11"/>
  <c r="AC43" i="11" s="1"/>
  <c r="AD43" i="11"/>
  <c r="R42" i="11"/>
  <c r="R40" i="13" l="1"/>
  <c r="Y41" i="13"/>
  <c r="AC41" i="13" s="1"/>
  <c r="AD41" i="13"/>
  <c r="AE42" i="13"/>
  <c r="AD40" i="12"/>
  <c r="Y40" i="12"/>
  <c r="AC40" i="12" s="1"/>
  <c r="AE40" i="12" s="1"/>
  <c r="R39" i="12"/>
  <c r="AE41" i="12"/>
  <c r="M65" i="2"/>
  <c r="G66" i="2"/>
  <c r="H66" i="2" s="1"/>
  <c r="AE43" i="11"/>
  <c r="AD42" i="11"/>
  <c r="R41" i="11"/>
  <c r="Y42" i="11"/>
  <c r="AC42" i="11" s="1"/>
  <c r="AE42" i="11" s="1"/>
  <c r="AE41" i="13" l="1"/>
  <c r="AD40" i="13"/>
  <c r="Y40" i="13"/>
  <c r="AC40" i="13" s="1"/>
  <c r="AE40" i="13" s="1"/>
  <c r="R39" i="13"/>
  <c r="R38" i="12"/>
  <c r="Y39" i="12"/>
  <c r="AC39" i="12" s="1"/>
  <c r="AD39" i="12"/>
  <c r="AD41" i="11"/>
  <c r="R40" i="11"/>
  <c r="Y41" i="11"/>
  <c r="AC41" i="11" s="1"/>
  <c r="Y39" i="13" l="1"/>
  <c r="AC39" i="13" s="1"/>
  <c r="R38" i="13"/>
  <c r="AD39" i="13"/>
  <c r="AE41" i="11"/>
  <c r="AE39" i="12"/>
  <c r="AD38" i="12"/>
  <c r="R37" i="12"/>
  <c r="Y38" i="12"/>
  <c r="AC38" i="12" s="1"/>
  <c r="AE38" i="12" s="1"/>
  <c r="Q66" i="2"/>
  <c r="L66" i="2"/>
  <c r="P66" i="2"/>
  <c r="N66" i="2"/>
  <c r="O66" i="2" s="1"/>
  <c r="Z65" i="2"/>
  <c r="AA65" i="2" s="1"/>
  <c r="AB65" i="2" s="1"/>
  <c r="Y40" i="11"/>
  <c r="AC40" i="11" s="1"/>
  <c r="R39" i="11"/>
  <c r="AD40" i="11"/>
  <c r="Y38" i="13" l="1"/>
  <c r="AC38" i="13" s="1"/>
  <c r="AD38" i="13"/>
  <c r="R37" i="13"/>
  <c r="AE39" i="13"/>
  <c r="R36" i="12"/>
  <c r="Y37" i="12"/>
  <c r="AC37" i="12" s="1"/>
  <c r="AD37" i="12"/>
  <c r="G67" i="2"/>
  <c r="H67" i="2" s="1"/>
  <c r="M66" i="2"/>
  <c r="Y39" i="11"/>
  <c r="AC39" i="11" s="1"/>
  <c r="AD39" i="11"/>
  <c r="R38" i="11"/>
  <c r="AE40" i="11"/>
  <c r="R36" i="13" l="1"/>
  <c r="AD37" i="13"/>
  <c r="Y37" i="13"/>
  <c r="AC37" i="13" s="1"/>
  <c r="AE37" i="13" s="1"/>
  <c r="AE38" i="13"/>
  <c r="AE37" i="12"/>
  <c r="AD36" i="12"/>
  <c r="Y36" i="12"/>
  <c r="AC36" i="12" s="1"/>
  <c r="AE36" i="12" s="1"/>
  <c r="R35" i="12"/>
  <c r="Z66" i="2"/>
  <c r="AA66" i="2" s="1"/>
  <c r="AB66" i="2" s="1"/>
  <c r="AD38" i="11"/>
  <c r="R37" i="11"/>
  <c r="Y38" i="11"/>
  <c r="AC38" i="11" s="1"/>
  <c r="AE38" i="11" s="1"/>
  <c r="AE39" i="11"/>
  <c r="AD36" i="13" l="1"/>
  <c r="Y36" i="13"/>
  <c r="AC36" i="13" s="1"/>
  <c r="R35" i="13"/>
  <c r="R34" i="12"/>
  <c r="Y35" i="12"/>
  <c r="AC35" i="12" s="1"/>
  <c r="AD35" i="12"/>
  <c r="L67" i="2"/>
  <c r="P67" i="2"/>
  <c r="Q67" i="2"/>
  <c r="N67" i="2"/>
  <c r="O67" i="2" s="1"/>
  <c r="R36" i="11"/>
  <c r="Y37" i="11"/>
  <c r="AC37" i="11" s="1"/>
  <c r="AD37" i="11"/>
  <c r="AE36" i="13" l="1"/>
  <c r="Y35" i="13"/>
  <c r="AC35" i="13" s="1"/>
  <c r="AD35" i="13"/>
  <c r="R34" i="13"/>
  <c r="AE35" i="12"/>
  <c r="AD34" i="12"/>
  <c r="R33" i="12"/>
  <c r="Y34" i="12"/>
  <c r="AC34" i="12" s="1"/>
  <c r="AE34" i="12" s="1"/>
  <c r="M67" i="2"/>
  <c r="G68" i="2"/>
  <c r="H68" i="2" s="1"/>
  <c r="AE37" i="11"/>
  <c r="AD36" i="11"/>
  <c r="R35" i="11"/>
  <c r="Y36" i="11"/>
  <c r="AC36" i="11" s="1"/>
  <c r="AE36" i="11" s="1"/>
  <c r="Y34" i="13" l="1"/>
  <c r="AC34" i="13" s="1"/>
  <c r="AD34" i="13"/>
  <c r="R33" i="13"/>
  <c r="AE35" i="13"/>
  <c r="R32" i="12"/>
  <c r="AD33" i="12"/>
  <c r="Y33" i="12"/>
  <c r="AC33" i="12" s="1"/>
  <c r="Y35" i="11"/>
  <c r="AC35" i="11" s="1"/>
  <c r="R34" i="11"/>
  <c r="AD35" i="11"/>
  <c r="R32" i="13" l="1"/>
  <c r="AD33" i="13"/>
  <c r="Y33" i="13"/>
  <c r="AC33" i="13" s="1"/>
  <c r="AE34" i="13"/>
  <c r="AE33" i="12"/>
  <c r="AD32" i="12"/>
  <c r="R31" i="12"/>
  <c r="Y32" i="12"/>
  <c r="AC32" i="12" s="1"/>
  <c r="AE32" i="12" s="1"/>
  <c r="P68" i="2"/>
  <c r="L68" i="2"/>
  <c r="Q68" i="2"/>
  <c r="N68" i="2"/>
  <c r="O68" i="2" s="1"/>
  <c r="Z67" i="2"/>
  <c r="AA67" i="2" s="1"/>
  <c r="AB67" i="2" s="1"/>
  <c r="AD34" i="11"/>
  <c r="R33" i="11"/>
  <c r="Y34" i="11"/>
  <c r="AC34" i="11" s="1"/>
  <c r="AE34" i="11" s="1"/>
  <c r="AE35" i="11"/>
  <c r="AE33" i="13" l="1"/>
  <c r="Y32" i="13"/>
  <c r="AC32" i="13" s="1"/>
  <c r="R31" i="13"/>
  <c r="AD32" i="13"/>
  <c r="Y31" i="12"/>
  <c r="AC31" i="12" s="1"/>
  <c r="R30" i="12"/>
  <c r="AD31" i="12"/>
  <c r="M68" i="2"/>
  <c r="G69" i="2"/>
  <c r="H69" i="2" s="1"/>
  <c r="R32" i="11"/>
  <c r="Y33" i="11"/>
  <c r="AC33" i="11" s="1"/>
  <c r="AD33" i="11"/>
  <c r="Y31" i="13" l="1"/>
  <c r="AC31" i="13" s="1"/>
  <c r="AD31" i="13"/>
  <c r="R30" i="13"/>
  <c r="AE32" i="13"/>
  <c r="AD30" i="12"/>
  <c r="R29" i="12"/>
  <c r="Y30" i="12"/>
  <c r="AC30" i="12" s="1"/>
  <c r="AE30" i="12" s="1"/>
  <c r="AE31" i="12"/>
  <c r="AE33" i="11"/>
  <c r="Y32" i="11"/>
  <c r="AC32" i="11" s="1"/>
  <c r="R31" i="11"/>
  <c r="AD32" i="11"/>
  <c r="Y30" i="13" l="1"/>
  <c r="AC30" i="13" s="1"/>
  <c r="AD30" i="13"/>
  <c r="R29" i="13"/>
  <c r="AE31" i="13"/>
  <c r="AD29" i="12"/>
  <c r="R28" i="12"/>
  <c r="Y29" i="12"/>
  <c r="AC29" i="12" s="1"/>
  <c r="AE29" i="12" s="1"/>
  <c r="L69" i="2"/>
  <c r="N69" i="2"/>
  <c r="O69" i="2" s="1"/>
  <c r="Q69" i="2"/>
  <c r="P69" i="2"/>
  <c r="Z68" i="2"/>
  <c r="AA68" i="2" s="1"/>
  <c r="AB68" i="2" s="1"/>
  <c r="AE32" i="11"/>
  <c r="Y31" i="11"/>
  <c r="AC31" i="11" s="1"/>
  <c r="AD31" i="11"/>
  <c r="R30" i="11"/>
  <c r="R28" i="13" l="1"/>
  <c r="AD29" i="13"/>
  <c r="Y29" i="13"/>
  <c r="AC29" i="13" s="1"/>
  <c r="AE29" i="13" s="1"/>
  <c r="AE30" i="13"/>
  <c r="R27" i="12"/>
  <c r="Y28" i="12"/>
  <c r="AC28" i="12" s="1"/>
  <c r="AD28" i="12"/>
  <c r="G70" i="2"/>
  <c r="H70" i="2" s="1"/>
  <c r="M69" i="2"/>
  <c r="AD30" i="11"/>
  <c r="R29" i="11"/>
  <c r="Y30" i="11"/>
  <c r="AC30" i="11" s="1"/>
  <c r="AE31" i="11"/>
  <c r="R27" i="13" l="1"/>
  <c r="AD28" i="13"/>
  <c r="Y28" i="13"/>
  <c r="AC28" i="13" s="1"/>
  <c r="AE28" i="13" s="1"/>
  <c r="AE30" i="11"/>
  <c r="AE28" i="12"/>
  <c r="Y27" i="12"/>
  <c r="AC27" i="12" s="1"/>
  <c r="AD27" i="12"/>
  <c r="R26" i="12"/>
  <c r="Y29" i="11"/>
  <c r="AC29" i="11" s="1"/>
  <c r="AD29" i="11"/>
  <c r="R28" i="11"/>
  <c r="AD27" i="13" l="1"/>
  <c r="R26" i="13"/>
  <c r="Y27" i="13"/>
  <c r="AC27" i="13" s="1"/>
  <c r="AE27" i="13" s="1"/>
  <c r="AD26" i="12"/>
  <c r="R25" i="12"/>
  <c r="Y26" i="12"/>
  <c r="AC26" i="12" s="1"/>
  <c r="AE26" i="12" s="1"/>
  <c r="AE27" i="12"/>
  <c r="L70" i="2"/>
  <c r="Q70" i="2"/>
  <c r="N70" i="2"/>
  <c r="O70" i="2" s="1"/>
  <c r="P70" i="2"/>
  <c r="Z69" i="2"/>
  <c r="AA69" i="2" s="1"/>
  <c r="AB69" i="2" s="1"/>
  <c r="Y28" i="11"/>
  <c r="AC28" i="11" s="1"/>
  <c r="AD28" i="11"/>
  <c r="R27" i="11"/>
  <c r="AE29" i="11"/>
  <c r="R25" i="13" l="1"/>
  <c r="AD26" i="13"/>
  <c r="Y26" i="13"/>
  <c r="AC26" i="13" s="1"/>
  <c r="AE26" i="13" s="1"/>
  <c r="AD25" i="12"/>
  <c r="R24" i="12"/>
  <c r="Y25" i="12"/>
  <c r="AC25" i="12" s="1"/>
  <c r="AE25" i="12" s="1"/>
  <c r="M70" i="2"/>
  <c r="G71" i="2"/>
  <c r="H71" i="2" s="1"/>
  <c r="Y27" i="11"/>
  <c r="AC27" i="11" s="1"/>
  <c r="AD27" i="11"/>
  <c r="R26" i="11"/>
  <c r="AE28" i="11"/>
  <c r="AD25" i="13" l="1"/>
  <c r="Y25" i="13"/>
  <c r="AC25" i="13" s="1"/>
  <c r="AE25" i="13" s="1"/>
  <c r="R24" i="13"/>
  <c r="R23" i="12"/>
  <c r="Y24" i="12"/>
  <c r="AC24" i="12" s="1"/>
  <c r="AD24" i="12"/>
  <c r="R25" i="11"/>
  <c r="Y26" i="11"/>
  <c r="AC26" i="11" s="1"/>
  <c r="AD26" i="11"/>
  <c r="AE27" i="11"/>
  <c r="R23" i="13" l="1"/>
  <c r="Y24" i="13"/>
  <c r="AC24" i="13" s="1"/>
  <c r="AD24" i="13"/>
  <c r="AE24" i="12"/>
  <c r="Y23" i="12"/>
  <c r="AC23" i="12" s="1"/>
  <c r="AD23" i="12"/>
  <c r="R22" i="12"/>
  <c r="P71" i="2"/>
  <c r="Q71" i="2"/>
  <c r="L71" i="2"/>
  <c r="N71" i="2"/>
  <c r="O71" i="2" s="1"/>
  <c r="Z70" i="2"/>
  <c r="AA70" i="2" s="1"/>
  <c r="AB70" i="2" s="1"/>
  <c r="AE26" i="11"/>
  <c r="Y25" i="11"/>
  <c r="AC25" i="11" s="1"/>
  <c r="AD25" i="11"/>
  <c r="R24" i="11"/>
  <c r="AE24" i="13" l="1"/>
  <c r="AD23" i="13"/>
  <c r="R22" i="13"/>
  <c r="Y23" i="13"/>
  <c r="AC23" i="13" s="1"/>
  <c r="AE23" i="13" s="1"/>
  <c r="AE23" i="12"/>
  <c r="AD22" i="12"/>
  <c r="Y22" i="12"/>
  <c r="AC22" i="12" s="1"/>
  <c r="AE22" i="12" s="1"/>
  <c r="R21" i="12"/>
  <c r="G72" i="2"/>
  <c r="H72" i="2" s="1"/>
  <c r="M71" i="2"/>
  <c r="Y24" i="11"/>
  <c r="AC24" i="11" s="1"/>
  <c r="R23" i="11"/>
  <c r="AD24" i="11"/>
  <c r="AE25" i="11"/>
  <c r="R21" i="13" l="1"/>
  <c r="AD22" i="13"/>
  <c r="Y22" i="13"/>
  <c r="AC22" i="13" s="1"/>
  <c r="AE22" i="13" s="1"/>
  <c r="R20" i="12"/>
  <c r="Y21" i="12"/>
  <c r="AC21" i="12" s="1"/>
  <c r="AD21" i="12"/>
  <c r="Y23" i="11"/>
  <c r="AC23" i="11" s="1"/>
  <c r="AD23" i="11"/>
  <c r="R22" i="11"/>
  <c r="AE24" i="11"/>
  <c r="AD21" i="13" l="1"/>
  <c r="Y21" i="13"/>
  <c r="AC21" i="13" s="1"/>
  <c r="R20" i="13"/>
  <c r="AE21" i="12"/>
  <c r="AD20" i="12"/>
  <c r="Y20" i="12"/>
  <c r="AC20" i="12" s="1"/>
  <c r="AE20" i="12" s="1"/>
  <c r="R19" i="12"/>
  <c r="N72" i="2"/>
  <c r="O72" i="2" s="1"/>
  <c r="P72" i="2"/>
  <c r="Q72" i="2"/>
  <c r="L72" i="2"/>
  <c r="Z71" i="2"/>
  <c r="AA71" i="2" s="1"/>
  <c r="AB71" i="2" s="1"/>
  <c r="Y22" i="11"/>
  <c r="AC22" i="11" s="1"/>
  <c r="AD22" i="11"/>
  <c r="R21" i="11"/>
  <c r="AE23" i="11"/>
  <c r="AE21" i="13" l="1"/>
  <c r="Y20" i="13"/>
  <c r="AC20" i="13" s="1"/>
  <c r="AD20" i="13"/>
  <c r="R19" i="13"/>
  <c r="R18" i="12"/>
  <c r="Y19" i="12"/>
  <c r="AC19" i="12" s="1"/>
  <c r="AD19" i="12"/>
  <c r="M72" i="2"/>
  <c r="G73" i="2"/>
  <c r="H73" i="2" s="1"/>
  <c r="Y21" i="11"/>
  <c r="AC21" i="11" s="1"/>
  <c r="R20" i="11"/>
  <c r="AD21" i="11"/>
  <c r="AE22" i="11"/>
  <c r="R18" i="13" l="1"/>
  <c r="AD19" i="13"/>
  <c r="Y19" i="13"/>
  <c r="AC19" i="13" s="1"/>
  <c r="AE20" i="13"/>
  <c r="AE19" i="12"/>
  <c r="AD18" i="12"/>
  <c r="Y18" i="12"/>
  <c r="AC18" i="12" s="1"/>
  <c r="R17" i="12"/>
  <c r="AD20" i="11"/>
  <c r="R19" i="11"/>
  <c r="Y20" i="11"/>
  <c r="AC20" i="11" s="1"/>
  <c r="AE21" i="11"/>
  <c r="AE19" i="13" l="1"/>
  <c r="AD18" i="13"/>
  <c r="R17" i="13"/>
  <c r="Y18" i="13"/>
  <c r="AC18" i="13" s="1"/>
  <c r="AE18" i="12"/>
  <c r="AE20" i="11"/>
  <c r="R16" i="12"/>
  <c r="Y17" i="12"/>
  <c r="AC17" i="12" s="1"/>
  <c r="AD17" i="12"/>
  <c r="Q73" i="2"/>
  <c r="P73" i="2"/>
  <c r="L73" i="2"/>
  <c r="N73" i="2"/>
  <c r="O73" i="2" s="1"/>
  <c r="Z72" i="2"/>
  <c r="AA72" i="2" s="1"/>
  <c r="AB72" i="2" s="1"/>
  <c r="AD19" i="11"/>
  <c r="R18" i="11"/>
  <c r="Y19" i="11"/>
  <c r="AC19" i="11" s="1"/>
  <c r="AE19" i="11" l="1"/>
  <c r="AE18" i="13"/>
  <c r="Y17" i="13"/>
  <c r="AC17" i="13" s="1"/>
  <c r="R16" i="13"/>
  <c r="AD17" i="13"/>
  <c r="AE17" i="12"/>
  <c r="AD16" i="12"/>
  <c r="R15" i="12"/>
  <c r="Y16" i="12"/>
  <c r="AC16" i="12" s="1"/>
  <c r="M73" i="2"/>
  <c r="G74" i="2"/>
  <c r="H74" i="2" s="1"/>
  <c r="AD18" i="11"/>
  <c r="R17" i="11"/>
  <c r="Y18" i="11"/>
  <c r="AC18" i="11" s="1"/>
  <c r="AE16" i="12" l="1"/>
  <c r="Y16" i="13"/>
  <c r="AC16" i="13" s="1"/>
  <c r="AD16" i="13"/>
  <c r="R15" i="13"/>
  <c r="AE17" i="13"/>
  <c r="AE18" i="11"/>
  <c r="R14" i="12"/>
  <c r="AD15" i="12"/>
  <c r="Y15" i="12"/>
  <c r="AC15" i="12" s="1"/>
  <c r="R16" i="11"/>
  <c r="AD17" i="11"/>
  <c r="Y17" i="11"/>
  <c r="AC17" i="11" s="1"/>
  <c r="AE17" i="11" s="1"/>
  <c r="AE15" i="12" l="1"/>
  <c r="R14" i="13"/>
  <c r="Y15" i="13"/>
  <c r="AC15" i="13" s="1"/>
  <c r="AD15" i="13"/>
  <c r="AE16" i="13"/>
  <c r="AD14" i="12"/>
  <c r="Y14" i="12"/>
  <c r="AC14" i="12" s="1"/>
  <c r="R13" i="12"/>
  <c r="P74" i="2"/>
  <c r="L74" i="2"/>
  <c r="Q74" i="2"/>
  <c r="N74" i="2"/>
  <c r="O74" i="2" s="1"/>
  <c r="Z73" i="2"/>
  <c r="AA73" i="2" s="1"/>
  <c r="AB73" i="2" s="1"/>
  <c r="AD16" i="11"/>
  <c r="Y16" i="11"/>
  <c r="AC16" i="11" s="1"/>
  <c r="R15" i="11"/>
  <c r="AE15" i="13" l="1"/>
  <c r="AD14" i="13"/>
  <c r="Y14" i="13"/>
  <c r="AC14" i="13" s="1"/>
  <c r="R13" i="13"/>
  <c r="AE16" i="11"/>
  <c r="AE14" i="12"/>
  <c r="R12" i="12"/>
  <c r="Y13" i="12"/>
  <c r="AC13" i="12" s="1"/>
  <c r="AD13" i="12"/>
  <c r="M74" i="2"/>
  <c r="G75" i="2"/>
  <c r="H75" i="2" s="1"/>
  <c r="AD15" i="11"/>
  <c r="R14" i="11"/>
  <c r="Y15" i="11"/>
  <c r="AC15" i="11" s="1"/>
  <c r="AE15" i="11" s="1"/>
  <c r="AE14" i="13" l="1"/>
  <c r="Y13" i="13"/>
  <c r="AC13" i="13" s="1"/>
  <c r="R12" i="13"/>
  <c r="AD13" i="13"/>
  <c r="AE13" i="12"/>
  <c r="AD12" i="12"/>
  <c r="R11" i="12"/>
  <c r="Y12" i="12"/>
  <c r="AC12" i="12" s="1"/>
  <c r="AE12" i="12" s="1"/>
  <c r="R13" i="11"/>
  <c r="Y14" i="11"/>
  <c r="AC14" i="11" s="1"/>
  <c r="AD14" i="11"/>
  <c r="Y12" i="13" l="1"/>
  <c r="AC12" i="13" s="1"/>
  <c r="AD12" i="13"/>
  <c r="R11" i="13"/>
  <c r="AE13" i="13"/>
  <c r="R10" i="12"/>
  <c r="Y11" i="12"/>
  <c r="AC11" i="12" s="1"/>
  <c r="AD11" i="12"/>
  <c r="N75" i="2"/>
  <c r="O75" i="2" s="1"/>
  <c r="Q75" i="2"/>
  <c r="L75" i="2"/>
  <c r="P75" i="2"/>
  <c r="Z74" i="2"/>
  <c r="AA74" i="2" s="1"/>
  <c r="AB74" i="2" s="1"/>
  <c r="AE14" i="11"/>
  <c r="AD13" i="11"/>
  <c r="R12" i="11"/>
  <c r="Y13" i="11"/>
  <c r="AC13" i="11" s="1"/>
  <c r="AE13" i="11" s="1"/>
  <c r="R10" i="13" l="1"/>
  <c r="AD11" i="13"/>
  <c r="Y11" i="13"/>
  <c r="AC11" i="13" s="1"/>
  <c r="AE11" i="13" s="1"/>
  <c r="AE12" i="13"/>
  <c r="AE11" i="12"/>
  <c r="AD10" i="12"/>
  <c r="Y10" i="12"/>
  <c r="AC10" i="12" s="1"/>
  <c r="AE10" i="12" s="1"/>
  <c r="R9" i="12"/>
  <c r="M75" i="2"/>
  <c r="G76" i="2"/>
  <c r="H76" i="2" s="1"/>
  <c r="AD12" i="11"/>
  <c r="Y12" i="11"/>
  <c r="AC12" i="11" s="1"/>
  <c r="R11" i="11"/>
  <c r="Y10" i="13" l="1"/>
  <c r="AC10" i="13" s="1"/>
  <c r="R9" i="13"/>
  <c r="AD10" i="13"/>
  <c r="R8" i="12"/>
  <c r="Y9" i="12"/>
  <c r="AC9" i="12" s="1"/>
  <c r="AD9" i="12"/>
  <c r="AE12" i="11"/>
  <c r="AD11" i="11"/>
  <c r="R10" i="11"/>
  <c r="Y11" i="11"/>
  <c r="AC11" i="11" s="1"/>
  <c r="Y9" i="13" l="1"/>
  <c r="AC9" i="13" s="1"/>
  <c r="AD9" i="13"/>
  <c r="R8" i="13"/>
  <c r="AE10" i="13"/>
  <c r="AE11" i="11"/>
  <c r="AE9" i="12"/>
  <c r="AD8" i="12"/>
  <c r="R7" i="12"/>
  <c r="Y8" i="12"/>
  <c r="AC8" i="12" s="1"/>
  <c r="P76" i="2"/>
  <c r="Q76" i="2"/>
  <c r="L76" i="2"/>
  <c r="N76" i="2"/>
  <c r="O76" i="2" s="1"/>
  <c r="Z75" i="2"/>
  <c r="AA75" i="2" s="1"/>
  <c r="AB75" i="2" s="1"/>
  <c r="R9" i="11"/>
  <c r="Y10" i="11"/>
  <c r="AC10" i="11" s="1"/>
  <c r="AD10" i="11"/>
  <c r="AA28" i="2"/>
  <c r="AB28" i="2" s="1"/>
  <c r="Y8" i="13" l="1"/>
  <c r="AC8" i="13" s="1"/>
  <c r="AD8" i="13"/>
  <c r="R7" i="13"/>
  <c r="AE9" i="13"/>
  <c r="AE8" i="12"/>
  <c r="R6" i="12"/>
  <c r="AD7" i="12"/>
  <c r="Y7" i="12"/>
  <c r="AC7" i="12" s="1"/>
  <c r="M76" i="2"/>
  <c r="G77" i="2"/>
  <c r="H77" i="2" s="1"/>
  <c r="AE10" i="11"/>
  <c r="AD9" i="11"/>
  <c r="R8" i="11"/>
  <c r="Y9" i="11"/>
  <c r="AC9" i="11" s="1"/>
  <c r="R6" i="13" l="1"/>
  <c r="AD7" i="13"/>
  <c r="Y7" i="13"/>
  <c r="AC7" i="13" s="1"/>
  <c r="AE7" i="13" s="1"/>
  <c r="AE8" i="13"/>
  <c r="AE7" i="12"/>
  <c r="AE9" i="11"/>
  <c r="AD6" i="12"/>
  <c r="Y6" i="12"/>
  <c r="AC6" i="12" s="1"/>
  <c r="AE6" i="12" s="1"/>
  <c r="R5" i="12"/>
  <c r="AD8" i="11"/>
  <c r="R7" i="11"/>
  <c r="Y8" i="11"/>
  <c r="AC8" i="11" s="1"/>
  <c r="R5" i="13" l="1"/>
  <c r="AD6" i="13"/>
  <c r="Y6" i="13"/>
  <c r="AC6" i="13" s="1"/>
  <c r="AE6" i="13" s="1"/>
  <c r="AE8" i="11"/>
  <c r="Y5" i="12"/>
  <c r="AC5" i="12" s="1"/>
  <c r="AD5" i="12"/>
  <c r="N77" i="2"/>
  <c r="O77" i="2" s="1"/>
  <c r="P77" i="2"/>
  <c r="L77" i="2"/>
  <c r="Q77" i="2"/>
  <c r="Z76" i="2"/>
  <c r="AA76" i="2" s="1"/>
  <c r="AB76" i="2" s="1"/>
  <c r="AD7" i="11"/>
  <c r="R6" i="11"/>
  <c r="Y7" i="11"/>
  <c r="AC7" i="11" s="1"/>
  <c r="Y5" i="13" l="1"/>
  <c r="AC5" i="13" s="1"/>
  <c r="AD5" i="13"/>
  <c r="AE7" i="11"/>
  <c r="AE5" i="12"/>
  <c r="M77" i="2"/>
  <c r="G78" i="2"/>
  <c r="H78" i="2" s="1"/>
  <c r="Y6" i="11"/>
  <c r="AC6" i="11" s="1"/>
  <c r="R5" i="11"/>
  <c r="AD6" i="11"/>
  <c r="AE5" i="13" l="1"/>
  <c r="AD5" i="11"/>
  <c r="Y5" i="11"/>
  <c r="AC5" i="11" s="1"/>
  <c r="AE6" i="11"/>
  <c r="AE5" i="11" l="1"/>
  <c r="P78" i="2"/>
  <c r="W77" i="2" s="1"/>
  <c r="W76" i="2" s="1"/>
  <c r="W75" i="2" s="1"/>
  <c r="W74" i="2" s="1"/>
  <c r="W73" i="2" s="1"/>
  <c r="W72" i="2" s="1"/>
  <c r="W71" i="2" s="1"/>
  <c r="W70" i="2" s="1"/>
  <c r="W69" i="2" s="1"/>
  <c r="W68" i="2" s="1"/>
  <c r="W67" i="2" s="1"/>
  <c r="W66" i="2" s="1"/>
  <c r="W65" i="2" s="1"/>
  <c r="W64" i="2" s="1"/>
  <c r="W63" i="2" s="1"/>
  <c r="W62" i="2" s="1"/>
  <c r="W61" i="2" s="1"/>
  <c r="W60" i="2" s="1"/>
  <c r="W59" i="2" s="1"/>
  <c r="W58" i="2" s="1"/>
  <c r="W57" i="2" s="1"/>
  <c r="W56" i="2" s="1"/>
  <c r="W55" i="2" s="1"/>
  <c r="W54" i="2" s="1"/>
  <c r="W53" i="2" s="1"/>
  <c r="W52" i="2" s="1"/>
  <c r="W51" i="2" s="1"/>
  <c r="W50" i="2" s="1"/>
  <c r="W49" i="2" s="1"/>
  <c r="W48" i="2" s="1"/>
  <c r="W47" i="2" s="1"/>
  <c r="W46" i="2" s="1"/>
  <c r="W45" i="2" s="1"/>
  <c r="W44" i="2" s="1"/>
  <c r="W43" i="2" s="1"/>
  <c r="W42" i="2" s="1"/>
  <c r="W41" i="2" s="1"/>
  <c r="W40" i="2" s="1"/>
  <c r="W39" i="2" s="1"/>
  <c r="W38" i="2" s="1"/>
  <c r="W37" i="2" s="1"/>
  <c r="W36" i="2" s="1"/>
  <c r="W35" i="2" s="1"/>
  <c r="W34" i="2" s="1"/>
  <c r="W33" i="2" s="1"/>
  <c r="W32" i="2" s="1"/>
  <c r="W31" i="2" s="1"/>
  <c r="W30" i="2" s="1"/>
  <c r="W29" i="2" s="1"/>
  <c r="W28" i="2" s="1"/>
  <c r="W27" i="2" s="1"/>
  <c r="W26" i="2" s="1"/>
  <c r="W25" i="2" s="1"/>
  <c r="W24" i="2" s="1"/>
  <c r="W23" i="2" s="1"/>
  <c r="W22" i="2" s="1"/>
  <c r="W21" i="2" s="1"/>
  <c r="W20" i="2" s="1"/>
  <c r="W19" i="2" s="1"/>
  <c r="W18" i="2" s="1"/>
  <c r="W17" i="2" s="1"/>
  <c r="W16" i="2" s="1"/>
  <c r="W15" i="2" s="1"/>
  <c r="W14" i="2" s="1"/>
  <c r="W13" i="2" s="1"/>
  <c r="W12" i="2" s="1"/>
  <c r="W11" i="2" s="1"/>
  <c r="W10" i="2" s="1"/>
  <c r="W9" i="2" s="1"/>
  <c r="W8" i="2" s="1"/>
  <c r="W7" i="2" s="1"/>
  <c r="W6" i="2" s="1"/>
  <c r="W5" i="2" s="1"/>
  <c r="N78" i="2"/>
  <c r="L78" i="2"/>
  <c r="Q78" i="2"/>
  <c r="X77" i="2" s="1"/>
  <c r="X76" i="2" s="1"/>
  <c r="X75" i="2" s="1"/>
  <c r="X74" i="2" s="1"/>
  <c r="X73" i="2" s="1"/>
  <c r="X72" i="2" s="1"/>
  <c r="X71" i="2" s="1"/>
  <c r="X70" i="2" s="1"/>
  <c r="X69" i="2" s="1"/>
  <c r="X68" i="2" s="1"/>
  <c r="X67" i="2" s="1"/>
  <c r="X66" i="2" s="1"/>
  <c r="X65" i="2" s="1"/>
  <c r="X64" i="2" s="1"/>
  <c r="X63" i="2" s="1"/>
  <c r="X62" i="2" s="1"/>
  <c r="X61" i="2" s="1"/>
  <c r="X60" i="2" s="1"/>
  <c r="X59" i="2" s="1"/>
  <c r="X58" i="2" s="1"/>
  <c r="X57" i="2" s="1"/>
  <c r="X56" i="2" s="1"/>
  <c r="X55" i="2" s="1"/>
  <c r="X54" i="2" s="1"/>
  <c r="X53" i="2" s="1"/>
  <c r="X52" i="2" s="1"/>
  <c r="X51" i="2" s="1"/>
  <c r="X50" i="2" s="1"/>
  <c r="X49" i="2" s="1"/>
  <c r="X48" i="2" s="1"/>
  <c r="X47" i="2" s="1"/>
  <c r="X46" i="2" s="1"/>
  <c r="X45" i="2" s="1"/>
  <c r="X44" i="2" s="1"/>
  <c r="X43" i="2" s="1"/>
  <c r="X42" i="2" s="1"/>
  <c r="X41" i="2" s="1"/>
  <c r="X40" i="2" s="1"/>
  <c r="X39" i="2" s="1"/>
  <c r="X38" i="2" s="1"/>
  <c r="X37" i="2" s="1"/>
  <c r="X36" i="2" s="1"/>
  <c r="X35" i="2" s="1"/>
  <c r="X34" i="2" s="1"/>
  <c r="X33" i="2" s="1"/>
  <c r="X32" i="2" s="1"/>
  <c r="X31" i="2" s="1"/>
  <c r="X30" i="2" s="1"/>
  <c r="X29" i="2" s="1"/>
  <c r="X28" i="2" s="1"/>
  <c r="X27" i="2" s="1"/>
  <c r="X26" i="2" s="1"/>
  <c r="X25" i="2" s="1"/>
  <c r="X24" i="2" s="1"/>
  <c r="X23" i="2" s="1"/>
  <c r="X22" i="2" s="1"/>
  <c r="X21" i="2" s="1"/>
  <c r="X20" i="2" s="1"/>
  <c r="X19" i="2" s="1"/>
  <c r="X18" i="2" s="1"/>
  <c r="X17" i="2" s="1"/>
  <c r="X16" i="2" s="1"/>
  <c r="X15" i="2" s="1"/>
  <c r="X14" i="2" s="1"/>
  <c r="X13" i="2" s="1"/>
  <c r="X12" i="2" s="1"/>
  <c r="X11" i="2" s="1"/>
  <c r="X10" i="2" s="1"/>
  <c r="X9" i="2" s="1"/>
  <c r="X8" i="2" s="1"/>
  <c r="X7" i="2" s="1"/>
  <c r="X6" i="2" s="1"/>
  <c r="X5" i="2" s="1"/>
  <c r="R77" i="2"/>
  <c r="Z77" i="2"/>
  <c r="AA77" i="2" s="1"/>
  <c r="AB77" i="2" s="1"/>
  <c r="AD77" i="2" l="1"/>
  <c r="R76" i="2"/>
  <c r="M78" i="2"/>
  <c r="T77" i="2" s="1"/>
  <c r="T76" i="2" s="1"/>
  <c r="T75" i="2" s="1"/>
  <c r="T74" i="2" s="1"/>
  <c r="T73" i="2" s="1"/>
  <c r="T72" i="2" s="1"/>
  <c r="T71" i="2" s="1"/>
  <c r="T70" i="2" s="1"/>
  <c r="T69" i="2" s="1"/>
  <c r="T68" i="2" s="1"/>
  <c r="T67" i="2" s="1"/>
  <c r="T66" i="2" s="1"/>
  <c r="T65" i="2" s="1"/>
  <c r="T64" i="2" s="1"/>
  <c r="T63" i="2" s="1"/>
  <c r="T62" i="2" s="1"/>
  <c r="T61" i="2" s="1"/>
  <c r="T60" i="2" s="1"/>
  <c r="T59" i="2" s="1"/>
  <c r="T58" i="2" s="1"/>
  <c r="T57" i="2" s="1"/>
  <c r="T56" i="2" s="1"/>
  <c r="T55" i="2" s="1"/>
  <c r="T54" i="2" s="1"/>
  <c r="T53" i="2" s="1"/>
  <c r="T52" i="2" s="1"/>
  <c r="T51" i="2" s="1"/>
  <c r="T50" i="2" s="1"/>
  <c r="T49" i="2" s="1"/>
  <c r="T48" i="2" s="1"/>
  <c r="T47" i="2" s="1"/>
  <c r="T46" i="2" s="1"/>
  <c r="T45" i="2" s="1"/>
  <c r="T44" i="2" s="1"/>
  <c r="T43" i="2" s="1"/>
  <c r="T42" i="2" s="1"/>
  <c r="T41" i="2" s="1"/>
  <c r="T40" i="2" s="1"/>
  <c r="T39" i="2" s="1"/>
  <c r="T38" i="2" s="1"/>
  <c r="T37" i="2" s="1"/>
  <c r="T36" i="2" s="1"/>
  <c r="T35" i="2" s="1"/>
  <c r="T34" i="2" s="1"/>
  <c r="T33" i="2" s="1"/>
  <c r="T32" i="2" s="1"/>
  <c r="T31" i="2" s="1"/>
  <c r="T30" i="2" s="1"/>
  <c r="T29" i="2" s="1"/>
  <c r="T28" i="2" s="1"/>
  <c r="T27" i="2" s="1"/>
  <c r="T26" i="2" s="1"/>
  <c r="T25" i="2" s="1"/>
  <c r="T24" i="2" s="1"/>
  <c r="T23" i="2" s="1"/>
  <c r="T22" i="2" s="1"/>
  <c r="T21" i="2" s="1"/>
  <c r="T20" i="2" s="1"/>
  <c r="T19" i="2" s="1"/>
  <c r="T18" i="2" s="1"/>
  <c r="T17" i="2" s="1"/>
  <c r="T16" i="2" s="1"/>
  <c r="T15" i="2" s="1"/>
  <c r="T14" i="2" s="1"/>
  <c r="T13" i="2" s="1"/>
  <c r="T12" i="2" s="1"/>
  <c r="T11" i="2" s="1"/>
  <c r="T10" i="2" s="1"/>
  <c r="T9" i="2" s="1"/>
  <c r="T8" i="2" s="1"/>
  <c r="T7" i="2" s="1"/>
  <c r="T6" i="2" s="1"/>
  <c r="T5" i="2" s="1"/>
  <c r="S77" i="2"/>
  <c r="S76" i="2" s="1"/>
  <c r="S75" i="2" s="1"/>
  <c r="S74" i="2" s="1"/>
  <c r="S73" i="2" s="1"/>
  <c r="S72" i="2" s="1"/>
  <c r="S71" i="2" s="1"/>
  <c r="S70" i="2" s="1"/>
  <c r="S69" i="2" s="1"/>
  <c r="S68" i="2" s="1"/>
  <c r="S67" i="2" s="1"/>
  <c r="S66" i="2" s="1"/>
  <c r="S65" i="2" s="1"/>
  <c r="S64" i="2" s="1"/>
  <c r="S63" i="2" s="1"/>
  <c r="S62" i="2" s="1"/>
  <c r="S61" i="2" s="1"/>
  <c r="S60" i="2" s="1"/>
  <c r="S59" i="2" s="1"/>
  <c r="S58" i="2" s="1"/>
  <c r="S57" i="2" s="1"/>
  <c r="S56" i="2" s="1"/>
  <c r="S55" i="2" s="1"/>
  <c r="S54" i="2" s="1"/>
  <c r="S53" i="2" s="1"/>
  <c r="S52" i="2" s="1"/>
  <c r="S51" i="2" s="1"/>
  <c r="S50" i="2" s="1"/>
  <c r="S49" i="2" s="1"/>
  <c r="S48" i="2" s="1"/>
  <c r="S47" i="2" s="1"/>
  <c r="S46" i="2" s="1"/>
  <c r="S45" i="2" s="1"/>
  <c r="S44" i="2" s="1"/>
  <c r="S43" i="2" s="1"/>
  <c r="S42" i="2" s="1"/>
  <c r="S41" i="2" s="1"/>
  <c r="S40" i="2" s="1"/>
  <c r="S39" i="2" s="1"/>
  <c r="S38" i="2" s="1"/>
  <c r="S37" i="2" s="1"/>
  <c r="S36" i="2" s="1"/>
  <c r="S35" i="2" s="1"/>
  <c r="S34" i="2" s="1"/>
  <c r="S33" i="2" s="1"/>
  <c r="S32" i="2" s="1"/>
  <c r="S31" i="2" s="1"/>
  <c r="S30" i="2" s="1"/>
  <c r="S29" i="2" s="1"/>
  <c r="S28" i="2" s="1"/>
  <c r="S27" i="2" s="1"/>
  <c r="S26" i="2" s="1"/>
  <c r="S25" i="2" s="1"/>
  <c r="S24" i="2" s="1"/>
  <c r="S23" i="2" s="1"/>
  <c r="S22" i="2" s="1"/>
  <c r="S21" i="2" s="1"/>
  <c r="S20" i="2" s="1"/>
  <c r="S19" i="2" s="1"/>
  <c r="S18" i="2" s="1"/>
  <c r="S17" i="2" s="1"/>
  <c r="S16" i="2" s="1"/>
  <c r="S15" i="2" s="1"/>
  <c r="S14" i="2" s="1"/>
  <c r="S13" i="2" s="1"/>
  <c r="S12" i="2" s="1"/>
  <c r="S11" i="2" s="1"/>
  <c r="S10" i="2" s="1"/>
  <c r="S9" i="2" s="1"/>
  <c r="S8" i="2" s="1"/>
  <c r="S7" i="2" s="1"/>
  <c r="S6" i="2" s="1"/>
  <c r="S5" i="2" s="1"/>
  <c r="U77" i="2"/>
  <c r="U76" i="2" s="1"/>
  <c r="U75" i="2" s="1"/>
  <c r="U74" i="2" s="1"/>
  <c r="U73" i="2" s="1"/>
  <c r="U72" i="2" s="1"/>
  <c r="U71" i="2" s="1"/>
  <c r="U70" i="2" s="1"/>
  <c r="U69" i="2" s="1"/>
  <c r="U68" i="2" s="1"/>
  <c r="U67" i="2" s="1"/>
  <c r="U66" i="2" s="1"/>
  <c r="U65" i="2" s="1"/>
  <c r="U64" i="2" s="1"/>
  <c r="U63" i="2" s="1"/>
  <c r="U62" i="2" s="1"/>
  <c r="U61" i="2" s="1"/>
  <c r="U60" i="2" s="1"/>
  <c r="U59" i="2" s="1"/>
  <c r="U58" i="2" s="1"/>
  <c r="U57" i="2" s="1"/>
  <c r="U56" i="2" s="1"/>
  <c r="U55" i="2" s="1"/>
  <c r="U54" i="2" s="1"/>
  <c r="U53" i="2" s="1"/>
  <c r="U52" i="2" s="1"/>
  <c r="U51" i="2" s="1"/>
  <c r="U50" i="2" s="1"/>
  <c r="U49" i="2" s="1"/>
  <c r="U48" i="2" s="1"/>
  <c r="U47" i="2" s="1"/>
  <c r="U46" i="2" s="1"/>
  <c r="U45" i="2" s="1"/>
  <c r="U44" i="2" s="1"/>
  <c r="U43" i="2" s="1"/>
  <c r="U42" i="2" s="1"/>
  <c r="U41" i="2" s="1"/>
  <c r="U40" i="2" s="1"/>
  <c r="U39" i="2" s="1"/>
  <c r="U38" i="2" s="1"/>
  <c r="U37" i="2" s="1"/>
  <c r="U36" i="2" s="1"/>
  <c r="U35" i="2" s="1"/>
  <c r="U34" i="2" s="1"/>
  <c r="U33" i="2" s="1"/>
  <c r="U32" i="2" s="1"/>
  <c r="U31" i="2" s="1"/>
  <c r="U30" i="2" s="1"/>
  <c r="U29" i="2" s="1"/>
  <c r="U28" i="2" s="1"/>
  <c r="U27" i="2" s="1"/>
  <c r="U26" i="2" s="1"/>
  <c r="U25" i="2" s="1"/>
  <c r="U24" i="2" s="1"/>
  <c r="U23" i="2" s="1"/>
  <c r="U22" i="2" s="1"/>
  <c r="U21" i="2" s="1"/>
  <c r="U20" i="2" s="1"/>
  <c r="U19" i="2" s="1"/>
  <c r="U18" i="2" s="1"/>
  <c r="U17" i="2" s="1"/>
  <c r="U16" i="2" s="1"/>
  <c r="U15" i="2" s="1"/>
  <c r="U14" i="2" s="1"/>
  <c r="U13" i="2" s="1"/>
  <c r="U12" i="2" s="1"/>
  <c r="U11" i="2" s="1"/>
  <c r="U10" i="2" s="1"/>
  <c r="U9" i="2" s="1"/>
  <c r="U8" i="2" s="1"/>
  <c r="U7" i="2" s="1"/>
  <c r="U6" i="2" s="1"/>
  <c r="U5" i="2" s="1"/>
  <c r="O78" i="2"/>
  <c r="V77" i="2" s="1"/>
  <c r="V76" i="2" s="1"/>
  <c r="V75" i="2" s="1"/>
  <c r="V74" i="2" s="1"/>
  <c r="V73" i="2" s="1"/>
  <c r="V72" i="2" s="1"/>
  <c r="V71" i="2" s="1"/>
  <c r="V70" i="2" s="1"/>
  <c r="V69" i="2" s="1"/>
  <c r="V68" i="2" s="1"/>
  <c r="V67" i="2" s="1"/>
  <c r="V66" i="2" s="1"/>
  <c r="V65" i="2" s="1"/>
  <c r="V64" i="2" s="1"/>
  <c r="V63" i="2" s="1"/>
  <c r="V62" i="2" s="1"/>
  <c r="V61" i="2" s="1"/>
  <c r="V60" i="2" s="1"/>
  <c r="V59" i="2" s="1"/>
  <c r="V58" i="2" s="1"/>
  <c r="V57" i="2" s="1"/>
  <c r="V56" i="2" s="1"/>
  <c r="V55" i="2" s="1"/>
  <c r="V54" i="2" s="1"/>
  <c r="V53" i="2" s="1"/>
  <c r="V52" i="2" s="1"/>
  <c r="V51" i="2" s="1"/>
  <c r="V50" i="2" s="1"/>
  <c r="V49" i="2" s="1"/>
  <c r="V48" i="2" s="1"/>
  <c r="V47" i="2" s="1"/>
  <c r="V46" i="2" s="1"/>
  <c r="V45" i="2" s="1"/>
  <c r="V44" i="2" s="1"/>
  <c r="V43" i="2" s="1"/>
  <c r="V42" i="2" s="1"/>
  <c r="V41" i="2" s="1"/>
  <c r="V40" i="2" s="1"/>
  <c r="V39" i="2" s="1"/>
  <c r="V38" i="2" s="1"/>
  <c r="V37" i="2" s="1"/>
  <c r="V36" i="2" s="1"/>
  <c r="V35" i="2" s="1"/>
  <c r="V34" i="2" s="1"/>
  <c r="V33" i="2" s="1"/>
  <c r="V32" i="2" s="1"/>
  <c r="V31" i="2" s="1"/>
  <c r="V30" i="2" s="1"/>
  <c r="V29" i="2" s="1"/>
  <c r="V28" i="2" s="1"/>
  <c r="V27" i="2" s="1"/>
  <c r="V26" i="2" s="1"/>
  <c r="V25" i="2" s="1"/>
  <c r="V24" i="2" s="1"/>
  <c r="V23" i="2" s="1"/>
  <c r="V22" i="2" s="1"/>
  <c r="V21" i="2" s="1"/>
  <c r="V20" i="2" s="1"/>
  <c r="V19" i="2" s="1"/>
  <c r="V18" i="2" s="1"/>
  <c r="V17" i="2" s="1"/>
  <c r="V16" i="2" s="1"/>
  <c r="V15" i="2" s="1"/>
  <c r="V14" i="2" s="1"/>
  <c r="V13" i="2" s="1"/>
  <c r="V12" i="2" s="1"/>
  <c r="V11" i="2" s="1"/>
  <c r="V10" i="2" s="1"/>
  <c r="V9" i="2" s="1"/>
  <c r="V8" i="2" s="1"/>
  <c r="V7" i="2" s="1"/>
  <c r="V6" i="2" s="1"/>
  <c r="V5" i="2" s="1"/>
  <c r="AD76" i="2" l="1"/>
  <c r="R75" i="2"/>
  <c r="Y76" i="2"/>
  <c r="AC76" i="2" s="1"/>
  <c r="Y77" i="2"/>
  <c r="AC77" i="2" s="1"/>
  <c r="AE77" i="2" s="1"/>
  <c r="AE76" i="2" l="1"/>
  <c r="AD75" i="2"/>
  <c r="R74" i="2"/>
  <c r="Y75" i="2"/>
  <c r="AC75" i="2" s="1"/>
  <c r="AE75" i="2" s="1"/>
  <c r="AD74" i="2" l="1"/>
  <c r="Y74" i="2"/>
  <c r="AC74" i="2" s="1"/>
  <c r="AE74" i="2" s="1"/>
  <c r="R73" i="2"/>
  <c r="AD73" i="2" l="1"/>
  <c r="R72" i="2"/>
  <c r="Y73" i="2"/>
  <c r="AC73" i="2" s="1"/>
  <c r="AE73" i="2" s="1"/>
  <c r="AD72" i="2" l="1"/>
  <c r="R71" i="2"/>
  <c r="Y72" i="2"/>
  <c r="AC72" i="2" s="1"/>
  <c r="AE72" i="2" l="1"/>
  <c r="AD71" i="2"/>
  <c r="Y71" i="2"/>
  <c r="AC71" i="2" s="1"/>
  <c r="R70" i="2"/>
  <c r="AE71" i="2" l="1"/>
  <c r="AD70" i="2"/>
  <c r="Y70" i="2"/>
  <c r="AC70" i="2" s="1"/>
  <c r="R69" i="2"/>
  <c r="AE70" i="2" l="1"/>
  <c r="AD69" i="2"/>
  <c r="Y69" i="2"/>
  <c r="AC69" i="2" s="1"/>
  <c r="AE69" i="2" s="1"/>
  <c r="R68" i="2"/>
  <c r="AD68" i="2" l="1"/>
  <c r="Y68" i="2"/>
  <c r="AC68" i="2" s="1"/>
  <c r="AE68" i="2" s="1"/>
  <c r="R67" i="2"/>
  <c r="AD67" i="2" l="1"/>
  <c r="R66" i="2"/>
  <c r="Y67" i="2"/>
  <c r="AC67" i="2" s="1"/>
  <c r="AE67" i="2" s="1"/>
  <c r="AD66" i="2" l="1"/>
  <c r="R65" i="2"/>
  <c r="Y66" i="2"/>
  <c r="AC66" i="2" s="1"/>
  <c r="AE66" i="2" l="1"/>
  <c r="AD65" i="2"/>
  <c r="Y65" i="2"/>
  <c r="AC65" i="2" s="1"/>
  <c r="R64" i="2"/>
  <c r="AE65" i="2" l="1"/>
  <c r="AD64" i="2"/>
  <c r="R63" i="2"/>
  <c r="Y64" i="2"/>
  <c r="AC64" i="2" s="1"/>
  <c r="AE64" i="2" s="1"/>
  <c r="AD63" i="2" l="1"/>
  <c r="R62" i="2"/>
  <c r="Y63" i="2"/>
  <c r="AC63" i="2" s="1"/>
  <c r="AE63" i="2" s="1"/>
  <c r="AD62" i="2" l="1"/>
  <c r="R61" i="2"/>
  <c r="Y62" i="2"/>
  <c r="AC62" i="2" s="1"/>
  <c r="AE62" i="2" s="1"/>
  <c r="AD61" i="2" l="1"/>
  <c r="R60" i="2"/>
  <c r="Y61" i="2"/>
  <c r="AC61" i="2" s="1"/>
  <c r="AE61" i="2" l="1"/>
  <c r="AD60" i="2"/>
  <c r="R59" i="2"/>
  <c r="Y60" i="2"/>
  <c r="AC60" i="2" s="1"/>
  <c r="AE60" i="2" l="1"/>
  <c r="AD59" i="2"/>
  <c r="Y59" i="2"/>
  <c r="AC59" i="2" s="1"/>
  <c r="R58" i="2"/>
  <c r="AE59" i="2" l="1"/>
  <c r="AD58" i="2"/>
  <c r="Y58" i="2"/>
  <c r="AC58" i="2" s="1"/>
  <c r="R57" i="2"/>
  <c r="AE58" i="2" l="1"/>
  <c r="AD57" i="2"/>
  <c r="R56" i="2"/>
  <c r="Y57" i="2"/>
  <c r="AC57" i="2" s="1"/>
  <c r="AE57" i="2" s="1"/>
  <c r="AD56" i="2" l="1"/>
  <c r="Y56" i="2"/>
  <c r="AC56" i="2" s="1"/>
  <c r="R55" i="2"/>
  <c r="AE56" i="2" l="1"/>
  <c r="AD55" i="2"/>
  <c r="Y55" i="2"/>
  <c r="AC55" i="2" s="1"/>
  <c r="R54" i="2"/>
  <c r="AE55" i="2" l="1"/>
  <c r="AD54" i="2"/>
  <c r="R53" i="2"/>
  <c r="Y54" i="2"/>
  <c r="AC54" i="2" s="1"/>
  <c r="AE54" i="2" l="1"/>
  <c r="AD53" i="2"/>
  <c r="Y53" i="2"/>
  <c r="AC53" i="2" s="1"/>
  <c r="AE53" i="2" s="1"/>
  <c r="R52" i="2"/>
  <c r="AD52" i="2" l="1"/>
  <c r="R51" i="2"/>
  <c r="Y52" i="2"/>
  <c r="AC52" i="2" s="1"/>
  <c r="AE52" i="2" l="1"/>
  <c r="AD51" i="2"/>
  <c r="R50" i="2"/>
  <c r="Y51" i="2"/>
  <c r="AC51" i="2" s="1"/>
  <c r="AE51" i="2" s="1"/>
  <c r="AD50" i="2" l="1"/>
  <c r="R49" i="2"/>
  <c r="Y50" i="2"/>
  <c r="AC50" i="2" s="1"/>
  <c r="AE50" i="2" s="1"/>
  <c r="AD49" i="2" l="1"/>
  <c r="R48" i="2"/>
  <c r="Y49" i="2"/>
  <c r="AC49" i="2" s="1"/>
  <c r="AE49" i="2" l="1"/>
  <c r="AD48" i="2"/>
  <c r="Y48" i="2"/>
  <c r="AC48" i="2" s="1"/>
  <c r="R47" i="2"/>
  <c r="AE48" i="2" l="1"/>
  <c r="AD47" i="2"/>
  <c r="Y47" i="2"/>
  <c r="AC47" i="2" s="1"/>
  <c r="R46" i="2"/>
  <c r="AE47" i="2" l="1"/>
  <c r="AD46" i="2"/>
  <c r="Y46" i="2"/>
  <c r="AC46" i="2" s="1"/>
  <c r="R45" i="2"/>
  <c r="AE46" i="2" l="1"/>
  <c r="AD45" i="2"/>
  <c r="R44" i="2"/>
  <c r="Y45" i="2"/>
  <c r="AC45" i="2" s="1"/>
  <c r="AE45" i="2" s="1"/>
  <c r="AD44" i="2" l="1"/>
  <c r="R43" i="2"/>
  <c r="Y44" i="2"/>
  <c r="AC44" i="2" s="1"/>
  <c r="AE44" i="2" l="1"/>
  <c r="AD43" i="2"/>
  <c r="Y43" i="2"/>
  <c r="AC43" i="2" s="1"/>
  <c r="R42" i="2"/>
  <c r="AE43" i="2" l="1"/>
  <c r="AD42" i="2"/>
  <c r="R41" i="2"/>
  <c r="Y42" i="2"/>
  <c r="AC42" i="2" s="1"/>
  <c r="AE42" i="2" l="1"/>
  <c r="AD41" i="2"/>
  <c r="Y41" i="2"/>
  <c r="AC41" i="2" s="1"/>
  <c r="R40" i="2"/>
  <c r="AE41" i="2" l="1"/>
  <c r="AD40" i="2"/>
  <c r="R39" i="2"/>
  <c r="Y40" i="2"/>
  <c r="AC40" i="2" s="1"/>
  <c r="AE40" i="2" s="1"/>
  <c r="AD39" i="2" l="1"/>
  <c r="Y39" i="2"/>
  <c r="AC39" i="2" s="1"/>
  <c r="R38" i="2"/>
  <c r="AE39" i="2" l="1"/>
  <c r="AD38" i="2"/>
  <c r="Y38" i="2"/>
  <c r="AC38" i="2" s="1"/>
  <c r="R37" i="2"/>
  <c r="AE38" i="2" l="1"/>
  <c r="AD37" i="2"/>
  <c r="Y37" i="2"/>
  <c r="AC37" i="2" s="1"/>
  <c r="R36" i="2"/>
  <c r="AE37" i="2" l="1"/>
  <c r="AD36" i="2"/>
  <c r="R35" i="2"/>
  <c r="Y36" i="2"/>
  <c r="AC36" i="2" s="1"/>
  <c r="AE36" i="2" s="1"/>
  <c r="AD35" i="2" l="1"/>
  <c r="R34" i="2"/>
  <c r="Y35" i="2"/>
  <c r="AC35" i="2" s="1"/>
  <c r="AE35" i="2" l="1"/>
  <c r="AD34" i="2"/>
  <c r="Y34" i="2"/>
  <c r="AC34" i="2" s="1"/>
  <c r="R33" i="2"/>
  <c r="AE34" i="2" l="1"/>
  <c r="AD33" i="2"/>
  <c r="R32" i="2"/>
  <c r="Y33" i="2"/>
  <c r="AC33" i="2" s="1"/>
  <c r="AE33" i="2" l="1"/>
  <c r="AD32" i="2"/>
  <c r="R31" i="2"/>
  <c r="Y32" i="2"/>
  <c r="AC32" i="2" s="1"/>
  <c r="AE32" i="2" s="1"/>
  <c r="AD31" i="2" l="1"/>
  <c r="R30" i="2"/>
  <c r="Y31" i="2"/>
  <c r="AC31" i="2" s="1"/>
  <c r="AE31" i="2" l="1"/>
  <c r="AD30" i="2"/>
  <c r="R29" i="2"/>
  <c r="Y30" i="2"/>
  <c r="AC30" i="2" s="1"/>
  <c r="AE30" i="2" l="1"/>
  <c r="AD29" i="2"/>
  <c r="Y29" i="2"/>
  <c r="AC29" i="2" s="1"/>
  <c r="R28" i="2"/>
  <c r="AE29" i="2" l="1"/>
  <c r="AD28" i="2"/>
  <c r="Y28" i="2"/>
  <c r="AC28" i="2" s="1"/>
  <c r="R27" i="2"/>
  <c r="AE28" i="2" l="1"/>
  <c r="AD27" i="2"/>
  <c r="Y27" i="2"/>
  <c r="AC27" i="2" s="1"/>
  <c r="R26" i="2"/>
  <c r="AE27" i="2" l="1"/>
  <c r="AD26" i="2"/>
  <c r="R25" i="2"/>
  <c r="Y26" i="2"/>
  <c r="AC26" i="2" s="1"/>
  <c r="AE26" i="2" l="1"/>
  <c r="AD25" i="2"/>
  <c r="Y25" i="2"/>
  <c r="AC25" i="2" s="1"/>
  <c r="R24" i="2"/>
  <c r="AE25" i="2" l="1"/>
  <c r="AD24" i="2"/>
  <c r="Y24" i="2"/>
  <c r="AC24" i="2" s="1"/>
  <c r="R23" i="2"/>
  <c r="AE24" i="2" l="1"/>
  <c r="AD23" i="2"/>
  <c r="Y23" i="2"/>
  <c r="AC23" i="2" s="1"/>
  <c r="R22" i="2"/>
  <c r="AE23" i="2" l="1"/>
  <c r="AD22" i="2"/>
  <c r="R21" i="2"/>
  <c r="Y22" i="2"/>
  <c r="AC22" i="2" s="1"/>
  <c r="AE22" i="2" l="1"/>
  <c r="AD21" i="2"/>
  <c r="R20" i="2"/>
  <c r="Y21" i="2"/>
  <c r="AC21" i="2" s="1"/>
  <c r="AE21" i="2" l="1"/>
  <c r="AD20" i="2"/>
  <c r="Y20" i="2"/>
  <c r="AC20" i="2" s="1"/>
  <c r="R19" i="2"/>
  <c r="AE20" i="2" l="1"/>
  <c r="AD19" i="2"/>
  <c r="R18" i="2"/>
  <c r="Y19" i="2"/>
  <c r="AC19" i="2" s="1"/>
  <c r="AE19" i="2" s="1"/>
  <c r="AD18" i="2" l="1"/>
  <c r="R17" i="2"/>
  <c r="Y18" i="2"/>
  <c r="AC18" i="2" s="1"/>
  <c r="AE18" i="2" s="1"/>
  <c r="AD17" i="2" l="1"/>
  <c r="R16" i="2"/>
  <c r="Y17" i="2"/>
  <c r="AC17" i="2" s="1"/>
  <c r="AE17" i="2" s="1"/>
  <c r="AD16" i="2" l="1"/>
  <c r="Y16" i="2"/>
  <c r="AC16" i="2" s="1"/>
  <c r="R15" i="2"/>
  <c r="AE16" i="2" l="1"/>
  <c r="AD15" i="2"/>
  <c r="R14" i="2"/>
  <c r="Y15" i="2"/>
  <c r="AC15" i="2" s="1"/>
  <c r="AE15" i="2" s="1"/>
  <c r="AD14" i="2" l="1"/>
  <c r="R13" i="2"/>
  <c r="Y14" i="2"/>
  <c r="AC14" i="2" s="1"/>
  <c r="AE14" i="2" l="1"/>
  <c r="AD13" i="2"/>
  <c r="R12" i="2"/>
  <c r="Y13" i="2"/>
  <c r="AC13" i="2" s="1"/>
  <c r="AE13" i="2" l="1"/>
  <c r="AD12" i="2"/>
  <c r="R11" i="2"/>
  <c r="Y12" i="2"/>
  <c r="AC12" i="2" s="1"/>
  <c r="AE12" i="2" s="1"/>
  <c r="AD11" i="2" l="1"/>
  <c r="R10" i="2"/>
  <c r="Y11" i="2"/>
  <c r="AC11" i="2" s="1"/>
  <c r="AE11" i="2" l="1"/>
  <c r="AD10" i="2"/>
  <c r="R9" i="2"/>
  <c r="Y10" i="2"/>
  <c r="AC10" i="2" s="1"/>
  <c r="AE10" i="2" s="1"/>
  <c r="AD9" i="2" l="1"/>
  <c r="Y9" i="2"/>
  <c r="AC9" i="2" s="1"/>
  <c r="R8" i="2"/>
  <c r="AE9" i="2" l="1"/>
  <c r="AD8" i="2"/>
  <c r="Y8" i="2"/>
  <c r="AC8" i="2" s="1"/>
  <c r="R7" i="2"/>
  <c r="AE8" i="2" l="1"/>
  <c r="AD7" i="2"/>
  <c r="R6" i="2"/>
  <c r="Y7" i="2"/>
  <c r="AC7" i="2" s="1"/>
  <c r="AE7" i="2" s="1"/>
  <c r="AD6" i="2" l="1"/>
  <c r="Y6" i="2"/>
  <c r="AC6" i="2" s="1"/>
  <c r="R5" i="2"/>
  <c r="AE6" i="2" l="1"/>
  <c r="AD5" i="2"/>
  <c r="Y5" i="2"/>
  <c r="AC5" i="2" s="1"/>
  <c r="C12" i="7" l="1"/>
  <c r="C16" i="7" s="1"/>
  <c r="C13" i="7"/>
  <c r="C14" i="7"/>
  <c r="C4" i="7"/>
  <c r="C8" i="7" s="1"/>
  <c r="C4" i="15" s="1"/>
  <c r="AE5" i="2"/>
  <c r="C7" i="7" s="1"/>
  <c r="L6" i="14" l="1"/>
  <c r="Z5" i="14"/>
  <c r="AA5" i="14" s="1"/>
  <c r="AB5" i="14" s="1"/>
  <c r="C9" i="7"/>
  <c r="G7" i="14" l="1"/>
  <c r="H7" i="14" s="1"/>
  <c r="Z6" i="14" s="1"/>
  <c r="AA6" i="14" s="1"/>
  <c r="AB6" i="14" s="1"/>
  <c r="M6" i="14"/>
  <c r="Q7" i="14" l="1"/>
  <c r="N7" i="14"/>
  <c r="O7" i="14" s="1"/>
  <c r="L7" i="14"/>
  <c r="M7" i="14" s="1"/>
  <c r="P7" i="14"/>
  <c r="G8" i="14" l="1"/>
  <c r="H8" i="14" s="1"/>
  <c r="L8" i="14" l="1"/>
  <c r="Z7" i="14"/>
  <c r="AA7" i="14" s="1"/>
  <c r="AB7" i="14" s="1"/>
  <c r="Q8" i="14"/>
  <c r="N8" i="14"/>
  <c r="O8" i="14" s="1"/>
  <c r="P8" i="14"/>
  <c r="M8" i="14" l="1"/>
  <c r="G9" i="14"/>
  <c r="H9" i="14" l="1"/>
  <c r="L9" i="14" l="1"/>
  <c r="Z8" i="14"/>
  <c r="AA8" i="14" s="1"/>
  <c r="AB8" i="14" s="1"/>
  <c r="Q9" i="14"/>
  <c r="N9" i="14"/>
  <c r="O9" i="14" s="1"/>
  <c r="P9" i="14"/>
  <c r="M9" i="14" l="1"/>
  <c r="G10" i="14"/>
  <c r="H10" i="14" l="1"/>
  <c r="L10" i="14" l="1"/>
  <c r="Z9" i="14"/>
  <c r="AA9" i="14" s="1"/>
  <c r="AB9" i="14" s="1"/>
  <c r="Q10" i="14"/>
  <c r="N10" i="14"/>
  <c r="O10" i="14" s="1"/>
  <c r="P10" i="14"/>
  <c r="M10" i="14" l="1"/>
  <c r="G11" i="14"/>
  <c r="H11" i="14" l="1"/>
  <c r="L11" i="14" l="1"/>
  <c r="Q11" i="14"/>
  <c r="Z10" i="14"/>
  <c r="AA10" i="14" s="1"/>
  <c r="AB10" i="14" s="1"/>
  <c r="N11" i="14"/>
  <c r="O11" i="14" s="1"/>
  <c r="P11" i="14"/>
  <c r="M11" i="14" l="1"/>
  <c r="G12" i="14"/>
  <c r="H12" i="14" l="1"/>
  <c r="L12" i="14" l="1"/>
  <c r="Z11" i="14"/>
  <c r="AA11" i="14" s="1"/>
  <c r="AB11" i="14" s="1"/>
  <c r="Q12" i="14"/>
  <c r="P12" i="14"/>
  <c r="N12" i="14"/>
  <c r="O12" i="14" s="1"/>
  <c r="M12" i="14" l="1"/>
  <c r="G13" i="14"/>
  <c r="H13" i="14" l="1"/>
  <c r="L13" i="14" l="1"/>
  <c r="Q13" i="14"/>
  <c r="Z12" i="14"/>
  <c r="AA12" i="14" s="1"/>
  <c r="AB12" i="14" s="1"/>
  <c r="N13" i="14"/>
  <c r="O13" i="14" s="1"/>
  <c r="P13" i="14"/>
  <c r="M13" i="14" l="1"/>
  <c r="G14" i="14"/>
  <c r="H14" i="14" l="1"/>
  <c r="L14" i="14" l="1"/>
  <c r="Z13" i="14"/>
  <c r="AA13" i="14" s="1"/>
  <c r="AB13" i="14" s="1"/>
  <c r="Q14" i="14"/>
  <c r="P14" i="14"/>
  <c r="N14" i="14"/>
  <c r="O14" i="14" s="1"/>
  <c r="M14" i="14" l="1"/>
  <c r="G15" i="14"/>
  <c r="H15" i="14" l="1"/>
  <c r="L15" i="14" l="1"/>
  <c r="Z14" i="14"/>
  <c r="AA14" i="14" s="1"/>
  <c r="AB14" i="14" s="1"/>
  <c r="Q15" i="14"/>
  <c r="N15" i="14"/>
  <c r="O15" i="14" s="1"/>
  <c r="P15" i="14"/>
  <c r="M15" i="14" l="1"/>
  <c r="G16" i="14"/>
  <c r="H16" i="14" l="1"/>
  <c r="L16" i="14" l="1"/>
  <c r="Z15" i="14"/>
  <c r="AA15" i="14" s="1"/>
  <c r="AB15" i="14" s="1"/>
  <c r="Q16" i="14"/>
  <c r="N16" i="14"/>
  <c r="O16" i="14" s="1"/>
  <c r="P16" i="14"/>
  <c r="M16" i="14" l="1"/>
  <c r="G17" i="14"/>
  <c r="H17" i="14" l="1"/>
  <c r="L17" i="14" l="1"/>
  <c r="Z16" i="14"/>
  <c r="AA16" i="14" s="1"/>
  <c r="AB16" i="14" s="1"/>
  <c r="Q17" i="14"/>
  <c r="N17" i="14"/>
  <c r="O17" i="14" s="1"/>
  <c r="P17" i="14"/>
  <c r="M17" i="14" l="1"/>
  <c r="G18" i="14"/>
  <c r="H18" i="14" l="1"/>
  <c r="L18" i="14" l="1"/>
  <c r="Z17" i="14"/>
  <c r="AA17" i="14" s="1"/>
  <c r="AB17" i="14" s="1"/>
  <c r="C9" i="15" s="1"/>
  <c r="Q18" i="14"/>
  <c r="P18" i="14"/>
  <c r="N18" i="14"/>
  <c r="O18" i="14" s="1"/>
  <c r="M18" i="14" l="1"/>
  <c r="G19" i="14"/>
  <c r="H19" i="14" l="1"/>
  <c r="L19" i="14" l="1"/>
  <c r="Q19" i="14"/>
  <c r="Z18" i="14"/>
  <c r="AA18" i="14" s="1"/>
  <c r="AB18" i="14" s="1"/>
  <c r="N19" i="14"/>
  <c r="O19" i="14" s="1"/>
  <c r="P19" i="14"/>
  <c r="M19" i="14" l="1"/>
  <c r="G20" i="14"/>
  <c r="H20" i="14" l="1"/>
  <c r="L20" i="14" l="1"/>
  <c r="Q20" i="14"/>
  <c r="Z19" i="14"/>
  <c r="AA19" i="14" s="1"/>
  <c r="AB19" i="14" s="1"/>
  <c r="P20" i="14"/>
  <c r="N20" i="14"/>
  <c r="O20" i="14" s="1"/>
  <c r="M20" i="14" l="1"/>
  <c r="G21" i="14"/>
  <c r="H21" i="14" l="1"/>
  <c r="L21" i="14" l="1"/>
  <c r="Q21" i="14"/>
  <c r="Z20" i="14"/>
  <c r="AA20" i="14" s="1"/>
  <c r="AB20" i="14" s="1"/>
  <c r="P21" i="14"/>
  <c r="N21" i="14"/>
  <c r="O21" i="14" s="1"/>
  <c r="M21" i="14" l="1"/>
  <c r="G22" i="14"/>
  <c r="H22" i="14" l="1"/>
  <c r="L22" i="14" l="1"/>
  <c r="Z21" i="14"/>
  <c r="AA21" i="14" s="1"/>
  <c r="AB21" i="14" s="1"/>
  <c r="Q22" i="14"/>
  <c r="P22" i="14"/>
  <c r="N22" i="14"/>
  <c r="O22" i="14" s="1"/>
  <c r="M22" i="14" l="1"/>
  <c r="G23" i="14"/>
  <c r="H23" i="14" l="1"/>
  <c r="L23" i="14" l="1"/>
  <c r="Z22" i="14"/>
  <c r="AA22" i="14" s="1"/>
  <c r="AB22" i="14" s="1"/>
  <c r="Q23" i="14"/>
  <c r="N23" i="14"/>
  <c r="O23" i="14" s="1"/>
  <c r="P23" i="14"/>
  <c r="M23" i="14" l="1"/>
  <c r="G24" i="14"/>
  <c r="H24" i="14" l="1"/>
  <c r="L24" i="14" l="1"/>
  <c r="Z23" i="14"/>
  <c r="AA23" i="14" s="1"/>
  <c r="AB23" i="14" s="1"/>
  <c r="Q24" i="14"/>
  <c r="P24" i="14"/>
  <c r="N24" i="14"/>
  <c r="O24" i="14" s="1"/>
  <c r="M24" i="14" l="1"/>
  <c r="G25" i="14"/>
  <c r="H25" i="14" l="1"/>
  <c r="L25" i="14" l="1"/>
  <c r="Z24" i="14"/>
  <c r="AA24" i="14" s="1"/>
  <c r="AB24" i="14" s="1"/>
  <c r="Q25" i="14"/>
  <c r="P25" i="14"/>
  <c r="N25" i="14"/>
  <c r="O25" i="14" s="1"/>
  <c r="M25" i="14" l="1"/>
  <c r="G26" i="14"/>
  <c r="H26" i="14" l="1"/>
  <c r="L26" i="14" l="1"/>
  <c r="Z25" i="14"/>
  <c r="AA25" i="14" s="1"/>
  <c r="AB25" i="14" s="1"/>
  <c r="Q26" i="14"/>
  <c r="P26" i="14"/>
  <c r="N26" i="14"/>
  <c r="O26" i="14" s="1"/>
  <c r="M26" i="14" l="1"/>
  <c r="G27" i="14"/>
  <c r="H27" i="14" l="1"/>
  <c r="L27" i="14" l="1"/>
  <c r="Q27" i="14"/>
  <c r="Z26" i="14"/>
  <c r="AA26" i="14" s="1"/>
  <c r="AB26" i="14" s="1"/>
  <c r="N27" i="14"/>
  <c r="O27" i="14" s="1"/>
  <c r="P27" i="14"/>
  <c r="M27" i="14" l="1"/>
  <c r="G28" i="14"/>
  <c r="H28" i="14" l="1"/>
  <c r="L28" i="14" l="1"/>
  <c r="Q28" i="14"/>
  <c r="Z27" i="14"/>
  <c r="AA27" i="14" s="1"/>
  <c r="AB27" i="14" s="1"/>
  <c r="P28" i="14"/>
  <c r="N28" i="14"/>
  <c r="O28" i="14" s="1"/>
  <c r="M28" i="14" l="1"/>
  <c r="G29" i="14"/>
  <c r="H29" i="14" l="1"/>
  <c r="L29" i="14" l="1"/>
  <c r="Q29" i="14"/>
  <c r="Z28" i="14"/>
  <c r="AA28" i="14" s="1"/>
  <c r="AB28" i="14" s="1"/>
  <c r="P29" i="14"/>
  <c r="N29" i="14"/>
  <c r="O29" i="14" s="1"/>
  <c r="M29" i="14" l="1"/>
  <c r="G30" i="14"/>
  <c r="H30" i="14" l="1"/>
  <c r="L30" i="14" l="1"/>
  <c r="Z29" i="14"/>
  <c r="AA29" i="14" s="1"/>
  <c r="AB29" i="14" s="1"/>
  <c r="Q30" i="14"/>
  <c r="P30" i="14"/>
  <c r="N30" i="14"/>
  <c r="O30" i="14" s="1"/>
  <c r="M30" i="14" l="1"/>
  <c r="G31" i="14"/>
  <c r="H31" i="14" l="1"/>
  <c r="L31" i="14" l="1"/>
  <c r="Z30" i="14"/>
  <c r="AA30" i="14" s="1"/>
  <c r="AB30" i="14" s="1"/>
  <c r="Q31" i="14"/>
  <c r="P31" i="14"/>
  <c r="N31" i="14"/>
  <c r="O31" i="14" s="1"/>
  <c r="M31" i="14" l="1"/>
  <c r="G32" i="14"/>
  <c r="H32" i="14" l="1"/>
  <c r="L32" i="14" l="1"/>
  <c r="Z31" i="14"/>
  <c r="AA31" i="14" s="1"/>
  <c r="AB31" i="14" s="1"/>
  <c r="Q32" i="14"/>
  <c r="N32" i="14"/>
  <c r="O32" i="14" s="1"/>
  <c r="P32" i="14"/>
  <c r="M32" i="14" l="1"/>
  <c r="G33" i="14"/>
  <c r="H33" i="14" l="1"/>
  <c r="L33" i="14" l="1"/>
  <c r="Z32" i="14"/>
  <c r="AA32" i="14" s="1"/>
  <c r="AB32" i="14" s="1"/>
  <c r="Q33" i="14"/>
  <c r="N33" i="14"/>
  <c r="O33" i="14" s="1"/>
  <c r="P33" i="14"/>
  <c r="M33" i="14" l="1"/>
  <c r="G34" i="14"/>
  <c r="H34" i="14" l="1"/>
  <c r="L34" i="14" l="1"/>
  <c r="Z33" i="14"/>
  <c r="AA33" i="14" s="1"/>
  <c r="AB33" i="14" s="1"/>
  <c r="Q34" i="14"/>
  <c r="N34" i="14"/>
  <c r="O34" i="14" s="1"/>
  <c r="P34" i="14"/>
  <c r="M34" i="14" l="1"/>
  <c r="G35" i="14"/>
  <c r="H35" i="14" l="1"/>
  <c r="L35" i="14" l="1"/>
  <c r="Q35" i="14"/>
  <c r="Z34" i="14"/>
  <c r="AA34" i="14" s="1"/>
  <c r="AB34" i="14" s="1"/>
  <c r="N35" i="14"/>
  <c r="O35" i="14" s="1"/>
  <c r="P35" i="14"/>
  <c r="M35" i="14" l="1"/>
  <c r="G36" i="14"/>
  <c r="H36" i="14" l="1"/>
  <c r="L36" i="14" l="1"/>
  <c r="Z35" i="14"/>
  <c r="AA35" i="14" s="1"/>
  <c r="AB35" i="14" s="1"/>
  <c r="Q36" i="14"/>
  <c r="P36" i="14"/>
  <c r="N36" i="14"/>
  <c r="O36" i="14" s="1"/>
  <c r="M36" i="14" l="1"/>
  <c r="G37" i="14"/>
  <c r="H37" i="14" l="1"/>
  <c r="L37" i="14" l="1"/>
  <c r="Q37" i="14"/>
  <c r="Z36" i="14"/>
  <c r="AA36" i="14" s="1"/>
  <c r="AB36" i="14" s="1"/>
  <c r="P37" i="14"/>
  <c r="N37" i="14"/>
  <c r="O37" i="14" s="1"/>
  <c r="M37" i="14" l="1"/>
  <c r="G38" i="14"/>
  <c r="H38" i="14" l="1"/>
  <c r="L38" i="14" l="1"/>
  <c r="Z37" i="14"/>
  <c r="AA37" i="14" s="1"/>
  <c r="AB37" i="14" s="1"/>
  <c r="Q38" i="14"/>
  <c r="P38" i="14"/>
  <c r="N38" i="14"/>
  <c r="O38" i="14" s="1"/>
  <c r="M38" i="14" l="1"/>
  <c r="G39" i="14"/>
  <c r="H39" i="14" l="1"/>
  <c r="L39" i="14" l="1"/>
  <c r="Z38" i="14"/>
  <c r="AA38" i="14" s="1"/>
  <c r="AB38" i="14" s="1"/>
  <c r="Q39" i="14"/>
  <c r="N39" i="14"/>
  <c r="O39" i="14" s="1"/>
  <c r="P39" i="14"/>
  <c r="M39" i="14" l="1"/>
  <c r="G40" i="14"/>
  <c r="H40" i="14" l="1"/>
  <c r="L40" i="14" l="1"/>
  <c r="Z39" i="14"/>
  <c r="AA39" i="14" s="1"/>
  <c r="AB39" i="14" s="1"/>
  <c r="Q40" i="14"/>
  <c r="P40" i="14"/>
  <c r="N40" i="14"/>
  <c r="O40" i="14" s="1"/>
  <c r="M40" i="14" l="1"/>
  <c r="G41" i="14"/>
  <c r="H41" i="14" l="1"/>
  <c r="L41" i="14" l="1"/>
  <c r="Z40" i="14"/>
  <c r="AA40" i="14" s="1"/>
  <c r="AB40" i="14" s="1"/>
  <c r="Q41" i="14"/>
  <c r="P41" i="14"/>
  <c r="N41" i="14"/>
  <c r="O41" i="14" s="1"/>
  <c r="M41" i="14" l="1"/>
  <c r="G42" i="14"/>
  <c r="H42" i="14" l="1"/>
  <c r="L42" i="14" l="1"/>
  <c r="Z41" i="14"/>
  <c r="AA41" i="14" s="1"/>
  <c r="AB41" i="14" s="1"/>
  <c r="Q42" i="14"/>
  <c r="P42" i="14"/>
  <c r="N42" i="14"/>
  <c r="O42" i="14" s="1"/>
  <c r="M42" i="14" l="1"/>
  <c r="G43" i="14"/>
  <c r="H43" i="14" l="1"/>
  <c r="L43" i="14" l="1"/>
  <c r="Q43" i="14"/>
  <c r="Z42" i="14"/>
  <c r="AA42" i="14" s="1"/>
  <c r="AB42" i="14" s="1"/>
  <c r="P43" i="14"/>
  <c r="N43" i="14"/>
  <c r="O43" i="14" s="1"/>
  <c r="M43" i="14" l="1"/>
  <c r="G44" i="14"/>
  <c r="H44" i="14" l="1"/>
  <c r="L44" i="14" l="1"/>
  <c r="Z43" i="14"/>
  <c r="AA43" i="14" s="1"/>
  <c r="AB43" i="14" s="1"/>
  <c r="Q44" i="14"/>
  <c r="N44" i="14"/>
  <c r="O44" i="14" s="1"/>
  <c r="P44" i="14"/>
  <c r="M44" i="14" l="1"/>
  <c r="G45" i="14"/>
  <c r="H45" i="14" l="1"/>
  <c r="L45" i="14" l="1"/>
  <c r="Z44" i="14"/>
  <c r="AA44" i="14" s="1"/>
  <c r="AB44" i="14" s="1"/>
  <c r="Q45" i="14"/>
  <c r="N45" i="14"/>
  <c r="O45" i="14" s="1"/>
  <c r="P45" i="14"/>
  <c r="M45" i="14" l="1"/>
  <c r="G46" i="14"/>
  <c r="H46" i="14" l="1"/>
  <c r="L46" i="14" l="1"/>
  <c r="Z45" i="14"/>
  <c r="AA45" i="14" s="1"/>
  <c r="AB45" i="14" s="1"/>
  <c r="Q46" i="14"/>
  <c r="P46" i="14"/>
  <c r="N46" i="14"/>
  <c r="O46" i="14" s="1"/>
  <c r="M46" i="14" l="1"/>
  <c r="G47" i="14"/>
  <c r="H47" i="14" l="1"/>
  <c r="L47" i="14" l="1"/>
  <c r="Z46" i="14"/>
  <c r="AA46" i="14" s="1"/>
  <c r="AB46" i="14" s="1"/>
  <c r="Q47" i="14"/>
  <c r="P47" i="14"/>
  <c r="N47" i="14"/>
  <c r="O47" i="14" s="1"/>
  <c r="M47" i="14" l="1"/>
  <c r="G48" i="14"/>
  <c r="H48" i="14" l="1"/>
  <c r="L48" i="14" l="1"/>
  <c r="Z47" i="14"/>
  <c r="AA47" i="14" s="1"/>
  <c r="AB47" i="14" s="1"/>
  <c r="Q48" i="14"/>
  <c r="P48" i="14"/>
  <c r="N48" i="14"/>
  <c r="O48" i="14" s="1"/>
  <c r="M48" i="14" l="1"/>
  <c r="G49" i="14"/>
  <c r="H49" i="14" l="1"/>
  <c r="L49" i="14" l="1"/>
  <c r="Z48" i="14"/>
  <c r="AA48" i="14" s="1"/>
  <c r="AB48" i="14" s="1"/>
  <c r="Q49" i="14"/>
  <c r="N49" i="14"/>
  <c r="O49" i="14" s="1"/>
  <c r="P49" i="14"/>
  <c r="M49" i="14" l="1"/>
  <c r="G50" i="14"/>
  <c r="H50" i="14" l="1"/>
  <c r="L50" i="14" l="1"/>
  <c r="Z49" i="14"/>
  <c r="AA49" i="14" s="1"/>
  <c r="AB49" i="14" s="1"/>
  <c r="Q50" i="14"/>
  <c r="P50" i="14"/>
  <c r="N50" i="14"/>
  <c r="O50" i="14" s="1"/>
  <c r="M50" i="14" l="1"/>
  <c r="G51" i="14"/>
  <c r="H51" i="14" l="1"/>
  <c r="L51" i="14" l="1"/>
  <c r="Q51" i="14"/>
  <c r="Z50" i="14"/>
  <c r="AA50" i="14" s="1"/>
  <c r="AB50" i="14" s="1"/>
  <c r="P51" i="14"/>
  <c r="N51" i="14"/>
  <c r="O51" i="14" s="1"/>
  <c r="M51" i="14" l="1"/>
  <c r="G52" i="14"/>
  <c r="H52" i="14" l="1"/>
  <c r="L52" i="14" l="1"/>
  <c r="Z51" i="14"/>
  <c r="AA51" i="14" s="1"/>
  <c r="AB51" i="14" s="1"/>
  <c r="Q52" i="14"/>
  <c r="P52" i="14"/>
  <c r="N52" i="14"/>
  <c r="O52" i="14" s="1"/>
  <c r="M52" i="14" l="1"/>
  <c r="G53" i="14"/>
  <c r="H53" i="14" l="1"/>
  <c r="L53" i="14" l="1"/>
  <c r="Q53" i="14"/>
  <c r="Z52" i="14"/>
  <c r="AA52" i="14" s="1"/>
  <c r="AB52" i="14" s="1"/>
  <c r="P53" i="14"/>
  <c r="N53" i="14"/>
  <c r="O53" i="14" s="1"/>
  <c r="M53" i="14" l="1"/>
  <c r="G54" i="14"/>
  <c r="H54" i="14" l="1"/>
  <c r="L54" i="14" l="1"/>
  <c r="Z53" i="14"/>
  <c r="AA53" i="14" s="1"/>
  <c r="AB53" i="14" s="1"/>
  <c r="Q54" i="14"/>
  <c r="N54" i="14"/>
  <c r="O54" i="14" s="1"/>
  <c r="P54" i="14"/>
  <c r="M54" i="14" l="1"/>
  <c r="G55" i="14"/>
  <c r="H55" i="14" l="1"/>
  <c r="L55" i="14" l="1"/>
  <c r="Z54" i="14"/>
  <c r="AA54" i="14" s="1"/>
  <c r="AB54" i="14" s="1"/>
  <c r="Q55" i="14"/>
  <c r="N55" i="14"/>
  <c r="O55" i="14" s="1"/>
  <c r="P55" i="14"/>
  <c r="M55" i="14" l="1"/>
  <c r="G56" i="14"/>
  <c r="H56" i="14" l="1"/>
  <c r="L56" i="14" l="1"/>
  <c r="Z55" i="14"/>
  <c r="AA55" i="14" s="1"/>
  <c r="AB55" i="14" s="1"/>
  <c r="Q56" i="14"/>
  <c r="N56" i="14"/>
  <c r="O56" i="14" s="1"/>
  <c r="P56" i="14"/>
  <c r="M56" i="14" l="1"/>
  <c r="G57" i="14"/>
  <c r="H57" i="14" l="1"/>
  <c r="L57" i="14" l="1"/>
  <c r="Z56" i="14"/>
  <c r="AA56" i="14" s="1"/>
  <c r="AB56" i="14" s="1"/>
  <c r="Q57" i="14"/>
  <c r="P57" i="14"/>
  <c r="N57" i="14"/>
  <c r="O57" i="14" s="1"/>
  <c r="M57" i="14" l="1"/>
  <c r="G58" i="14"/>
  <c r="H58" i="14" l="1"/>
  <c r="L58" i="14" l="1"/>
  <c r="Z57" i="14"/>
  <c r="AA57" i="14" s="1"/>
  <c r="AB57" i="14" s="1"/>
  <c r="Q58" i="14"/>
  <c r="P58" i="14"/>
  <c r="N58" i="14"/>
  <c r="O58" i="14" s="1"/>
  <c r="M58" i="14" l="1"/>
  <c r="G59" i="14"/>
  <c r="H59" i="14" l="1"/>
  <c r="L59" i="14" l="1"/>
  <c r="Q59" i="14"/>
  <c r="Z58" i="14"/>
  <c r="AA58" i="14" s="1"/>
  <c r="AB58" i="14" s="1"/>
  <c r="P59" i="14"/>
  <c r="N59" i="14"/>
  <c r="O59" i="14" s="1"/>
  <c r="M59" i="14" l="1"/>
  <c r="G60" i="14"/>
  <c r="H60" i="14" l="1"/>
  <c r="L60" i="14" l="1"/>
  <c r="Z59" i="14"/>
  <c r="AA59" i="14" s="1"/>
  <c r="AB59" i="14" s="1"/>
  <c r="Q60" i="14"/>
  <c r="P60" i="14"/>
  <c r="N60" i="14"/>
  <c r="O60" i="14" s="1"/>
  <c r="M60" i="14" l="1"/>
  <c r="G61" i="14"/>
  <c r="H61" i="14" l="1"/>
  <c r="L61" i="14" l="1"/>
  <c r="Q61" i="14"/>
  <c r="Z60" i="14"/>
  <c r="AA60" i="14" s="1"/>
  <c r="AB60" i="14" s="1"/>
  <c r="P61" i="14"/>
  <c r="N61" i="14"/>
  <c r="O61" i="14" s="1"/>
  <c r="M61" i="14" l="1"/>
  <c r="G62" i="14"/>
  <c r="H62" i="14" l="1"/>
  <c r="L62" i="14" l="1"/>
  <c r="Z61" i="14"/>
  <c r="AA61" i="14" s="1"/>
  <c r="AB61" i="14" s="1"/>
  <c r="Q62" i="14"/>
  <c r="N62" i="14"/>
  <c r="O62" i="14" s="1"/>
  <c r="P62" i="14"/>
  <c r="M62" i="14" l="1"/>
  <c r="G63" i="14"/>
  <c r="H63" i="14" l="1"/>
  <c r="L63" i="14" l="1"/>
  <c r="Z62" i="14"/>
  <c r="AA62" i="14" s="1"/>
  <c r="AB62" i="14" s="1"/>
  <c r="Q63" i="14"/>
  <c r="P63" i="14"/>
  <c r="N63" i="14"/>
  <c r="O63" i="14" s="1"/>
  <c r="M63" i="14" l="1"/>
  <c r="G64" i="14"/>
  <c r="H64" i="14" l="1"/>
  <c r="L64" i="14" l="1"/>
  <c r="Z63" i="14"/>
  <c r="AA63" i="14" s="1"/>
  <c r="AB63" i="14" s="1"/>
  <c r="Q64" i="14"/>
  <c r="P64" i="14"/>
  <c r="N64" i="14"/>
  <c r="O64" i="14" s="1"/>
  <c r="M64" i="14" l="1"/>
  <c r="G65" i="14"/>
  <c r="H65" i="14" l="1"/>
  <c r="L65" i="14" l="1"/>
  <c r="Z64" i="14"/>
  <c r="AA64" i="14" s="1"/>
  <c r="AB64" i="14" s="1"/>
  <c r="Q65" i="14"/>
  <c r="P65" i="14"/>
  <c r="N65" i="14"/>
  <c r="O65" i="14" s="1"/>
  <c r="M65" i="14" l="1"/>
  <c r="G66" i="14"/>
  <c r="H66" i="14" l="1"/>
  <c r="L66" i="14" l="1"/>
  <c r="Z65" i="14"/>
  <c r="AA65" i="14" s="1"/>
  <c r="AB65" i="14" s="1"/>
  <c r="Q66" i="14"/>
  <c r="P66" i="14"/>
  <c r="N66" i="14"/>
  <c r="O66" i="14" s="1"/>
  <c r="M66" i="14" l="1"/>
  <c r="G67" i="14"/>
  <c r="H67" i="14" l="1"/>
  <c r="L67" i="14" l="1"/>
  <c r="Q67" i="14"/>
  <c r="Z66" i="14"/>
  <c r="AA66" i="14" s="1"/>
  <c r="AB66" i="14" s="1"/>
  <c r="N67" i="14"/>
  <c r="O67" i="14" s="1"/>
  <c r="P67" i="14"/>
  <c r="M67" i="14" l="1"/>
  <c r="G68" i="14"/>
  <c r="H68" i="14" l="1"/>
  <c r="L68" i="14" l="1"/>
  <c r="Q68" i="14"/>
  <c r="Z67" i="14"/>
  <c r="AA67" i="14" s="1"/>
  <c r="AB67" i="14" s="1"/>
  <c r="P68" i="14"/>
  <c r="N68" i="14"/>
  <c r="O68" i="14" s="1"/>
  <c r="M68" i="14" l="1"/>
  <c r="G69" i="14"/>
  <c r="H69" i="14" l="1"/>
  <c r="L69" i="14" l="1"/>
  <c r="Q69" i="14"/>
  <c r="Z68" i="14"/>
  <c r="AA68" i="14" s="1"/>
  <c r="AB68" i="14" s="1"/>
  <c r="N69" i="14"/>
  <c r="O69" i="14" s="1"/>
  <c r="P69" i="14"/>
  <c r="M69" i="14" l="1"/>
  <c r="G70" i="14"/>
  <c r="H70" i="14" l="1"/>
  <c r="L70" i="14" l="1"/>
  <c r="Z69" i="14"/>
  <c r="AA69" i="14" s="1"/>
  <c r="AB69" i="14" s="1"/>
  <c r="Q70" i="14"/>
  <c r="P70" i="14"/>
  <c r="N70" i="14"/>
  <c r="O70" i="14" s="1"/>
  <c r="M70" i="14" l="1"/>
  <c r="G71" i="14"/>
  <c r="H71" i="14" l="1"/>
  <c r="L71" i="14" l="1"/>
  <c r="Z70" i="14"/>
  <c r="AA70" i="14" s="1"/>
  <c r="AB70" i="14" s="1"/>
  <c r="Q71" i="14"/>
  <c r="P71" i="14"/>
  <c r="N71" i="14"/>
  <c r="O71" i="14" s="1"/>
  <c r="M71" i="14" l="1"/>
  <c r="G72" i="14"/>
  <c r="H72" i="14" l="1"/>
  <c r="L72" i="14" l="1"/>
  <c r="Z71" i="14"/>
  <c r="AA71" i="14" s="1"/>
  <c r="AB71" i="14" s="1"/>
  <c r="Q72" i="14"/>
  <c r="P72" i="14"/>
  <c r="N72" i="14"/>
  <c r="O72" i="14" s="1"/>
  <c r="M72" i="14" l="1"/>
  <c r="G73" i="14"/>
  <c r="H73" i="14" l="1"/>
  <c r="L73" i="14" l="1"/>
  <c r="Z72" i="14"/>
  <c r="AA72" i="14" s="1"/>
  <c r="AB72" i="14" s="1"/>
  <c r="Q73" i="14"/>
  <c r="N73" i="14"/>
  <c r="O73" i="14" s="1"/>
  <c r="P73" i="14"/>
  <c r="M73" i="14" l="1"/>
  <c r="G74" i="14"/>
  <c r="H74" i="14" l="1"/>
  <c r="L74" i="14" l="1"/>
  <c r="Z73" i="14"/>
  <c r="AA73" i="14" s="1"/>
  <c r="AB73" i="14" s="1"/>
  <c r="Q74" i="14"/>
  <c r="P74" i="14"/>
  <c r="N74" i="14"/>
  <c r="O74" i="14" s="1"/>
  <c r="M74" i="14" l="1"/>
  <c r="G75" i="14"/>
  <c r="H75" i="14" l="1"/>
  <c r="L75" i="14" l="1"/>
  <c r="Q75" i="14"/>
  <c r="Z74" i="14"/>
  <c r="AA74" i="14" s="1"/>
  <c r="AB74" i="14" s="1"/>
  <c r="P75" i="14"/>
  <c r="N75" i="14"/>
  <c r="O75" i="14" s="1"/>
  <c r="M75" i="14" l="1"/>
  <c r="G76" i="14"/>
  <c r="H76" i="14" l="1"/>
  <c r="L76" i="14" l="1"/>
  <c r="Z75" i="14"/>
  <c r="AA75" i="14" s="1"/>
  <c r="AB75" i="14" s="1"/>
  <c r="Q76" i="14"/>
  <c r="N76" i="14"/>
  <c r="O76" i="14" s="1"/>
  <c r="P76" i="14"/>
  <c r="M76" i="14" l="1"/>
  <c r="G77" i="14"/>
  <c r="H77" i="14" l="1"/>
  <c r="L77" i="14" l="1"/>
  <c r="Q77" i="14"/>
  <c r="Z76" i="14"/>
  <c r="AA76" i="14" s="1"/>
  <c r="AB76" i="14" s="1"/>
  <c r="P77" i="14"/>
  <c r="N77" i="14"/>
  <c r="O77" i="14" s="1"/>
  <c r="M77" i="14" l="1"/>
  <c r="G78" i="14"/>
  <c r="H78" i="14" s="1"/>
  <c r="L78" i="14" l="1"/>
  <c r="Z77" i="14"/>
  <c r="AA77" i="14" s="1"/>
  <c r="AB77" i="14" s="1"/>
  <c r="Q78" i="14"/>
  <c r="X77" i="14" s="1"/>
  <c r="X76" i="14" s="1"/>
  <c r="X75" i="14" s="1"/>
  <c r="X74" i="14" s="1"/>
  <c r="X73" i="14" s="1"/>
  <c r="X72" i="14" s="1"/>
  <c r="X71" i="14" s="1"/>
  <c r="X70" i="14" s="1"/>
  <c r="X69" i="14" s="1"/>
  <c r="X68" i="14" s="1"/>
  <c r="X67" i="14" s="1"/>
  <c r="X66" i="14" s="1"/>
  <c r="X65" i="14" s="1"/>
  <c r="X64" i="14" s="1"/>
  <c r="X63" i="14" s="1"/>
  <c r="X62" i="14" s="1"/>
  <c r="X61" i="14" s="1"/>
  <c r="X60" i="14" s="1"/>
  <c r="X59" i="14" s="1"/>
  <c r="X58" i="14" s="1"/>
  <c r="X57" i="14" s="1"/>
  <c r="X56" i="14" s="1"/>
  <c r="X55" i="14" s="1"/>
  <c r="X54" i="14" s="1"/>
  <c r="X53" i="14" s="1"/>
  <c r="X52" i="14" s="1"/>
  <c r="X51" i="14" s="1"/>
  <c r="X50" i="14" s="1"/>
  <c r="X49" i="14" s="1"/>
  <c r="X48" i="14" s="1"/>
  <c r="X47" i="14" s="1"/>
  <c r="X46" i="14" s="1"/>
  <c r="X45" i="14" s="1"/>
  <c r="X44" i="14" s="1"/>
  <c r="X43" i="14" s="1"/>
  <c r="X42" i="14" s="1"/>
  <c r="X41" i="14" s="1"/>
  <c r="X40" i="14" s="1"/>
  <c r="X39" i="14" s="1"/>
  <c r="X38" i="14" s="1"/>
  <c r="X37" i="14" s="1"/>
  <c r="X36" i="14" s="1"/>
  <c r="X35" i="14" s="1"/>
  <c r="X34" i="14" s="1"/>
  <c r="X33" i="14" s="1"/>
  <c r="X32" i="14" s="1"/>
  <c r="X31" i="14" s="1"/>
  <c r="X30" i="14" s="1"/>
  <c r="X29" i="14" s="1"/>
  <c r="X28" i="14" s="1"/>
  <c r="X27" i="14" s="1"/>
  <c r="X26" i="14" s="1"/>
  <c r="X25" i="14" s="1"/>
  <c r="X24" i="14" s="1"/>
  <c r="X23" i="14" s="1"/>
  <c r="X22" i="14" s="1"/>
  <c r="X21" i="14" s="1"/>
  <c r="X20" i="14" s="1"/>
  <c r="X19" i="14" s="1"/>
  <c r="X18" i="14" s="1"/>
  <c r="X17" i="14" s="1"/>
  <c r="X16" i="14" s="1"/>
  <c r="X15" i="14" s="1"/>
  <c r="X14" i="14" s="1"/>
  <c r="X13" i="14" s="1"/>
  <c r="X12" i="14" s="1"/>
  <c r="X11" i="14" s="1"/>
  <c r="X10" i="14" s="1"/>
  <c r="X9" i="14" s="1"/>
  <c r="X8" i="14" s="1"/>
  <c r="X7" i="14" s="1"/>
  <c r="X6" i="14" s="1"/>
  <c r="X5" i="14" s="1"/>
  <c r="N78" i="14"/>
  <c r="P78" i="14"/>
  <c r="W77" i="14" s="1"/>
  <c r="W76" i="14" s="1"/>
  <c r="W75" i="14" s="1"/>
  <c r="W74" i="14" s="1"/>
  <c r="W73" i="14" s="1"/>
  <c r="W72" i="14" s="1"/>
  <c r="W71" i="14" s="1"/>
  <c r="W70" i="14" s="1"/>
  <c r="W69" i="14" s="1"/>
  <c r="W68" i="14" s="1"/>
  <c r="W67" i="14" s="1"/>
  <c r="W66" i="14" s="1"/>
  <c r="W65" i="14" s="1"/>
  <c r="W64" i="14" s="1"/>
  <c r="W63" i="14" s="1"/>
  <c r="W62" i="14" s="1"/>
  <c r="W61" i="14" s="1"/>
  <c r="W60" i="14" s="1"/>
  <c r="W59" i="14" s="1"/>
  <c r="W58" i="14" s="1"/>
  <c r="W57" i="14" s="1"/>
  <c r="W56" i="14" s="1"/>
  <c r="W55" i="14" s="1"/>
  <c r="W54" i="14" s="1"/>
  <c r="W53" i="14" s="1"/>
  <c r="W52" i="14" s="1"/>
  <c r="W51" i="14" s="1"/>
  <c r="W50" i="14" s="1"/>
  <c r="W49" i="14" s="1"/>
  <c r="W48" i="14" s="1"/>
  <c r="W47" i="14" s="1"/>
  <c r="W46" i="14" s="1"/>
  <c r="W45" i="14" s="1"/>
  <c r="W44" i="14" s="1"/>
  <c r="W43" i="14" s="1"/>
  <c r="W42" i="14" s="1"/>
  <c r="W41" i="14" s="1"/>
  <c r="W40" i="14" s="1"/>
  <c r="W39" i="14" s="1"/>
  <c r="W38" i="14" s="1"/>
  <c r="W37" i="14" s="1"/>
  <c r="W36" i="14" s="1"/>
  <c r="W35" i="14" s="1"/>
  <c r="W34" i="14" s="1"/>
  <c r="W33" i="14" s="1"/>
  <c r="W32" i="14" s="1"/>
  <c r="W31" i="14" s="1"/>
  <c r="W30" i="14" s="1"/>
  <c r="W29" i="14" s="1"/>
  <c r="W28" i="14" s="1"/>
  <c r="W27" i="14" s="1"/>
  <c r="W26" i="14" s="1"/>
  <c r="W25" i="14" s="1"/>
  <c r="W24" i="14" s="1"/>
  <c r="W23" i="14" s="1"/>
  <c r="W22" i="14" s="1"/>
  <c r="W21" i="14" s="1"/>
  <c r="W20" i="14" s="1"/>
  <c r="W19" i="14" s="1"/>
  <c r="W18" i="14" s="1"/>
  <c r="W17" i="14" s="1"/>
  <c r="W16" i="14" s="1"/>
  <c r="W15" i="14" s="1"/>
  <c r="W14" i="14" s="1"/>
  <c r="W13" i="14" s="1"/>
  <c r="W12" i="14" s="1"/>
  <c r="W11" i="14" s="1"/>
  <c r="W10" i="14" s="1"/>
  <c r="W9" i="14" s="1"/>
  <c r="W8" i="14" s="1"/>
  <c r="W7" i="14" s="1"/>
  <c r="W6" i="14" s="1"/>
  <c r="W5" i="14" s="1"/>
  <c r="R77" i="14"/>
  <c r="R76" i="14" l="1"/>
  <c r="AD77" i="14"/>
  <c r="O78" i="14"/>
  <c r="V77" i="14" s="1"/>
  <c r="V76" i="14" s="1"/>
  <c r="V75" i="14" s="1"/>
  <c r="V74" i="14" s="1"/>
  <c r="V73" i="14" s="1"/>
  <c r="V72" i="14" s="1"/>
  <c r="V71" i="14" s="1"/>
  <c r="V70" i="14" s="1"/>
  <c r="V69" i="14" s="1"/>
  <c r="V68" i="14" s="1"/>
  <c r="V67" i="14" s="1"/>
  <c r="V66" i="14" s="1"/>
  <c r="V65" i="14" s="1"/>
  <c r="V64" i="14" s="1"/>
  <c r="V63" i="14" s="1"/>
  <c r="V62" i="14" s="1"/>
  <c r="V61" i="14" s="1"/>
  <c r="V60" i="14" s="1"/>
  <c r="V59" i="14" s="1"/>
  <c r="V58" i="14" s="1"/>
  <c r="V57" i="14" s="1"/>
  <c r="V56" i="14" s="1"/>
  <c r="V55" i="14" s="1"/>
  <c r="V54" i="14" s="1"/>
  <c r="V53" i="14" s="1"/>
  <c r="V52" i="14" s="1"/>
  <c r="V51" i="14" s="1"/>
  <c r="V50" i="14" s="1"/>
  <c r="V49" i="14" s="1"/>
  <c r="V48" i="14" s="1"/>
  <c r="V47" i="14" s="1"/>
  <c r="V46" i="14" s="1"/>
  <c r="V45" i="14" s="1"/>
  <c r="V44" i="14" s="1"/>
  <c r="V43" i="14" s="1"/>
  <c r="V42" i="14" s="1"/>
  <c r="V41" i="14" s="1"/>
  <c r="V40" i="14" s="1"/>
  <c r="V39" i="14" s="1"/>
  <c r="V38" i="14" s="1"/>
  <c r="V37" i="14" s="1"/>
  <c r="V36" i="14" s="1"/>
  <c r="V35" i="14" s="1"/>
  <c r="V34" i="14" s="1"/>
  <c r="V33" i="14" s="1"/>
  <c r="V32" i="14" s="1"/>
  <c r="V31" i="14" s="1"/>
  <c r="V30" i="14" s="1"/>
  <c r="V29" i="14" s="1"/>
  <c r="V28" i="14" s="1"/>
  <c r="V27" i="14" s="1"/>
  <c r="V26" i="14" s="1"/>
  <c r="V25" i="14" s="1"/>
  <c r="V24" i="14" s="1"/>
  <c r="V23" i="14" s="1"/>
  <c r="V22" i="14" s="1"/>
  <c r="V21" i="14" s="1"/>
  <c r="V20" i="14" s="1"/>
  <c r="V19" i="14" s="1"/>
  <c r="V18" i="14" s="1"/>
  <c r="V17" i="14" s="1"/>
  <c r="V16" i="14" s="1"/>
  <c r="V15" i="14" s="1"/>
  <c r="V14" i="14" s="1"/>
  <c r="V13" i="14" s="1"/>
  <c r="V12" i="14" s="1"/>
  <c r="V11" i="14" s="1"/>
  <c r="V10" i="14" s="1"/>
  <c r="V9" i="14" s="1"/>
  <c r="V8" i="14" s="1"/>
  <c r="V7" i="14" s="1"/>
  <c r="V6" i="14" s="1"/>
  <c r="V5" i="14" s="1"/>
  <c r="U77" i="14"/>
  <c r="U76" i="14" s="1"/>
  <c r="U75" i="14" s="1"/>
  <c r="U74" i="14" s="1"/>
  <c r="U73" i="14" s="1"/>
  <c r="U72" i="14" s="1"/>
  <c r="U71" i="14" s="1"/>
  <c r="U70" i="14" s="1"/>
  <c r="U69" i="14" s="1"/>
  <c r="U68" i="14" s="1"/>
  <c r="U67" i="14" s="1"/>
  <c r="U66" i="14" s="1"/>
  <c r="U65" i="14" s="1"/>
  <c r="U64" i="14" s="1"/>
  <c r="U63" i="14" s="1"/>
  <c r="U62" i="14" s="1"/>
  <c r="U61" i="14" s="1"/>
  <c r="U60" i="14" s="1"/>
  <c r="U59" i="14" s="1"/>
  <c r="U58" i="14" s="1"/>
  <c r="U57" i="14" s="1"/>
  <c r="U56" i="14" s="1"/>
  <c r="U55" i="14" s="1"/>
  <c r="U54" i="14" s="1"/>
  <c r="U53" i="14" s="1"/>
  <c r="U52" i="14" s="1"/>
  <c r="U51" i="14" s="1"/>
  <c r="U50" i="14" s="1"/>
  <c r="U49" i="14" s="1"/>
  <c r="U48" i="14" s="1"/>
  <c r="U47" i="14" s="1"/>
  <c r="U46" i="14" s="1"/>
  <c r="U45" i="14" s="1"/>
  <c r="U44" i="14" s="1"/>
  <c r="U43" i="14" s="1"/>
  <c r="U42" i="14" s="1"/>
  <c r="U41" i="14" s="1"/>
  <c r="U40" i="14" s="1"/>
  <c r="U39" i="14" s="1"/>
  <c r="U38" i="14" s="1"/>
  <c r="U37" i="14" s="1"/>
  <c r="U36" i="14" s="1"/>
  <c r="U35" i="14" s="1"/>
  <c r="U34" i="14" s="1"/>
  <c r="U33" i="14" s="1"/>
  <c r="U32" i="14" s="1"/>
  <c r="U31" i="14" s="1"/>
  <c r="U30" i="14" s="1"/>
  <c r="U29" i="14" s="1"/>
  <c r="U28" i="14" s="1"/>
  <c r="U27" i="14" s="1"/>
  <c r="U26" i="14" s="1"/>
  <c r="U25" i="14" s="1"/>
  <c r="U24" i="14" s="1"/>
  <c r="U23" i="14" s="1"/>
  <c r="U22" i="14" s="1"/>
  <c r="U21" i="14" s="1"/>
  <c r="U20" i="14" s="1"/>
  <c r="U19" i="14" s="1"/>
  <c r="U18" i="14" s="1"/>
  <c r="U17" i="14" s="1"/>
  <c r="U16" i="14" s="1"/>
  <c r="U15" i="14" s="1"/>
  <c r="U14" i="14" s="1"/>
  <c r="U13" i="14" s="1"/>
  <c r="U12" i="14" s="1"/>
  <c r="U11" i="14" s="1"/>
  <c r="U10" i="14" s="1"/>
  <c r="U9" i="14" s="1"/>
  <c r="U8" i="14" s="1"/>
  <c r="U7" i="14" s="1"/>
  <c r="U6" i="14" s="1"/>
  <c r="U5" i="14" s="1"/>
  <c r="S77" i="14"/>
  <c r="S76" i="14" s="1"/>
  <c r="S75" i="14" s="1"/>
  <c r="S74" i="14" s="1"/>
  <c r="S73" i="14" s="1"/>
  <c r="S72" i="14" s="1"/>
  <c r="S71" i="14" s="1"/>
  <c r="S70" i="14" s="1"/>
  <c r="S69" i="14" s="1"/>
  <c r="S68" i="14" s="1"/>
  <c r="S67" i="14" s="1"/>
  <c r="S66" i="14" s="1"/>
  <c r="S65" i="14" s="1"/>
  <c r="S64" i="14" s="1"/>
  <c r="S63" i="14" s="1"/>
  <c r="S62" i="14" s="1"/>
  <c r="S61" i="14" s="1"/>
  <c r="S60" i="14" s="1"/>
  <c r="S59" i="14" s="1"/>
  <c r="S58" i="14" s="1"/>
  <c r="S57" i="14" s="1"/>
  <c r="S56" i="14" s="1"/>
  <c r="S55" i="14" s="1"/>
  <c r="S54" i="14" s="1"/>
  <c r="S53" i="14" s="1"/>
  <c r="S52" i="14" s="1"/>
  <c r="S51" i="14" s="1"/>
  <c r="S50" i="14" s="1"/>
  <c r="S49" i="14" s="1"/>
  <c r="S48" i="14" s="1"/>
  <c r="S47" i="14" s="1"/>
  <c r="S46" i="14" s="1"/>
  <c r="S45" i="14" s="1"/>
  <c r="S44" i="14" s="1"/>
  <c r="S43" i="14" s="1"/>
  <c r="S42" i="14" s="1"/>
  <c r="S41" i="14" s="1"/>
  <c r="S40" i="14" s="1"/>
  <c r="S39" i="14" s="1"/>
  <c r="S38" i="14" s="1"/>
  <c r="S37" i="14" s="1"/>
  <c r="S36" i="14" s="1"/>
  <c r="S35" i="14" s="1"/>
  <c r="S34" i="14" s="1"/>
  <c r="S33" i="14" s="1"/>
  <c r="S32" i="14" s="1"/>
  <c r="S31" i="14" s="1"/>
  <c r="S30" i="14" s="1"/>
  <c r="S29" i="14" s="1"/>
  <c r="S28" i="14" s="1"/>
  <c r="S27" i="14" s="1"/>
  <c r="S26" i="14" s="1"/>
  <c r="S25" i="14" s="1"/>
  <c r="S24" i="14" s="1"/>
  <c r="S23" i="14" s="1"/>
  <c r="S22" i="14" s="1"/>
  <c r="S21" i="14" s="1"/>
  <c r="S20" i="14" s="1"/>
  <c r="S19" i="14" s="1"/>
  <c r="S18" i="14" s="1"/>
  <c r="S17" i="14" s="1"/>
  <c r="S16" i="14" s="1"/>
  <c r="S15" i="14" s="1"/>
  <c r="S14" i="14" s="1"/>
  <c r="S13" i="14" s="1"/>
  <c r="S12" i="14" s="1"/>
  <c r="S11" i="14" s="1"/>
  <c r="S10" i="14" s="1"/>
  <c r="S9" i="14" s="1"/>
  <c r="S8" i="14" s="1"/>
  <c r="S7" i="14" s="1"/>
  <c r="S6" i="14" s="1"/>
  <c r="S5" i="14" s="1"/>
  <c r="M78" i="14"/>
  <c r="T77" i="14" s="1"/>
  <c r="T76" i="14" s="1"/>
  <c r="T75" i="14" s="1"/>
  <c r="T74" i="14" s="1"/>
  <c r="T73" i="14" s="1"/>
  <c r="T72" i="14" s="1"/>
  <c r="T71" i="14" s="1"/>
  <c r="T70" i="14" s="1"/>
  <c r="T69" i="14" s="1"/>
  <c r="T68" i="14" s="1"/>
  <c r="T67" i="14" s="1"/>
  <c r="T66" i="14" s="1"/>
  <c r="T65" i="14" s="1"/>
  <c r="T64" i="14" s="1"/>
  <c r="T63" i="14" s="1"/>
  <c r="T62" i="14" s="1"/>
  <c r="T61" i="14" s="1"/>
  <c r="T60" i="14" s="1"/>
  <c r="T59" i="14" s="1"/>
  <c r="T58" i="14" s="1"/>
  <c r="T57" i="14" s="1"/>
  <c r="T56" i="14" s="1"/>
  <c r="T55" i="14" s="1"/>
  <c r="T54" i="14" s="1"/>
  <c r="T53" i="14" s="1"/>
  <c r="T52" i="14" s="1"/>
  <c r="T51" i="14" s="1"/>
  <c r="T50" i="14" s="1"/>
  <c r="T49" i="14" s="1"/>
  <c r="T48" i="14" s="1"/>
  <c r="T47" i="14" s="1"/>
  <c r="T46" i="14" s="1"/>
  <c r="T45" i="14" s="1"/>
  <c r="T44" i="14" s="1"/>
  <c r="T43" i="14" s="1"/>
  <c r="T42" i="14" s="1"/>
  <c r="T41" i="14" s="1"/>
  <c r="T40" i="14" s="1"/>
  <c r="T39" i="14" s="1"/>
  <c r="T38" i="14" s="1"/>
  <c r="T37" i="14" s="1"/>
  <c r="T36" i="14" s="1"/>
  <c r="T35" i="14" s="1"/>
  <c r="T34" i="14" s="1"/>
  <c r="T33" i="14" s="1"/>
  <c r="T32" i="14" s="1"/>
  <c r="T31" i="14" s="1"/>
  <c r="T30" i="14" s="1"/>
  <c r="T29" i="14" s="1"/>
  <c r="T28" i="14" s="1"/>
  <c r="T27" i="14" s="1"/>
  <c r="T26" i="14" s="1"/>
  <c r="T25" i="14" s="1"/>
  <c r="T24" i="14" s="1"/>
  <c r="T23" i="14" s="1"/>
  <c r="T22" i="14" s="1"/>
  <c r="T21" i="14" s="1"/>
  <c r="T20" i="14" s="1"/>
  <c r="T19" i="14" s="1"/>
  <c r="T18" i="14" s="1"/>
  <c r="T17" i="14" s="1"/>
  <c r="T16" i="14" s="1"/>
  <c r="T15" i="14" s="1"/>
  <c r="T14" i="14" s="1"/>
  <c r="T13" i="14" s="1"/>
  <c r="T12" i="14" s="1"/>
  <c r="T11" i="14" s="1"/>
  <c r="T10" i="14" s="1"/>
  <c r="T9" i="14" s="1"/>
  <c r="T8" i="14" s="1"/>
  <c r="T7" i="14" s="1"/>
  <c r="T6" i="14" s="1"/>
  <c r="T5" i="14" s="1"/>
  <c r="Y77" i="14" l="1"/>
  <c r="AC77" i="14" s="1"/>
  <c r="AE77" i="14" s="1"/>
  <c r="AD76" i="14"/>
  <c r="R75" i="14"/>
  <c r="Y76" i="14"/>
  <c r="AC76" i="14" s="1"/>
  <c r="AE76" i="14" s="1"/>
  <c r="Y75" i="14" l="1"/>
  <c r="AC75" i="14" s="1"/>
  <c r="AD75" i="14"/>
  <c r="R74" i="14"/>
  <c r="AE75" i="14" l="1"/>
  <c r="Y74" i="14"/>
  <c r="AC74" i="14" s="1"/>
  <c r="R73" i="14"/>
  <c r="AD74" i="14"/>
  <c r="AD73" i="14" l="1"/>
  <c r="Y73" i="14"/>
  <c r="AC73" i="14" s="1"/>
  <c r="AE73" i="14" s="1"/>
  <c r="R72" i="14"/>
  <c r="AE74" i="14"/>
  <c r="AD72" i="14" l="1"/>
  <c r="R71" i="14"/>
  <c r="Y72" i="14"/>
  <c r="AC72" i="14" s="1"/>
  <c r="AE72" i="14" s="1"/>
  <c r="R70" i="14" l="1"/>
  <c r="AD71" i="14"/>
  <c r="Y71" i="14"/>
  <c r="AC71" i="14" s="1"/>
  <c r="AE71" i="14" s="1"/>
  <c r="Y70" i="14" l="1"/>
  <c r="AC70" i="14" s="1"/>
  <c r="AD70" i="14"/>
  <c r="R69" i="14"/>
  <c r="AE70" i="14" l="1"/>
  <c r="AD69" i="14"/>
  <c r="R68" i="14"/>
  <c r="Y69" i="14"/>
  <c r="AC69" i="14" s="1"/>
  <c r="AE69" i="14" s="1"/>
  <c r="Y68" i="14" l="1"/>
  <c r="AC68" i="14" s="1"/>
  <c r="AD68" i="14"/>
  <c r="R67" i="14"/>
  <c r="AE68" i="14" l="1"/>
  <c r="Y67" i="14"/>
  <c r="AC67" i="14" s="1"/>
  <c r="AD67" i="14"/>
  <c r="R66" i="14"/>
  <c r="AE67" i="14" l="1"/>
  <c r="AD66" i="14"/>
  <c r="Y66" i="14"/>
  <c r="AC66" i="14" s="1"/>
  <c r="AE66" i="14" s="1"/>
  <c r="R65" i="14"/>
  <c r="AD65" i="14" l="1"/>
  <c r="R64" i="14"/>
  <c r="Y65" i="14"/>
  <c r="AC65" i="14" s="1"/>
  <c r="AE65" i="14" s="1"/>
  <c r="Y64" i="14" l="1"/>
  <c r="AC64" i="14" s="1"/>
  <c r="R63" i="14"/>
  <c r="AD64" i="14"/>
  <c r="R62" i="14" l="1"/>
  <c r="Y63" i="14"/>
  <c r="AC63" i="14" s="1"/>
  <c r="AD63" i="14"/>
  <c r="AE64" i="14"/>
  <c r="AE63" i="14" l="1"/>
  <c r="AD62" i="14"/>
  <c r="R61" i="14"/>
  <c r="Y62" i="14"/>
  <c r="AC62" i="14" s="1"/>
  <c r="AE62" i="14" s="1"/>
  <c r="AD61" i="14" l="1"/>
  <c r="Y61" i="14"/>
  <c r="AC61" i="14" s="1"/>
  <c r="AE61" i="14" s="1"/>
  <c r="R60" i="14"/>
  <c r="AD60" i="14" l="1"/>
  <c r="R59" i="14"/>
  <c r="Y60" i="14"/>
  <c r="AC60" i="14" s="1"/>
  <c r="AE60" i="14" s="1"/>
  <c r="Y59" i="14" l="1"/>
  <c r="AC59" i="14" s="1"/>
  <c r="AD59" i="14"/>
  <c r="R58" i="14"/>
  <c r="AE59" i="14" l="1"/>
  <c r="R57" i="14"/>
  <c r="Y58" i="14"/>
  <c r="AC58" i="14" s="1"/>
  <c r="AD58" i="14"/>
  <c r="AE58" i="14" l="1"/>
  <c r="Y57" i="14"/>
  <c r="AC57" i="14" s="1"/>
  <c r="AD57" i="14"/>
  <c r="R56" i="14"/>
  <c r="AE57" i="14" l="1"/>
  <c r="AD56" i="14"/>
  <c r="Y56" i="14"/>
  <c r="AC56" i="14" s="1"/>
  <c r="R55" i="14"/>
  <c r="R54" i="14" l="1"/>
  <c r="AD55" i="14"/>
  <c r="Y55" i="14"/>
  <c r="AC55" i="14" s="1"/>
  <c r="AE55" i="14" s="1"/>
  <c r="AE56" i="14"/>
  <c r="AD54" i="14" l="1"/>
  <c r="R53" i="14"/>
  <c r="Y54" i="14"/>
  <c r="AC54" i="14" s="1"/>
  <c r="AE54" i="14" s="1"/>
  <c r="AD53" i="14" l="1"/>
  <c r="Y53" i="14"/>
  <c r="AC53" i="14" s="1"/>
  <c r="AE53" i="14" s="1"/>
  <c r="R52" i="14"/>
  <c r="Y52" i="14" l="1"/>
  <c r="AC52" i="14" s="1"/>
  <c r="R51" i="14"/>
  <c r="AD52" i="14"/>
  <c r="R50" i="14" l="1"/>
  <c r="Y51" i="14"/>
  <c r="AC51" i="14" s="1"/>
  <c r="AD51" i="14"/>
  <c r="AE52" i="14"/>
  <c r="AE51" i="14" l="1"/>
  <c r="R49" i="14"/>
  <c r="AD50" i="14"/>
  <c r="Y50" i="14"/>
  <c r="AC50" i="14" s="1"/>
  <c r="AE50" i="14" s="1"/>
  <c r="AD49" i="14" l="1"/>
  <c r="Y49" i="14"/>
  <c r="AC49" i="14" s="1"/>
  <c r="AE49" i="14" s="1"/>
  <c r="R48" i="14"/>
  <c r="Y48" i="14" l="1"/>
  <c r="AC48" i="14" s="1"/>
  <c r="AD48" i="14"/>
  <c r="R47" i="14"/>
  <c r="AE48" i="14" l="1"/>
  <c r="Y47" i="14"/>
  <c r="AC47" i="14" s="1"/>
  <c r="R46" i="14"/>
  <c r="AD47" i="14"/>
  <c r="AE47" i="14" l="1"/>
  <c r="R45" i="14"/>
  <c r="Y46" i="14"/>
  <c r="AC46" i="14" s="1"/>
  <c r="AD46" i="14"/>
  <c r="AE46" i="14" l="1"/>
  <c r="R44" i="14"/>
  <c r="Y45" i="14"/>
  <c r="AC45" i="14" s="1"/>
  <c r="AD45" i="14"/>
  <c r="AD44" i="14" l="1"/>
  <c r="Y44" i="14"/>
  <c r="AC44" i="14" s="1"/>
  <c r="AE44" i="14" s="1"/>
  <c r="R43" i="14"/>
  <c r="AE45" i="14"/>
  <c r="Y43" i="14" l="1"/>
  <c r="AC43" i="14" s="1"/>
  <c r="R42" i="14"/>
  <c r="AD43" i="14"/>
  <c r="R41" i="14" l="1"/>
  <c r="AD42" i="14"/>
  <c r="Y42" i="14"/>
  <c r="AC42" i="14" s="1"/>
  <c r="AE42" i="14" s="1"/>
  <c r="AE43" i="14"/>
  <c r="Y41" i="14" l="1"/>
  <c r="AC41" i="14" s="1"/>
  <c r="R40" i="14"/>
  <c r="AD41" i="14"/>
  <c r="Y40" i="14" l="1"/>
  <c r="AC40" i="14" s="1"/>
  <c r="R39" i="14"/>
  <c r="AD40" i="14"/>
  <c r="AE41" i="14"/>
  <c r="AD39" i="14" l="1"/>
  <c r="R38" i="14"/>
  <c r="Y39" i="14"/>
  <c r="AC39" i="14" s="1"/>
  <c r="AE39" i="14" s="1"/>
  <c r="AE40" i="14"/>
  <c r="Y38" i="14" l="1"/>
  <c r="AC38" i="14" s="1"/>
  <c r="R37" i="14"/>
  <c r="AD38" i="14"/>
  <c r="Y37" i="14" l="1"/>
  <c r="AC37" i="14" s="1"/>
  <c r="AD37" i="14"/>
  <c r="R36" i="14"/>
  <c r="AE38" i="14"/>
  <c r="AE37" i="14" l="1"/>
  <c r="AD36" i="14"/>
  <c r="Y36" i="14"/>
  <c r="AC36" i="14" s="1"/>
  <c r="AE36" i="14" s="1"/>
  <c r="R35" i="14"/>
  <c r="Y35" i="14" l="1"/>
  <c r="AC35" i="14" s="1"/>
  <c r="R34" i="14"/>
  <c r="AD35" i="14"/>
  <c r="Y34" i="14" l="1"/>
  <c r="AC34" i="14" s="1"/>
  <c r="AD34" i="14"/>
  <c r="R33" i="14"/>
  <c r="AE35" i="14"/>
  <c r="Y33" i="14" l="1"/>
  <c r="AC33" i="14" s="1"/>
  <c r="R32" i="14"/>
  <c r="AD33" i="14"/>
  <c r="AE34" i="14"/>
  <c r="AD32" i="14" l="1"/>
  <c r="Y32" i="14"/>
  <c r="AC32" i="14" s="1"/>
  <c r="AE32" i="14" s="1"/>
  <c r="R31" i="14"/>
  <c r="AE33" i="14"/>
  <c r="R30" i="14" l="1"/>
  <c r="Y31" i="14"/>
  <c r="AC31" i="14" s="1"/>
  <c r="AD31" i="14"/>
  <c r="AE31" i="14" l="1"/>
  <c r="Y30" i="14"/>
  <c r="AC30" i="14" s="1"/>
  <c r="R29" i="14"/>
  <c r="AD30" i="14"/>
  <c r="AE30" i="14" l="1"/>
  <c r="AD29" i="14"/>
  <c r="Y29" i="14"/>
  <c r="AC29" i="14" s="1"/>
  <c r="R28" i="14"/>
  <c r="AE29" i="14" l="1"/>
  <c r="AD28" i="14"/>
  <c r="Y28" i="14"/>
  <c r="AC28" i="14" s="1"/>
  <c r="AE28" i="14" s="1"/>
  <c r="R27" i="14"/>
  <c r="AD27" i="14" l="1"/>
  <c r="R26" i="14"/>
  <c r="Y27" i="14"/>
  <c r="AC27" i="14" s="1"/>
  <c r="AE27" i="14" s="1"/>
  <c r="Y26" i="14" l="1"/>
  <c r="AC26" i="14" s="1"/>
  <c r="AD26" i="14"/>
  <c r="R25" i="14"/>
  <c r="R24" i="14" l="1"/>
  <c r="Y25" i="14"/>
  <c r="AC25" i="14" s="1"/>
  <c r="AD25" i="14"/>
  <c r="AE26" i="14"/>
  <c r="AE25" i="14" l="1"/>
  <c r="AD24" i="14"/>
  <c r="Y24" i="14"/>
  <c r="AC24" i="14" s="1"/>
  <c r="AE24" i="14" s="1"/>
  <c r="R23" i="14"/>
  <c r="Y23" i="14" l="1"/>
  <c r="AC23" i="14" s="1"/>
  <c r="AD23" i="14"/>
  <c r="R22" i="14"/>
  <c r="AE23" i="14" l="1"/>
  <c r="Y22" i="14"/>
  <c r="AC22" i="14" s="1"/>
  <c r="AD22" i="14"/>
  <c r="R21" i="14"/>
  <c r="Y21" i="14" l="1"/>
  <c r="AC21" i="14" s="1"/>
  <c r="R20" i="14"/>
  <c r="AD21" i="14"/>
  <c r="AE22" i="14"/>
  <c r="AE21" i="14" l="1"/>
  <c r="R19" i="14"/>
  <c r="AD20" i="14"/>
  <c r="Y20" i="14"/>
  <c r="AC20" i="14" s="1"/>
  <c r="AE20" i="14" s="1"/>
  <c r="AD19" i="14" l="1"/>
  <c r="R18" i="14"/>
  <c r="Y19" i="14"/>
  <c r="AC19" i="14" s="1"/>
  <c r="AE19" i="14" s="1"/>
  <c r="R17" i="14" l="1"/>
  <c r="Y18" i="14"/>
  <c r="AC18" i="14" s="1"/>
  <c r="AD18" i="14"/>
  <c r="AE18" i="14" l="1"/>
  <c r="AD17" i="14"/>
  <c r="Y17" i="14"/>
  <c r="AC17" i="14" s="1"/>
  <c r="R16" i="14"/>
  <c r="Y16" i="14" l="1"/>
  <c r="AC16" i="14" s="1"/>
  <c r="AD16" i="14"/>
  <c r="R15" i="14"/>
  <c r="AE17" i="14"/>
  <c r="C8" i="15"/>
  <c r="C11" i="15" s="1"/>
  <c r="C15" i="15" s="1"/>
  <c r="AE16" i="14" l="1"/>
  <c r="R14" i="14"/>
  <c r="Y15" i="14"/>
  <c r="AC15" i="14" s="1"/>
  <c r="AD15" i="14"/>
  <c r="AE15" i="14" l="1"/>
  <c r="AD14" i="14"/>
  <c r="R13" i="14"/>
  <c r="Y14" i="14"/>
  <c r="AC14" i="14" s="1"/>
  <c r="AE14" i="14" s="1"/>
  <c r="AD13" i="14" l="1"/>
  <c r="R12" i="14"/>
  <c r="Y13" i="14"/>
  <c r="AC13" i="14" s="1"/>
  <c r="AE13" i="14" s="1"/>
  <c r="Y12" i="14" l="1"/>
  <c r="AC12" i="14" s="1"/>
  <c r="AD12" i="14"/>
  <c r="R11" i="14"/>
  <c r="AE12" i="14" l="1"/>
  <c r="R10" i="14"/>
  <c r="Y11" i="14"/>
  <c r="AC11" i="14" s="1"/>
  <c r="AD11" i="14"/>
  <c r="AE11" i="14" l="1"/>
  <c r="AD10" i="14"/>
  <c r="R9" i="14"/>
  <c r="Y10" i="14"/>
  <c r="AC10" i="14" s="1"/>
  <c r="AE10" i="14" s="1"/>
  <c r="R8" i="14" l="1"/>
  <c r="AD9" i="14"/>
  <c r="Y9" i="14"/>
  <c r="AC9" i="14" s="1"/>
  <c r="AE9" i="14" s="1"/>
  <c r="Y8" i="14" l="1"/>
  <c r="AC8" i="14" s="1"/>
  <c r="R7" i="14"/>
  <c r="AD8" i="14"/>
  <c r="R6" i="14" l="1"/>
  <c r="Y7" i="14"/>
  <c r="AC7" i="14" s="1"/>
  <c r="AD7" i="14"/>
  <c r="AE8" i="14"/>
  <c r="AE7" i="14" l="1"/>
  <c r="Y6" i="14"/>
  <c r="AC6" i="14" s="1"/>
  <c r="R5" i="14"/>
  <c r="AD6" i="14"/>
  <c r="AE6" i="14" l="1"/>
  <c r="AD5" i="14"/>
  <c r="Y5" i="14"/>
  <c r="AC5" i="14" l="1"/>
  <c r="AE5" i="14" s="1"/>
  <c r="C17" i="15"/>
  <c r="C19" i="15" s="1"/>
  <c r="C21" i="15" s="1"/>
</calcChain>
</file>

<file path=xl/sharedStrings.xml><?xml version="1.0" encoding="utf-8"?>
<sst xmlns="http://schemas.openxmlformats.org/spreadsheetml/2006/main" count="673" uniqueCount="84">
  <si>
    <t>Loss Ratio</t>
  </si>
  <si>
    <t>Sum Insured</t>
  </si>
  <si>
    <t>Tax</t>
  </si>
  <si>
    <t>Risk-Free Interest Rate</t>
  </si>
  <si>
    <t>Time to re-price</t>
  </si>
  <si>
    <t>months</t>
  </si>
  <si>
    <t>Lapse Rate</t>
  </si>
  <si>
    <t>RFBEL</t>
  </si>
  <si>
    <t>Diversification Factor</t>
  </si>
  <si>
    <t>TV</t>
  </si>
  <si>
    <t>APL</t>
  </si>
  <si>
    <t>Valuation Date</t>
  </si>
  <si>
    <t>Stressed RFBEL</t>
  </si>
  <si>
    <t>Stressed TV</t>
  </si>
  <si>
    <t>Stressed APL</t>
  </si>
  <si>
    <t>Stressed APL (12 months)</t>
  </si>
  <si>
    <t>IRC (gross tax)</t>
  </si>
  <si>
    <t>IRC (net of tax)</t>
  </si>
  <si>
    <t>Advisor Commission</t>
  </si>
  <si>
    <t>Capital Assumptions</t>
  </si>
  <si>
    <t>Length of Projection Period (Yrs)</t>
  </si>
  <si>
    <t>No. Months since Valuation Date</t>
  </si>
  <si>
    <t>No. Years since Valuation Date</t>
  </si>
  <si>
    <t>Projection
Period 
No.</t>
  </si>
  <si>
    <t>Policy Anniversary Flag</t>
  </si>
  <si>
    <t>BOP</t>
  </si>
  <si>
    <t>EOP</t>
  </si>
  <si>
    <t>Projection Period Type</t>
  </si>
  <si>
    <t>Monthly</t>
  </si>
  <si>
    <t>Yearly</t>
  </si>
  <si>
    <t>p.a.</t>
  </si>
  <si>
    <t>Sum Insured Indexation</t>
  </si>
  <si>
    <t>Age-related Premium Increase</t>
  </si>
  <si>
    <t>Annualised Gross Premium</t>
  </si>
  <si>
    <t>Reinsurance Rebate</t>
  </si>
  <si>
    <t>of Sum Insured is Reinsured</t>
  </si>
  <si>
    <t>of Sum Insured p.a.</t>
  </si>
  <si>
    <t>Random Stress Margin</t>
  </si>
  <si>
    <t>Future Stress Margin</t>
  </si>
  <si>
    <t>Lapse Stress Margin</t>
  </si>
  <si>
    <t>Expense Stress Margin</t>
  </si>
  <si>
    <t>Key:</t>
  </si>
  <si>
    <t>INPUTS</t>
  </si>
  <si>
    <t>Timing (B/EOP = Beginning/End of Period):</t>
  </si>
  <si>
    <t>of Gross Reinsurance Premium</t>
  </si>
  <si>
    <t>Reinsurance Quote Share</t>
  </si>
  <si>
    <t>IBNR Average Reporting Delay</t>
  </si>
  <si>
    <t>of Office Premium</t>
  </si>
  <si>
    <t>Annual Lapse Rate</t>
  </si>
  <si>
    <t>Per Period Lapse Rate</t>
  </si>
  <si>
    <t>In-Force Factor</t>
  </si>
  <si>
    <t>Event Stress Margin</t>
  </si>
  <si>
    <t>Gross IBNR, at end of month, is calculated as:</t>
  </si>
  <si>
    <t>Sum Insured in-force
$</t>
  </si>
  <si>
    <t>Office Premium
$</t>
  </si>
  <si>
    <t>Gross Claim Incurred
$</t>
  </si>
  <si>
    <t>Reinsurance Recovery Incurred
$</t>
  </si>
  <si>
    <t>Gross Reinsurance Premium
$</t>
  </si>
  <si>
    <t>Reinsurance Commission
$</t>
  </si>
  <si>
    <t>Advisor Commission
$</t>
  </si>
  <si>
    <t>Gross IBNR
$</t>
  </si>
  <si>
    <t>Reins IBNR
$</t>
  </si>
  <si>
    <t>Net IBNR
$</t>
  </si>
  <si>
    <t>Best Estimate Assumptions</t>
  </si>
  <si>
    <t>(payable monthly) at beginning of projection</t>
  </si>
  <si>
    <t>at beginning of projection</t>
  </si>
  <si>
    <t>Lapse up dominates</t>
  </si>
  <si>
    <t>Profit Margin</t>
  </si>
  <si>
    <t>of Office Premium (the Profit Carrier)</t>
  </si>
  <si>
    <t>Maintenance Expenses</t>
  </si>
  <si>
    <t>Maintenance Expenses
$</t>
  </si>
  <si>
    <t>Active Lives BEL net of Reinsurance
$</t>
  </si>
  <si>
    <t>Total BEL Net of Reinsurance
$</t>
  </si>
  <si>
    <t>Policy Liability
$</t>
  </si>
  <si>
    <t>PV of Profit Margins
$</t>
  </si>
  <si>
    <t>[IBNR Average Reporting Delay in Months] x [Following Month's Office Premium] x [Loss Ratio]</t>
  </si>
  <si>
    <t>PL</t>
  </si>
  <si>
    <t>Impact of Random Stress</t>
  </si>
  <si>
    <t>Impact of Future Stress</t>
  </si>
  <si>
    <t>Impact of Event Stress</t>
  </si>
  <si>
    <t>Discounted to Valuation Date</t>
  </si>
  <si>
    <t>At Valuation Date + 1 Year</t>
  </si>
  <si>
    <t>PV Stressed Yr1 Cash Inflow (Outflow)</t>
  </si>
  <si>
    <t>Regulatory Adjustment to Net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</si>
</sst>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0.000%"/>
    <numFmt numFmtId="168" formatCode="#,##0;\(#,##0\);\-"/>
    <numFmt numFmtId="169" formatCode="_-* &quot;$&quot;#,##0_-;\-* &quot;$&quot;#,##0_-;_-* &quot;-&quot;??_-;_-@_-"/>
    <numFmt numFmtId="170" formatCode="_-* #,##0.00000_-;\-* #,##0.00000_-;_-* &quot;-&quot;??_-;_-@_-"/>
    <numFmt numFmtId="171" formatCode="0.00000"/>
    <numFmt numFmtId="172" formatCode="0.00000;\(0.00000\);\-"/>
    <numFmt numFmtId="173" formatCode="\+0%;\(0%\)"/>
    <numFmt numFmtId="174" formatCode="_-* #,##0_-;* \(#,##0\)_-;_-* &quot;-&quot;??_-;_-@_-"/>
  </numFmts>
  <fonts count="12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name val="Arial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rgb="FF002060"/>
      <name val="Century Gothic"/>
      <family val="2"/>
    </font>
    <font>
      <sz val="10"/>
      <color rgb="FF002060"/>
      <name val="Century Gothic"/>
      <family val="2"/>
    </font>
    <font>
      <sz val="10"/>
      <color rgb="FFFF0000"/>
      <name val="Century Gothic"/>
      <family val="2"/>
    </font>
    <font>
      <sz val="10"/>
      <color rgb="FF7030A0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u/>
      <sz val="10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10">
    <xf numFmtId="0" fontId="0" fillId="0" borderId="0" xfId="0"/>
    <xf numFmtId="0" fontId="3" fillId="0" borderId="0" xfId="0" applyFont="1"/>
    <xf numFmtId="165" fontId="3" fillId="0" borderId="0" xfId="1" applyNumberFormat="1" applyFont="1"/>
    <xf numFmtId="0" fontId="3" fillId="0" borderId="12" xfId="0" applyFont="1" applyBorder="1"/>
    <xf numFmtId="0" fontId="3" fillId="0" borderId="17" xfId="0" applyFont="1" applyBorder="1"/>
    <xf numFmtId="0" fontId="4" fillId="0" borderId="15" xfId="0" applyFont="1" applyBorder="1" applyAlignment="1">
      <alignment wrapText="1"/>
    </xf>
    <xf numFmtId="170" fontId="3" fillId="0" borderId="0" xfId="0" applyNumberFormat="1" applyFont="1"/>
    <xf numFmtId="0" fontId="5" fillId="2" borderId="0" xfId="0" applyFont="1" applyFill="1"/>
    <xf numFmtId="0" fontId="6" fillId="2" borderId="0" xfId="0" applyFont="1" applyFill="1"/>
    <xf numFmtId="0" fontId="5" fillId="3" borderId="0" xfId="0" applyFont="1" applyFill="1" applyAlignment="1">
      <alignment horizontal="right"/>
    </xf>
    <xf numFmtId="165" fontId="3" fillId="0" borderId="0" xfId="1" applyNumberFormat="1" applyFont="1" applyAlignment="1">
      <alignment horizontal="right"/>
    </xf>
    <xf numFmtId="167" fontId="5" fillId="3" borderId="0" xfId="2" applyNumberFormat="1" applyFont="1" applyFill="1" applyAlignment="1">
      <alignment horizontal="right"/>
    </xf>
    <xf numFmtId="0" fontId="5" fillId="3" borderId="12" xfId="0" applyFont="1" applyFill="1" applyBorder="1" applyAlignment="1">
      <alignment horizontal="right"/>
    </xf>
    <xf numFmtId="167" fontId="5" fillId="3" borderId="17" xfId="2" applyNumberFormat="1" applyFont="1" applyFill="1" applyBorder="1" applyAlignment="1">
      <alignment horizontal="right"/>
    </xf>
    <xf numFmtId="167" fontId="5" fillId="3" borderId="15" xfId="2" applyNumberFormat="1" applyFont="1" applyFill="1" applyBorder="1" applyAlignment="1">
      <alignment horizontal="right"/>
    </xf>
    <xf numFmtId="0" fontId="6" fillId="0" borderId="0" xfId="0" applyFont="1"/>
    <xf numFmtId="0" fontId="4" fillId="0" borderId="0" xfId="0" applyFont="1" applyAlignment="1">
      <alignment horizontal="right" wrapText="1"/>
    </xf>
    <xf numFmtId="0" fontId="4" fillId="0" borderId="12" xfId="0" applyFont="1" applyBorder="1" applyAlignment="1">
      <alignment horizontal="right" wrapText="1"/>
    </xf>
    <xf numFmtId="0" fontId="4" fillId="0" borderId="17" xfId="0" applyFont="1" applyBorder="1" applyAlignment="1">
      <alignment horizontal="right" wrapText="1"/>
    </xf>
    <xf numFmtId="0" fontId="4" fillId="0" borderId="15" xfId="0" applyFont="1" applyBorder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9" xfId="0" applyFont="1" applyBorder="1"/>
    <xf numFmtId="2" fontId="3" fillId="0" borderId="9" xfId="0" applyNumberFormat="1" applyFont="1" applyFill="1" applyBorder="1"/>
    <xf numFmtId="0" fontId="3" fillId="0" borderId="9" xfId="0" applyFont="1" applyFill="1" applyBorder="1"/>
    <xf numFmtId="168" fontId="3" fillId="0" borderId="9" xfId="0" applyNumberFormat="1" applyFont="1" applyBorder="1"/>
    <xf numFmtId="171" fontId="7" fillId="6" borderId="9" xfId="0" applyNumberFormat="1" applyFont="1" applyFill="1" applyBorder="1"/>
    <xf numFmtId="168" fontId="3" fillId="0" borderId="11" xfId="1" applyNumberFormat="1" applyFont="1" applyBorder="1"/>
    <xf numFmtId="168" fontId="3" fillId="0" borderId="9" xfId="1" applyNumberFormat="1" applyFont="1" applyBorder="1"/>
    <xf numFmtId="168" fontId="3" fillId="0" borderId="11" xfId="0" applyNumberFormat="1" applyFont="1" applyBorder="1"/>
    <xf numFmtId="168" fontId="3" fillId="0" borderId="14" xfId="1" applyNumberFormat="1" applyFont="1" applyBorder="1"/>
    <xf numFmtId="0" fontId="3" fillId="4" borderId="0" xfId="0" applyFont="1" applyFill="1"/>
    <xf numFmtId="0" fontId="3" fillId="0" borderId="0" xfId="0" applyFont="1" applyFill="1"/>
    <xf numFmtId="2" fontId="3" fillId="0" borderId="0" xfId="0" applyNumberFormat="1" applyFont="1" applyFill="1"/>
    <xf numFmtId="168" fontId="8" fillId="0" borderId="0" xfId="1" applyNumberFormat="1" applyFont="1" applyFill="1"/>
    <xf numFmtId="166" fontId="3" fillId="0" borderId="0" xfId="2" applyNumberFormat="1" applyFont="1" applyFill="1"/>
    <xf numFmtId="171" fontId="3" fillId="0" borderId="0" xfId="0" applyNumberFormat="1" applyFont="1" applyFill="1"/>
    <xf numFmtId="168" fontId="3" fillId="0" borderId="0" xfId="1" applyNumberFormat="1" applyFont="1"/>
    <xf numFmtId="168" fontId="3" fillId="0" borderId="12" xfId="1" applyNumberFormat="1" applyFont="1" applyBorder="1"/>
    <xf numFmtId="168" fontId="3" fillId="0" borderId="12" xfId="0" applyNumberFormat="1" applyFont="1" applyBorder="1"/>
    <xf numFmtId="168" fontId="3" fillId="0" borderId="15" xfId="1" applyNumberFormat="1" applyFont="1" applyBorder="1"/>
    <xf numFmtId="166" fontId="3" fillId="0" borderId="0" xfId="1" applyNumberFormat="1" applyFont="1"/>
    <xf numFmtId="0" fontId="3" fillId="4" borderId="9" xfId="0" applyFont="1" applyFill="1" applyBorder="1"/>
    <xf numFmtId="166" fontId="3" fillId="0" borderId="9" xfId="1" applyNumberFormat="1" applyFont="1" applyBorder="1"/>
    <xf numFmtId="171" fontId="3" fillId="0" borderId="9" xfId="0" applyNumberFormat="1" applyFont="1" applyFill="1" applyBorder="1"/>
    <xf numFmtId="0" fontId="3" fillId="0" borderId="10" xfId="0" applyFont="1" applyBorder="1"/>
    <xf numFmtId="0" fontId="3" fillId="5" borderId="10" xfId="0" applyFont="1" applyFill="1" applyBorder="1"/>
    <xf numFmtId="0" fontId="7" fillId="0" borderId="10" xfId="0" applyFont="1" applyFill="1" applyBorder="1"/>
    <xf numFmtId="2" fontId="3" fillId="0" borderId="10" xfId="0" applyNumberFormat="1" applyFont="1" applyFill="1" applyBorder="1"/>
    <xf numFmtId="0" fontId="3" fillId="0" borderId="10" xfId="0" applyFont="1" applyFill="1" applyBorder="1"/>
    <xf numFmtId="168" fontId="3" fillId="0" borderId="10" xfId="1" applyNumberFormat="1" applyFont="1" applyBorder="1"/>
    <xf numFmtId="166" fontId="3" fillId="0" borderId="10" xfId="1" applyNumberFormat="1" applyFont="1" applyBorder="1"/>
    <xf numFmtId="171" fontId="3" fillId="0" borderId="10" xfId="0" applyNumberFormat="1" applyFont="1" applyFill="1" applyBorder="1"/>
    <xf numFmtId="168" fontId="3" fillId="0" borderId="13" xfId="1" applyNumberFormat="1" applyFont="1" applyBorder="1"/>
    <xf numFmtId="168" fontId="3" fillId="0" borderId="13" xfId="0" applyNumberFormat="1" applyFont="1" applyBorder="1"/>
    <xf numFmtId="168" fontId="3" fillId="0" borderId="16" xfId="1" applyNumberFormat="1" applyFont="1" applyBorder="1"/>
    <xf numFmtId="172" fontId="7" fillId="6" borderId="10" xfId="1" applyNumberFormat="1" applyFont="1" applyFill="1" applyBorder="1"/>
    <xf numFmtId="168" fontId="7" fillId="6" borderId="13" xfId="1" applyNumberFormat="1" applyFont="1" applyFill="1" applyBorder="1"/>
    <xf numFmtId="168" fontId="7" fillId="6" borderId="10" xfId="1" applyNumberFormat="1" applyFont="1" applyFill="1" applyBorder="1"/>
    <xf numFmtId="168" fontId="7" fillId="6" borderId="16" xfId="1" applyNumberFormat="1" applyFont="1" applyFill="1" applyBorder="1"/>
    <xf numFmtId="0" fontId="9" fillId="0" borderId="0" xfId="3" applyFont="1"/>
    <xf numFmtId="0" fontId="10" fillId="3" borderId="0" xfId="3" applyFont="1" applyFill="1" applyBorder="1" applyAlignment="1">
      <alignment horizontal="right"/>
    </xf>
    <xf numFmtId="0" fontId="11" fillId="0" borderId="2" xfId="0" applyFont="1" applyBorder="1" applyAlignment="1"/>
    <xf numFmtId="0" fontId="4" fillId="0" borderId="3" xfId="0" applyFont="1" applyBorder="1" applyAlignme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4" fillId="0" borderId="5" xfId="0" applyFont="1" applyBorder="1"/>
    <xf numFmtId="9" fontId="3" fillId="3" borderId="0" xfId="0" applyNumberFormat="1" applyFont="1" applyFill="1" applyBorder="1"/>
    <xf numFmtId="9" fontId="3" fillId="0" borderId="0" xfId="0" applyNumberFormat="1" applyFont="1" applyBorder="1"/>
    <xf numFmtId="9" fontId="3" fillId="0" borderId="6" xfId="0" applyNumberFormat="1" applyFont="1" applyBorder="1"/>
    <xf numFmtId="9" fontId="3" fillId="0" borderId="0" xfId="0" applyNumberFormat="1" applyFont="1"/>
    <xf numFmtId="0" fontId="4" fillId="0" borderId="5" xfId="0" applyFont="1" applyFill="1" applyBorder="1"/>
    <xf numFmtId="10" fontId="3" fillId="3" borderId="0" xfId="0" applyNumberFormat="1" applyFont="1" applyFill="1" applyBorder="1"/>
    <xf numFmtId="166" fontId="3" fillId="3" borderId="0" xfId="0" applyNumberFormat="1" applyFont="1" applyFill="1" applyBorder="1"/>
    <xf numFmtId="0" fontId="3" fillId="3" borderId="0" xfId="0" applyFont="1" applyFill="1" applyBorder="1"/>
    <xf numFmtId="169" fontId="3" fillId="3" borderId="0" xfId="1" applyNumberFormat="1" applyFont="1" applyFill="1" applyBorder="1"/>
    <xf numFmtId="0" fontId="3" fillId="0" borderId="7" xfId="0" applyFont="1" applyBorder="1"/>
    <xf numFmtId="0" fontId="3" fillId="0" borderId="1" xfId="0" applyFont="1" applyBorder="1"/>
    <xf numFmtId="0" fontId="3" fillId="0" borderId="8" xfId="0" applyFont="1" applyBorder="1"/>
    <xf numFmtId="2" fontId="3" fillId="3" borderId="0" xfId="1" applyNumberFormat="1" applyFont="1" applyFill="1" applyBorder="1"/>
    <xf numFmtId="0" fontId="4" fillId="0" borderId="5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/>
    <xf numFmtId="0" fontId="3" fillId="0" borderId="0" xfId="0" applyFont="1" applyBorder="1" applyAlignment="1">
      <alignment vertical="center"/>
    </xf>
    <xf numFmtId="168" fontId="3" fillId="0" borderId="18" xfId="0" applyNumberFormat="1" applyFont="1" applyBorder="1"/>
    <xf numFmtId="168" fontId="3" fillId="0" borderId="17" xfId="0" applyNumberFormat="1" applyFont="1" applyBorder="1"/>
    <xf numFmtId="168" fontId="3" fillId="0" borderId="19" xfId="0" applyNumberFormat="1" applyFont="1" applyBorder="1"/>
    <xf numFmtId="173" fontId="3" fillId="3" borderId="0" xfId="0" applyNumberFormat="1" applyFont="1" applyFill="1" applyBorder="1"/>
    <xf numFmtId="0" fontId="7" fillId="6" borderId="9" xfId="0" applyFont="1" applyFill="1" applyBorder="1"/>
    <xf numFmtId="168" fontId="3" fillId="0" borderId="0" xfId="0" applyNumberFormat="1" applyFont="1"/>
    <xf numFmtId="168" fontId="3" fillId="7" borderId="12" xfId="1" applyNumberFormat="1" applyFont="1" applyFill="1" applyBorder="1"/>
    <xf numFmtId="168" fontId="3" fillId="7" borderId="11" xfId="1" applyNumberFormat="1" applyFont="1" applyFill="1" applyBorder="1"/>
    <xf numFmtId="174" fontId="3" fillId="0" borderId="0" xfId="1" applyNumberFormat="1" applyFont="1"/>
    <xf numFmtId="174" fontId="4" fillId="0" borderId="0" xfId="1" applyNumberFormat="1" applyFont="1"/>
    <xf numFmtId="166" fontId="4" fillId="0" borderId="0" xfId="2" applyNumberFormat="1" applyFont="1"/>
    <xf numFmtId="168" fontId="3" fillId="7" borderId="13" xfId="1" applyNumberFormat="1" applyFont="1" applyFill="1" applyBorder="1"/>
    <xf numFmtId="166" fontId="3" fillId="7" borderId="0" xfId="2" applyNumberFormat="1" applyFont="1" applyFill="1"/>
    <xf numFmtId="166" fontId="3" fillId="7" borderId="0" xfId="1" applyNumberFormat="1" applyFont="1" applyFill="1"/>
    <xf numFmtId="166" fontId="3" fillId="7" borderId="9" xfId="1" applyNumberFormat="1" applyFont="1" applyFill="1" applyBorder="1"/>
    <xf numFmtId="166" fontId="3" fillId="7" borderId="10" xfId="1" applyNumberFormat="1" applyFont="1" applyFill="1" applyBorder="1"/>
    <xf numFmtId="168" fontId="3" fillId="7" borderId="0" xfId="1" applyNumberFormat="1" applyFont="1" applyFill="1"/>
    <xf numFmtId="168" fontId="3" fillId="7" borderId="9" xfId="1" applyNumberFormat="1" applyFont="1" applyFill="1" applyBorder="1"/>
    <xf numFmtId="168" fontId="3" fillId="7" borderId="10" xfId="1" applyNumberFormat="1" applyFont="1" applyFill="1" applyBorder="1"/>
    <xf numFmtId="0" fontId="4" fillId="0" borderId="0" xfId="0" applyFont="1" applyAlignment="1">
      <alignment horizontal="right"/>
    </xf>
    <xf numFmtId="174" fontId="4" fillId="0" borderId="0" xfId="1" applyNumberFormat="1" applyFont="1" applyAlignment="1">
      <alignment horizontal="right"/>
    </xf>
    <xf numFmtId="174" fontId="3" fillId="0" borderId="0" xfId="1" applyNumberFormat="1" applyFont="1" applyAlignment="1">
      <alignment horizontal="right"/>
    </xf>
    <xf numFmtId="174" fontId="3" fillId="0" borderId="0" xfId="0" applyNumberFormat="1" applyFont="1"/>
  </cellXfs>
  <cellStyles count="4">
    <cellStyle name="Comma" xfId="1" builtinId="3"/>
    <cellStyle name="Normal" xfId="0" builtinId="0"/>
    <cellStyle name="Normal 3" xfId="3"/>
    <cellStyle name="Percent" xfId="2" builtinId="5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4"/>
  <sheetViews>
    <sheetView tabSelected="1" zoomScale="85" zoomScaleNormal="85" workbookViewId="0"/>
  </sheetViews>
  <sheetFormatPr defaultColWidth="9.33203125" defaultRowHeight="13.5" x14ac:dyDescent="0.25"/>
  <cols>
    <col min="1" max="1" width="35.5" style="1" customWidth="1"/>
    <col min="2" max="2" width="18.33203125" style="1" customWidth="1"/>
    <col min="3" max="9" width="9.33203125" style="1"/>
    <col min="10" max="10" width="35" style="1" customWidth="1"/>
    <col min="11" max="11" width="9.33203125" style="1"/>
    <col min="12" max="12" width="23.1640625" style="1" customWidth="1"/>
    <col min="13" max="16384" width="9.33203125" style="1"/>
  </cols>
  <sheetData>
    <row r="2" spans="1:12" x14ac:dyDescent="0.25">
      <c r="B2" s="59" t="s">
        <v>41</v>
      </c>
      <c r="C2" s="60" t="s">
        <v>42</v>
      </c>
    </row>
    <row r="4" spans="1:12" x14ac:dyDescent="0.25">
      <c r="A4" s="61" t="s">
        <v>63</v>
      </c>
      <c r="B4" s="62"/>
      <c r="C4" s="63"/>
      <c r="D4" s="63"/>
      <c r="E4" s="63"/>
      <c r="F4" s="63"/>
      <c r="G4" s="63"/>
      <c r="H4" s="64"/>
      <c r="J4" s="61" t="s">
        <v>19</v>
      </c>
      <c r="K4" s="62"/>
      <c r="L4" s="64"/>
    </row>
    <row r="5" spans="1:12" x14ac:dyDescent="0.25">
      <c r="A5" s="65"/>
      <c r="B5" s="66"/>
      <c r="C5" s="66"/>
      <c r="D5" s="66"/>
      <c r="E5" s="66"/>
      <c r="F5" s="66"/>
      <c r="G5" s="66"/>
      <c r="H5" s="67"/>
      <c r="J5" s="65"/>
      <c r="K5" s="66"/>
      <c r="L5" s="67"/>
    </row>
    <row r="6" spans="1:12" x14ac:dyDescent="0.25">
      <c r="A6" s="65"/>
      <c r="B6" s="66"/>
      <c r="C6" s="66"/>
      <c r="D6" s="66"/>
      <c r="E6" s="66"/>
      <c r="F6" s="66"/>
      <c r="G6" s="66"/>
      <c r="H6" s="67"/>
      <c r="J6" s="65"/>
      <c r="K6" s="66"/>
      <c r="L6" s="67"/>
    </row>
    <row r="7" spans="1:12" x14ac:dyDescent="0.25">
      <c r="A7" s="68" t="s">
        <v>0</v>
      </c>
      <c r="B7" s="69">
        <v>0.5</v>
      </c>
      <c r="C7" s="70" t="s">
        <v>47</v>
      </c>
      <c r="D7" s="70"/>
      <c r="E7" s="70"/>
      <c r="F7" s="70"/>
      <c r="G7" s="70"/>
      <c r="H7" s="71"/>
      <c r="I7" s="72"/>
      <c r="J7" s="73" t="s">
        <v>37</v>
      </c>
      <c r="K7" s="90">
        <v>0.2</v>
      </c>
      <c r="L7" s="67"/>
    </row>
    <row r="8" spans="1:12" x14ac:dyDescent="0.25">
      <c r="A8" s="68" t="s">
        <v>69</v>
      </c>
      <c r="B8" s="69">
        <v>0.05</v>
      </c>
      <c r="C8" s="70" t="s">
        <v>47</v>
      </c>
      <c r="D8" s="70"/>
      <c r="E8" s="70"/>
      <c r="F8" s="70"/>
      <c r="G8" s="70"/>
      <c r="H8" s="71"/>
      <c r="I8" s="72"/>
      <c r="J8" s="73" t="s">
        <v>38</v>
      </c>
      <c r="K8" s="90">
        <v>0.4</v>
      </c>
      <c r="L8" s="67"/>
    </row>
    <row r="9" spans="1:12" x14ac:dyDescent="0.25">
      <c r="A9" s="68" t="s">
        <v>18</v>
      </c>
      <c r="B9" s="69">
        <v>0.08</v>
      </c>
      <c r="C9" s="70" t="s">
        <v>47</v>
      </c>
      <c r="D9" s="70"/>
      <c r="E9" s="70"/>
      <c r="F9" s="70"/>
      <c r="G9" s="70"/>
      <c r="H9" s="71"/>
      <c r="I9" s="72"/>
      <c r="J9" s="73" t="s">
        <v>51</v>
      </c>
      <c r="K9" s="74">
        <v>5.0000000000000001E-4</v>
      </c>
      <c r="L9" s="67" t="s">
        <v>36</v>
      </c>
    </row>
    <row r="10" spans="1:12" x14ac:dyDescent="0.25">
      <c r="D10" s="70"/>
      <c r="E10" s="70"/>
      <c r="F10" s="70"/>
      <c r="G10" s="70"/>
      <c r="H10" s="71"/>
      <c r="I10" s="72"/>
      <c r="J10" s="73" t="s">
        <v>39</v>
      </c>
      <c r="K10" s="90">
        <v>0.5</v>
      </c>
      <c r="L10" s="67" t="s">
        <v>66</v>
      </c>
    </row>
    <row r="11" spans="1:12" x14ac:dyDescent="0.25">
      <c r="A11" s="68" t="s">
        <v>45</v>
      </c>
      <c r="B11" s="69">
        <v>0.2</v>
      </c>
      <c r="C11" s="70" t="s">
        <v>35</v>
      </c>
      <c r="D11" s="70"/>
      <c r="E11" s="70"/>
      <c r="F11" s="70"/>
      <c r="G11" s="70"/>
      <c r="H11" s="71"/>
      <c r="I11" s="72"/>
      <c r="J11" s="73" t="s">
        <v>40</v>
      </c>
      <c r="K11" s="90">
        <v>0.1</v>
      </c>
      <c r="L11" s="67"/>
    </row>
    <row r="12" spans="1:12" x14ac:dyDescent="0.25">
      <c r="A12" s="68" t="s">
        <v>34</v>
      </c>
      <c r="B12" s="69">
        <v>0.1</v>
      </c>
      <c r="C12" s="70" t="s">
        <v>44</v>
      </c>
      <c r="D12" s="70"/>
      <c r="E12" s="70"/>
      <c r="F12" s="70"/>
      <c r="G12" s="70"/>
      <c r="H12" s="71"/>
      <c r="I12" s="72"/>
      <c r="J12" s="65"/>
      <c r="K12" s="66"/>
      <c r="L12" s="67"/>
    </row>
    <row r="13" spans="1:12" x14ac:dyDescent="0.25">
      <c r="D13" s="70"/>
      <c r="E13" s="70"/>
      <c r="F13" s="70"/>
      <c r="G13" s="70"/>
      <c r="H13" s="71"/>
      <c r="I13" s="72"/>
      <c r="J13" s="68" t="s">
        <v>2</v>
      </c>
      <c r="K13" s="69">
        <v>0.3</v>
      </c>
      <c r="L13" s="67"/>
    </row>
    <row r="14" spans="1:12" x14ac:dyDescent="0.25">
      <c r="A14" s="68" t="s">
        <v>6</v>
      </c>
      <c r="B14" s="69">
        <v>0.15</v>
      </c>
      <c r="C14" s="70" t="s">
        <v>30</v>
      </c>
      <c r="D14" s="70"/>
      <c r="E14" s="70"/>
      <c r="F14" s="70"/>
      <c r="G14" s="70"/>
      <c r="H14" s="71"/>
      <c r="I14" s="72"/>
      <c r="J14" s="68"/>
      <c r="K14" s="66"/>
      <c r="L14" s="67"/>
    </row>
    <row r="15" spans="1:12" x14ac:dyDescent="0.25">
      <c r="A15" s="68" t="s">
        <v>31</v>
      </c>
      <c r="B15" s="69">
        <v>0.02</v>
      </c>
      <c r="C15" s="70" t="s">
        <v>30</v>
      </c>
      <c r="D15" s="66"/>
      <c r="E15" s="66"/>
      <c r="F15" s="66"/>
      <c r="G15" s="66"/>
      <c r="H15" s="67"/>
      <c r="J15" s="68" t="s">
        <v>4</v>
      </c>
      <c r="K15" s="76">
        <v>36</v>
      </c>
      <c r="L15" s="67" t="s">
        <v>5</v>
      </c>
    </row>
    <row r="16" spans="1:12" x14ac:dyDescent="0.25">
      <c r="A16" s="68" t="s">
        <v>32</v>
      </c>
      <c r="B16" s="69">
        <v>0.08</v>
      </c>
      <c r="C16" s="70" t="s">
        <v>30</v>
      </c>
      <c r="D16" s="66"/>
      <c r="E16" s="66"/>
      <c r="F16" s="66"/>
      <c r="G16" s="66"/>
      <c r="H16" s="67"/>
      <c r="J16" s="78"/>
      <c r="K16" s="79"/>
      <c r="L16" s="80"/>
    </row>
    <row r="17" spans="1:12" x14ac:dyDescent="0.25">
      <c r="D17" s="66"/>
      <c r="E17" s="66"/>
      <c r="F17" s="66"/>
      <c r="G17" s="66"/>
      <c r="H17" s="67"/>
    </row>
    <row r="18" spans="1:12" x14ac:dyDescent="0.25">
      <c r="A18" s="68" t="s">
        <v>33</v>
      </c>
      <c r="B18" s="77">
        <v>1000000</v>
      </c>
      <c r="C18" s="70" t="s">
        <v>64</v>
      </c>
      <c r="D18" s="66"/>
      <c r="E18" s="66"/>
      <c r="F18" s="66"/>
      <c r="G18" s="66"/>
      <c r="H18" s="67"/>
    </row>
    <row r="19" spans="1:12" x14ac:dyDescent="0.25">
      <c r="A19" s="68" t="s">
        <v>1</v>
      </c>
      <c r="B19" s="77">
        <v>1000000000</v>
      </c>
      <c r="C19" s="70" t="s">
        <v>65</v>
      </c>
      <c r="D19" s="66"/>
      <c r="E19" s="66"/>
      <c r="F19" s="66"/>
      <c r="G19" s="66"/>
      <c r="H19" s="67"/>
    </row>
    <row r="20" spans="1:12" x14ac:dyDescent="0.25">
      <c r="A20" s="65"/>
      <c r="B20" s="66"/>
      <c r="C20" s="66"/>
      <c r="D20" s="66"/>
      <c r="E20" s="66"/>
      <c r="F20" s="66"/>
      <c r="G20" s="66"/>
      <c r="H20" s="67"/>
    </row>
    <row r="21" spans="1:12" x14ac:dyDescent="0.25">
      <c r="A21" s="68" t="s">
        <v>3</v>
      </c>
      <c r="B21" s="75">
        <v>2.5000000000000001E-2</v>
      </c>
      <c r="C21" s="70" t="s">
        <v>30</v>
      </c>
      <c r="D21" s="66"/>
      <c r="E21" s="66"/>
      <c r="F21" s="66"/>
      <c r="G21" s="66"/>
      <c r="H21" s="67"/>
    </row>
    <row r="22" spans="1:12" x14ac:dyDescent="0.25">
      <c r="A22" s="65"/>
      <c r="B22" s="66"/>
      <c r="C22" s="66"/>
      <c r="D22" s="66"/>
      <c r="E22" s="66"/>
      <c r="F22" s="66"/>
      <c r="G22" s="66"/>
      <c r="H22" s="67"/>
    </row>
    <row r="23" spans="1:12" x14ac:dyDescent="0.25">
      <c r="A23" s="68" t="s">
        <v>67</v>
      </c>
      <c r="B23" s="75">
        <v>0.15</v>
      </c>
      <c r="C23" s="66" t="s">
        <v>68</v>
      </c>
      <c r="D23" s="66"/>
      <c r="E23" s="66"/>
      <c r="F23" s="66"/>
      <c r="G23" s="66"/>
      <c r="H23" s="67"/>
      <c r="J23" s="66"/>
      <c r="K23" s="66"/>
    </row>
    <row r="24" spans="1:12" x14ac:dyDescent="0.25">
      <c r="A24" s="65"/>
      <c r="B24" s="66"/>
      <c r="C24" s="66"/>
      <c r="D24" s="66"/>
      <c r="E24" s="66"/>
      <c r="F24" s="66"/>
      <c r="G24" s="66"/>
      <c r="H24" s="67"/>
    </row>
    <row r="25" spans="1:12" x14ac:dyDescent="0.25">
      <c r="A25" s="68" t="s">
        <v>46</v>
      </c>
      <c r="B25" s="81">
        <v>1.25</v>
      </c>
      <c r="C25" s="66" t="s">
        <v>5</v>
      </c>
      <c r="D25" s="66"/>
      <c r="E25" s="66"/>
      <c r="F25" s="66"/>
      <c r="G25" s="66"/>
      <c r="H25" s="66"/>
      <c r="I25" s="63"/>
      <c r="J25" s="63"/>
      <c r="K25" s="63"/>
      <c r="L25" s="64"/>
    </row>
    <row r="26" spans="1:12" ht="26.25" x14ac:dyDescent="0.25">
      <c r="A26" s="82" t="s">
        <v>52</v>
      </c>
      <c r="B26" s="86" t="s">
        <v>75</v>
      </c>
      <c r="C26" s="66"/>
      <c r="D26" s="66"/>
      <c r="E26" s="66"/>
      <c r="F26" s="66"/>
      <c r="G26" s="66"/>
      <c r="H26" s="66"/>
      <c r="I26" s="66"/>
      <c r="J26" s="66"/>
      <c r="K26" s="66"/>
      <c r="L26" s="67"/>
    </row>
    <row r="27" spans="1:12" x14ac:dyDescent="0.25">
      <c r="A27" s="83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80"/>
    </row>
    <row r="28" spans="1:12" x14ac:dyDescent="0.25">
      <c r="A28" s="84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</row>
    <row r="29" spans="1:12" x14ac:dyDescent="0.25">
      <c r="A29" s="66"/>
      <c r="B29" s="66"/>
      <c r="C29" s="70"/>
      <c r="D29" s="66"/>
      <c r="E29" s="66"/>
      <c r="F29" s="66"/>
      <c r="G29" s="66"/>
      <c r="H29" s="66"/>
      <c r="I29" s="66"/>
      <c r="J29" s="66"/>
      <c r="K29" s="66"/>
      <c r="L29" s="66"/>
    </row>
    <row r="30" spans="1:12" x14ac:dyDescent="0.25">
      <c r="C30" s="72"/>
    </row>
    <row r="31" spans="1:12" x14ac:dyDescent="0.25">
      <c r="C31" s="72"/>
    </row>
    <row r="32" spans="1:12" x14ac:dyDescent="0.25">
      <c r="C32" s="72"/>
    </row>
    <row r="33" spans="3:3" x14ac:dyDescent="0.25">
      <c r="C33" s="72"/>
    </row>
    <row r="34" spans="3:3" x14ac:dyDescent="0.25">
      <c r="C34" s="7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78"/>
  <sheetViews>
    <sheetView showGridLines="0" zoomScale="85" zoomScaleNormal="85" workbookViewId="0">
      <pane xSplit="5" ySplit="4" topLeftCell="N5" activePane="bottomRight" state="frozen"/>
      <selection pane="topRight" activeCell="F1" sqref="F1"/>
      <selection pane="bottomLeft" activeCell="A5" sqref="A5"/>
      <selection pane="bottomRight" activeCell="AC5" sqref="AC5"/>
    </sheetView>
  </sheetViews>
  <sheetFormatPr defaultColWidth="9.33203125" defaultRowHeight="13.5" x14ac:dyDescent="0.25"/>
  <cols>
    <col min="1" max="2" width="11.83203125" style="1" customWidth="1"/>
    <col min="3" max="4" width="12.33203125" style="1" customWidth="1"/>
    <col min="5" max="5" width="11.83203125" style="1" customWidth="1"/>
    <col min="6" max="6" width="13.83203125" style="1" customWidth="1"/>
    <col min="7" max="7" width="14.6640625" style="1" customWidth="1"/>
    <col min="8" max="10" width="13.5" style="1" customWidth="1"/>
    <col min="11" max="11" width="13.83203125" style="1" customWidth="1"/>
    <col min="12" max="12" width="13.6640625" style="1" bestFit="1" customWidth="1"/>
    <col min="13" max="13" width="15.1640625" style="1" customWidth="1"/>
    <col min="14" max="16" width="14.83203125" style="1" customWidth="1"/>
    <col min="17" max="17" width="15.6640625" style="1" customWidth="1"/>
    <col min="18" max="24" width="14.33203125" style="1" customWidth="1"/>
    <col min="25" max="25" width="14.5" style="1" customWidth="1"/>
    <col min="26" max="28" width="9.6640625" style="1" customWidth="1"/>
    <col min="29" max="31" width="14.6640625" style="1" bestFit="1" customWidth="1"/>
    <col min="32" max="32" width="12.6640625" style="1" bestFit="1" customWidth="1"/>
    <col min="33" max="33" width="10.83203125" style="1" bestFit="1" customWidth="1"/>
    <col min="34" max="16384" width="9.33203125" style="1"/>
  </cols>
  <sheetData>
    <row r="1" spans="1:33" x14ac:dyDescent="0.25">
      <c r="H1" s="2"/>
      <c r="I1" s="2"/>
      <c r="J1" s="2"/>
      <c r="L1" s="3"/>
      <c r="R1" s="3"/>
      <c r="Y1" s="4"/>
      <c r="AB1" s="5"/>
      <c r="AC1" s="4"/>
      <c r="AD1" s="4"/>
      <c r="AE1" s="4"/>
    </row>
    <row r="2" spans="1:33" x14ac:dyDescent="0.25">
      <c r="G2" s="6"/>
      <c r="H2" s="2"/>
      <c r="I2" s="2"/>
      <c r="J2" s="2"/>
      <c r="L2" s="3"/>
      <c r="R2" s="3"/>
      <c r="Y2" s="4"/>
      <c r="AB2" s="5"/>
      <c r="AC2" s="4"/>
      <c r="AD2" s="4"/>
      <c r="AE2" s="4"/>
    </row>
    <row r="3" spans="1:33" s="15" customFormat="1" x14ac:dyDescent="0.25">
      <c r="A3" s="7" t="s">
        <v>43</v>
      </c>
      <c r="B3" s="8"/>
      <c r="C3" s="8"/>
      <c r="D3" s="8"/>
      <c r="E3" s="8"/>
      <c r="F3" s="9" t="s">
        <v>25</v>
      </c>
      <c r="G3" s="9" t="s">
        <v>25</v>
      </c>
      <c r="H3" s="9" t="s">
        <v>25</v>
      </c>
      <c r="I3" s="10"/>
      <c r="J3" s="10"/>
      <c r="K3" s="11" t="s">
        <v>26</v>
      </c>
      <c r="L3" s="12" t="s">
        <v>26</v>
      </c>
      <c r="M3" s="11" t="s">
        <v>26</v>
      </c>
      <c r="N3" s="9" t="s">
        <v>25</v>
      </c>
      <c r="O3" s="9" t="s">
        <v>25</v>
      </c>
      <c r="P3" s="9" t="s">
        <v>25</v>
      </c>
      <c r="Q3" s="11" t="s">
        <v>26</v>
      </c>
      <c r="R3" s="12" t="s">
        <v>26</v>
      </c>
      <c r="S3" s="11" t="s">
        <v>26</v>
      </c>
      <c r="T3" s="11" t="s">
        <v>26</v>
      </c>
      <c r="U3" s="11" t="s">
        <v>26</v>
      </c>
      <c r="V3" s="11" t="s">
        <v>26</v>
      </c>
      <c r="W3" s="11" t="s">
        <v>26</v>
      </c>
      <c r="X3" s="11" t="s">
        <v>26</v>
      </c>
      <c r="Y3" s="13" t="s">
        <v>26</v>
      </c>
      <c r="Z3" s="12" t="s">
        <v>26</v>
      </c>
      <c r="AA3" s="11" t="s">
        <v>26</v>
      </c>
      <c r="AB3" s="14" t="s">
        <v>26</v>
      </c>
      <c r="AC3" s="13" t="s">
        <v>26</v>
      </c>
      <c r="AD3" s="13" t="s">
        <v>26</v>
      </c>
      <c r="AE3" s="13" t="s">
        <v>26</v>
      </c>
    </row>
    <row r="4" spans="1:33" s="20" customFormat="1" ht="76.5" customHeight="1" x14ac:dyDescent="0.25">
      <c r="A4" s="16" t="s">
        <v>23</v>
      </c>
      <c r="B4" s="16" t="s">
        <v>27</v>
      </c>
      <c r="C4" s="16" t="s">
        <v>21</v>
      </c>
      <c r="D4" s="16" t="s">
        <v>22</v>
      </c>
      <c r="E4" s="16" t="s">
        <v>20</v>
      </c>
      <c r="F4" s="16" t="s">
        <v>24</v>
      </c>
      <c r="G4" s="16" t="s">
        <v>53</v>
      </c>
      <c r="H4" s="16" t="s">
        <v>54</v>
      </c>
      <c r="I4" s="16" t="s">
        <v>48</v>
      </c>
      <c r="J4" s="16" t="s">
        <v>49</v>
      </c>
      <c r="K4" s="16" t="s">
        <v>50</v>
      </c>
      <c r="L4" s="17" t="s">
        <v>55</v>
      </c>
      <c r="M4" s="16" t="s">
        <v>56</v>
      </c>
      <c r="N4" s="16" t="s">
        <v>57</v>
      </c>
      <c r="O4" s="16" t="s">
        <v>58</v>
      </c>
      <c r="P4" s="16" t="s">
        <v>59</v>
      </c>
      <c r="Q4" s="16" t="s">
        <v>70</v>
      </c>
      <c r="R4" s="17" t="str">
        <f>"PV of Modelled "&amp;H4</f>
        <v>PV of Modelled Office Premium
$</v>
      </c>
      <c r="S4" s="16" t="str">
        <f t="shared" ref="S4:X4" si="0">"PV of Modelled "&amp;L4</f>
        <v>PV of Modelled Gross Claim Incurred
$</v>
      </c>
      <c r="T4" s="16" t="str">
        <f t="shared" si="0"/>
        <v>PV of Modelled Reinsurance Recovery Incurred
$</v>
      </c>
      <c r="U4" s="16" t="str">
        <f t="shared" si="0"/>
        <v>PV of Modelled Gross Reinsurance Premium
$</v>
      </c>
      <c r="V4" s="16" t="str">
        <f t="shared" si="0"/>
        <v>PV of Modelled Reinsurance Commission
$</v>
      </c>
      <c r="W4" s="16" t="str">
        <f t="shared" si="0"/>
        <v>PV of Modelled Advisor Commission
$</v>
      </c>
      <c r="X4" s="16" t="str">
        <f t="shared" si="0"/>
        <v>PV of Modelled Maintenance Expenses
$</v>
      </c>
      <c r="Y4" s="17" t="s">
        <v>71</v>
      </c>
      <c r="Z4" s="17" t="s">
        <v>60</v>
      </c>
      <c r="AA4" s="16" t="s">
        <v>61</v>
      </c>
      <c r="AB4" s="19" t="s">
        <v>62</v>
      </c>
      <c r="AC4" s="18" t="s">
        <v>72</v>
      </c>
      <c r="AD4" s="18" t="s">
        <v>74</v>
      </c>
      <c r="AE4" s="18" t="s">
        <v>73</v>
      </c>
    </row>
    <row r="5" spans="1:33" s="21" customFormat="1" x14ac:dyDescent="0.25">
      <c r="C5" s="91">
        <v>0</v>
      </c>
      <c r="D5" s="22">
        <f>C5/12</f>
        <v>0</v>
      </c>
      <c r="E5" s="23"/>
      <c r="G5" s="24"/>
      <c r="H5" s="24"/>
      <c r="I5" s="24"/>
      <c r="J5" s="24"/>
      <c r="K5" s="25">
        <v>1</v>
      </c>
      <c r="L5" s="26"/>
      <c r="M5" s="24"/>
      <c r="N5" s="24"/>
      <c r="O5" s="24"/>
      <c r="P5" s="24"/>
      <c r="Q5" s="24"/>
      <c r="R5" s="26">
        <f>(R6)/((1+Assumptions!$B$21)^$E6)+H6/IF(H$3="EOP",((1+Assumptions!$B$21)^$E6),1)</f>
        <v>10889978.624702921</v>
      </c>
      <c r="S5" s="27">
        <f>(S6)/((1+Assumptions!$B$21)^$E6)+L6/IF(L$3="EOP",((1+Assumptions!$B$21)^$E6),1)</f>
        <v>5340369.8507021703</v>
      </c>
      <c r="T5" s="27">
        <f>(T6)/((1+Assumptions!$B$21)^$E6)+M6/IF(M$3="EOP",((1+Assumptions!$B$21)^$E6),1)</f>
        <v>1068073.9701404339</v>
      </c>
      <c r="U5" s="27">
        <f>(U6)/((1+Assumptions!$B$21)^$E6)+N6/IF(N$3="EOP",((1+Assumptions!$B$21)^$E6),1)</f>
        <v>2177995.7249405845</v>
      </c>
      <c r="V5" s="27">
        <f>(V6)/((1+Assumptions!$B$21)^$E6)+O6/IF(O$3="EOP",((1+Assumptions!$B$21)^$E6),1)</f>
        <v>217799.57249405823</v>
      </c>
      <c r="W5" s="27">
        <f>(W6)/((1+Assumptions!$B$21)^$E6)+P6/IF(P$3="EOP",((1+Assumptions!$B$21)^$E6),1)</f>
        <v>871198.2899762328</v>
      </c>
      <c r="X5" s="27">
        <f>(X6)/((1+Assumptions!$B$21)^$E6)+Q6/IF(Q$3="EOP",((1+Assumptions!$B$21)^$E6),1)</f>
        <v>534036.98507021694</v>
      </c>
      <c r="Y5" s="28">
        <f>-R5+S5-T5+U5-V5+W5+X5</f>
        <v>-3252251.316648209</v>
      </c>
      <c r="Z5" s="26">
        <f>H6*Assumptions!$B$7*Assumptions!$B$25/$E6/12</f>
        <v>52083.333333333336</v>
      </c>
      <c r="AA5" s="27">
        <f>Z5*Assumptions!$B$11</f>
        <v>10416.666666666668</v>
      </c>
      <c r="AB5" s="29">
        <f>Z5-AA5</f>
        <v>41666.666666666672</v>
      </c>
      <c r="AC5" s="87">
        <f>Y5+AB5</f>
        <v>-3210584.6499815425</v>
      </c>
      <c r="AD5" s="87">
        <f>Assumptions!$B$23*R5</f>
        <v>1633496.793705438</v>
      </c>
      <c r="AE5" s="87">
        <f>AC5+AD5</f>
        <v>-1577087.8562761045</v>
      </c>
      <c r="AG5" s="24"/>
    </row>
    <row r="6" spans="1:33" x14ac:dyDescent="0.25">
      <c r="A6" s="1">
        <v>1</v>
      </c>
      <c r="B6" s="30" t="s">
        <v>28</v>
      </c>
      <c r="C6" s="31">
        <f>C5+1</f>
        <v>1</v>
      </c>
      <c r="D6" s="32">
        <f t="shared" ref="D6:D69" si="1">C6/12</f>
        <v>8.3333333333333329E-2</v>
      </c>
      <c r="E6" s="32">
        <f>D6-D5</f>
        <v>8.3333333333333329E-2</v>
      </c>
      <c r="F6" s="31">
        <f>IF(E6&lt;1,IF(MOD(C6-1,12)=0,1,0),1)</f>
        <v>1</v>
      </c>
      <c r="G6" s="33">
        <f>Assumptions!$B$19</f>
        <v>1000000000</v>
      </c>
      <c r="H6" s="33">
        <f>Assumptions!$B$18*$E6</f>
        <v>83333.333333333328</v>
      </c>
      <c r="I6" s="34">
        <f>Assumptions!$B$14</f>
        <v>0.15</v>
      </c>
      <c r="J6" s="34">
        <f>1-(1-I6)^$E6</f>
        <v>1.3451947011868914E-2</v>
      </c>
      <c r="K6" s="35">
        <f>K5*(1-J6)</f>
        <v>0.98654805298813109</v>
      </c>
      <c r="L6" s="37">
        <f>H6*Assumptions!$B$7</f>
        <v>41666.666666666664</v>
      </c>
      <c r="M6" s="36">
        <f>L6*Assumptions!$B$11</f>
        <v>8333.3333333333339</v>
      </c>
      <c r="N6" s="36">
        <f>H6*Assumptions!$B$11</f>
        <v>16666.666666666668</v>
      </c>
      <c r="O6" s="36">
        <f>N6*Assumptions!$B$12</f>
        <v>1666.666666666667</v>
      </c>
      <c r="P6" s="36">
        <f>H6*Assumptions!$B$9</f>
        <v>6666.6666666666661</v>
      </c>
      <c r="Q6" s="36">
        <f>H6*Assumptions!$B$8</f>
        <v>4166.666666666667</v>
      </c>
      <c r="R6" s="37">
        <f>(R7)/((1+Assumptions!$B$21)^$E7)+H7/IF(H$3="EOP",((1+Assumptions!$B$21)^$E7),1)</f>
        <v>10828905.211296076</v>
      </c>
      <c r="S6" s="36">
        <f>(S7)/((1+Assumptions!$B$21)^$E7)+L7/IF(L$3="EOP",((1+Assumptions!$B$21)^$E7),1)</f>
        <v>5309703.4715483543</v>
      </c>
      <c r="T6" s="36">
        <f>(T7)/((1+Assumptions!$B$21)^$E7)+M7/IF(M$3="EOP",((1+Assumptions!$B$21)^$E7),1)</f>
        <v>1061940.6943096709</v>
      </c>
      <c r="U6" s="36">
        <f>(U7)/((1+Assumptions!$B$21)^$E7)+N7/IF(N$3="EOP",((1+Assumptions!$B$21)^$E7),1)</f>
        <v>2165781.0422592158</v>
      </c>
      <c r="V6" s="36">
        <f>(V7)/((1+Assumptions!$B$21)^$E7)+O7/IF(O$3="EOP",((1+Assumptions!$B$21)^$E7),1)</f>
        <v>216578.10422592133</v>
      </c>
      <c r="W6" s="36">
        <f>(W7)/((1+Assumptions!$B$21)^$E7)+P7/IF(P$3="EOP",((1+Assumptions!$B$21)^$E7),1)</f>
        <v>866312.4169036852</v>
      </c>
      <c r="X6" s="36">
        <f>(X7)/((1+Assumptions!$B$21)^$E7)+Q7/IF(Q$3="EOP",((1+Assumptions!$B$21)^$E7),1)</f>
        <v>530970.34715483547</v>
      </c>
      <c r="Y6" s="38">
        <f t="shared" ref="Y6:Y69" si="2">-R6+S6-T6+U6-V6+W6+X6</f>
        <v>-3234656.7319655763</v>
      </c>
      <c r="Z6" s="37">
        <f>H7*Assumptions!$B$7*Assumptions!$B$25/$E7/12</f>
        <v>51380.540954242933</v>
      </c>
      <c r="AA6" s="36">
        <f>Z6*Assumptions!$B$11</f>
        <v>10276.108190848587</v>
      </c>
      <c r="AB6" s="39">
        <f>Z6-AA6</f>
        <v>41104.432763394347</v>
      </c>
      <c r="AC6" s="88">
        <f>Y6+AB6</f>
        <v>-3193552.2992021819</v>
      </c>
      <c r="AD6" s="88">
        <f>Assumptions!$B$23*R6</f>
        <v>1624335.7816944113</v>
      </c>
      <c r="AE6" s="88">
        <f>AC6+AD6</f>
        <v>-1569216.5175077706</v>
      </c>
    </row>
    <row r="7" spans="1:33" x14ac:dyDescent="0.25">
      <c r="A7" s="1">
        <f>A6+1</f>
        <v>2</v>
      </c>
      <c r="B7" s="30" t="s">
        <v>28</v>
      </c>
      <c r="C7" s="31">
        <f t="shared" ref="C7:C41" si="3">C6+1</f>
        <v>2</v>
      </c>
      <c r="D7" s="32">
        <f t="shared" si="1"/>
        <v>0.16666666666666666</v>
      </c>
      <c r="E7" s="32">
        <f t="shared" ref="E7:E70" si="4">D7-D6</f>
        <v>8.3333333333333329E-2</v>
      </c>
      <c r="F7" s="31">
        <f t="shared" ref="F7:F43" si="5">IF(E7&lt;1,IF(MOD(C7-1,12)=0,1,0),1)</f>
        <v>0</v>
      </c>
      <c r="G7" s="36">
        <f>(G6*($K6/$K5)-L6)*(1+Assumptions!$B$15)^$F7</f>
        <v>986506386.32146442</v>
      </c>
      <c r="H7" s="36">
        <f>$H$6/$G$6*G7*(1+Assumptions!$B$16)^INT((C7-1)/12)*IF(B7="Monthly",1,12)</f>
        <v>82208.865526788693</v>
      </c>
      <c r="I7" s="40">
        <f>Assumptions!$B$14</f>
        <v>0.15</v>
      </c>
      <c r="J7" s="40">
        <f t="shared" ref="J7:J70" si="6">1-(1-I7)^$E7</f>
        <v>1.3451947011868914E-2</v>
      </c>
      <c r="K7" s="35">
        <f t="shared" ref="K7:K70" si="7">K6*(1-J7)</f>
        <v>0.97327706085467225</v>
      </c>
      <c r="L7" s="37">
        <f>H7*Assumptions!$B$7</f>
        <v>41104.432763394347</v>
      </c>
      <c r="M7" s="36">
        <f>L7*Assumptions!$B$11</f>
        <v>8220.8865526788704</v>
      </c>
      <c r="N7" s="36">
        <f>H7*Assumptions!$B$11</f>
        <v>16441.773105357741</v>
      </c>
      <c r="O7" s="36">
        <f>N7*Assumptions!$B$12</f>
        <v>1644.1773105357743</v>
      </c>
      <c r="P7" s="36">
        <f>H7*Assumptions!$B$9</f>
        <v>6576.7092421430953</v>
      </c>
      <c r="Q7" s="36">
        <f>H7*Assumptions!$B$8</f>
        <v>4110.4432763394352</v>
      </c>
      <c r="R7" s="37">
        <f>(R8)/((1+Assumptions!$B$21)^$E8)+H8/IF(H$3="EOP",((1+Assumptions!$B$21)^$E8),1)</f>
        <v>10768832.78068329</v>
      </c>
      <c r="S7" s="36">
        <f>(S8)/((1+Assumptions!$B$21)^$E8)+L8/IF(L$3="EOP",((1+Assumptions!$B$21)^$E8),1)</f>
        <v>5279536.1585777653</v>
      </c>
      <c r="T7" s="36">
        <f>(T8)/((1+Assumptions!$B$21)^$E8)+M8/IF(M$3="EOP",((1+Assumptions!$B$21)^$E8),1)</f>
        <v>1055907.2317155532</v>
      </c>
      <c r="U7" s="36">
        <f>(U8)/((1+Assumptions!$B$21)^$E8)+N8/IF(N$3="EOP",((1+Assumptions!$B$21)^$E8),1)</f>
        <v>2153766.5561366584</v>
      </c>
      <c r="V7" s="36">
        <f>(V8)/((1+Assumptions!$B$21)^$E8)+O8/IF(O$3="EOP",((1+Assumptions!$B$21)^$E8),1)</f>
        <v>215376.65561366559</v>
      </c>
      <c r="W7" s="36">
        <f>(W8)/((1+Assumptions!$B$21)^$E8)+P8/IF(P$3="EOP",((1+Assumptions!$B$21)^$E8),1)</f>
        <v>861506.62245466223</v>
      </c>
      <c r="X7" s="36">
        <f>(X8)/((1+Assumptions!$B$21)^$E8)+Q8/IF(Q$3="EOP",((1+Assumptions!$B$21)^$E8),1)</f>
        <v>527953.6158577766</v>
      </c>
      <c r="Y7" s="38">
        <f t="shared" si="2"/>
        <v>-3217353.7149856463</v>
      </c>
      <c r="Z7" s="37">
        <f>H8*Assumptions!$B$7*Assumptions!$B$25/$E8/12</f>
        <v>50687.231784012205</v>
      </c>
      <c r="AA7" s="36">
        <f>Z7*Assumptions!$B$11</f>
        <v>10137.446356802442</v>
      </c>
      <c r="AB7" s="39">
        <f t="shared" ref="AB7:AB43" si="8">Z7-AA7</f>
        <v>40549.785427209761</v>
      </c>
      <c r="AC7" s="88">
        <f t="shared" ref="AC7:AC69" si="9">Y7+AB7</f>
        <v>-3176803.9295584364</v>
      </c>
      <c r="AD7" s="88">
        <f>Assumptions!$B$23*R7</f>
        <v>1615324.9171024936</v>
      </c>
      <c r="AE7" s="88">
        <f>AC7+AD7</f>
        <v>-1561479.0124559428</v>
      </c>
      <c r="AG7" s="92"/>
    </row>
    <row r="8" spans="1:33" x14ac:dyDescent="0.25">
      <c r="A8" s="1">
        <f t="shared" ref="A8:A43" si="10">A7+1</f>
        <v>3</v>
      </c>
      <c r="B8" s="30" t="s">
        <v>28</v>
      </c>
      <c r="C8" s="31">
        <f t="shared" si="3"/>
        <v>3</v>
      </c>
      <c r="D8" s="32">
        <f t="shared" si="1"/>
        <v>0.25</v>
      </c>
      <c r="E8" s="32">
        <f t="shared" si="4"/>
        <v>8.3333333333333343E-2</v>
      </c>
      <c r="F8" s="31">
        <f t="shared" si="5"/>
        <v>0</v>
      </c>
      <c r="G8" s="36">
        <f>(G7*($K7/$K6)-L7)*(1+Assumptions!$B$15)^$F8</f>
        <v>973194850.25303447</v>
      </c>
      <c r="H8" s="36">
        <f>$H$6/$G$6*G8*(1+Assumptions!$B$16)^INT((C8-1)/12)*IF(B8="Monthly",1,12)</f>
        <v>81099.570854419537</v>
      </c>
      <c r="I8" s="40">
        <f>Assumptions!$B$14</f>
        <v>0.15</v>
      </c>
      <c r="J8" s="40">
        <f t="shared" si="6"/>
        <v>1.3451947011868914E-2</v>
      </c>
      <c r="K8" s="35">
        <f t="shared" si="7"/>
        <v>0.96018458940418772</v>
      </c>
      <c r="L8" s="37">
        <f>H8*Assumptions!$B$7</f>
        <v>40549.785427209768</v>
      </c>
      <c r="M8" s="36">
        <f>L8*Assumptions!$B$11</f>
        <v>8109.9570854419544</v>
      </c>
      <c r="N8" s="36">
        <f>H8*Assumptions!$B$11</f>
        <v>16219.914170883909</v>
      </c>
      <c r="O8" s="36">
        <f>N8*Assumptions!$B$12</f>
        <v>1621.991417088391</v>
      </c>
      <c r="P8" s="36">
        <f>H8*Assumptions!$B$9</f>
        <v>6487.9656683535632</v>
      </c>
      <c r="Q8" s="36">
        <f>H8*Assumptions!$B$8</f>
        <v>4054.9785427209772</v>
      </c>
      <c r="R8" s="37">
        <f>(R9)/((1+Assumptions!$B$21)^$E9)+H9/IF(H$3="EOP",((1+Assumptions!$B$21)^$E9),1)</f>
        <v>10709748.190336879</v>
      </c>
      <c r="S8" s="36">
        <f>(S9)/((1+Assumptions!$B$21)^$E9)+L9/IF(L$3="EOP",((1+Assumptions!$B$21)^$E9),1)</f>
        <v>5249861.3532179408</v>
      </c>
      <c r="T8" s="36">
        <f>(T9)/((1+Assumptions!$B$21)^$E9)+M9/IF(M$3="EOP",((1+Assumptions!$B$21)^$E9),1)</f>
        <v>1049972.2706435882</v>
      </c>
      <c r="U8" s="36">
        <f>(U9)/((1+Assumptions!$B$21)^$E9)+N9/IF(N$3="EOP",((1+Assumptions!$B$21)^$E9),1)</f>
        <v>2141949.6380673759</v>
      </c>
      <c r="V8" s="36">
        <f>(V9)/((1+Assumptions!$B$21)^$E9)+O9/IF(O$3="EOP",((1+Assumptions!$B$21)^$E9),1)</f>
        <v>214194.96380673736</v>
      </c>
      <c r="W8" s="36">
        <f>(W9)/((1+Assumptions!$B$21)^$E9)+P9/IF(P$3="EOP",((1+Assumptions!$B$21)^$E9),1)</f>
        <v>856779.85522694932</v>
      </c>
      <c r="X8" s="36">
        <f>(X9)/((1+Assumptions!$B$21)^$E9)+Q9/IF(Q$3="EOP",((1+Assumptions!$B$21)^$E9),1)</f>
        <v>524986.13532179408</v>
      </c>
      <c r="Y8" s="38">
        <f t="shared" si="2"/>
        <v>-3200338.4429531447</v>
      </c>
      <c r="Z8" s="37">
        <f>H9*Assumptions!$B$7*Assumptions!$B$25/$E9/12</f>
        <v>50003.277859884372</v>
      </c>
      <c r="AA8" s="36">
        <f>Z8*Assumptions!$B$11</f>
        <v>10000.655571976875</v>
      </c>
      <c r="AB8" s="39">
        <f t="shared" si="8"/>
        <v>40002.622287907499</v>
      </c>
      <c r="AC8" s="88">
        <f t="shared" si="9"/>
        <v>-3160335.820665237</v>
      </c>
      <c r="AD8" s="88">
        <f>Assumptions!$B$23*R8</f>
        <v>1606462.2285505319</v>
      </c>
      <c r="AE8" s="88">
        <f t="shared" ref="AE8:AE69" si="11">AC8+AD8</f>
        <v>-1553873.5921147051</v>
      </c>
    </row>
    <row r="9" spans="1:33" x14ac:dyDescent="0.25">
      <c r="A9" s="1">
        <f t="shared" si="10"/>
        <v>4</v>
      </c>
      <c r="B9" s="30" t="s">
        <v>28</v>
      </c>
      <c r="C9" s="31">
        <f t="shared" si="3"/>
        <v>4</v>
      </c>
      <c r="D9" s="32">
        <f t="shared" si="1"/>
        <v>0.33333333333333331</v>
      </c>
      <c r="E9" s="32">
        <f t="shared" si="4"/>
        <v>8.3333333333333315E-2</v>
      </c>
      <c r="F9" s="31">
        <f t="shared" si="5"/>
        <v>0</v>
      </c>
      <c r="G9" s="36">
        <f>(G8*($K8/$K7)-L8)*(1+Assumptions!$B$15)^$F9</f>
        <v>960062934.90977979</v>
      </c>
      <c r="H9" s="36">
        <f>$H$6/$G$6*G9*(1+Assumptions!$B$16)^INT((C9-1)/12)*IF(B9="Monthly",1,12)</f>
        <v>80005.244575814984</v>
      </c>
      <c r="I9" s="40">
        <f>Assumptions!$B$14</f>
        <v>0.15</v>
      </c>
      <c r="J9" s="40">
        <f t="shared" si="6"/>
        <v>1.3451947011868914E-2</v>
      </c>
      <c r="K9" s="35">
        <f t="shared" si="7"/>
        <v>0.94726823718590947</v>
      </c>
      <c r="L9" s="37">
        <f>H9*Assumptions!$B$7</f>
        <v>40002.622287907492</v>
      </c>
      <c r="M9" s="36">
        <f>L9*Assumptions!$B$11</f>
        <v>8000.5244575814986</v>
      </c>
      <c r="N9" s="36">
        <f>H9*Assumptions!$B$11</f>
        <v>16001.048915162997</v>
      </c>
      <c r="O9" s="36">
        <f>N9*Assumptions!$B$12</f>
        <v>1600.1048915162999</v>
      </c>
      <c r="P9" s="36">
        <f>H9*Assumptions!$B$9</f>
        <v>6400.4195660651985</v>
      </c>
      <c r="Q9" s="36">
        <f>H9*Assumptions!$B$8</f>
        <v>4000.2622287907493</v>
      </c>
      <c r="R9" s="37">
        <f>(R10)/((1+Assumptions!$B$21)^$E10)+H10/IF(H$3="EOP",((1+Assumptions!$B$21)^$E10),1)</f>
        <v>10651638.475819848</v>
      </c>
      <c r="S9" s="36">
        <f>(S10)/((1+Assumptions!$B$21)^$E10)+L10/IF(L$3="EOP",((1+Assumptions!$B$21)^$E10),1)</f>
        <v>5220672.5857570367</v>
      </c>
      <c r="T9" s="36">
        <f>(T10)/((1+Assumptions!$B$21)^$E10)+M10/IF(M$3="EOP",((1+Assumptions!$B$21)^$E10),1)</f>
        <v>1044134.5171514074</v>
      </c>
      <c r="U9" s="36">
        <f>(U10)/((1+Assumptions!$B$21)^$E10)+N10/IF(N$3="EOP",((1+Assumptions!$B$21)^$E10),1)</f>
        <v>2130327.6951639694</v>
      </c>
      <c r="V9" s="36">
        <f>(V10)/((1+Assumptions!$B$21)^$E10)+O10/IF(O$3="EOP",((1+Assumptions!$B$21)^$E10),1)</f>
        <v>213032.76951639674</v>
      </c>
      <c r="W9" s="36">
        <f>(W10)/((1+Assumptions!$B$21)^$E10)+P10/IF(P$3="EOP",((1+Assumptions!$B$21)^$E10),1)</f>
        <v>852131.07806558686</v>
      </c>
      <c r="X9" s="36">
        <f>(X10)/((1+Assumptions!$B$21)^$E10)+Q10/IF(Q$3="EOP",((1+Assumptions!$B$21)^$E10),1)</f>
        <v>522067.25857570372</v>
      </c>
      <c r="Y9" s="38">
        <f t="shared" si="2"/>
        <v>-3183607.1449253559</v>
      </c>
      <c r="Z9" s="37">
        <f>H10*Assumptions!$B$7*Assumptions!$B$25/$E10/12</f>
        <v>49328.552945782583</v>
      </c>
      <c r="AA9" s="36">
        <f>Z9*Assumptions!$B$11</f>
        <v>9865.710589156517</v>
      </c>
      <c r="AB9" s="39">
        <f t="shared" si="8"/>
        <v>39462.842356626068</v>
      </c>
      <c r="AC9" s="88">
        <f t="shared" si="9"/>
        <v>-3144144.30256873</v>
      </c>
      <c r="AD9" s="88">
        <f>Assumptions!$B$23*R9</f>
        <v>1597745.7713729772</v>
      </c>
      <c r="AE9" s="88">
        <f t="shared" si="11"/>
        <v>-1546398.5311957528</v>
      </c>
    </row>
    <row r="10" spans="1:33" x14ac:dyDescent="0.25">
      <c r="A10" s="1">
        <f t="shared" si="10"/>
        <v>5</v>
      </c>
      <c r="B10" s="30" t="s">
        <v>28</v>
      </c>
      <c r="C10" s="31">
        <f t="shared" si="3"/>
        <v>5</v>
      </c>
      <c r="D10" s="32">
        <f t="shared" si="1"/>
        <v>0.41666666666666669</v>
      </c>
      <c r="E10" s="32">
        <f t="shared" si="4"/>
        <v>8.333333333333337E-2</v>
      </c>
      <c r="F10" s="31">
        <f t="shared" si="5"/>
        <v>0</v>
      </c>
      <c r="G10" s="36">
        <f>(G9*($K9/$K8)-L9)*(1+Assumptions!$B$15)^$F10</f>
        <v>947108216.55902624</v>
      </c>
      <c r="H10" s="36">
        <f>$H$6/$G$6*G10*(1+Assumptions!$B$16)^INT((C10-1)/12)*IF(B10="Monthly",1,12)</f>
        <v>78925.68471325218</v>
      </c>
      <c r="I10" s="40">
        <f>Assumptions!$B$14</f>
        <v>0.15</v>
      </c>
      <c r="J10" s="40">
        <f t="shared" si="6"/>
        <v>1.3451947011868914E-2</v>
      </c>
      <c r="K10" s="35">
        <f t="shared" si="7"/>
        <v>0.93452563505325814</v>
      </c>
      <c r="L10" s="37">
        <f>H10*Assumptions!$B$7</f>
        <v>39462.84235662609</v>
      </c>
      <c r="M10" s="36">
        <f>L10*Assumptions!$B$11</f>
        <v>7892.5684713252185</v>
      </c>
      <c r="N10" s="36">
        <f>H10*Assumptions!$B$11</f>
        <v>15785.136942650437</v>
      </c>
      <c r="O10" s="36">
        <f>N10*Assumptions!$B$12</f>
        <v>1578.5136942650438</v>
      </c>
      <c r="P10" s="36">
        <f>H10*Assumptions!$B$9</f>
        <v>6314.0547770601743</v>
      </c>
      <c r="Q10" s="36">
        <f>H10*Assumptions!$B$8</f>
        <v>3946.2842356626093</v>
      </c>
      <c r="R10" s="37">
        <f>(R11)/((1+Assumptions!$B$21)^$E11)+H11/IF(H$3="EOP",((1+Assumptions!$B$21)^$E11),1)</f>
        <v>10594490.848384349</v>
      </c>
      <c r="S10" s="36">
        <f>(S11)/((1+Assumptions!$B$21)^$E11)+L11/IF(L$3="EOP",((1+Assumptions!$B$21)^$E11),1)</f>
        <v>5191963.474145527</v>
      </c>
      <c r="T10" s="36">
        <f>(T11)/((1+Assumptions!$B$21)^$E11)+M11/IF(M$3="EOP",((1+Assumptions!$B$21)^$E11),1)</f>
        <v>1038392.6948291055</v>
      </c>
      <c r="U10" s="36">
        <f>(U11)/((1+Assumptions!$B$21)^$E11)+N11/IF(N$3="EOP",((1+Assumptions!$B$21)^$E11),1)</f>
        <v>2118898.1696768692</v>
      </c>
      <c r="V10" s="36">
        <f>(V11)/((1+Assumptions!$B$21)^$E11)+O11/IF(O$3="EOP",((1+Assumptions!$B$21)^$E11),1)</f>
        <v>211889.81696768673</v>
      </c>
      <c r="W10" s="36">
        <f>(W11)/((1+Assumptions!$B$21)^$E11)+P11/IF(P$3="EOP",((1+Assumptions!$B$21)^$E11),1)</f>
        <v>847559.26787074679</v>
      </c>
      <c r="X10" s="36">
        <f>(X11)/((1+Assumptions!$B$21)^$E11)+Q11/IF(Q$3="EOP",((1+Assumptions!$B$21)^$E11),1)</f>
        <v>519196.34741455276</v>
      </c>
      <c r="Y10" s="38">
        <f t="shared" si="2"/>
        <v>-3167156.1010734453</v>
      </c>
      <c r="Z10" s="37">
        <f>H11*Assumptions!$B$7*Assumptions!$B$25/$E11/12</f>
        <v>48662.932509011043</v>
      </c>
      <c r="AA10" s="36">
        <f>Z10*Assumptions!$B$11</f>
        <v>9732.5865018022087</v>
      </c>
      <c r="AB10" s="39">
        <f t="shared" si="8"/>
        <v>38930.346007208835</v>
      </c>
      <c r="AC10" s="88">
        <f t="shared" si="9"/>
        <v>-3128225.7550662365</v>
      </c>
      <c r="AD10" s="88">
        <f>Assumptions!$B$23*R10</f>
        <v>1589173.6272576523</v>
      </c>
      <c r="AE10" s="88">
        <f t="shared" si="11"/>
        <v>-1539052.1278085841</v>
      </c>
    </row>
    <row r="11" spans="1:33" x14ac:dyDescent="0.25">
      <c r="A11" s="1">
        <f t="shared" si="10"/>
        <v>6</v>
      </c>
      <c r="B11" s="30" t="s">
        <v>28</v>
      </c>
      <c r="C11" s="31">
        <f t="shared" si="3"/>
        <v>6</v>
      </c>
      <c r="D11" s="32">
        <f t="shared" si="1"/>
        <v>0.5</v>
      </c>
      <c r="E11" s="32">
        <f t="shared" si="4"/>
        <v>8.3333333333333315E-2</v>
      </c>
      <c r="F11" s="31">
        <f t="shared" si="5"/>
        <v>0</v>
      </c>
      <c r="G11" s="36">
        <f>(G10*($K10/$K9)-L10)*(1+Assumptions!$B$15)^$F11</f>
        <v>934328304.1730119</v>
      </c>
      <c r="H11" s="36">
        <f>$H$6/$G$6*G11*(1+Assumptions!$B$16)^INT((C11-1)/12)*IF(B11="Monthly",1,12)</f>
        <v>77860.692014417655</v>
      </c>
      <c r="I11" s="40">
        <f>Assumptions!$B$14</f>
        <v>0.15</v>
      </c>
      <c r="J11" s="40">
        <f t="shared" si="6"/>
        <v>1.3451947011868914E-2</v>
      </c>
      <c r="K11" s="35">
        <f t="shared" si="7"/>
        <v>0.92195444572928853</v>
      </c>
      <c r="L11" s="37">
        <f>H11*Assumptions!$B$7</f>
        <v>38930.346007208827</v>
      </c>
      <c r="M11" s="36">
        <f>L11*Assumptions!$B$11</f>
        <v>7786.0692014417655</v>
      </c>
      <c r="N11" s="36">
        <f>H11*Assumptions!$B$11</f>
        <v>15572.138402883531</v>
      </c>
      <c r="O11" s="36">
        <f>N11*Assumptions!$B$12</f>
        <v>1557.2138402883531</v>
      </c>
      <c r="P11" s="36">
        <f>H11*Assumptions!$B$9</f>
        <v>6228.8553611534126</v>
      </c>
      <c r="Q11" s="36">
        <f>H11*Assumptions!$B$8</f>
        <v>3893.0346007208827</v>
      </c>
      <c r="R11" s="37">
        <f>(R12)/((1+Assumptions!$B$21)^$E12)+H12/IF(H$3="EOP",((1+Assumptions!$B$21)^$E12),1)</f>
        <v>10538292.692602543</v>
      </c>
      <c r="S11" s="36">
        <f>(S12)/((1+Assumptions!$B$21)^$E12)+L12/IF(L$3="EOP",((1+Assumptions!$B$21)^$E12),1)</f>
        <v>5163727.7228140617</v>
      </c>
      <c r="T11" s="36">
        <f>(T12)/((1+Assumptions!$B$21)^$E12)+M12/IF(M$3="EOP",((1+Assumptions!$B$21)^$E12),1)</f>
        <v>1032745.5445628124</v>
      </c>
      <c r="U11" s="36">
        <f>(U12)/((1+Assumptions!$B$21)^$E12)+N12/IF(N$3="EOP",((1+Assumptions!$B$21)^$E12),1)</f>
        <v>2107658.5385205084</v>
      </c>
      <c r="V11" s="36">
        <f>(V12)/((1+Assumptions!$B$21)^$E12)+O12/IF(O$3="EOP",((1+Assumptions!$B$21)^$E12),1)</f>
        <v>210765.85385205064</v>
      </c>
      <c r="W11" s="36">
        <f>(W12)/((1+Assumptions!$B$21)^$E12)+P12/IF(P$3="EOP",((1+Assumptions!$B$21)^$E12),1)</f>
        <v>843063.41540820245</v>
      </c>
      <c r="X11" s="36">
        <f>(X12)/((1+Assumptions!$B$21)^$E12)+Q12/IF(Q$3="EOP",((1+Assumptions!$B$21)^$E12),1)</f>
        <v>516372.77228140621</v>
      </c>
      <c r="Y11" s="38">
        <f t="shared" si="2"/>
        <v>-3150981.6419932265</v>
      </c>
      <c r="Z11" s="37">
        <f>H12*Assumptions!$B$7*Assumptions!$B$25/$E12/12</f>
        <v>48006.293697269772</v>
      </c>
      <c r="AA11" s="36">
        <f>Z11*Assumptions!$B$11</f>
        <v>9601.2587394539551</v>
      </c>
      <c r="AB11" s="39">
        <f t="shared" si="8"/>
        <v>38405.03495781582</v>
      </c>
      <c r="AC11" s="88">
        <f t="shared" si="9"/>
        <v>-3112576.6070354106</v>
      </c>
      <c r="AD11" s="88">
        <f>Assumptions!$B$23*R11</f>
        <v>1580743.9038903813</v>
      </c>
      <c r="AE11" s="88">
        <f t="shared" si="11"/>
        <v>-1531832.7031450293</v>
      </c>
    </row>
    <row r="12" spans="1:33" x14ac:dyDescent="0.25">
      <c r="A12" s="1">
        <f t="shared" si="10"/>
        <v>7</v>
      </c>
      <c r="B12" s="30" t="s">
        <v>28</v>
      </c>
      <c r="C12" s="31">
        <f t="shared" si="3"/>
        <v>7</v>
      </c>
      <c r="D12" s="32">
        <f t="shared" si="1"/>
        <v>0.58333333333333337</v>
      </c>
      <c r="E12" s="32">
        <f t="shared" si="4"/>
        <v>8.333333333333337E-2</v>
      </c>
      <c r="F12" s="31">
        <f t="shared" si="5"/>
        <v>0</v>
      </c>
      <c r="G12" s="36">
        <f>(G11*($K11/$K10)-L11)*(1+Assumptions!$B$15)^$F12</f>
        <v>921720838.98757994</v>
      </c>
      <c r="H12" s="36">
        <f>$H$6/$G$6*G12*(1+Assumptions!$B$16)^INT((C12-1)/12)*IF(B12="Monthly",1,12)</f>
        <v>76810.069915631655</v>
      </c>
      <c r="I12" s="40">
        <f>Assumptions!$B$14</f>
        <v>0.15</v>
      </c>
      <c r="J12" s="40">
        <f t="shared" si="6"/>
        <v>1.3451947011868914E-2</v>
      </c>
      <c r="K12" s="35">
        <f t="shared" si="7"/>
        <v>0.90955236337798118</v>
      </c>
      <c r="L12" s="37">
        <f>H12*Assumptions!$B$7</f>
        <v>38405.034957815828</v>
      </c>
      <c r="M12" s="36">
        <f>L12*Assumptions!$B$11</f>
        <v>7681.0069915631657</v>
      </c>
      <c r="N12" s="36">
        <f>H12*Assumptions!$B$11</f>
        <v>15362.013983126331</v>
      </c>
      <c r="O12" s="36">
        <f>N12*Assumptions!$B$12</f>
        <v>1536.2013983126333</v>
      </c>
      <c r="P12" s="36">
        <f>H12*Assumptions!$B$9</f>
        <v>6144.8055932505322</v>
      </c>
      <c r="Q12" s="36">
        <f>H12*Assumptions!$B$8</f>
        <v>3840.5034957815828</v>
      </c>
      <c r="R12" s="37">
        <f>(R13)/((1+Assumptions!$B$21)^$E13)+H13/IF(H$3="EOP",((1+Assumptions!$B$21)^$E13),1)</f>
        <v>10483031.564029451</v>
      </c>
      <c r="S12" s="36">
        <f>(S13)/((1+Assumptions!$B$21)^$E13)+L13/IF(L$3="EOP",((1+Assumptions!$B$21)^$E13),1)</f>
        <v>5135959.1215072908</v>
      </c>
      <c r="T12" s="36">
        <f>(T13)/((1+Assumptions!$B$21)^$E13)+M13/IF(M$3="EOP",((1+Assumptions!$B$21)^$E13),1)</f>
        <v>1027191.8243014582</v>
      </c>
      <c r="U12" s="36">
        <f>(U13)/((1+Assumptions!$B$21)^$E13)+N13/IF(N$3="EOP",((1+Assumptions!$B$21)^$E13),1)</f>
        <v>2096606.3128058899</v>
      </c>
      <c r="V12" s="36">
        <f>(V13)/((1+Assumptions!$B$21)^$E13)+O13/IF(O$3="EOP",((1+Assumptions!$B$21)^$E13),1)</f>
        <v>209660.6312805888</v>
      </c>
      <c r="W12" s="36">
        <f>(W13)/((1+Assumptions!$B$21)^$E13)+P13/IF(P$3="EOP",((1+Assumptions!$B$21)^$E13),1)</f>
        <v>838642.52512235509</v>
      </c>
      <c r="X12" s="36">
        <f>(X13)/((1+Assumptions!$B$21)^$E13)+Q13/IF(Q$3="EOP",((1+Assumptions!$B$21)^$E13),1)</f>
        <v>513595.9121507291</v>
      </c>
      <c r="Y12" s="38">
        <f t="shared" si="2"/>
        <v>-3135080.1480252333</v>
      </c>
      <c r="Z12" s="37">
        <f>H13*Assumptions!$B$7*Assumptions!$B$25/$E13/12</f>
        <v>47358.515315980556</v>
      </c>
      <c r="AA12" s="36">
        <f>Z12*Assumptions!$B$11</f>
        <v>9471.7030631961115</v>
      </c>
      <c r="AB12" s="39">
        <f t="shared" si="8"/>
        <v>37886.812252784446</v>
      </c>
      <c r="AC12" s="88">
        <f t="shared" si="9"/>
        <v>-3097193.3357724487</v>
      </c>
      <c r="AD12" s="88">
        <f>Assumptions!$B$23*R12</f>
        <v>1572454.7346044176</v>
      </c>
      <c r="AE12" s="88">
        <f t="shared" si="11"/>
        <v>-1524738.6011680311</v>
      </c>
    </row>
    <row r="13" spans="1:33" x14ac:dyDescent="0.25">
      <c r="A13" s="1">
        <f t="shared" si="10"/>
        <v>8</v>
      </c>
      <c r="B13" s="30" t="s">
        <v>28</v>
      </c>
      <c r="C13" s="31">
        <f t="shared" si="3"/>
        <v>8</v>
      </c>
      <c r="D13" s="32">
        <f t="shared" si="1"/>
        <v>0.66666666666666663</v>
      </c>
      <c r="E13" s="32">
        <f t="shared" si="4"/>
        <v>8.3333333333333259E-2</v>
      </c>
      <c r="F13" s="31">
        <f t="shared" si="5"/>
        <v>0</v>
      </c>
      <c r="G13" s="36">
        <f>(G12*($K12/$K11)-L12)*(1+Assumptions!$B$15)^$F13</f>
        <v>909283494.06682587</v>
      </c>
      <c r="H13" s="36">
        <f>$H$6/$G$6*G13*(1+Assumptions!$B$16)^INT((C13-1)/12)*IF(B13="Monthly",1,12)</f>
        <v>75773.62450556882</v>
      </c>
      <c r="I13" s="40">
        <f>Assumptions!$B$14</f>
        <v>0.15</v>
      </c>
      <c r="J13" s="40">
        <f t="shared" si="6"/>
        <v>1.3451947011868914E-2</v>
      </c>
      <c r="K13" s="35">
        <f t="shared" si="7"/>
        <v>0.89731711318130047</v>
      </c>
      <c r="L13" s="37">
        <f>H13*Assumptions!$B$7</f>
        <v>37886.81225278441</v>
      </c>
      <c r="M13" s="36">
        <f>L13*Assumptions!$B$11</f>
        <v>7577.3624505568823</v>
      </c>
      <c r="N13" s="36">
        <f>H13*Assumptions!$B$11</f>
        <v>15154.724901113765</v>
      </c>
      <c r="O13" s="36">
        <f>N13*Assumptions!$B$12</f>
        <v>1515.4724901113766</v>
      </c>
      <c r="P13" s="36">
        <f>H13*Assumptions!$B$9</f>
        <v>6061.8899604455055</v>
      </c>
      <c r="Q13" s="36">
        <f>H13*Assumptions!$B$8</f>
        <v>3788.6812252784412</v>
      </c>
      <c r="R13" s="37">
        <f>(R14)/((1+Assumptions!$B$21)^$E14)+H14/IF(H$3="EOP",((1+Assumptions!$B$21)^$E14),1)</f>
        <v>10428695.186897323</v>
      </c>
      <c r="S13" s="36">
        <f>(S14)/((1+Assumptions!$B$21)^$E14)+L14/IF(L$3="EOP",((1+Assumptions!$B$21)^$E14),1)</f>
        <v>5108651.5441334164</v>
      </c>
      <c r="T13" s="36">
        <f>(T14)/((1+Assumptions!$B$21)^$E14)+M14/IF(M$3="EOP",((1+Assumptions!$B$21)^$E14),1)</f>
        <v>1021730.3088266834</v>
      </c>
      <c r="U13" s="36">
        <f>(U14)/((1+Assumptions!$B$21)^$E14)+N14/IF(N$3="EOP",((1+Assumptions!$B$21)^$E14),1)</f>
        <v>2085739.0373794641</v>
      </c>
      <c r="V13" s="36">
        <f>(V14)/((1+Assumptions!$B$21)^$E14)+O14/IF(O$3="EOP",((1+Assumptions!$B$21)^$E14),1)</f>
        <v>208573.90373794624</v>
      </c>
      <c r="W13" s="36">
        <f>(W14)/((1+Assumptions!$B$21)^$E14)+P14/IF(P$3="EOP",((1+Assumptions!$B$21)^$E14),1)</f>
        <v>834295.61495178484</v>
      </c>
      <c r="X13" s="36">
        <f>(X14)/((1+Assumptions!$B$21)^$E14)+Q14/IF(Q$3="EOP",((1+Assumptions!$B$21)^$E14),1)</f>
        <v>510865.15441334172</v>
      </c>
      <c r="Y13" s="38">
        <f t="shared" si="2"/>
        <v>-3119448.0485839453</v>
      </c>
      <c r="Z13" s="37">
        <f>H14*Assumptions!$B$7*Assumptions!$B$25/$E14/12</f>
        <v>46719.477805917646</v>
      </c>
      <c r="AA13" s="36">
        <f>Z13*Assumptions!$B$11</f>
        <v>9343.8955611835299</v>
      </c>
      <c r="AB13" s="39">
        <f t="shared" si="8"/>
        <v>37375.58224473412</v>
      </c>
      <c r="AC13" s="88">
        <f t="shared" si="9"/>
        <v>-3082072.466339211</v>
      </c>
      <c r="AD13" s="88">
        <f>Assumptions!$B$23*R13</f>
        <v>1564304.2780345983</v>
      </c>
      <c r="AE13" s="88">
        <f t="shared" si="11"/>
        <v>-1517768.1883046126</v>
      </c>
    </row>
    <row r="14" spans="1:33" x14ac:dyDescent="0.25">
      <c r="A14" s="1">
        <f t="shared" si="10"/>
        <v>9</v>
      </c>
      <c r="B14" s="30" t="s">
        <v>28</v>
      </c>
      <c r="C14" s="31">
        <f t="shared" si="3"/>
        <v>9</v>
      </c>
      <c r="D14" s="32">
        <f t="shared" si="1"/>
        <v>0.75</v>
      </c>
      <c r="E14" s="32">
        <f t="shared" si="4"/>
        <v>8.333333333333337E-2</v>
      </c>
      <c r="F14" s="31">
        <f t="shared" si="5"/>
        <v>0</v>
      </c>
      <c r="G14" s="36">
        <f>(G13*($K13/$K12)-L13)*(1+Assumptions!$B$15)^$F14</f>
        <v>897013973.8736192</v>
      </c>
      <c r="H14" s="36">
        <f>$H$6/$G$6*G14*(1+Assumptions!$B$16)^INT((C14-1)/12)*IF(B14="Monthly",1,12)</f>
        <v>74751.164489468269</v>
      </c>
      <c r="I14" s="40">
        <f>Assumptions!$B$14</f>
        <v>0.15</v>
      </c>
      <c r="J14" s="40">
        <f t="shared" si="6"/>
        <v>1.3451947011868914E-2</v>
      </c>
      <c r="K14" s="35">
        <f t="shared" si="7"/>
        <v>0.88524645092194243</v>
      </c>
      <c r="L14" s="37">
        <f>H14*Assumptions!$B$7</f>
        <v>37375.582244734134</v>
      </c>
      <c r="M14" s="36">
        <f>L14*Assumptions!$B$11</f>
        <v>7475.1164489468274</v>
      </c>
      <c r="N14" s="36">
        <f>H14*Assumptions!$B$11</f>
        <v>14950.232897893655</v>
      </c>
      <c r="O14" s="36">
        <f>N14*Assumptions!$B$12</f>
        <v>1495.0232897893657</v>
      </c>
      <c r="P14" s="36">
        <f>H14*Assumptions!$B$9</f>
        <v>5980.0931591574617</v>
      </c>
      <c r="Q14" s="36">
        <f>H14*Assumptions!$B$8</f>
        <v>3737.5582244734137</v>
      </c>
      <c r="R14" s="37">
        <f>(R15)/((1+Assumptions!$B$21)^$E15)+H15/IF(H$3="EOP",((1+Assumptions!$B$21)^$E15),1)</f>
        <v>10375271.451841131</v>
      </c>
      <c r="S14" s="36">
        <f>(S15)/((1+Assumptions!$B$21)^$E15)+L15/IF(L$3="EOP",((1+Assumptions!$B$21)^$E15),1)</f>
        <v>5081798.9476292767</v>
      </c>
      <c r="T14" s="36">
        <f>(T15)/((1+Assumptions!$B$21)^$E15)+M15/IF(M$3="EOP",((1+Assumptions!$B$21)^$E15),1)</f>
        <v>1016359.7895258553</v>
      </c>
      <c r="U14" s="36">
        <f>(U15)/((1+Assumptions!$B$21)^$E15)+N15/IF(N$3="EOP",((1+Assumptions!$B$21)^$E15),1)</f>
        <v>2075054.2903682259</v>
      </c>
      <c r="V14" s="36">
        <f>(V15)/((1+Assumptions!$B$21)^$E15)+O15/IF(O$3="EOP",((1+Assumptions!$B$21)^$E15),1)</f>
        <v>207505.42903682243</v>
      </c>
      <c r="W14" s="36">
        <f>(W15)/((1+Assumptions!$B$21)^$E15)+P15/IF(P$3="EOP",((1+Assumptions!$B$21)^$E15),1)</f>
        <v>830021.71614728961</v>
      </c>
      <c r="X14" s="36">
        <f>(X15)/((1+Assumptions!$B$21)^$E15)+Q15/IF(Q$3="EOP",((1+Assumptions!$B$21)^$E15),1)</f>
        <v>508179.89476292767</v>
      </c>
      <c r="Y14" s="38">
        <f t="shared" si="2"/>
        <v>-3104081.821496089</v>
      </c>
      <c r="Z14" s="37">
        <f>H15*Assumptions!$B$7*Assumptions!$B$25/$E15/12</f>
        <v>46089.063221141674</v>
      </c>
      <c r="AA14" s="36">
        <f>Z14*Assumptions!$B$11</f>
        <v>9217.8126442283356</v>
      </c>
      <c r="AB14" s="39">
        <f t="shared" si="8"/>
        <v>36871.250576913342</v>
      </c>
      <c r="AC14" s="88">
        <f t="shared" si="9"/>
        <v>-3067210.5709191756</v>
      </c>
      <c r="AD14" s="88">
        <f>Assumptions!$B$23*R14</f>
        <v>1556290.7177761695</v>
      </c>
      <c r="AE14" s="88">
        <f t="shared" si="11"/>
        <v>-1510919.8531430061</v>
      </c>
    </row>
    <row r="15" spans="1:33" x14ac:dyDescent="0.25">
      <c r="A15" s="1">
        <f t="shared" si="10"/>
        <v>10</v>
      </c>
      <c r="B15" s="30" t="s">
        <v>28</v>
      </c>
      <c r="C15" s="31">
        <f t="shared" si="3"/>
        <v>10</v>
      </c>
      <c r="D15" s="32">
        <f t="shared" si="1"/>
        <v>0.83333333333333337</v>
      </c>
      <c r="E15" s="32">
        <f t="shared" si="4"/>
        <v>8.333333333333337E-2</v>
      </c>
      <c r="F15" s="31">
        <f t="shared" si="5"/>
        <v>0</v>
      </c>
      <c r="G15" s="36">
        <f>(G14*($K14/$K13)-L14)*(1+Assumptions!$B$15)^$F15</f>
        <v>884910013.84592056</v>
      </c>
      <c r="H15" s="36">
        <f>$H$6/$G$6*G15*(1+Assumptions!$B$16)^INT((C15-1)/12)*IF(B15="Monthly",1,12)</f>
        <v>73742.501153826714</v>
      </c>
      <c r="I15" s="40">
        <f>Assumptions!$B$14</f>
        <v>0.15</v>
      </c>
      <c r="J15" s="40">
        <f t="shared" si="6"/>
        <v>1.3451947011868914E-2</v>
      </c>
      <c r="K15" s="35">
        <f t="shared" si="7"/>
        <v>0.8733381625716955</v>
      </c>
      <c r="L15" s="37">
        <f>H15*Assumptions!$B$7</f>
        <v>36871.250576913357</v>
      </c>
      <c r="M15" s="36">
        <f>L15*Assumptions!$B$11</f>
        <v>7374.2501153826715</v>
      </c>
      <c r="N15" s="36">
        <f>H15*Assumptions!$B$11</f>
        <v>14748.500230765343</v>
      </c>
      <c r="O15" s="36">
        <f>N15*Assumptions!$B$12</f>
        <v>1474.8500230765344</v>
      </c>
      <c r="P15" s="36">
        <f>H15*Assumptions!$B$9</f>
        <v>5899.4000923061376</v>
      </c>
      <c r="Q15" s="36">
        <f>H15*Assumptions!$B$8</f>
        <v>3687.1250576913358</v>
      </c>
      <c r="R15" s="37">
        <f>(R16)/((1+Assumptions!$B$21)^$E16)+H16/IF(H$3="EOP",((1+Assumptions!$B$21)^$E16),1)</f>
        <v>10322748.413654765</v>
      </c>
      <c r="S15" s="36">
        <f>(S16)/((1+Assumptions!$B$21)^$E16)+L16/IF(L$3="EOP",((1+Assumptions!$B$21)^$E16),1)</f>
        <v>5055395.3708407385</v>
      </c>
      <c r="T15" s="36">
        <f>(T16)/((1+Assumptions!$B$21)^$E16)+M16/IF(M$3="EOP",((1+Assumptions!$B$21)^$E16),1)</f>
        <v>1011079.0741681478</v>
      </c>
      <c r="U15" s="36">
        <f>(U16)/((1+Assumptions!$B$21)^$E16)+N16/IF(N$3="EOP",((1+Assumptions!$B$21)^$E16),1)</f>
        <v>2064549.6827309525</v>
      </c>
      <c r="V15" s="36">
        <f>(V16)/((1+Assumptions!$B$21)^$E16)+O16/IF(O$3="EOP",((1+Assumptions!$B$21)^$E16),1)</f>
        <v>206454.96827309512</v>
      </c>
      <c r="W15" s="36">
        <f>(W16)/((1+Assumptions!$B$21)^$E16)+P16/IF(P$3="EOP",((1+Assumptions!$B$21)^$E16),1)</f>
        <v>825819.87309238035</v>
      </c>
      <c r="X15" s="36">
        <f>(X16)/((1+Assumptions!$B$21)^$E16)+Q16/IF(Q$3="EOP",((1+Assumptions!$B$21)^$E16),1)</f>
        <v>505539.53708407388</v>
      </c>
      <c r="Y15" s="38">
        <f t="shared" si="2"/>
        <v>-3088977.9923478626</v>
      </c>
      <c r="Z15" s="37">
        <f>H16*Assumptions!$B$7*Assumptions!$B$25/$E16/12</f>
        <v>45467.155207230062</v>
      </c>
      <c r="AA15" s="36">
        <f>Z15*Assumptions!$B$11</f>
        <v>9093.4310414460124</v>
      </c>
      <c r="AB15" s="39">
        <f t="shared" si="8"/>
        <v>36373.72416578405</v>
      </c>
      <c r="AC15" s="88">
        <f t="shared" si="9"/>
        <v>-3052604.2681820784</v>
      </c>
      <c r="AD15" s="88">
        <f>Assumptions!$B$23*R15</f>
        <v>1548412.2620482147</v>
      </c>
      <c r="AE15" s="88">
        <f t="shared" si="11"/>
        <v>-1504192.0061338637</v>
      </c>
    </row>
    <row r="16" spans="1:33" x14ac:dyDescent="0.25">
      <c r="A16" s="1">
        <f t="shared" si="10"/>
        <v>11</v>
      </c>
      <c r="B16" s="30" t="s">
        <v>28</v>
      </c>
      <c r="C16" s="31">
        <f t="shared" si="3"/>
        <v>11</v>
      </c>
      <c r="D16" s="32">
        <f t="shared" si="1"/>
        <v>0.91666666666666663</v>
      </c>
      <c r="E16" s="32">
        <f t="shared" si="4"/>
        <v>8.3333333333333259E-2</v>
      </c>
      <c r="F16" s="31">
        <f t="shared" si="5"/>
        <v>0</v>
      </c>
      <c r="G16" s="36">
        <f>(G15*($K15/$K14)-L15)*(1+Assumptions!$B$15)^$F16</f>
        <v>872969379.97881627</v>
      </c>
      <c r="H16" s="36">
        <f>$H$6/$G$6*G16*(1+Assumptions!$B$16)^INT((C16-1)/12)*IF(B16="Monthly",1,12)</f>
        <v>72747.448331568026</v>
      </c>
      <c r="I16" s="40">
        <f>Assumptions!$B$14</f>
        <v>0.15</v>
      </c>
      <c r="J16" s="40">
        <f t="shared" si="6"/>
        <v>1.3451947011868914E-2</v>
      </c>
      <c r="K16" s="35">
        <f t="shared" si="7"/>
        <v>0.8615900638853381</v>
      </c>
      <c r="L16" s="37">
        <f>H16*Assumptions!$B$7</f>
        <v>36373.724165784013</v>
      </c>
      <c r="M16" s="36">
        <f>L16*Assumptions!$B$11</f>
        <v>7274.744833156803</v>
      </c>
      <c r="N16" s="36">
        <f>H16*Assumptions!$B$11</f>
        <v>14549.489666313606</v>
      </c>
      <c r="O16" s="36">
        <f>N16*Assumptions!$B$12</f>
        <v>1454.9489666313607</v>
      </c>
      <c r="P16" s="36">
        <f>H16*Assumptions!$B$9</f>
        <v>5819.7958665254419</v>
      </c>
      <c r="Q16" s="36">
        <f>H16*Assumptions!$B$8</f>
        <v>3637.3724165784015</v>
      </c>
      <c r="R16" s="37">
        <f>(R17)/((1+Assumptions!$B$21)^$E17)+H17/IF(H$3="EOP",((1+Assumptions!$B$21)^$E17),1)</f>
        <v>10271114.289077492</v>
      </c>
      <c r="S16" s="36">
        <f>(S17)/((1+Assumptions!$B$21)^$E17)+L17/IF(L$3="EOP",((1+Assumptions!$B$21)^$E17),1)</f>
        <v>5029434.9334182069</v>
      </c>
      <c r="T16" s="36">
        <f>(T17)/((1+Assumptions!$B$21)^$E17)+M17/IF(M$3="EOP",((1+Assumptions!$B$21)^$E17),1)</f>
        <v>1005886.9866836416</v>
      </c>
      <c r="U16" s="36">
        <f>(U17)/((1+Assumptions!$B$21)^$E17)+N17/IF(N$3="EOP",((1+Assumptions!$B$21)^$E17),1)</f>
        <v>2054222.857815498</v>
      </c>
      <c r="V16" s="36">
        <f>(V17)/((1+Assumptions!$B$21)^$E17)+O17/IF(O$3="EOP",((1+Assumptions!$B$21)^$E17),1)</f>
        <v>205422.28578154967</v>
      </c>
      <c r="W16" s="36">
        <f>(W17)/((1+Assumptions!$B$21)^$E17)+P17/IF(P$3="EOP",((1+Assumptions!$B$21)^$E17),1)</f>
        <v>821689.14312619856</v>
      </c>
      <c r="X16" s="36">
        <f>(X17)/((1+Assumptions!$B$21)^$E17)+Q17/IF(Q$3="EOP",((1+Assumptions!$B$21)^$E17),1)</f>
        <v>502943.49334182078</v>
      </c>
      <c r="Y16" s="38">
        <f t="shared" si="2"/>
        <v>-3074133.1338409595</v>
      </c>
      <c r="Z16" s="37">
        <f>H17*Assumptions!$B$7*Assumptions!$B$25/$E17/12</f>
        <v>44853.63897980161</v>
      </c>
      <c r="AA16" s="36">
        <f>Z16*Assumptions!$B$11</f>
        <v>8970.7277959603216</v>
      </c>
      <c r="AB16" s="39">
        <f t="shared" si="8"/>
        <v>35882.911183841286</v>
      </c>
      <c r="AC16" s="88">
        <f t="shared" si="9"/>
        <v>-3038250.2226571185</v>
      </c>
      <c r="AD16" s="88">
        <f>Assumptions!$B$23*R16</f>
        <v>1540667.1433616239</v>
      </c>
      <c r="AE16" s="88">
        <f t="shared" si="11"/>
        <v>-1497583.0792954946</v>
      </c>
    </row>
    <row r="17" spans="1:31" s="21" customFormat="1" x14ac:dyDescent="0.25">
      <c r="A17" s="21">
        <f t="shared" si="10"/>
        <v>12</v>
      </c>
      <c r="B17" s="41" t="s">
        <v>28</v>
      </c>
      <c r="C17" s="23">
        <f t="shared" si="3"/>
        <v>12</v>
      </c>
      <c r="D17" s="22">
        <f t="shared" si="1"/>
        <v>1</v>
      </c>
      <c r="E17" s="22">
        <f t="shared" si="4"/>
        <v>8.333333333333337E-2</v>
      </c>
      <c r="F17" s="23">
        <f t="shared" si="5"/>
        <v>0</v>
      </c>
      <c r="G17" s="27">
        <f>(G16*($K16/$K15)-L16)*(1+Assumptions!$B$15)^$F17</f>
        <v>861189868.41219139</v>
      </c>
      <c r="H17" s="27">
        <f>$H$6/$G$6*G17*(1+Assumptions!$B$16)^INT((C17-1)/12)*IF(B17="Monthly",1,12)</f>
        <v>71765.822367682616</v>
      </c>
      <c r="I17" s="42">
        <f>Assumptions!$B$14</f>
        <v>0.15</v>
      </c>
      <c r="J17" s="42">
        <f t="shared" si="6"/>
        <v>1.3451947011868914E-2</v>
      </c>
      <c r="K17" s="43">
        <f t="shared" si="7"/>
        <v>0.84999999999999976</v>
      </c>
      <c r="L17" s="26">
        <f>H17*Assumptions!$B$7</f>
        <v>35882.911183841308</v>
      </c>
      <c r="M17" s="27">
        <f>L17*Assumptions!$B$11</f>
        <v>7176.5822367682622</v>
      </c>
      <c r="N17" s="27">
        <f>H17*Assumptions!$B$11</f>
        <v>14353.164473536524</v>
      </c>
      <c r="O17" s="27">
        <f>N17*Assumptions!$B$12</f>
        <v>1435.3164473536526</v>
      </c>
      <c r="P17" s="27">
        <f>H17*Assumptions!$B$9</f>
        <v>5741.2657894146096</v>
      </c>
      <c r="Q17" s="27">
        <f>H17*Assumptions!$B$8</f>
        <v>3588.2911183841311</v>
      </c>
      <c r="R17" s="26">
        <f>(R18)/((1+Assumptions!$B$21)^$E18)+H18/IF(H$3="EOP",((1+Assumptions!$B$21)^$E18),1)</f>
        <v>10220357.454610303</v>
      </c>
      <c r="S17" s="27">
        <f>(S18)/((1+Assumptions!$B$21)^$E18)+L18/IF(L$3="EOP",((1+Assumptions!$B$21)^$E18),1)</f>
        <v>5003911.834727034</v>
      </c>
      <c r="T17" s="27">
        <f>(T18)/((1+Assumptions!$B$21)^$E18)+M18/IF(M$3="EOP",((1+Assumptions!$B$21)^$E18),1)</f>
        <v>1000782.3669454071</v>
      </c>
      <c r="U17" s="27">
        <f>(U18)/((1+Assumptions!$B$21)^$E18)+N18/IF(N$3="EOP",((1+Assumptions!$B$21)^$E18),1)</f>
        <v>2044071.4909220603</v>
      </c>
      <c r="V17" s="27">
        <f>(V18)/((1+Assumptions!$B$21)^$E18)+O18/IF(O$3="EOP",((1+Assumptions!$B$21)^$E18),1)</f>
        <v>204407.14909220589</v>
      </c>
      <c r="W17" s="27">
        <f>(W18)/((1+Assumptions!$B$21)^$E18)+P18/IF(P$3="EOP",((1+Assumptions!$B$21)^$E18),1)</f>
        <v>817628.59636882343</v>
      </c>
      <c r="X17" s="27">
        <f>(X18)/((1+Assumptions!$B$21)^$E18)+Q18/IF(Q$3="EOP",((1+Assumptions!$B$21)^$E18),1)</f>
        <v>500391.18347270356</v>
      </c>
      <c r="Y17" s="28">
        <f t="shared" si="2"/>
        <v>-3059543.8651572955</v>
      </c>
      <c r="Z17" s="26">
        <f>H18*Assumptions!$B$7*Assumptions!$B$25/$E18/12</f>
        <v>48744.03887575023</v>
      </c>
      <c r="AA17" s="27">
        <f>Z17*Assumptions!$B$11</f>
        <v>9748.8077751500459</v>
      </c>
      <c r="AB17" s="29">
        <f t="shared" si="8"/>
        <v>38995.231100600184</v>
      </c>
      <c r="AC17" s="87">
        <f t="shared" si="9"/>
        <v>-3020548.6340566953</v>
      </c>
      <c r="AD17" s="87">
        <f>Assumptions!$B$23*R17</f>
        <v>1533053.6181915454</v>
      </c>
      <c r="AE17" s="87">
        <f t="shared" si="11"/>
        <v>-1487495.0158651499</v>
      </c>
    </row>
    <row r="18" spans="1:31" x14ac:dyDescent="0.25">
      <c r="A18" s="1">
        <f t="shared" si="10"/>
        <v>13</v>
      </c>
      <c r="B18" s="30" t="s">
        <v>28</v>
      </c>
      <c r="C18" s="31">
        <f t="shared" si="3"/>
        <v>13</v>
      </c>
      <c r="D18" s="32">
        <f t="shared" si="1"/>
        <v>1.0833333333333333</v>
      </c>
      <c r="E18" s="32">
        <f t="shared" si="4"/>
        <v>8.3333333333333259E-2</v>
      </c>
      <c r="F18" s="31">
        <f t="shared" si="5"/>
        <v>1</v>
      </c>
      <c r="G18" s="36">
        <f>(G17*($K17/$K16)-L17)*(1+Assumptions!$B$15)^$F18</f>
        <v>866560691.1244477</v>
      </c>
      <c r="H18" s="36">
        <f>$H$6/$G$6*G18*(1+Assumptions!$B$16)^INT((C18-1)/12)*IF(B18="Monthly",1,12)</f>
        <v>77990.462201200295</v>
      </c>
      <c r="I18" s="40">
        <f>Assumptions!$B$14</f>
        <v>0.15</v>
      </c>
      <c r="J18" s="40">
        <f t="shared" si="6"/>
        <v>1.3451947011868914E-2</v>
      </c>
      <c r="K18" s="35">
        <f t="shared" si="7"/>
        <v>0.83856584503991116</v>
      </c>
      <c r="L18" s="37">
        <f>H18*Assumptions!$B$7</f>
        <v>38995.231100600147</v>
      </c>
      <c r="M18" s="36">
        <f>L18*Assumptions!$B$11</f>
        <v>7799.0462201200298</v>
      </c>
      <c r="N18" s="36">
        <f>H18*Assumptions!$B$11</f>
        <v>15598.09244024006</v>
      </c>
      <c r="O18" s="36">
        <f>N18*Assumptions!$B$12</f>
        <v>1559.8092440240061</v>
      </c>
      <c r="P18" s="36">
        <f>H18*Assumptions!$B$9</f>
        <v>6239.2369760960237</v>
      </c>
      <c r="Q18" s="36">
        <f>H18*Assumptions!$B$8</f>
        <v>3899.5231100600149</v>
      </c>
      <c r="R18" s="37">
        <f>(R19)/((1+Assumptions!$B$21)^$E19)+H19/IF(H$3="EOP",((1+Assumptions!$B$21)^$E19),1)</f>
        <v>10163258.607802123</v>
      </c>
      <c r="S18" s="36">
        <f>(S19)/((1+Assumptions!$B$21)^$E19)+L19/IF(L$3="EOP",((1+Assumptions!$B$21)^$E19),1)</f>
        <v>4975223.8427146999</v>
      </c>
      <c r="T18" s="36">
        <f>(T19)/((1+Assumptions!$B$21)^$E19)+M19/IF(M$3="EOP",((1+Assumptions!$B$21)^$E19),1)</f>
        <v>995044.76854294026</v>
      </c>
      <c r="U18" s="36">
        <f>(U19)/((1+Assumptions!$B$21)^$E19)+N19/IF(N$3="EOP",((1+Assumptions!$B$21)^$E19),1)</f>
        <v>2032651.7215604242</v>
      </c>
      <c r="V18" s="36">
        <f>(V19)/((1+Assumptions!$B$21)^$E19)+O19/IF(O$3="EOP",((1+Assumptions!$B$21)^$E19),1)</f>
        <v>203265.17215604227</v>
      </c>
      <c r="W18" s="36">
        <f>(W19)/((1+Assumptions!$B$21)^$E19)+P19/IF(P$3="EOP",((1+Assumptions!$B$21)^$E19),1)</f>
        <v>813060.68862416898</v>
      </c>
      <c r="X18" s="36">
        <f>(X19)/((1+Assumptions!$B$21)^$E19)+Q19/IF(Q$3="EOP",((1+Assumptions!$B$21)^$E19),1)</f>
        <v>497522.38427147013</v>
      </c>
      <c r="Y18" s="38">
        <f t="shared" si="2"/>
        <v>-3043109.9113303432</v>
      </c>
      <c r="Z18" s="37">
        <f>H19*Assumptions!$B$7*Assumptions!$B$25/$E19/12</f>
        <v>48086.143165899623</v>
      </c>
      <c r="AA18" s="36">
        <f>Z18*Assumptions!$B$11</f>
        <v>9617.2286331799241</v>
      </c>
      <c r="AB18" s="39">
        <f t="shared" si="8"/>
        <v>38468.914532719697</v>
      </c>
      <c r="AC18" s="88">
        <f t="shared" si="9"/>
        <v>-3004640.9967976236</v>
      </c>
      <c r="AD18" s="88">
        <f>Assumptions!$B$23*R18</f>
        <v>1524488.7911703184</v>
      </c>
      <c r="AE18" s="88">
        <f t="shared" si="11"/>
        <v>-1480152.2056273052</v>
      </c>
    </row>
    <row r="19" spans="1:31" x14ac:dyDescent="0.25">
      <c r="A19" s="1">
        <f t="shared" si="10"/>
        <v>14</v>
      </c>
      <c r="B19" s="30" t="s">
        <v>28</v>
      </c>
      <c r="C19" s="31">
        <f t="shared" si="3"/>
        <v>14</v>
      </c>
      <c r="D19" s="32">
        <f t="shared" si="1"/>
        <v>1.1666666666666667</v>
      </c>
      <c r="E19" s="32">
        <f t="shared" si="4"/>
        <v>8.3333333333333481E-2</v>
      </c>
      <c r="F19" s="31">
        <f t="shared" si="5"/>
        <v>0</v>
      </c>
      <c r="G19" s="36">
        <f>(G18*($K18/$K17)-L18)*(1+Assumptions!$B$15)^$F19</f>
        <v>854864767.3937726</v>
      </c>
      <c r="H19" s="36">
        <f>$H$6/$G$6*G19*(1+Assumptions!$B$16)^INT((C19-1)/12)*IF(B19="Monthly",1,12)</f>
        <v>76937.829065439539</v>
      </c>
      <c r="I19" s="40">
        <f>Assumptions!$B$14</f>
        <v>0.15</v>
      </c>
      <c r="J19" s="40">
        <f t="shared" si="6"/>
        <v>1.3451947011868914E-2</v>
      </c>
      <c r="K19" s="35">
        <f t="shared" si="7"/>
        <v>0.8272855017264712</v>
      </c>
      <c r="L19" s="37">
        <f>H19*Assumptions!$B$7</f>
        <v>38468.914532719769</v>
      </c>
      <c r="M19" s="36">
        <f>L19*Assumptions!$B$11</f>
        <v>7693.7829065439546</v>
      </c>
      <c r="N19" s="36">
        <f>H19*Assumptions!$B$11</f>
        <v>15387.565813087909</v>
      </c>
      <c r="O19" s="36">
        <f>N19*Assumptions!$B$12</f>
        <v>1538.7565813087911</v>
      </c>
      <c r="P19" s="36">
        <f>H19*Assumptions!$B$9</f>
        <v>6155.0263252351633</v>
      </c>
      <c r="Q19" s="36">
        <f>H19*Assumptions!$B$8</f>
        <v>3846.8914532719773</v>
      </c>
      <c r="R19" s="37">
        <f>(R20)/((1+Assumptions!$B$21)^$E20)+H20/IF(H$3="EOP",((1+Assumptions!$B$21)^$E20),1)</f>
        <v>10107096.948105995</v>
      </c>
      <c r="S19" s="36">
        <f>(S20)/((1+Assumptions!$B$21)^$E20)+L20/IF(L$3="EOP",((1+Assumptions!$B$21)^$E20),1)</f>
        <v>4947003.0747037912</v>
      </c>
      <c r="T19" s="36">
        <f>(T20)/((1+Assumptions!$B$21)^$E20)+M20/IF(M$3="EOP",((1+Assumptions!$B$21)^$E20),1)</f>
        <v>989400.61494075856</v>
      </c>
      <c r="U19" s="36">
        <f>(U20)/((1+Assumptions!$B$21)^$E20)+N20/IF(N$3="EOP",((1+Assumptions!$B$21)^$E20),1)</f>
        <v>2021419.3896211989</v>
      </c>
      <c r="V19" s="36">
        <f>(V20)/((1+Assumptions!$B$21)^$E20)+O20/IF(O$3="EOP",((1+Assumptions!$B$21)^$E20),1)</f>
        <v>202141.93896211975</v>
      </c>
      <c r="W19" s="36">
        <f>(W20)/((1+Assumptions!$B$21)^$E20)+P20/IF(P$3="EOP",((1+Assumptions!$B$21)^$E20),1)</f>
        <v>808567.75584847888</v>
      </c>
      <c r="X19" s="36">
        <f>(X20)/((1+Assumptions!$B$21)^$E20)+Q20/IF(Q$3="EOP",((1+Assumptions!$B$21)^$E20),1)</f>
        <v>494700.30747037928</v>
      </c>
      <c r="Y19" s="38">
        <f t="shared" si="2"/>
        <v>-3026948.9743650244</v>
      </c>
      <c r="Z19" s="37">
        <f>H20*Assumptions!$B$7*Assumptions!$B$25/$E20/12</f>
        <v>47437.127039584455</v>
      </c>
      <c r="AA19" s="36">
        <f>Z19*Assumptions!$B$11</f>
        <v>9487.4254079168913</v>
      </c>
      <c r="AB19" s="39">
        <f t="shared" si="8"/>
        <v>37949.701631667565</v>
      </c>
      <c r="AC19" s="88">
        <f t="shared" si="9"/>
        <v>-2988999.2727333568</v>
      </c>
      <c r="AD19" s="88">
        <f>Assumptions!$B$23*R19</f>
        <v>1516064.5422158991</v>
      </c>
      <c r="AE19" s="88">
        <f t="shared" si="11"/>
        <v>-1472934.7305174577</v>
      </c>
    </row>
    <row r="20" spans="1:31" x14ac:dyDescent="0.25">
      <c r="A20" s="1">
        <f t="shared" si="10"/>
        <v>15</v>
      </c>
      <c r="B20" s="30" t="s">
        <v>28</v>
      </c>
      <c r="C20" s="31">
        <f t="shared" si="3"/>
        <v>15</v>
      </c>
      <c r="D20" s="32">
        <f t="shared" si="1"/>
        <v>1.25</v>
      </c>
      <c r="E20" s="32">
        <f t="shared" si="4"/>
        <v>8.3333333333333259E-2</v>
      </c>
      <c r="F20" s="31">
        <f t="shared" si="5"/>
        <v>0</v>
      </c>
      <c r="G20" s="36">
        <f>(G19*($K19/$K18)-L19)*(1+Assumptions!$B$15)^$F20</f>
        <v>843326702.92594528</v>
      </c>
      <c r="H20" s="36">
        <f>$H$6/$G$6*G20*(1+Assumptions!$B$16)^INT((C20-1)/12)*IF(B20="Monthly",1,12)</f>
        <v>75899.403263335073</v>
      </c>
      <c r="I20" s="40">
        <f>Assumptions!$B$14</f>
        <v>0.15</v>
      </c>
      <c r="J20" s="40">
        <f t="shared" si="6"/>
        <v>1.3451947011868914E-2</v>
      </c>
      <c r="K20" s="35">
        <f t="shared" si="7"/>
        <v>0.81615690099355931</v>
      </c>
      <c r="L20" s="37">
        <f>H20*Assumptions!$B$7</f>
        <v>37949.701631667536</v>
      </c>
      <c r="M20" s="36">
        <f>L20*Assumptions!$B$11</f>
        <v>7589.940326333508</v>
      </c>
      <c r="N20" s="36">
        <f>H20*Assumptions!$B$11</f>
        <v>15179.880652667016</v>
      </c>
      <c r="O20" s="36">
        <f>N20*Assumptions!$B$12</f>
        <v>1517.9880652667016</v>
      </c>
      <c r="P20" s="36">
        <f>H20*Assumptions!$B$9</f>
        <v>6071.9522610668055</v>
      </c>
      <c r="Q20" s="36">
        <f>H20*Assumptions!$B$8</f>
        <v>3794.970163166754</v>
      </c>
      <c r="R20" s="37">
        <f>(R21)/((1+Assumptions!$B$21)^$E21)+H21/IF(H$3="EOP",((1+Assumptions!$B$21)^$E21),1)</f>
        <v>10051860.169375485</v>
      </c>
      <c r="S20" s="36">
        <f>(S21)/((1+Assumptions!$B$21)^$E21)+L21/IF(L$3="EOP",((1+Assumptions!$B$21)^$E21),1)</f>
        <v>4919243.3894324219</v>
      </c>
      <c r="T20" s="36">
        <f>(T21)/((1+Assumptions!$B$21)^$E21)+M21/IF(M$3="EOP",((1+Assumptions!$B$21)^$E21),1)</f>
        <v>983848.67788648477</v>
      </c>
      <c r="U20" s="36">
        <f>(U21)/((1+Assumptions!$B$21)^$E21)+N21/IF(N$3="EOP",((1+Assumptions!$B$21)^$E21),1)</f>
        <v>2010372.0338750968</v>
      </c>
      <c r="V20" s="36">
        <f>(V21)/((1+Assumptions!$B$21)^$E21)+O21/IF(O$3="EOP",((1+Assumptions!$B$21)^$E21),1)</f>
        <v>201037.20338750954</v>
      </c>
      <c r="W20" s="36">
        <f>(W21)/((1+Assumptions!$B$21)^$E21)+P21/IF(P$3="EOP",((1+Assumptions!$B$21)^$E21),1)</f>
        <v>804148.81355003803</v>
      </c>
      <c r="X20" s="36">
        <f>(X21)/((1+Assumptions!$B$21)^$E21)+Q21/IF(Q$3="EOP",((1+Assumptions!$B$21)^$E21),1)</f>
        <v>491924.33894324239</v>
      </c>
      <c r="Y20" s="38">
        <f t="shared" si="2"/>
        <v>-3011057.4748486797</v>
      </c>
      <c r="Z20" s="37">
        <f>H21*Assumptions!$B$7*Assumptions!$B$25/$E21/12</f>
        <v>46796.8706495359</v>
      </c>
      <c r="AA20" s="36">
        <f>Z20*Assumptions!$B$11</f>
        <v>9359.3741299071808</v>
      </c>
      <c r="AB20" s="39">
        <f t="shared" si="8"/>
        <v>37437.496519628723</v>
      </c>
      <c r="AC20" s="88">
        <f t="shared" si="9"/>
        <v>-2973619.9783290508</v>
      </c>
      <c r="AD20" s="88">
        <f>Assumptions!$B$23*R20</f>
        <v>1507779.0254063227</v>
      </c>
      <c r="AE20" s="88">
        <f t="shared" si="11"/>
        <v>-1465840.9529227281</v>
      </c>
    </row>
    <row r="21" spans="1:31" x14ac:dyDescent="0.25">
      <c r="A21" s="1">
        <f t="shared" si="10"/>
        <v>16</v>
      </c>
      <c r="B21" s="30" t="s">
        <v>28</v>
      </c>
      <c r="C21" s="31">
        <f t="shared" si="3"/>
        <v>16</v>
      </c>
      <c r="D21" s="32">
        <f t="shared" si="1"/>
        <v>1.3333333333333333</v>
      </c>
      <c r="E21" s="32">
        <f t="shared" si="4"/>
        <v>8.3333333333333259E-2</v>
      </c>
      <c r="F21" s="31">
        <f t="shared" si="5"/>
        <v>0</v>
      </c>
      <c r="G21" s="36">
        <f>(G20*($K20/$K19)-L20)*(1+Assumptions!$B$15)^$F21</f>
        <v>831944367.10285974</v>
      </c>
      <c r="H21" s="36">
        <f>$H$6/$G$6*G21*(1+Assumptions!$B$16)^INT((C21-1)/12)*IF(B21="Monthly",1,12)</f>
        <v>74874.993039257373</v>
      </c>
      <c r="I21" s="40">
        <f>Assumptions!$B$14</f>
        <v>0.15</v>
      </c>
      <c r="J21" s="40">
        <f t="shared" si="6"/>
        <v>1.3451947011868914E-2</v>
      </c>
      <c r="K21" s="35">
        <f t="shared" si="7"/>
        <v>0.80517800160802278</v>
      </c>
      <c r="L21" s="37">
        <f>H21*Assumptions!$B$7</f>
        <v>37437.496519628687</v>
      </c>
      <c r="M21" s="36">
        <f>L21*Assumptions!$B$11</f>
        <v>7487.4993039257379</v>
      </c>
      <c r="N21" s="36">
        <f>H21*Assumptions!$B$11</f>
        <v>14974.998607851476</v>
      </c>
      <c r="O21" s="36">
        <f>N21*Assumptions!$B$12</f>
        <v>1497.4998607851476</v>
      </c>
      <c r="P21" s="36">
        <f>H21*Assumptions!$B$9</f>
        <v>5989.9994431405903</v>
      </c>
      <c r="Q21" s="36">
        <f>H21*Assumptions!$B$8</f>
        <v>3743.7496519628689</v>
      </c>
      <c r="R21" s="37">
        <f>(R22)/((1+Assumptions!$B$21)^$E22)+H22/IF(H$3="EOP",((1+Assumptions!$B$21)^$E22),1)</f>
        <v>9997536.1322661284</v>
      </c>
      <c r="S21" s="36">
        <f>(S22)/((1+Assumptions!$B$21)^$E22)+L22/IF(L$3="EOP",((1+Assumptions!$B$21)^$E22),1)</f>
        <v>4891938.7288665297</v>
      </c>
      <c r="T21" s="36">
        <f>(T22)/((1+Assumptions!$B$21)^$E22)+M22/IF(M$3="EOP",((1+Assumptions!$B$21)^$E22),1)</f>
        <v>978387.74577330647</v>
      </c>
      <c r="U21" s="36">
        <f>(U22)/((1+Assumptions!$B$21)^$E22)+N22/IF(N$3="EOP",((1+Assumptions!$B$21)^$E22),1)</f>
        <v>1999507.2264532254</v>
      </c>
      <c r="V21" s="36">
        <f>(V22)/((1+Assumptions!$B$21)^$E22)+O22/IF(O$3="EOP",((1+Assumptions!$B$21)^$E22),1)</f>
        <v>199950.72264532241</v>
      </c>
      <c r="W21" s="36">
        <f>(W22)/((1+Assumptions!$B$21)^$E22)+P22/IF(P$3="EOP",((1+Assumptions!$B$21)^$E22),1)</f>
        <v>799802.89058128954</v>
      </c>
      <c r="X21" s="36">
        <f>(X22)/((1+Assumptions!$B$21)^$E22)+Q22/IF(Q$3="EOP",((1+Assumptions!$B$21)^$E22),1)</f>
        <v>489193.87288665323</v>
      </c>
      <c r="Y21" s="38">
        <f t="shared" si="2"/>
        <v>-2995431.8818970602</v>
      </c>
      <c r="Z21" s="37">
        <f>H22*Assumptions!$B$7*Assumptions!$B$25/$E22/12</f>
        <v>46165.255766057708</v>
      </c>
      <c r="AA21" s="36">
        <f>Z21*Assumptions!$B$11</f>
        <v>9233.0511532115415</v>
      </c>
      <c r="AB21" s="39">
        <f t="shared" si="8"/>
        <v>36932.204612846166</v>
      </c>
      <c r="AC21" s="88">
        <f t="shared" si="9"/>
        <v>-2958499.6772842142</v>
      </c>
      <c r="AD21" s="88">
        <f>Assumptions!$B$23*R21</f>
        <v>1499630.4198399193</v>
      </c>
      <c r="AE21" s="88">
        <f t="shared" si="11"/>
        <v>-1458869.2574442949</v>
      </c>
    </row>
    <row r="22" spans="1:31" x14ac:dyDescent="0.25">
      <c r="A22" s="1">
        <f t="shared" si="10"/>
        <v>17</v>
      </c>
      <c r="B22" s="30" t="s">
        <v>28</v>
      </c>
      <c r="C22" s="31">
        <f t="shared" si="3"/>
        <v>17</v>
      </c>
      <c r="D22" s="32">
        <f t="shared" si="1"/>
        <v>1.4166666666666667</v>
      </c>
      <c r="E22" s="32">
        <f t="shared" si="4"/>
        <v>8.3333333333333481E-2</v>
      </c>
      <c r="F22" s="31">
        <f t="shared" si="5"/>
        <v>0</v>
      </c>
      <c r="G22" s="36">
        <f>(G21*($K21/$K20)-L21)*(1+Assumptions!$B$15)^$F22</f>
        <v>820715658.06324959</v>
      </c>
      <c r="H22" s="36">
        <f>$H$6/$G$6*G22*(1+Assumptions!$B$16)^INT((C22-1)/12)*IF(B22="Monthly",1,12)</f>
        <v>73864.409225692463</v>
      </c>
      <c r="I22" s="40">
        <f>Assumptions!$B$14</f>
        <v>0.15</v>
      </c>
      <c r="J22" s="40">
        <f t="shared" si="6"/>
        <v>1.3451947011868914E-2</v>
      </c>
      <c r="K22" s="35">
        <f t="shared" si="7"/>
        <v>0.79434678979526918</v>
      </c>
      <c r="L22" s="37">
        <f>H22*Assumptions!$B$7</f>
        <v>36932.204612846232</v>
      </c>
      <c r="M22" s="36">
        <f>L22*Assumptions!$B$11</f>
        <v>7386.440922569247</v>
      </c>
      <c r="N22" s="36">
        <f>H22*Assumptions!$B$11</f>
        <v>14772.881845138494</v>
      </c>
      <c r="O22" s="36">
        <f>N22*Assumptions!$B$12</f>
        <v>1477.2881845138495</v>
      </c>
      <c r="P22" s="36">
        <f>H22*Assumptions!$B$9</f>
        <v>5909.1527380553971</v>
      </c>
      <c r="Q22" s="36">
        <f>H22*Assumptions!$B$8</f>
        <v>3693.2204612846235</v>
      </c>
      <c r="R22" s="37">
        <f>(R23)/((1+Assumptions!$B$21)^$E23)+H23/IF(H$3="EOP",((1+Assumptions!$B$21)^$E23),1)</f>
        <v>9944112.8619855698</v>
      </c>
      <c r="S22" s="36">
        <f>(S23)/((1+Assumptions!$B$21)^$E23)+L23/IF(L$3="EOP",((1+Assumptions!$B$21)^$E23),1)</f>
        <v>4865083.1170772519</v>
      </c>
      <c r="T22" s="36">
        <f>(T23)/((1+Assumptions!$B$21)^$E23)+M23/IF(M$3="EOP",((1+Assumptions!$B$21)^$E23),1)</f>
        <v>973016.62341545103</v>
      </c>
      <c r="U22" s="36">
        <f>(U23)/((1+Assumptions!$B$21)^$E23)+N23/IF(N$3="EOP",((1+Assumptions!$B$21)^$E23),1)</f>
        <v>1988822.5723971135</v>
      </c>
      <c r="V22" s="36">
        <f>(V23)/((1+Assumptions!$B$21)^$E23)+O23/IF(O$3="EOP",((1+Assumptions!$B$21)^$E23),1)</f>
        <v>198882.25723971124</v>
      </c>
      <c r="W22" s="36">
        <f>(W23)/((1+Assumptions!$B$21)^$E23)+P23/IF(P$3="EOP",((1+Assumptions!$B$21)^$E23),1)</f>
        <v>795529.02895884484</v>
      </c>
      <c r="X22" s="36">
        <f>(X23)/((1+Assumptions!$B$21)^$E23)+Q23/IF(Q$3="EOP",((1+Assumptions!$B$21)^$E23),1)</f>
        <v>486508.31170772552</v>
      </c>
      <c r="Y22" s="38">
        <f t="shared" si="2"/>
        <v>-2980068.7124997964</v>
      </c>
      <c r="Z22" s="37">
        <f>H23*Assumptions!$B$7*Assumptions!$B$25/$E23/12</f>
        <v>45542.165755193972</v>
      </c>
      <c r="AA22" s="36">
        <f>Z22*Assumptions!$B$11</f>
        <v>9108.4331510387947</v>
      </c>
      <c r="AB22" s="39">
        <f t="shared" si="8"/>
        <v>36433.732604155179</v>
      </c>
      <c r="AC22" s="88">
        <f t="shared" si="9"/>
        <v>-2943634.9798956411</v>
      </c>
      <c r="AD22" s="88">
        <f>Assumptions!$B$23*R22</f>
        <v>1491616.9292978353</v>
      </c>
      <c r="AE22" s="88">
        <f t="shared" si="11"/>
        <v>-1452018.0505978058</v>
      </c>
    </row>
    <row r="23" spans="1:31" x14ac:dyDescent="0.25">
      <c r="A23" s="1">
        <f t="shared" si="10"/>
        <v>18</v>
      </c>
      <c r="B23" s="30" t="s">
        <v>28</v>
      </c>
      <c r="C23" s="31">
        <f t="shared" si="3"/>
        <v>18</v>
      </c>
      <c r="D23" s="32">
        <f t="shared" si="1"/>
        <v>1.5</v>
      </c>
      <c r="E23" s="32">
        <f t="shared" si="4"/>
        <v>8.3333333333333259E-2</v>
      </c>
      <c r="F23" s="31">
        <f t="shared" si="5"/>
        <v>0</v>
      </c>
      <c r="G23" s="36">
        <f>(G22*($K22/$K21)-L22)*(1+Assumptions!$B$15)^$F23</f>
        <v>809638502.31455874</v>
      </c>
      <c r="H23" s="36">
        <f>$H$6/$G$6*G23*(1+Assumptions!$B$16)^INT((C23-1)/12)*IF(B23="Monthly",1,12)</f>
        <v>72867.465208310285</v>
      </c>
      <c r="I23" s="40">
        <f>Assumptions!$B$14</f>
        <v>0.15</v>
      </c>
      <c r="J23" s="40">
        <f t="shared" si="6"/>
        <v>1.3451947011868914E-2</v>
      </c>
      <c r="K23" s="35">
        <f t="shared" si="7"/>
        <v>0.78366127886989501</v>
      </c>
      <c r="L23" s="37">
        <f>H23*Assumptions!$B$7</f>
        <v>36433.732604155142</v>
      </c>
      <c r="M23" s="36">
        <f>L23*Assumptions!$B$11</f>
        <v>7286.7465208310286</v>
      </c>
      <c r="N23" s="36">
        <f>H23*Assumptions!$B$11</f>
        <v>14573.493041662057</v>
      </c>
      <c r="O23" s="36">
        <f>N23*Assumptions!$B$12</f>
        <v>1457.3493041662059</v>
      </c>
      <c r="P23" s="36">
        <f>H23*Assumptions!$B$9</f>
        <v>5829.3972166648227</v>
      </c>
      <c r="Q23" s="36">
        <f>H23*Assumptions!$B$8</f>
        <v>3643.3732604155143</v>
      </c>
      <c r="R23" s="37">
        <f>(R24)/((1+Assumptions!$B$21)^$E24)+H24/IF(H$3="EOP",((1+Assumptions!$B$21)^$E24),1)</f>
        <v>9891578.5460740589</v>
      </c>
      <c r="S23" s="36">
        <f>(S24)/((1+Assumptions!$B$21)^$E24)+L24/IF(L$3="EOP",((1+Assumptions!$B$21)^$E24),1)</f>
        <v>4838670.659133452</v>
      </c>
      <c r="T23" s="36">
        <f>(T24)/((1+Assumptions!$B$21)^$E24)+M24/IF(M$3="EOP",((1+Assumptions!$B$21)^$E24),1)</f>
        <v>967734.13182669098</v>
      </c>
      <c r="U23" s="36">
        <f>(U24)/((1+Assumptions!$B$21)^$E24)+N24/IF(N$3="EOP",((1+Assumptions!$B$21)^$E24),1)</f>
        <v>1978315.7092148114</v>
      </c>
      <c r="V23" s="36">
        <f>(V24)/((1+Assumptions!$B$21)^$E24)+O24/IF(O$3="EOP",((1+Assumptions!$B$21)^$E24),1)</f>
        <v>197831.57092148103</v>
      </c>
      <c r="W23" s="36">
        <f>(W24)/((1+Assumptions!$B$21)^$E24)+P24/IF(P$3="EOP",((1+Assumptions!$B$21)^$E24),1)</f>
        <v>791326.28368592402</v>
      </c>
      <c r="X23" s="36">
        <f>(X24)/((1+Assumptions!$B$21)^$E24)+Q24/IF(Q$3="EOP",((1+Assumptions!$B$21)^$E24),1)</f>
        <v>483867.06591334549</v>
      </c>
      <c r="Y23" s="38">
        <f t="shared" si="2"/>
        <v>-2964964.530874698</v>
      </c>
      <c r="Z23" s="37">
        <f>H24*Assumptions!$B$7*Assumptions!$B$25/$E24/12</f>
        <v>44927.485557190375</v>
      </c>
      <c r="AA23" s="36">
        <f>Z23*Assumptions!$B$11</f>
        <v>8985.4971114380751</v>
      </c>
      <c r="AB23" s="39">
        <f t="shared" si="8"/>
        <v>35941.9884457523</v>
      </c>
      <c r="AC23" s="88">
        <f t="shared" si="9"/>
        <v>-2929022.5424289457</v>
      </c>
      <c r="AD23" s="88">
        <f>Assumptions!$B$23*R23</f>
        <v>1483736.7819111089</v>
      </c>
      <c r="AE23" s="88">
        <f t="shared" si="11"/>
        <v>-1445285.7605178368</v>
      </c>
    </row>
    <row r="24" spans="1:31" x14ac:dyDescent="0.25">
      <c r="A24" s="1">
        <f t="shared" si="10"/>
        <v>19</v>
      </c>
      <c r="B24" s="30" t="s">
        <v>28</v>
      </c>
      <c r="C24" s="31">
        <f t="shared" si="3"/>
        <v>19</v>
      </c>
      <c r="D24" s="32">
        <f t="shared" si="1"/>
        <v>1.5833333333333333</v>
      </c>
      <c r="E24" s="32">
        <f t="shared" si="4"/>
        <v>8.3333333333333259E-2</v>
      </c>
      <c r="F24" s="31">
        <f t="shared" si="5"/>
        <v>0</v>
      </c>
      <c r="G24" s="36">
        <f>(G23*($K23/$K22)-L23)*(1+Assumptions!$B$15)^$F24</f>
        <v>798710854.35005021</v>
      </c>
      <c r="H24" s="36">
        <f>$H$6/$G$6*G24*(1+Assumptions!$B$16)^INT((C24-1)/12)*IF(B24="Monthly",1,12)</f>
        <v>71883.976891504528</v>
      </c>
      <c r="I24" s="40">
        <f>Assumptions!$B$14</f>
        <v>0.15</v>
      </c>
      <c r="J24" s="40">
        <f t="shared" si="6"/>
        <v>1.3451947011868914E-2</v>
      </c>
      <c r="K24" s="35">
        <f t="shared" si="7"/>
        <v>0.77311950887128378</v>
      </c>
      <c r="L24" s="37">
        <f>H24*Assumptions!$B$7</f>
        <v>35941.988445752264</v>
      </c>
      <c r="M24" s="36">
        <f>L24*Assumptions!$B$11</f>
        <v>7188.3976891504535</v>
      </c>
      <c r="N24" s="36">
        <f>H24*Assumptions!$B$11</f>
        <v>14376.795378300907</v>
      </c>
      <c r="O24" s="36">
        <f>N24*Assumptions!$B$12</f>
        <v>1437.6795378300908</v>
      </c>
      <c r="P24" s="36">
        <f>H24*Assumptions!$B$9</f>
        <v>5750.7181513203623</v>
      </c>
      <c r="Q24" s="36">
        <f>H24*Assumptions!$B$8</f>
        <v>3594.1988445752268</v>
      </c>
      <c r="R24" s="37">
        <f>(R25)/((1+Assumptions!$B$21)^$E25)+H25/IF(H$3="EOP",((1+Assumptions!$B$21)^$E25),1)</f>
        <v>9839921.532214934</v>
      </c>
      <c r="S24" s="36">
        <f>(S25)/((1+Assumptions!$B$21)^$E25)+L25/IF(L$3="EOP",((1+Assumptions!$B$21)^$E25),1)</f>
        <v>4812695.5400092062</v>
      </c>
      <c r="T24" s="36">
        <f>(T25)/((1+Assumptions!$B$21)^$E25)+M25/IF(M$3="EOP",((1+Assumptions!$B$21)^$E25),1)</f>
        <v>962539.10800184193</v>
      </c>
      <c r="U24" s="36">
        <f>(U25)/((1+Assumptions!$B$21)^$E25)+N25/IF(N$3="EOP",((1+Assumptions!$B$21)^$E25),1)</f>
        <v>1967984.3064429867</v>
      </c>
      <c r="V24" s="36">
        <f>(V25)/((1+Assumptions!$B$21)^$E25)+O25/IF(O$3="EOP",((1+Assumptions!$B$21)^$E25),1)</f>
        <v>196798.43064429855</v>
      </c>
      <c r="W24" s="36">
        <f>(W25)/((1+Assumptions!$B$21)^$E25)+P25/IF(P$3="EOP",((1+Assumptions!$B$21)^$E25),1)</f>
        <v>787193.7225771941</v>
      </c>
      <c r="X24" s="36">
        <f>(X25)/((1+Assumptions!$B$21)^$E25)+Q25/IF(Q$3="EOP",((1+Assumptions!$B$21)^$E25),1)</f>
        <v>481269.55400092097</v>
      </c>
      <c r="Y24" s="38">
        <f t="shared" si="2"/>
        <v>-2950115.9478307664</v>
      </c>
      <c r="Z24" s="37">
        <f>H25*Assumptions!$B$7*Assumptions!$B$25/$E25/12</f>
        <v>44321.101665248338</v>
      </c>
      <c r="AA24" s="36">
        <f>Z24*Assumptions!$B$11</f>
        <v>8864.2203330496686</v>
      </c>
      <c r="AB24" s="39">
        <f t="shared" si="8"/>
        <v>35456.881332198667</v>
      </c>
      <c r="AC24" s="88">
        <f t="shared" si="9"/>
        <v>-2914659.0664985678</v>
      </c>
      <c r="AD24" s="88">
        <f>Assumptions!$B$23*R24</f>
        <v>1475988.2298322401</v>
      </c>
      <c r="AE24" s="88">
        <f t="shared" si="11"/>
        <v>-1438670.8366663277</v>
      </c>
    </row>
    <row r="25" spans="1:31" x14ac:dyDescent="0.25">
      <c r="A25" s="1">
        <f t="shared" si="10"/>
        <v>20</v>
      </c>
      <c r="B25" s="30" t="s">
        <v>28</v>
      </c>
      <c r="C25" s="31">
        <f t="shared" si="3"/>
        <v>20</v>
      </c>
      <c r="D25" s="32">
        <f t="shared" si="1"/>
        <v>1.6666666666666667</v>
      </c>
      <c r="E25" s="32">
        <f t="shared" si="4"/>
        <v>8.3333333333333481E-2</v>
      </c>
      <c r="F25" s="31">
        <f t="shared" si="5"/>
        <v>0</v>
      </c>
      <c r="G25" s="36">
        <f>(G24*($K24/$K23)-L24)*(1+Assumptions!$B$15)^$F25</f>
        <v>787930696.271083</v>
      </c>
      <c r="H25" s="36">
        <f>$H$6/$G$6*G25*(1+Assumptions!$B$16)^INT((C25-1)/12)*IF(B25="Monthly",1,12)</f>
        <v>70913.762664397465</v>
      </c>
      <c r="I25" s="40">
        <f>Assumptions!$B$14</f>
        <v>0.15</v>
      </c>
      <c r="J25" s="40">
        <f t="shared" si="6"/>
        <v>1.3451947011868914E-2</v>
      </c>
      <c r="K25" s="35">
        <f t="shared" si="7"/>
        <v>0.7627195462041052</v>
      </c>
      <c r="L25" s="37">
        <f>H25*Assumptions!$B$7</f>
        <v>35456.881332198733</v>
      </c>
      <c r="M25" s="36">
        <f>L25*Assumptions!$B$11</f>
        <v>7091.3762664397473</v>
      </c>
      <c r="N25" s="36">
        <f>H25*Assumptions!$B$11</f>
        <v>14182.752532879495</v>
      </c>
      <c r="O25" s="36">
        <f>N25*Assumptions!$B$12</f>
        <v>1418.2752532879495</v>
      </c>
      <c r="P25" s="36">
        <f>H25*Assumptions!$B$9</f>
        <v>5673.1010131517969</v>
      </c>
      <c r="Q25" s="36">
        <f>H25*Assumptions!$B$8</f>
        <v>3545.6881332198736</v>
      </c>
      <c r="R25" s="37">
        <f>(R26)/((1+Assumptions!$B$21)^$E26)+H26/IF(H$3="EOP",((1+Assumptions!$B$21)^$E26),1)</f>
        <v>9789130.3260746337</v>
      </c>
      <c r="S25" s="36">
        <f>(S26)/((1+Assumptions!$B$21)^$E26)+L26/IF(L$3="EOP",((1+Assumptions!$B$21)^$E26),1)</f>
        <v>4787152.0235060304</v>
      </c>
      <c r="T25" s="36">
        <f>(T26)/((1+Assumptions!$B$21)^$E26)+M26/IF(M$3="EOP",((1+Assumptions!$B$21)^$E26),1)</f>
        <v>957430.40470120672</v>
      </c>
      <c r="U25" s="36">
        <f>(U26)/((1+Assumptions!$B$21)^$E26)+N26/IF(N$3="EOP",((1+Assumptions!$B$21)^$E26),1)</f>
        <v>1957826.0652149266</v>
      </c>
      <c r="V25" s="36">
        <f>(V26)/((1+Assumptions!$B$21)^$E26)+O26/IF(O$3="EOP",((1+Assumptions!$B$21)^$E26),1)</f>
        <v>195782.60652149256</v>
      </c>
      <c r="W25" s="36">
        <f>(W26)/((1+Assumptions!$B$21)^$E26)+P26/IF(P$3="EOP",((1+Assumptions!$B$21)^$E26),1)</f>
        <v>783130.42608597013</v>
      </c>
      <c r="X25" s="36">
        <f>(X26)/((1+Assumptions!$B$21)^$E26)+Q26/IF(Q$3="EOP",((1+Assumptions!$B$21)^$E26),1)</f>
        <v>478715.20235060336</v>
      </c>
      <c r="Y25" s="38">
        <f t="shared" si="2"/>
        <v>-2935519.6201398028</v>
      </c>
      <c r="Z25" s="37">
        <f>H26*Assumptions!$B$7*Assumptions!$B$25/$E26/12</f>
        <v>43722.90210456495</v>
      </c>
      <c r="AA25" s="36">
        <f>Z25*Assumptions!$B$11</f>
        <v>8744.580420912991</v>
      </c>
      <c r="AB25" s="39">
        <f t="shared" si="8"/>
        <v>34978.321683651957</v>
      </c>
      <c r="AC25" s="88">
        <f t="shared" si="9"/>
        <v>-2900541.298456151</v>
      </c>
      <c r="AD25" s="88">
        <f>Assumptions!$B$23*R25</f>
        <v>1468369.548911195</v>
      </c>
      <c r="AE25" s="88">
        <f t="shared" si="11"/>
        <v>-1432171.749544956</v>
      </c>
    </row>
    <row r="26" spans="1:31" x14ac:dyDescent="0.25">
      <c r="A26" s="1">
        <f t="shared" si="10"/>
        <v>21</v>
      </c>
      <c r="B26" s="30" t="s">
        <v>28</v>
      </c>
      <c r="C26" s="31">
        <f t="shared" si="3"/>
        <v>21</v>
      </c>
      <c r="D26" s="32">
        <f t="shared" si="1"/>
        <v>1.75</v>
      </c>
      <c r="E26" s="32">
        <f t="shared" si="4"/>
        <v>8.3333333333333259E-2</v>
      </c>
      <c r="F26" s="31">
        <f t="shared" si="5"/>
        <v>0</v>
      </c>
      <c r="G26" s="36">
        <f>(G25*($K25/$K24)-L25)*(1+Assumptions!$B$15)^$F26</f>
        <v>777296037.41448736</v>
      </c>
      <c r="H26" s="36">
        <f>$H$6/$G$6*G26*(1+Assumptions!$B$16)^INT((C26-1)/12)*IF(B26="Monthly",1,12)</f>
        <v>69956.643367303855</v>
      </c>
      <c r="I26" s="40">
        <f>Assumptions!$B$14</f>
        <v>0.15</v>
      </c>
      <c r="J26" s="40">
        <f t="shared" si="6"/>
        <v>1.3451947011868914E-2</v>
      </c>
      <c r="K26" s="35">
        <f t="shared" si="7"/>
        <v>0.75245948328365087</v>
      </c>
      <c r="L26" s="37">
        <f>H26*Assumptions!$B$7</f>
        <v>34978.321683651928</v>
      </c>
      <c r="M26" s="36">
        <f>L26*Assumptions!$B$11</f>
        <v>6995.6643367303859</v>
      </c>
      <c r="N26" s="36">
        <f>H26*Assumptions!$B$11</f>
        <v>13991.328673460772</v>
      </c>
      <c r="O26" s="36">
        <f>N26*Assumptions!$B$12</f>
        <v>1399.1328673460773</v>
      </c>
      <c r="P26" s="36">
        <f>H26*Assumptions!$B$9</f>
        <v>5596.5314693843084</v>
      </c>
      <c r="Q26" s="36">
        <f>H26*Assumptions!$B$8</f>
        <v>3497.832168365193</v>
      </c>
      <c r="R26" s="37">
        <f>(R27)/((1+Assumptions!$B$21)^$E27)+H27/IF(H$3="EOP",((1+Assumptions!$B$21)^$E27),1)</f>
        <v>9739193.5891718715</v>
      </c>
      <c r="S26" s="36">
        <f>(S27)/((1+Assumptions!$B$21)^$E27)+L27/IF(L$3="EOP",((1+Assumptions!$B$21)^$E27),1)</f>
        <v>4762034.4511896474</v>
      </c>
      <c r="T26" s="36">
        <f>(T27)/((1+Assumptions!$B$21)^$E27)+M27/IF(M$3="EOP",((1+Assumptions!$B$21)^$E27),1)</f>
        <v>952406.89023793011</v>
      </c>
      <c r="U26" s="36">
        <f>(U27)/((1+Assumptions!$B$21)^$E27)+N27/IF(N$3="EOP",((1+Assumptions!$B$21)^$E27),1)</f>
        <v>1947838.7178343742</v>
      </c>
      <c r="V26" s="36">
        <f>(V27)/((1+Assumptions!$B$21)^$E27)+O27/IF(O$3="EOP",((1+Assumptions!$B$21)^$E27),1)</f>
        <v>194783.87178343732</v>
      </c>
      <c r="W26" s="36">
        <f>(W27)/((1+Assumptions!$B$21)^$E27)+P27/IF(P$3="EOP",((1+Assumptions!$B$21)^$E27),1)</f>
        <v>779135.48713374918</v>
      </c>
      <c r="X26" s="36">
        <f>(X27)/((1+Assumptions!$B$21)^$E27)+Q27/IF(Q$3="EOP",((1+Assumptions!$B$21)^$E27),1)</f>
        <v>476203.44511896506</v>
      </c>
      <c r="Y26" s="38">
        <f t="shared" si="2"/>
        <v>-2921172.2499165032</v>
      </c>
      <c r="Z26" s="37">
        <f>H27*Assumptions!$B$7*Assumptions!$B$25/$E27/12</f>
        <v>43132.776411654508</v>
      </c>
      <c r="AA26" s="36">
        <f>Z26*Assumptions!$B$11</f>
        <v>8626.5552823309026</v>
      </c>
      <c r="AB26" s="39">
        <f t="shared" si="8"/>
        <v>34506.221129323603</v>
      </c>
      <c r="AC26" s="88">
        <f t="shared" si="9"/>
        <v>-2886666.0287871794</v>
      </c>
      <c r="AD26" s="88">
        <f>Assumptions!$B$23*R26</f>
        <v>1460879.0383757807</v>
      </c>
      <c r="AE26" s="88">
        <f t="shared" si="11"/>
        <v>-1425786.9904113987</v>
      </c>
    </row>
    <row r="27" spans="1:31" x14ac:dyDescent="0.25">
      <c r="A27" s="1">
        <f t="shared" si="10"/>
        <v>22</v>
      </c>
      <c r="B27" s="30" t="s">
        <v>28</v>
      </c>
      <c r="C27" s="31">
        <f t="shared" si="3"/>
        <v>22</v>
      </c>
      <c r="D27" s="32">
        <f t="shared" si="1"/>
        <v>1.8333333333333333</v>
      </c>
      <c r="E27" s="32">
        <f t="shared" si="4"/>
        <v>8.3333333333333259E-2</v>
      </c>
      <c r="F27" s="31">
        <f t="shared" si="5"/>
        <v>0</v>
      </c>
      <c r="G27" s="36">
        <f>(G26*($K26/$K25)-L26)*(1+Assumptions!$B$15)^$F27</f>
        <v>766804913.9849683</v>
      </c>
      <c r="H27" s="36">
        <f>$H$6/$G$6*G27*(1+Assumptions!$B$16)^INT((C27-1)/12)*IF(B27="Monthly",1,12)</f>
        <v>69012.442258647148</v>
      </c>
      <c r="I27" s="40">
        <f>Assumptions!$B$14</f>
        <v>0.15</v>
      </c>
      <c r="J27" s="40">
        <f t="shared" si="6"/>
        <v>1.3451947011868914E-2</v>
      </c>
      <c r="K27" s="35">
        <f t="shared" si="7"/>
        <v>0.74233743818594089</v>
      </c>
      <c r="L27" s="37">
        <f>H27*Assumptions!$B$7</f>
        <v>34506.221129323574</v>
      </c>
      <c r="M27" s="36">
        <f>L27*Assumptions!$B$11</f>
        <v>6901.2442258647152</v>
      </c>
      <c r="N27" s="36">
        <f>H27*Assumptions!$B$11</f>
        <v>13802.48845172943</v>
      </c>
      <c r="O27" s="36">
        <f>N27*Assumptions!$B$12</f>
        <v>1380.2488451729432</v>
      </c>
      <c r="P27" s="36">
        <f>H27*Assumptions!$B$9</f>
        <v>5520.995380691772</v>
      </c>
      <c r="Q27" s="36">
        <f>H27*Assumptions!$B$8</f>
        <v>3450.6221129323576</v>
      </c>
      <c r="R27" s="37">
        <f>(R28)/((1+Assumptions!$B$21)^$E28)+H28/IF(H$3="EOP",((1+Assumptions!$B$21)^$E28),1)</f>
        <v>9690100.1367755868</v>
      </c>
      <c r="S27" s="36">
        <f>(S28)/((1+Assumptions!$B$21)^$E28)+L28/IF(L$3="EOP",((1+Assumptions!$B$21)^$E28),1)</f>
        <v>4737337.2413411243</v>
      </c>
      <c r="T27" s="36">
        <f>(T28)/((1+Assumptions!$B$21)^$E28)+M28/IF(M$3="EOP",((1+Assumptions!$B$21)^$E28),1)</f>
        <v>947467.44826822565</v>
      </c>
      <c r="U27" s="36">
        <f>(U28)/((1+Assumptions!$B$21)^$E28)+N28/IF(N$3="EOP",((1+Assumptions!$B$21)^$E28),1)</f>
        <v>1938020.0273551168</v>
      </c>
      <c r="V27" s="36">
        <f>(V28)/((1+Assumptions!$B$21)^$E28)+O28/IF(O$3="EOP",((1+Assumptions!$B$21)^$E28),1)</f>
        <v>193802.00273551163</v>
      </c>
      <c r="W27" s="36">
        <f>(W28)/((1+Assumptions!$B$21)^$E28)+P28/IF(P$3="EOP",((1+Assumptions!$B$21)^$E28),1)</f>
        <v>775208.01094204641</v>
      </c>
      <c r="X27" s="36">
        <f>(X28)/((1+Assumptions!$B$21)^$E28)+Q28/IF(Q$3="EOP",((1+Assumptions!$B$21)^$E28),1)</f>
        <v>473733.72413411282</v>
      </c>
      <c r="Y27" s="38">
        <f t="shared" si="2"/>
        <v>-2907070.5840069233</v>
      </c>
      <c r="Z27" s="37">
        <f>H28*Assumptions!$B$7*Assumptions!$B$25/$E28/12</f>
        <v>42550.615613951501</v>
      </c>
      <c r="AA27" s="36">
        <f>Z27*Assumptions!$B$11</f>
        <v>8510.1231227903008</v>
      </c>
      <c r="AB27" s="39">
        <f t="shared" si="8"/>
        <v>34040.492491161203</v>
      </c>
      <c r="AC27" s="88">
        <f t="shared" si="9"/>
        <v>-2873030.0915157623</v>
      </c>
      <c r="AD27" s="88">
        <f>Assumptions!$B$23*R27</f>
        <v>1453515.0205163381</v>
      </c>
      <c r="AE27" s="88">
        <f t="shared" si="11"/>
        <v>-1419515.0709994242</v>
      </c>
    </row>
    <row r="28" spans="1:31" x14ac:dyDescent="0.25">
      <c r="A28" s="1">
        <f t="shared" si="10"/>
        <v>23</v>
      </c>
      <c r="B28" s="30" t="s">
        <v>28</v>
      </c>
      <c r="C28" s="31">
        <f t="shared" si="3"/>
        <v>23</v>
      </c>
      <c r="D28" s="32">
        <f t="shared" si="1"/>
        <v>1.9166666666666667</v>
      </c>
      <c r="E28" s="32">
        <f t="shared" si="4"/>
        <v>8.3333333333333481E-2</v>
      </c>
      <c r="F28" s="31">
        <f t="shared" si="5"/>
        <v>0</v>
      </c>
      <c r="G28" s="36">
        <f>(G27*($K27/$K26)-L27)*(1+Assumptions!$B$15)^$F28</f>
        <v>756455388.69247246</v>
      </c>
      <c r="H28" s="36">
        <f>$H$6/$G$6*G28*(1+Assumptions!$B$16)^INT((C28-1)/12)*IF(B28="Monthly",1,12)</f>
        <v>68080.984982322523</v>
      </c>
      <c r="I28" s="40">
        <f>Assumptions!$B$14</f>
        <v>0.15</v>
      </c>
      <c r="J28" s="40">
        <f t="shared" si="6"/>
        <v>1.3451947011868914E-2</v>
      </c>
      <c r="K28" s="35">
        <f t="shared" si="7"/>
        <v>0.73235155430253707</v>
      </c>
      <c r="L28" s="37">
        <f>H28*Assumptions!$B$7</f>
        <v>34040.492491161262</v>
      </c>
      <c r="M28" s="36">
        <f>L28*Assumptions!$B$11</f>
        <v>6808.0984982322525</v>
      </c>
      <c r="N28" s="36">
        <f>H28*Assumptions!$B$11</f>
        <v>13616.196996464505</v>
      </c>
      <c r="O28" s="36">
        <f>N28*Assumptions!$B$12</f>
        <v>1361.6196996464505</v>
      </c>
      <c r="P28" s="36">
        <f>H28*Assumptions!$B$9</f>
        <v>5446.478798585802</v>
      </c>
      <c r="Q28" s="36">
        <f>H28*Assumptions!$B$8</f>
        <v>3404.0492491161262</v>
      </c>
      <c r="R28" s="37">
        <f>(R29)/((1+Assumptions!$B$21)^$E29)+H29/IF(H$3="EOP",((1+Assumptions!$B$21)^$E29),1)</f>
        <v>9641838.9358312506</v>
      </c>
      <c r="S28" s="36">
        <f>(S29)/((1+Assumptions!$B$21)^$E29)+L29/IF(L$3="EOP",((1+Assumptions!$B$21)^$E29),1)</f>
        <v>4713054.8879221557</v>
      </c>
      <c r="T28" s="36">
        <f>(T29)/((1+Assumptions!$B$21)^$E29)+M29/IF(M$3="EOP",((1+Assumptions!$B$21)^$E29),1)</f>
        <v>942610.97758443188</v>
      </c>
      <c r="U28" s="36">
        <f>(U29)/((1+Assumptions!$B$21)^$E29)+N29/IF(N$3="EOP",((1+Assumptions!$B$21)^$E29),1)</f>
        <v>1928367.7871662499</v>
      </c>
      <c r="V28" s="36">
        <f>(V29)/((1+Assumptions!$B$21)^$E29)+O29/IF(O$3="EOP",((1+Assumptions!$B$21)^$E29),1)</f>
        <v>192836.77871662492</v>
      </c>
      <c r="W28" s="36">
        <f>(W29)/((1+Assumptions!$B$21)^$E29)+P29/IF(P$3="EOP",((1+Assumptions!$B$21)^$E29),1)</f>
        <v>771347.11486649956</v>
      </c>
      <c r="X28" s="36">
        <f>(X29)/((1+Assumptions!$B$21)^$E29)+Q29/IF(Q$3="EOP",((1+Assumptions!$B$21)^$E29),1)</f>
        <v>471305.48879221594</v>
      </c>
      <c r="Y28" s="38">
        <f t="shared" si="2"/>
        <v>-2893211.4133851859</v>
      </c>
      <c r="Z28" s="37">
        <f>H29*Assumptions!$B$7*Assumptions!$B$25/$E29/12</f>
        <v>41976.312209687712</v>
      </c>
      <c r="AA28" s="36">
        <f>Z28*Assumptions!$B$11</f>
        <v>8395.2624419375425</v>
      </c>
      <c r="AB28" s="39">
        <f t="shared" si="8"/>
        <v>33581.04976775017</v>
      </c>
      <c r="AC28" s="88">
        <f t="shared" si="9"/>
        <v>-2859630.3636174356</v>
      </c>
      <c r="AD28" s="88">
        <f>Assumptions!$B$23*R28</f>
        <v>1446275.8403746875</v>
      </c>
      <c r="AE28" s="88">
        <f t="shared" si="11"/>
        <v>-1413354.5232427481</v>
      </c>
    </row>
    <row r="29" spans="1:31" s="21" customFormat="1" x14ac:dyDescent="0.25">
      <c r="A29" s="21">
        <f t="shared" si="10"/>
        <v>24</v>
      </c>
      <c r="B29" s="41" t="s">
        <v>28</v>
      </c>
      <c r="C29" s="23">
        <f t="shared" si="3"/>
        <v>24</v>
      </c>
      <c r="D29" s="22">
        <f t="shared" si="1"/>
        <v>2</v>
      </c>
      <c r="E29" s="22">
        <f t="shared" si="4"/>
        <v>8.3333333333333259E-2</v>
      </c>
      <c r="F29" s="23">
        <f t="shared" si="5"/>
        <v>0</v>
      </c>
      <c r="G29" s="27">
        <f>(G28*($K28/$K27)-L28)*(1+Assumptions!$B$15)^$F29</f>
        <v>746245550.39444745</v>
      </c>
      <c r="H29" s="27">
        <f>$H$6/$G$6*G29*(1+Assumptions!$B$16)^INT((C29-1)/12)*IF(B29="Monthly",1,12)</f>
        <v>67162.099535500281</v>
      </c>
      <c r="I29" s="42">
        <f>Assumptions!$B$14</f>
        <v>0.15</v>
      </c>
      <c r="J29" s="42">
        <f t="shared" si="6"/>
        <v>1.3451947011868914E-2</v>
      </c>
      <c r="K29" s="43">
        <f t="shared" si="7"/>
        <v>0.72249999999999948</v>
      </c>
      <c r="L29" s="26">
        <f>H29*Assumptions!$B$7</f>
        <v>33581.049767750141</v>
      </c>
      <c r="M29" s="27">
        <f>L29*Assumptions!$B$11</f>
        <v>6716.2099535500283</v>
      </c>
      <c r="N29" s="27">
        <f>H29*Assumptions!$B$11</f>
        <v>13432.419907100057</v>
      </c>
      <c r="O29" s="27">
        <f>N29*Assumptions!$B$12</f>
        <v>1343.2419907100057</v>
      </c>
      <c r="P29" s="27">
        <f>H29*Assumptions!$B$9</f>
        <v>5372.9679628400227</v>
      </c>
      <c r="Q29" s="27">
        <f>H29*Assumptions!$B$8</f>
        <v>3358.1049767750142</v>
      </c>
      <c r="R29" s="26">
        <f>(R30)/((1+Assumptions!$B$21)^$E30)+H30/IF(H$3="EOP",((1+Assumptions!$B$21)^$E30),1)</f>
        <v>9594399.1029151753</v>
      </c>
      <c r="S29" s="27">
        <f>(S30)/((1+Assumptions!$B$21)^$E30)+L30/IF(L$3="EOP",((1+Assumptions!$B$21)^$E30),1)</f>
        <v>4689181.9595543072</v>
      </c>
      <c r="T29" s="27">
        <f>(T30)/((1+Assumptions!$B$21)^$E30)+M30/IF(M$3="EOP",((1+Assumptions!$B$21)^$E30),1)</f>
        <v>937836.39191086218</v>
      </c>
      <c r="U29" s="27">
        <f>(U30)/((1+Assumptions!$B$21)^$E30)+N30/IF(N$3="EOP",((1+Assumptions!$B$21)^$E30),1)</f>
        <v>1918879.820583035</v>
      </c>
      <c r="V29" s="27">
        <f>(V30)/((1+Assumptions!$B$21)^$E30)+O30/IF(O$3="EOP",((1+Assumptions!$B$21)^$E30),1)</f>
        <v>191887.98205830343</v>
      </c>
      <c r="W29" s="27">
        <f>(W30)/((1+Assumptions!$B$21)^$E30)+P30/IF(P$3="EOP",((1+Assumptions!$B$21)^$E30),1)</f>
        <v>767551.92823321361</v>
      </c>
      <c r="X29" s="27">
        <f>(X30)/((1+Assumptions!$B$21)^$E30)+Q30/IF(Q$3="EOP",((1+Assumptions!$B$21)^$E30),1)</f>
        <v>468918.19595543109</v>
      </c>
      <c r="Y29" s="28">
        <f t="shared" si="2"/>
        <v>-2879591.5725583537</v>
      </c>
      <c r="Z29" s="26">
        <f>H30*Assumptions!$B$7*Assumptions!$B$25/$E30/12</f>
        <v>45616.991779080621</v>
      </c>
      <c r="AA29" s="27">
        <f>Z29*Assumptions!$B$11</f>
        <v>9123.3983558161253</v>
      </c>
      <c r="AB29" s="29">
        <f t="shared" si="8"/>
        <v>36493.593423264494</v>
      </c>
      <c r="AC29" s="87">
        <f t="shared" si="9"/>
        <v>-2843097.9791350891</v>
      </c>
      <c r="AD29" s="87">
        <f>Assumptions!$B$23*R29</f>
        <v>1439159.8654372762</v>
      </c>
      <c r="AE29" s="87">
        <f t="shared" si="11"/>
        <v>-1403938.1136978129</v>
      </c>
    </row>
    <row r="30" spans="1:31" x14ac:dyDescent="0.25">
      <c r="A30" s="1">
        <f t="shared" si="10"/>
        <v>25</v>
      </c>
      <c r="B30" s="30" t="s">
        <v>28</v>
      </c>
      <c r="C30" s="31">
        <f t="shared" si="3"/>
        <v>25</v>
      </c>
      <c r="D30" s="32">
        <f t="shared" si="1"/>
        <v>2.0833333333333335</v>
      </c>
      <c r="E30" s="32">
        <f t="shared" si="4"/>
        <v>8.3333333333333481E-2</v>
      </c>
      <c r="F30" s="31">
        <f t="shared" si="5"/>
        <v>1</v>
      </c>
      <c r="G30" s="36">
        <f>(G29*($K29/$K28)-L29)*(1+Assumptions!$B$15)^$F30</f>
        <v>750896984.01778924</v>
      </c>
      <c r="H30" s="36">
        <f>$H$6/$G$6*G30*(1+Assumptions!$B$16)^INT((C30-1)/12)*IF(B30="Monthly",1,12)</f>
        <v>72987.186846529119</v>
      </c>
      <c r="I30" s="40">
        <f>Assumptions!$B$14</f>
        <v>0.15</v>
      </c>
      <c r="J30" s="40">
        <f t="shared" si="6"/>
        <v>1.3451947011868914E-2</v>
      </c>
      <c r="K30" s="35">
        <f t="shared" si="7"/>
        <v>0.71278096828392423</v>
      </c>
      <c r="L30" s="37">
        <f>H30*Assumptions!$B$7</f>
        <v>36493.59342326456</v>
      </c>
      <c r="M30" s="36">
        <f>L30*Assumptions!$B$11</f>
        <v>7298.7186846529121</v>
      </c>
      <c r="N30" s="36">
        <f>H30*Assumptions!$B$11</f>
        <v>14597.437369305824</v>
      </c>
      <c r="O30" s="36">
        <f>N30*Assumptions!$B$12</f>
        <v>1459.7437369305826</v>
      </c>
      <c r="P30" s="36">
        <f>H30*Assumptions!$B$9</f>
        <v>5838.9749477223295</v>
      </c>
      <c r="Q30" s="36">
        <f>H30*Assumptions!$B$8</f>
        <v>3649.359342326456</v>
      </c>
      <c r="R30" s="37">
        <f>(R31)/((1+Assumptions!$B$21)^$E31)+H31/IF(H$3="EOP",((1+Assumptions!$B$21)^$E31),1)</f>
        <v>9541024.4656734802</v>
      </c>
      <c r="S30" s="36">
        <f>(S31)/((1+Assumptions!$B$21)^$E31)+L31/IF(L$3="EOP",((1+Assumptions!$B$21)^$E31),1)</f>
        <v>4662347.3132072259</v>
      </c>
      <c r="T30" s="36">
        <f>(T31)/((1+Assumptions!$B$21)^$E31)+M31/IF(M$3="EOP",((1+Assumptions!$B$21)^$E31),1)</f>
        <v>932469.46264144592</v>
      </c>
      <c r="U30" s="36">
        <f>(U31)/((1+Assumptions!$B$21)^$E31)+N31/IF(N$3="EOP",((1+Assumptions!$B$21)^$E31),1)</f>
        <v>1908204.8931346957</v>
      </c>
      <c r="V30" s="36">
        <f>(V31)/((1+Assumptions!$B$21)^$E31)+O31/IF(O$3="EOP",((1+Assumptions!$B$21)^$E31),1)</f>
        <v>190820.48931346953</v>
      </c>
      <c r="W30" s="36">
        <f>(W31)/((1+Assumptions!$B$21)^$E31)+P31/IF(P$3="EOP",((1+Assumptions!$B$21)^$E31),1)</f>
        <v>763281.957253878</v>
      </c>
      <c r="X30" s="36">
        <f>(X31)/((1+Assumptions!$B$21)^$E31)+Q31/IF(Q$3="EOP",((1+Assumptions!$B$21)^$E31),1)</f>
        <v>466234.73132072296</v>
      </c>
      <c r="Y30" s="38">
        <f t="shared" si="2"/>
        <v>-2864245.5227118735</v>
      </c>
      <c r="Z30" s="37">
        <f>H31*Assumptions!$B$7*Assumptions!$B$25/$E31/12</f>
        <v>45001.137437027333</v>
      </c>
      <c r="AA30" s="36">
        <f>Z30*Assumptions!$B$11</f>
        <v>9000.2274874054674</v>
      </c>
      <c r="AB30" s="39">
        <f t="shared" si="8"/>
        <v>36000.90994962187</v>
      </c>
      <c r="AC30" s="88">
        <f t="shared" si="9"/>
        <v>-2828244.6127622519</v>
      </c>
      <c r="AD30" s="88">
        <f>Assumptions!$B$23*R30</f>
        <v>1431153.6698510221</v>
      </c>
      <c r="AE30" s="88">
        <f t="shared" si="11"/>
        <v>-1397090.9429112298</v>
      </c>
    </row>
    <row r="31" spans="1:31" x14ac:dyDescent="0.25">
      <c r="A31" s="1">
        <f t="shared" si="10"/>
        <v>26</v>
      </c>
      <c r="B31" s="30" t="s">
        <v>28</v>
      </c>
      <c r="C31" s="31">
        <f t="shared" si="3"/>
        <v>26</v>
      </c>
      <c r="D31" s="32">
        <f t="shared" si="1"/>
        <v>2.1666666666666665</v>
      </c>
      <c r="E31" s="32">
        <f t="shared" si="4"/>
        <v>8.3333333333333037E-2</v>
      </c>
      <c r="F31" s="31">
        <f t="shared" si="5"/>
        <v>0</v>
      </c>
      <c r="G31" s="36">
        <f>(G30*($K30/$K29)-L30)*(1+Assumptions!$B$15)^$F31</f>
        <v>740759463.9839865</v>
      </c>
      <c r="H31" s="36">
        <f>$H$6/$G$6*G31*(1+Assumptions!$B$16)^INT((C31-1)/12)*IF(B31="Monthly",1,12)</f>
        <v>72001.819899243492</v>
      </c>
      <c r="I31" s="40">
        <f>Assumptions!$B$14</f>
        <v>0.15</v>
      </c>
      <c r="J31" s="40">
        <f t="shared" si="6"/>
        <v>1.3451947011868803E-2</v>
      </c>
      <c r="K31" s="35">
        <f t="shared" si="7"/>
        <v>0.70319267646750039</v>
      </c>
      <c r="L31" s="37">
        <f>H31*Assumptions!$B$7</f>
        <v>36000.909949621746</v>
      </c>
      <c r="M31" s="36">
        <f>L31*Assumptions!$B$11</f>
        <v>7200.1819899243492</v>
      </c>
      <c r="N31" s="36">
        <f>H31*Assumptions!$B$11</f>
        <v>14400.363979848698</v>
      </c>
      <c r="O31" s="36">
        <f>N31*Assumptions!$B$12</f>
        <v>1440.0363979848698</v>
      </c>
      <c r="P31" s="36">
        <f>H31*Assumptions!$B$9</f>
        <v>5760.1455919394793</v>
      </c>
      <c r="Q31" s="36">
        <f>H31*Assumptions!$B$8</f>
        <v>3600.0909949621746</v>
      </c>
      <c r="R31" s="37">
        <f>(R32)/((1+Assumptions!$B$21)^$E32)+H32/IF(H$3="EOP",((1+Assumptions!$B$21)^$E32),1)</f>
        <v>9488527.2820599638</v>
      </c>
      <c r="S31" s="36">
        <f>(S32)/((1+Assumptions!$B$21)^$E32)+L32/IF(L$3="EOP",((1+Assumptions!$B$21)^$E32),1)</f>
        <v>4635950.0753559526</v>
      </c>
      <c r="T31" s="36">
        <f>(T32)/((1+Assumptions!$B$21)^$E32)+M32/IF(M$3="EOP",((1+Assumptions!$B$21)^$E32),1)</f>
        <v>927190.01507119113</v>
      </c>
      <c r="U31" s="36">
        <f>(U32)/((1+Assumptions!$B$21)^$E32)+N32/IF(N$3="EOP",((1+Assumptions!$B$21)^$E32),1)</f>
        <v>1897705.4564119924</v>
      </c>
      <c r="V31" s="36">
        <f>(V32)/((1+Assumptions!$B$21)^$E32)+O32/IF(O$3="EOP",((1+Assumptions!$B$21)^$E32),1)</f>
        <v>189770.54564119922</v>
      </c>
      <c r="W31" s="36">
        <f>(W32)/((1+Assumptions!$B$21)^$E32)+P32/IF(P$3="EOP",((1+Assumptions!$B$21)^$E32),1)</f>
        <v>759082.18256479676</v>
      </c>
      <c r="X31" s="36">
        <f>(X32)/((1+Assumptions!$B$21)^$E32)+Q32/IF(Q$3="EOP",((1+Assumptions!$B$21)^$E32),1)</f>
        <v>463595.00753559556</v>
      </c>
      <c r="Y31" s="38">
        <f t="shared" si="2"/>
        <v>-2849155.1209040168</v>
      </c>
      <c r="Z31" s="37">
        <f>H32*Assumptions!$B$7*Assumptions!$B$25/$E32/12</f>
        <v>44393.59746547095</v>
      </c>
      <c r="AA31" s="36">
        <f>Z31*Assumptions!$B$11</f>
        <v>8878.7194930941896</v>
      </c>
      <c r="AB31" s="39">
        <f t="shared" si="8"/>
        <v>35514.877972376758</v>
      </c>
      <c r="AC31" s="88">
        <f t="shared" si="9"/>
        <v>-2813640.2429316402</v>
      </c>
      <c r="AD31" s="88">
        <f>Assumptions!$B$23*R31</f>
        <v>1423279.0923089946</v>
      </c>
      <c r="AE31" s="88">
        <f t="shared" si="11"/>
        <v>-1390361.1506226456</v>
      </c>
    </row>
    <row r="32" spans="1:31" x14ac:dyDescent="0.25">
      <c r="A32" s="1">
        <f t="shared" si="10"/>
        <v>27</v>
      </c>
      <c r="B32" s="30" t="s">
        <v>28</v>
      </c>
      <c r="C32" s="31">
        <f t="shared" si="3"/>
        <v>27</v>
      </c>
      <c r="D32" s="32">
        <f t="shared" si="1"/>
        <v>2.25</v>
      </c>
      <c r="E32" s="32">
        <f t="shared" si="4"/>
        <v>8.3333333333333481E-2</v>
      </c>
      <c r="F32" s="31">
        <f t="shared" si="5"/>
        <v>0</v>
      </c>
      <c r="G32" s="36">
        <f>(G31*($K31/$K30)-L31)*(1+Assumptions!$B$15)^$F32</f>
        <v>730758806.01598394</v>
      </c>
      <c r="H32" s="36">
        <f>$H$6/$G$6*G32*(1+Assumptions!$B$16)^INT((C32-1)/12)*IF(B32="Monthly",1,12)</f>
        <v>71029.755944753648</v>
      </c>
      <c r="I32" s="40">
        <f>Assumptions!$B$14</f>
        <v>0.15</v>
      </c>
      <c r="J32" s="40">
        <f t="shared" si="6"/>
        <v>1.3451947011868914E-2</v>
      </c>
      <c r="K32" s="35">
        <f t="shared" si="7"/>
        <v>0.69373336584452527</v>
      </c>
      <c r="L32" s="37">
        <f>H32*Assumptions!$B$7</f>
        <v>35514.877972376824</v>
      </c>
      <c r="M32" s="36">
        <f>L32*Assumptions!$B$11</f>
        <v>7102.9755944753651</v>
      </c>
      <c r="N32" s="36">
        <f>H32*Assumptions!$B$11</f>
        <v>14205.95118895073</v>
      </c>
      <c r="O32" s="36">
        <f>N32*Assumptions!$B$12</f>
        <v>1420.595118895073</v>
      </c>
      <c r="P32" s="36">
        <f>H32*Assumptions!$B$9</f>
        <v>5682.3804755802921</v>
      </c>
      <c r="Q32" s="36">
        <f>H32*Assumptions!$B$8</f>
        <v>3551.4877972376826</v>
      </c>
      <c r="R32" s="37">
        <f>(R33)/((1+Assumptions!$B$21)^$E33)+H33/IF(H$3="EOP",((1+Assumptions!$B$21)^$E33),1)</f>
        <v>9436896.0290906597</v>
      </c>
      <c r="S32" s="36">
        <f>(S33)/((1+Assumptions!$B$21)^$E33)+L33/IF(L$3="EOP",((1+Assumptions!$B$21)^$E33),1)</f>
        <v>4609984.4954939755</v>
      </c>
      <c r="T32" s="36">
        <f>(T33)/((1+Assumptions!$B$21)^$E33)+M33/IF(M$3="EOP",((1+Assumptions!$B$21)^$E33),1)</f>
        <v>921996.89909879561</v>
      </c>
      <c r="U32" s="36">
        <f>(U33)/((1+Assumptions!$B$21)^$E33)+N33/IF(N$3="EOP",((1+Assumptions!$B$21)^$E33),1)</f>
        <v>1887379.2058181313</v>
      </c>
      <c r="V32" s="36">
        <f>(V33)/((1+Assumptions!$B$21)^$E33)+O33/IF(O$3="EOP",((1+Assumptions!$B$21)^$E33),1)</f>
        <v>188737.92058181312</v>
      </c>
      <c r="W32" s="36">
        <f>(W33)/((1+Assumptions!$B$21)^$E33)+P33/IF(P$3="EOP",((1+Assumptions!$B$21)^$E33),1)</f>
        <v>754951.68232725235</v>
      </c>
      <c r="X32" s="36">
        <f>(X33)/((1+Assumptions!$B$21)^$E33)+Q33/IF(Q$3="EOP",((1+Assumptions!$B$21)^$E33),1)</f>
        <v>460998.4495493978</v>
      </c>
      <c r="Y32" s="38">
        <f t="shared" si="2"/>
        <v>-2834317.0155825112</v>
      </c>
      <c r="Z32" s="37">
        <f>H33*Assumptions!$B$7*Assumptions!$B$25/$E33/12</f>
        <v>43794.259615862371</v>
      </c>
      <c r="AA32" s="36">
        <f>Z32*Assumptions!$B$11</f>
        <v>8758.8519231724749</v>
      </c>
      <c r="AB32" s="39">
        <f t="shared" si="8"/>
        <v>35035.4076926899</v>
      </c>
      <c r="AC32" s="88">
        <f t="shared" si="9"/>
        <v>-2799281.6078898213</v>
      </c>
      <c r="AD32" s="88">
        <f>Assumptions!$B$23*R32</f>
        <v>1415534.4043635989</v>
      </c>
      <c r="AE32" s="88">
        <f t="shared" si="11"/>
        <v>-1383747.2035262224</v>
      </c>
    </row>
    <row r="33" spans="1:31" x14ac:dyDescent="0.25">
      <c r="A33" s="1">
        <f t="shared" si="10"/>
        <v>28</v>
      </c>
      <c r="B33" s="30" t="s">
        <v>28</v>
      </c>
      <c r="C33" s="31">
        <f t="shared" si="3"/>
        <v>28</v>
      </c>
      <c r="D33" s="32">
        <f t="shared" si="1"/>
        <v>2.3333333333333335</v>
      </c>
      <c r="E33" s="32">
        <f t="shared" si="4"/>
        <v>8.3333333333333481E-2</v>
      </c>
      <c r="F33" s="31">
        <f t="shared" si="5"/>
        <v>0</v>
      </c>
      <c r="G33" s="36">
        <f>(G32*($K32/$K31)-L32)*(1+Assumptions!$B$15)^$F33</f>
        <v>720893162.40102792</v>
      </c>
      <c r="H33" s="36">
        <f>$H$6/$G$6*G33*(1+Assumptions!$B$16)^INT((C33-1)/12)*IF(B33="Monthly",1,12)</f>
        <v>70070.815385379916</v>
      </c>
      <c r="I33" s="40">
        <f>Assumptions!$B$14</f>
        <v>0.15</v>
      </c>
      <c r="J33" s="40">
        <f t="shared" si="6"/>
        <v>1.3451947011868914E-2</v>
      </c>
      <c r="K33" s="35">
        <f t="shared" si="7"/>
        <v>0.6844013013668192</v>
      </c>
      <c r="L33" s="37">
        <f>H33*Assumptions!$B$7</f>
        <v>35035.407692689958</v>
      </c>
      <c r="M33" s="36">
        <f>L33*Assumptions!$B$11</f>
        <v>7007.0815385379919</v>
      </c>
      <c r="N33" s="36">
        <f>H33*Assumptions!$B$11</f>
        <v>14014.163077075984</v>
      </c>
      <c r="O33" s="36">
        <f>N33*Assumptions!$B$12</f>
        <v>1401.4163077075984</v>
      </c>
      <c r="P33" s="36">
        <f>H33*Assumptions!$B$9</f>
        <v>5605.6652308303937</v>
      </c>
      <c r="Q33" s="36">
        <f>H33*Assumptions!$B$8</f>
        <v>3503.540769268996</v>
      </c>
      <c r="R33" s="37">
        <f>(R34)/((1+Assumptions!$B$21)^$E34)+H34/IF(H$3="EOP",((1+Assumptions!$B$21)^$E34),1)</f>
        <v>9386119.340013748</v>
      </c>
      <c r="S33" s="36">
        <f>(S34)/((1+Assumptions!$B$21)^$E34)+L34/IF(L$3="EOP",((1+Assumptions!$B$21)^$E34),1)</f>
        <v>4584444.901068517</v>
      </c>
      <c r="T33" s="36">
        <f>(T34)/((1+Assumptions!$B$21)^$E34)+M34/IF(M$3="EOP",((1+Assumptions!$B$21)^$E34),1)</f>
        <v>916888.98021370405</v>
      </c>
      <c r="U33" s="36">
        <f>(U34)/((1+Assumptions!$B$21)^$E34)+N34/IF(N$3="EOP",((1+Assumptions!$B$21)^$E34),1)</f>
        <v>1877223.8680027493</v>
      </c>
      <c r="V33" s="36">
        <f>(V34)/((1+Assumptions!$B$21)^$E34)+O34/IF(O$3="EOP",((1+Assumptions!$B$21)^$E34),1)</f>
        <v>187722.38680027489</v>
      </c>
      <c r="W33" s="36">
        <f>(W34)/((1+Assumptions!$B$21)^$E34)+P34/IF(P$3="EOP",((1+Assumptions!$B$21)^$E34),1)</f>
        <v>750889.54720109946</v>
      </c>
      <c r="X33" s="36">
        <f>(X34)/((1+Assumptions!$B$21)^$E34)+Q34/IF(Q$3="EOP",((1+Assumptions!$B$21)^$E34),1)</f>
        <v>458444.49010685203</v>
      </c>
      <c r="Y33" s="38">
        <f t="shared" si="2"/>
        <v>-2819727.9006485101</v>
      </c>
      <c r="Z33" s="37">
        <f>H34*Assumptions!$B$7*Assumptions!$B$25/$E34/12</f>
        <v>43203.013155068656</v>
      </c>
      <c r="AA33" s="36">
        <f>Z33*Assumptions!$B$11</f>
        <v>8640.6026310137313</v>
      </c>
      <c r="AB33" s="39">
        <f t="shared" si="8"/>
        <v>34562.410524054925</v>
      </c>
      <c r="AC33" s="88">
        <f t="shared" si="9"/>
        <v>-2785165.4901244552</v>
      </c>
      <c r="AD33" s="88">
        <f>Assumptions!$B$23*R33</f>
        <v>1407917.9010020623</v>
      </c>
      <c r="AE33" s="88">
        <f t="shared" si="11"/>
        <v>-1377247.5891223929</v>
      </c>
    </row>
    <row r="34" spans="1:31" x14ac:dyDescent="0.25">
      <c r="A34" s="1">
        <f t="shared" si="10"/>
        <v>29</v>
      </c>
      <c r="B34" s="30" t="s">
        <v>28</v>
      </c>
      <c r="C34" s="31">
        <f t="shared" si="3"/>
        <v>29</v>
      </c>
      <c r="D34" s="32">
        <f t="shared" si="1"/>
        <v>2.4166666666666665</v>
      </c>
      <c r="E34" s="32">
        <f t="shared" si="4"/>
        <v>8.3333333333333037E-2</v>
      </c>
      <c r="F34" s="31">
        <f t="shared" si="5"/>
        <v>0</v>
      </c>
      <c r="G34" s="36">
        <f>(G33*($K33/$K32)-L33)*(1+Assumptions!$B$15)^$F34</f>
        <v>711160710.37149787</v>
      </c>
      <c r="H34" s="36">
        <f>$H$6/$G$6*G34*(1+Assumptions!$B$16)^INT((C34-1)/12)*IF(B34="Monthly",1,12)</f>
        <v>69124.821048109603</v>
      </c>
      <c r="I34" s="40">
        <f>Assumptions!$B$14</f>
        <v>0.15</v>
      </c>
      <c r="J34" s="40">
        <f t="shared" si="6"/>
        <v>1.3451947011868803E-2</v>
      </c>
      <c r="K34" s="35">
        <f t="shared" si="7"/>
        <v>0.67519477132597872</v>
      </c>
      <c r="L34" s="37">
        <f>H34*Assumptions!$B$7</f>
        <v>34562.410524054801</v>
      </c>
      <c r="M34" s="36">
        <f>L34*Assumptions!$B$11</f>
        <v>6912.4821048109607</v>
      </c>
      <c r="N34" s="36">
        <f>H34*Assumptions!$B$11</f>
        <v>13824.964209621921</v>
      </c>
      <c r="O34" s="36">
        <f>N34*Assumptions!$B$12</f>
        <v>1382.4964209621921</v>
      </c>
      <c r="P34" s="36">
        <f>H34*Assumptions!$B$9</f>
        <v>5529.9856838487685</v>
      </c>
      <c r="Q34" s="36">
        <f>H34*Assumptions!$B$8</f>
        <v>3456.2410524054803</v>
      </c>
      <c r="R34" s="37">
        <f>(R35)/((1+Assumptions!$B$21)^$E35)+H35/IF(H$3="EOP",((1+Assumptions!$B$21)^$E35),1)</f>
        <v>9336186.0022017304</v>
      </c>
      <c r="S34" s="36">
        <f>(S35)/((1+Assumptions!$B$21)^$E35)+L35/IF(L$3="EOP",((1+Assumptions!$B$21)^$E35),1)</f>
        <v>4559325.6964287795</v>
      </c>
      <c r="T34" s="36">
        <f>(T35)/((1+Assumptions!$B$21)^$E35)+M35/IF(M$3="EOP",((1+Assumptions!$B$21)^$E35),1)</f>
        <v>911865.13928575639</v>
      </c>
      <c r="U34" s="36">
        <f>(U35)/((1+Assumptions!$B$21)^$E35)+N35/IF(N$3="EOP",((1+Assumptions!$B$21)^$E35),1)</f>
        <v>1867237.2004403456</v>
      </c>
      <c r="V34" s="36">
        <f>(V35)/((1+Assumptions!$B$21)^$E35)+O35/IF(O$3="EOP",((1+Assumptions!$B$21)^$E35),1)</f>
        <v>186723.72004403453</v>
      </c>
      <c r="W34" s="36">
        <f>(W35)/((1+Assumptions!$B$21)^$E35)+P35/IF(P$3="EOP",((1+Assumptions!$B$21)^$E35),1)</f>
        <v>746894.88017613802</v>
      </c>
      <c r="X34" s="36">
        <f>(X35)/((1+Assumptions!$B$21)^$E35)+Q35/IF(Q$3="EOP",((1+Assumptions!$B$21)^$E35),1)</f>
        <v>455932.5696428782</v>
      </c>
      <c r="Y34" s="38">
        <f t="shared" si="2"/>
        <v>-2805384.5148433801</v>
      </c>
      <c r="Z34" s="37">
        <f>H35*Assumptions!$B$7*Assumptions!$B$25/$E35/12</f>
        <v>42619.748844914029</v>
      </c>
      <c r="AA34" s="36">
        <f>Z34*Assumptions!$B$11</f>
        <v>8523.9497689828058</v>
      </c>
      <c r="AB34" s="39">
        <f t="shared" si="8"/>
        <v>34095.799075931223</v>
      </c>
      <c r="AC34" s="88">
        <f t="shared" si="9"/>
        <v>-2771288.7157674488</v>
      </c>
      <c r="AD34" s="88">
        <f>Assumptions!$B$23*R34</f>
        <v>1400427.9003302595</v>
      </c>
      <c r="AE34" s="88">
        <f t="shared" si="11"/>
        <v>-1370860.8154371893</v>
      </c>
    </row>
    <row r="35" spans="1:31" x14ac:dyDescent="0.25">
      <c r="A35" s="1">
        <f t="shared" si="10"/>
        <v>30</v>
      </c>
      <c r="B35" s="30" t="s">
        <v>28</v>
      </c>
      <c r="C35" s="31">
        <f t="shared" si="3"/>
        <v>30</v>
      </c>
      <c r="D35" s="32">
        <f t="shared" si="1"/>
        <v>2.5</v>
      </c>
      <c r="E35" s="32">
        <f t="shared" si="4"/>
        <v>8.3333333333333481E-2</v>
      </c>
      <c r="F35" s="31">
        <f t="shared" si="5"/>
        <v>0</v>
      </c>
      <c r="G35" s="36">
        <f>(G34*($K34/$K33)-L34)*(1+Assumptions!$B$15)^$F35</f>
        <v>701559651.76813352</v>
      </c>
      <c r="H35" s="36">
        <f>$H$6/$G$6*G35*(1+Assumptions!$B$16)^INT((C35-1)/12)*IF(B35="Monthly",1,12)</f>
        <v>68191.598151862578</v>
      </c>
      <c r="I35" s="40">
        <f>Assumptions!$B$14</f>
        <v>0.15</v>
      </c>
      <c r="J35" s="40">
        <f t="shared" si="6"/>
        <v>1.3451947011868914E-2</v>
      </c>
      <c r="K35" s="35">
        <f t="shared" si="7"/>
        <v>0.66611208703941072</v>
      </c>
      <c r="L35" s="37">
        <f>H35*Assumptions!$B$7</f>
        <v>34095.799075931289</v>
      </c>
      <c r="M35" s="36">
        <f>L35*Assumptions!$B$11</f>
        <v>6819.1598151862581</v>
      </c>
      <c r="N35" s="36">
        <f>H35*Assumptions!$B$11</f>
        <v>13638.319630372516</v>
      </c>
      <c r="O35" s="36">
        <f>N35*Assumptions!$B$12</f>
        <v>1363.8319630372516</v>
      </c>
      <c r="P35" s="36">
        <f>H35*Assumptions!$B$9</f>
        <v>5455.3278521490065</v>
      </c>
      <c r="Q35" s="36">
        <f>H35*Assumptions!$B$8</f>
        <v>3409.5799075931291</v>
      </c>
      <c r="R35" s="37">
        <f>(R36)/((1+Assumptions!$B$21)^$E36)+H36/IF(H$3="EOP",((1+Assumptions!$B$21)^$E36),1)</f>
        <v>9287084.9550720304</v>
      </c>
      <c r="S35" s="36">
        <f>(S36)/((1+Assumptions!$B$21)^$E36)+L36/IF(L$3="EOP",((1+Assumptions!$B$21)^$E36),1)</f>
        <v>4534621.361788379</v>
      </c>
      <c r="T35" s="36">
        <f>(T36)/((1+Assumptions!$B$21)^$E36)+M36/IF(M$3="EOP",((1+Assumptions!$B$21)^$E36),1)</f>
        <v>906924.27235767629</v>
      </c>
      <c r="U35" s="36">
        <f>(U36)/((1+Assumptions!$B$21)^$E36)+N36/IF(N$3="EOP",((1+Assumptions!$B$21)^$E36),1)</f>
        <v>1857416.9910144056</v>
      </c>
      <c r="V35" s="36">
        <f>(V36)/((1+Assumptions!$B$21)^$E36)+O36/IF(O$3="EOP",((1+Assumptions!$B$21)^$E36),1)</f>
        <v>185741.69910144055</v>
      </c>
      <c r="W35" s="36">
        <f>(W36)/((1+Assumptions!$B$21)^$E36)+P36/IF(P$3="EOP",((1+Assumptions!$B$21)^$E36),1)</f>
        <v>742966.79640576208</v>
      </c>
      <c r="X35" s="36">
        <f>(X36)/((1+Assumptions!$B$21)^$E36)+Q36/IF(Q$3="EOP",((1+Assumptions!$B$21)^$E36),1)</f>
        <v>453462.13617883815</v>
      </c>
      <c r="Y35" s="38">
        <f t="shared" si="2"/>
        <v>-2791283.6411437625</v>
      </c>
      <c r="Z35" s="37">
        <f>H36*Assumptions!$B$7*Assumptions!$B$25/$E36/12</f>
        <v>42044.358921999228</v>
      </c>
      <c r="AA35" s="36">
        <f>Z35*Assumptions!$B$11</f>
        <v>8408.8717843998456</v>
      </c>
      <c r="AB35" s="39">
        <f t="shared" si="8"/>
        <v>33635.487137599383</v>
      </c>
      <c r="AC35" s="88">
        <f t="shared" si="9"/>
        <v>-2757648.1540061631</v>
      </c>
      <c r="AD35" s="88">
        <f>Assumptions!$B$23*R35</f>
        <v>1393062.7432608046</v>
      </c>
      <c r="AE35" s="88">
        <f t="shared" si="11"/>
        <v>-1364585.4107453586</v>
      </c>
    </row>
    <row r="36" spans="1:31" x14ac:dyDescent="0.25">
      <c r="A36" s="1">
        <f t="shared" si="10"/>
        <v>31</v>
      </c>
      <c r="B36" s="30" t="s">
        <v>28</v>
      </c>
      <c r="C36" s="31">
        <f t="shared" si="3"/>
        <v>31</v>
      </c>
      <c r="D36" s="32">
        <f t="shared" si="1"/>
        <v>2.5833333333333335</v>
      </c>
      <c r="E36" s="32">
        <f t="shared" si="4"/>
        <v>8.3333333333333481E-2</v>
      </c>
      <c r="F36" s="31">
        <f t="shared" si="5"/>
        <v>0</v>
      </c>
      <c r="G36" s="36">
        <f>(G35*($K35/$K34)-L35)*(1+Assumptions!$B$15)^$F36</f>
        <v>692088212.70780742</v>
      </c>
      <c r="H36" s="36">
        <f>$H$6/$G$6*G36*(1+Assumptions!$B$16)^INT((C36-1)/12)*IF(B36="Monthly",1,12)</f>
        <v>67270.974275198882</v>
      </c>
      <c r="I36" s="40">
        <f>Assumptions!$B$14</f>
        <v>0.15</v>
      </c>
      <c r="J36" s="40">
        <f t="shared" si="6"/>
        <v>1.3451947011868914E-2</v>
      </c>
      <c r="K36" s="35">
        <f t="shared" si="7"/>
        <v>0.65715158254059114</v>
      </c>
      <c r="L36" s="37">
        <f>H36*Assumptions!$B$7</f>
        <v>33635.487137599441</v>
      </c>
      <c r="M36" s="36">
        <f>L36*Assumptions!$B$11</f>
        <v>6727.0974275198887</v>
      </c>
      <c r="N36" s="36">
        <f>H36*Assumptions!$B$11</f>
        <v>13454.194855039777</v>
      </c>
      <c r="O36" s="36">
        <f>N36*Assumptions!$B$12</f>
        <v>1345.4194855039777</v>
      </c>
      <c r="P36" s="36">
        <f>H36*Assumptions!$B$9</f>
        <v>5381.677942015911</v>
      </c>
      <c r="Q36" s="36">
        <f>H36*Assumptions!$B$8</f>
        <v>3363.5487137599443</v>
      </c>
      <c r="R36" s="37">
        <f>(R37)/((1+Assumptions!$B$21)^$E37)+H37/IF(H$3="EOP",((1+Assumptions!$B$21)^$E37),1)</f>
        <v>9238805.2880356815</v>
      </c>
      <c r="S36" s="36">
        <f>(S37)/((1+Assumptions!$B$21)^$E37)+L37/IF(L$3="EOP",((1+Assumptions!$B$21)^$E37),1)</f>
        <v>4510326.4522017958</v>
      </c>
      <c r="T36" s="36">
        <f>(T37)/((1+Assumptions!$B$21)^$E37)+M37/IF(M$3="EOP",((1+Assumptions!$B$21)^$E37),1)</f>
        <v>902065.29044035962</v>
      </c>
      <c r="U36" s="36">
        <f>(U37)/((1+Assumptions!$B$21)^$E37)+N37/IF(N$3="EOP",((1+Assumptions!$B$21)^$E37),1)</f>
        <v>1847761.057607136</v>
      </c>
      <c r="V36" s="36">
        <f>(V37)/((1+Assumptions!$B$21)^$E37)+O37/IF(O$3="EOP",((1+Assumptions!$B$21)^$E37),1)</f>
        <v>184776.10576071357</v>
      </c>
      <c r="W36" s="36">
        <f>(W37)/((1+Assumptions!$B$21)^$E37)+P37/IF(P$3="EOP",((1+Assumptions!$B$21)^$E37),1)</f>
        <v>739104.42304285418</v>
      </c>
      <c r="X36" s="36">
        <f>(X37)/((1+Assumptions!$B$21)^$E37)+Q37/IF(Q$3="EOP",((1+Assumptions!$B$21)^$E37),1)</f>
        <v>451032.64522017981</v>
      </c>
      <c r="Y36" s="38">
        <f t="shared" si="2"/>
        <v>-2777422.1061647888</v>
      </c>
      <c r="Z36" s="37">
        <f>H37*Assumptions!$B$7*Assumptions!$B$25/$E37/12</f>
        <v>41476.737077789112</v>
      </c>
      <c r="AA36" s="36">
        <f>Z36*Assumptions!$B$11</f>
        <v>8295.3474155578224</v>
      </c>
      <c r="AB36" s="39">
        <f t="shared" si="8"/>
        <v>33181.38966223129</v>
      </c>
      <c r="AC36" s="88">
        <f t="shared" si="9"/>
        <v>-2744240.7165025575</v>
      </c>
      <c r="AD36" s="88">
        <f>Assumptions!$B$23*R36</f>
        <v>1385820.7932053523</v>
      </c>
      <c r="AE36" s="88">
        <f t="shared" si="11"/>
        <v>-1358419.9232972052</v>
      </c>
    </row>
    <row r="37" spans="1:31" x14ac:dyDescent="0.25">
      <c r="A37" s="1">
        <f t="shared" si="10"/>
        <v>32</v>
      </c>
      <c r="B37" s="30" t="s">
        <v>28</v>
      </c>
      <c r="C37" s="31">
        <f t="shared" si="3"/>
        <v>32</v>
      </c>
      <c r="D37" s="32">
        <f t="shared" si="1"/>
        <v>2.6666666666666665</v>
      </c>
      <c r="E37" s="32">
        <f t="shared" si="4"/>
        <v>8.3333333333333037E-2</v>
      </c>
      <c r="F37" s="31">
        <f t="shared" si="5"/>
        <v>0</v>
      </c>
      <c r="G37" s="36">
        <f>(G36*($K36/$K35)-L36)*(1+Assumptions!$B$15)^$F37</f>
        <v>682744643.25578535</v>
      </c>
      <c r="H37" s="36">
        <f>$H$6/$G$6*G37*(1+Assumptions!$B$16)^INT((C37-1)/12)*IF(B37="Monthly",1,12)</f>
        <v>66362.779324462346</v>
      </c>
      <c r="I37" s="40">
        <f>Assumptions!$B$14</f>
        <v>0.15</v>
      </c>
      <c r="J37" s="40">
        <f t="shared" si="6"/>
        <v>1.3451947011868803E-2</v>
      </c>
      <c r="K37" s="35">
        <f t="shared" si="7"/>
        <v>0.64831161427348938</v>
      </c>
      <c r="L37" s="37">
        <f>H37*Assumptions!$B$7</f>
        <v>33181.389662231173</v>
      </c>
      <c r="M37" s="36">
        <f>L37*Assumptions!$B$11</f>
        <v>6636.2779324462354</v>
      </c>
      <c r="N37" s="36">
        <f>H37*Assumptions!$B$11</f>
        <v>13272.555864892471</v>
      </c>
      <c r="O37" s="36">
        <f>N37*Assumptions!$B$12</f>
        <v>1327.2555864892472</v>
      </c>
      <c r="P37" s="36">
        <f>H37*Assumptions!$B$9</f>
        <v>5309.0223459569879</v>
      </c>
      <c r="Q37" s="36">
        <f>H37*Assumptions!$B$8</f>
        <v>3318.1389662231177</v>
      </c>
      <c r="R37" s="37">
        <f>(R38)/((1+Assumptions!$B$21)^$E38)+H38/IF(H$3="EOP",((1+Assumptions!$B$21)^$E38),1)</f>
        <v>9191336.2384737097</v>
      </c>
      <c r="S37" s="36">
        <f>(S38)/((1+Assumptions!$B$21)^$E38)+L38/IF(L$3="EOP",((1+Assumptions!$B$21)^$E38),1)</f>
        <v>4486435.5965546416</v>
      </c>
      <c r="T37" s="36">
        <f>(T38)/((1+Assumptions!$B$21)^$E38)+M38/IF(M$3="EOP",((1+Assumptions!$B$21)^$E38),1)</f>
        <v>897287.11931092863</v>
      </c>
      <c r="U37" s="36">
        <f>(U38)/((1+Assumptions!$B$21)^$E38)+N38/IF(N$3="EOP",((1+Assumptions!$B$21)^$E38),1)</f>
        <v>1838267.2476947417</v>
      </c>
      <c r="V37" s="36">
        <f>(V38)/((1+Assumptions!$B$21)^$E38)+O38/IF(O$3="EOP",((1+Assumptions!$B$21)^$E38),1)</f>
        <v>183826.72476947415</v>
      </c>
      <c r="W37" s="36">
        <f>(W38)/((1+Assumptions!$B$21)^$E38)+P38/IF(P$3="EOP",((1+Assumptions!$B$21)^$E38),1)</f>
        <v>735306.89907789649</v>
      </c>
      <c r="X37" s="36">
        <f>(X38)/((1+Assumptions!$B$21)^$E38)+Q38/IF(Q$3="EOP",((1+Assumptions!$B$21)^$E38),1)</f>
        <v>448643.55965546431</v>
      </c>
      <c r="Y37" s="38">
        <f t="shared" si="2"/>
        <v>-2763796.7795713679</v>
      </c>
      <c r="Z37" s="37">
        <f>H38*Assumptions!$B$7*Assumptions!$B$25/$E38/12</f>
        <v>40916.778438971276</v>
      </c>
      <c r="AA37" s="36">
        <f>Z37*Assumptions!$B$11</f>
        <v>8183.3556877942556</v>
      </c>
      <c r="AB37" s="39">
        <f t="shared" si="8"/>
        <v>32733.422751177022</v>
      </c>
      <c r="AC37" s="88">
        <f t="shared" si="9"/>
        <v>-2731063.3568201908</v>
      </c>
      <c r="AD37" s="88">
        <f>Assumptions!$B$23*R37</f>
        <v>1378700.4357710565</v>
      </c>
      <c r="AE37" s="88">
        <f t="shared" si="11"/>
        <v>-1352362.9210491343</v>
      </c>
    </row>
    <row r="38" spans="1:31" x14ac:dyDescent="0.25">
      <c r="A38" s="1">
        <f t="shared" si="10"/>
        <v>33</v>
      </c>
      <c r="B38" s="30" t="s">
        <v>28</v>
      </c>
      <c r="C38" s="31">
        <f t="shared" si="3"/>
        <v>33</v>
      </c>
      <c r="D38" s="32">
        <f t="shared" si="1"/>
        <v>2.75</v>
      </c>
      <c r="E38" s="32">
        <f t="shared" si="4"/>
        <v>8.3333333333333481E-2</v>
      </c>
      <c r="F38" s="31">
        <f t="shared" si="5"/>
        <v>0</v>
      </c>
      <c r="G38" s="36">
        <f>(G37*($K37/$K36)-L37)*(1+Assumptions!$B$15)^$F38</f>
        <v>673527217.10240901</v>
      </c>
      <c r="H38" s="36">
        <f>$H$6/$G$6*G38*(1+Assumptions!$B$16)^INT((C38-1)/12)*IF(B38="Monthly",1,12)</f>
        <v>65466.845502354161</v>
      </c>
      <c r="I38" s="40">
        <f>Assumptions!$B$14</f>
        <v>0.15</v>
      </c>
      <c r="J38" s="40">
        <f t="shared" si="6"/>
        <v>1.3451947011868914E-2</v>
      </c>
      <c r="K38" s="35">
        <f t="shared" si="7"/>
        <v>0.63959056079110321</v>
      </c>
      <c r="L38" s="37">
        <f>H38*Assumptions!$B$7</f>
        <v>32733.42275117708</v>
      </c>
      <c r="M38" s="36">
        <f>L38*Assumptions!$B$11</f>
        <v>6546.6845502354163</v>
      </c>
      <c r="N38" s="36">
        <f>H38*Assumptions!$B$11</f>
        <v>13093.369100470833</v>
      </c>
      <c r="O38" s="36">
        <f>N38*Assumptions!$B$12</f>
        <v>1309.3369100470834</v>
      </c>
      <c r="P38" s="36">
        <f>H38*Assumptions!$B$9</f>
        <v>5237.3476401883327</v>
      </c>
      <c r="Q38" s="36">
        <f>H38*Assumptions!$B$8</f>
        <v>3273.3422751177081</v>
      </c>
      <c r="R38" s="37">
        <f>(R39)/((1+Assumptions!$B$21)^$E39)+H39/IF(H$3="EOP",((1+Assumptions!$B$21)^$E39),1)</f>
        <v>9144667.1897408478</v>
      </c>
      <c r="S38" s="36">
        <f>(S39)/((1+Assumptions!$B$21)^$E39)+L39/IF(L$3="EOP",((1+Assumptions!$B$21)^$E39),1)</f>
        <v>4462943.4965675632</v>
      </c>
      <c r="T38" s="36">
        <f>(T39)/((1+Assumptions!$B$21)^$E39)+M39/IF(M$3="EOP",((1+Assumptions!$B$21)^$E39),1)</f>
        <v>892588.69931351277</v>
      </c>
      <c r="U38" s="36">
        <f>(U39)/((1+Assumptions!$B$21)^$E39)+N39/IF(N$3="EOP",((1+Assumptions!$B$21)^$E39),1)</f>
        <v>1828933.4379481694</v>
      </c>
      <c r="V38" s="36">
        <f>(V39)/((1+Assumptions!$B$21)^$E39)+O39/IF(O$3="EOP",((1+Assumptions!$B$21)^$E39),1)</f>
        <v>182893.34379481693</v>
      </c>
      <c r="W38" s="36">
        <f>(W39)/((1+Assumptions!$B$21)^$E39)+P39/IF(P$3="EOP",((1+Assumptions!$B$21)^$E39),1)</f>
        <v>731573.3751792676</v>
      </c>
      <c r="X38" s="36">
        <f>(X39)/((1+Assumptions!$B$21)^$E39)+Q39/IF(Q$3="EOP",((1+Assumptions!$B$21)^$E39),1)</f>
        <v>446294.34965675639</v>
      </c>
      <c r="Y38" s="38">
        <f t="shared" si="2"/>
        <v>-2750404.5734974216</v>
      </c>
      <c r="Z38" s="37">
        <f>H39*Assumptions!$B$7*Assumptions!$B$25/$E39/12</f>
        <v>40364.379548081721</v>
      </c>
      <c r="AA38" s="36">
        <f>Z38*Assumptions!$B$11</f>
        <v>8072.8759096163449</v>
      </c>
      <c r="AB38" s="39">
        <f t="shared" si="8"/>
        <v>32291.503638465376</v>
      </c>
      <c r="AC38" s="88">
        <f t="shared" si="9"/>
        <v>-2718113.0698589562</v>
      </c>
      <c r="AD38" s="88">
        <f>Assumptions!$B$23*R38</f>
        <v>1371700.0784611271</v>
      </c>
      <c r="AE38" s="88">
        <f t="shared" si="11"/>
        <v>-1346412.991397829</v>
      </c>
    </row>
    <row r="39" spans="1:31" x14ac:dyDescent="0.25">
      <c r="A39" s="1">
        <f t="shared" si="10"/>
        <v>34</v>
      </c>
      <c r="B39" s="30" t="s">
        <v>28</v>
      </c>
      <c r="C39" s="31">
        <f t="shared" si="3"/>
        <v>34</v>
      </c>
      <c r="D39" s="32">
        <f t="shared" si="1"/>
        <v>2.8333333333333335</v>
      </c>
      <c r="E39" s="32">
        <f t="shared" si="4"/>
        <v>8.3333333333333481E-2</v>
      </c>
      <c r="F39" s="31">
        <f t="shared" si="5"/>
        <v>0</v>
      </c>
      <c r="G39" s="36">
        <f>(G38*($K38/$K37)-L38)*(1+Assumptions!$B$15)^$F39</f>
        <v>664434231.24414468</v>
      </c>
      <c r="H39" s="36">
        <f>$H$6/$G$6*G39*(1+Assumptions!$B$16)^INT((C39-1)/12)*IF(B39="Monthly",1,12)</f>
        <v>64583.007276930868</v>
      </c>
      <c r="I39" s="40">
        <f>Assumptions!$B$14</f>
        <v>0.15</v>
      </c>
      <c r="J39" s="40">
        <f t="shared" si="6"/>
        <v>1.3451947011868914E-2</v>
      </c>
      <c r="K39" s="35">
        <f t="shared" si="7"/>
        <v>0.63098682245804982</v>
      </c>
      <c r="L39" s="37">
        <f>H39*Assumptions!$B$7</f>
        <v>32291.503638465434</v>
      </c>
      <c r="M39" s="36">
        <f>L39*Assumptions!$B$11</f>
        <v>6458.3007276930875</v>
      </c>
      <c r="N39" s="36">
        <f>H39*Assumptions!$B$11</f>
        <v>12916.601455386175</v>
      </c>
      <c r="O39" s="36">
        <f>N39*Assumptions!$B$12</f>
        <v>1291.6601455386176</v>
      </c>
      <c r="P39" s="36">
        <f>H39*Assumptions!$B$9</f>
        <v>5166.6405821544695</v>
      </c>
      <c r="Q39" s="36">
        <f>H39*Assumptions!$B$8</f>
        <v>3229.1503638465438</v>
      </c>
      <c r="R39" s="37">
        <f>(R40)/((1+Assumptions!$B$21)^$E40)+H40/IF(H$3="EOP",((1+Assumptions!$B$21)^$E40),1)</f>
        <v>9098787.6691961829</v>
      </c>
      <c r="S39" s="36">
        <f>(S40)/((1+Assumptions!$B$21)^$E40)+L40/IF(L$3="EOP",((1+Assumptions!$B$21)^$E40),1)</f>
        <v>4439844.9258135874</v>
      </c>
      <c r="T39" s="36">
        <f>(T40)/((1+Assumptions!$B$21)^$E40)+M40/IF(M$3="EOP",((1+Assumptions!$B$21)^$E40),1)</f>
        <v>887968.98516271764</v>
      </c>
      <c r="U39" s="36">
        <f>(U40)/((1+Assumptions!$B$21)^$E40)+N40/IF(N$3="EOP",((1+Assumptions!$B$21)^$E40),1)</f>
        <v>1819757.5338392365</v>
      </c>
      <c r="V39" s="36">
        <f>(V40)/((1+Assumptions!$B$21)^$E40)+O40/IF(O$3="EOP",((1+Assumptions!$B$21)^$E40),1)</f>
        <v>181975.75338392364</v>
      </c>
      <c r="W39" s="36">
        <f>(W40)/((1+Assumptions!$B$21)^$E40)+P40/IF(P$3="EOP",((1+Assumptions!$B$21)^$E40),1)</f>
        <v>727903.01353569445</v>
      </c>
      <c r="X39" s="36">
        <f>(X40)/((1+Assumptions!$B$21)^$E40)+Q40/IF(Q$3="EOP",((1+Assumptions!$B$21)^$E40),1)</f>
        <v>443984.49258135882</v>
      </c>
      <c r="Y39" s="38">
        <f t="shared" si="2"/>
        <v>-2737242.4419729472</v>
      </c>
      <c r="Z39" s="37">
        <f>H40*Assumptions!$B$7*Assumptions!$B$25/$E40/12</f>
        <v>39819.438344388131</v>
      </c>
      <c r="AA39" s="36">
        <f>Z39*Assumptions!$B$11</f>
        <v>7963.8876688776263</v>
      </c>
      <c r="AB39" s="39">
        <f t="shared" si="8"/>
        <v>31855.550675510505</v>
      </c>
      <c r="AC39" s="88">
        <f t="shared" si="9"/>
        <v>-2705386.8912974368</v>
      </c>
      <c r="AD39" s="88">
        <f>Assumptions!$B$23*R39</f>
        <v>1364818.1503794275</v>
      </c>
      <c r="AE39" s="88">
        <f t="shared" si="11"/>
        <v>-1340568.7409180093</v>
      </c>
    </row>
    <row r="40" spans="1:31" x14ac:dyDescent="0.25">
      <c r="A40" s="1">
        <f t="shared" si="10"/>
        <v>35</v>
      </c>
      <c r="B40" s="30" t="s">
        <v>28</v>
      </c>
      <c r="C40" s="31">
        <f t="shared" si="3"/>
        <v>35</v>
      </c>
      <c r="D40" s="32">
        <f t="shared" si="1"/>
        <v>2.9166666666666665</v>
      </c>
      <c r="E40" s="32">
        <f t="shared" si="4"/>
        <v>8.3333333333333037E-2</v>
      </c>
      <c r="F40" s="31">
        <f t="shared" si="5"/>
        <v>0</v>
      </c>
      <c r="G40" s="36">
        <f>(G39*($K39/$K38)-L39)*(1+Assumptions!$B$15)^$F40</f>
        <v>655464005.66893816</v>
      </c>
      <c r="H40" s="36">
        <f>$H$6/$G$6*G40*(1+Assumptions!$B$16)^INT((C40-1)/12)*IF(B40="Monthly",1,12)</f>
        <v>63711.101351020792</v>
      </c>
      <c r="I40" s="40">
        <f>Assumptions!$B$14</f>
        <v>0.15</v>
      </c>
      <c r="J40" s="40">
        <f t="shared" si="6"/>
        <v>1.3451947011868803E-2</v>
      </c>
      <c r="K40" s="35">
        <f t="shared" si="7"/>
        <v>0.62249882115715671</v>
      </c>
      <c r="L40" s="37">
        <f>H40*Assumptions!$B$7</f>
        <v>31855.550675510396</v>
      </c>
      <c r="M40" s="36">
        <f>L40*Assumptions!$B$11</f>
        <v>6371.1101351020798</v>
      </c>
      <c r="N40" s="36">
        <f>H40*Assumptions!$B$11</f>
        <v>12742.22027020416</v>
      </c>
      <c r="O40" s="36">
        <f>N40*Assumptions!$B$12</f>
        <v>1274.2220270204161</v>
      </c>
      <c r="P40" s="36">
        <f>H40*Assumptions!$B$9</f>
        <v>5096.8881080816636</v>
      </c>
      <c r="Q40" s="36">
        <f>H40*Assumptions!$B$8</f>
        <v>3185.5550675510399</v>
      </c>
      <c r="R40" s="37">
        <f>(R41)/((1+Assumptions!$B$21)^$E41)+H41/IF(H$3="EOP",((1+Assumptions!$B$21)^$E41),1)</f>
        <v>9053687.3462604154</v>
      </c>
      <c r="S40" s="36">
        <f>(S41)/((1+Assumptions!$B$21)^$E41)+L41/IF(L$3="EOP",((1+Assumptions!$B$21)^$E41),1)</f>
        <v>4417134.7287487453</v>
      </c>
      <c r="T40" s="36">
        <f>(T41)/((1+Assumptions!$B$21)^$E41)+M41/IF(M$3="EOP",((1+Assumptions!$B$21)^$E41),1)</f>
        <v>883426.9457497492</v>
      </c>
      <c r="U40" s="36">
        <f>(U41)/((1+Assumptions!$B$21)^$E41)+N41/IF(N$3="EOP",((1+Assumptions!$B$21)^$E41),1)</f>
        <v>1810737.469252083</v>
      </c>
      <c r="V40" s="36">
        <f>(V41)/((1+Assumptions!$B$21)^$E41)+O41/IF(O$3="EOP",((1+Assumptions!$B$21)^$E41),1)</f>
        <v>181073.74692520831</v>
      </c>
      <c r="W40" s="36">
        <f>(W41)/((1+Assumptions!$B$21)^$E41)+P41/IF(P$3="EOP",((1+Assumptions!$B$21)^$E41),1)</f>
        <v>724294.98770083312</v>
      </c>
      <c r="X40" s="36">
        <f>(X41)/((1+Assumptions!$B$21)^$E41)+Q41/IF(Q$3="EOP",((1+Assumptions!$B$21)^$E41),1)</f>
        <v>441713.4728748746</v>
      </c>
      <c r="Y40" s="38">
        <f t="shared" si="2"/>
        <v>-2724307.3803588371</v>
      </c>
      <c r="Z40" s="37">
        <f>H41*Assumptions!$B$7*Assumptions!$B$25/$E41/12</f>
        <v>39281.854145033307</v>
      </c>
      <c r="AA40" s="36">
        <f>Z40*Assumptions!$B$11</f>
        <v>7856.3708290066616</v>
      </c>
      <c r="AB40" s="39">
        <f t="shared" si="8"/>
        <v>31425.483316026646</v>
      </c>
      <c r="AC40" s="88">
        <f t="shared" si="9"/>
        <v>-2692881.8970428105</v>
      </c>
      <c r="AD40" s="88">
        <f>Assumptions!$B$23*R40</f>
        <v>1358053.1019390624</v>
      </c>
      <c r="AE40" s="88">
        <f t="shared" si="11"/>
        <v>-1334828.7951037481</v>
      </c>
    </row>
    <row r="41" spans="1:31" s="21" customFormat="1" x14ac:dyDescent="0.25">
      <c r="A41" s="21">
        <f t="shared" si="10"/>
        <v>36</v>
      </c>
      <c r="B41" s="41" t="s">
        <v>28</v>
      </c>
      <c r="C41" s="23">
        <f t="shared" si="3"/>
        <v>36</v>
      </c>
      <c r="D41" s="22">
        <f t="shared" si="1"/>
        <v>3</v>
      </c>
      <c r="E41" s="22">
        <f t="shared" si="4"/>
        <v>8.3333333333333481E-2</v>
      </c>
      <c r="F41" s="23">
        <f t="shared" si="5"/>
        <v>0</v>
      </c>
      <c r="G41" s="27">
        <f>(G40*($K40/$K39)-L40)*(1+Assumptions!$B$15)^$F41</f>
        <v>646614883.0458169</v>
      </c>
      <c r="H41" s="27">
        <f>$H$6/$G$6*G41*(1+Assumptions!$B$16)^INT((C41-1)/12)*IF(B41="Monthly",1,12)</f>
        <v>62850.966632053402</v>
      </c>
      <c r="I41" s="42">
        <f>Assumptions!$B$14</f>
        <v>0.15</v>
      </c>
      <c r="J41" s="42">
        <f t="shared" si="6"/>
        <v>1.3451947011868914E-2</v>
      </c>
      <c r="K41" s="43">
        <f t="shared" si="7"/>
        <v>0.61412499999999981</v>
      </c>
      <c r="L41" s="26">
        <f>H41*Assumptions!$B$7</f>
        <v>31425.483316026701</v>
      </c>
      <c r="M41" s="27">
        <f>L41*Assumptions!$B$11</f>
        <v>6285.0966632053405</v>
      </c>
      <c r="N41" s="27">
        <f>H41*Assumptions!$B$11</f>
        <v>12570.193326410681</v>
      </c>
      <c r="O41" s="27">
        <f>N41*Assumptions!$B$12</f>
        <v>1257.0193326410681</v>
      </c>
      <c r="P41" s="27">
        <f>H41*Assumptions!$B$9</f>
        <v>5028.0773305642724</v>
      </c>
      <c r="Q41" s="27">
        <f>H41*Assumptions!$B$8</f>
        <v>3142.5483316026703</v>
      </c>
      <c r="R41" s="26">
        <f>(R42)/((1+Assumptions!$B$21)^$E42)+H42/IF(H$3="EOP",((1+Assumptions!$B$21)^$E42),1)</f>
        <v>9009356.0304993447</v>
      </c>
      <c r="S41" s="27">
        <f>(S42)/((1+Assumptions!$B$21)^$E42)+L42/IF(L$3="EOP",((1+Assumptions!$B$21)^$E42),1)</f>
        <v>4394807.8197557786</v>
      </c>
      <c r="T41" s="27">
        <f>(T42)/((1+Assumptions!$B$21)^$E42)+M42/IF(M$3="EOP",((1+Assumptions!$B$21)^$E42),1)</f>
        <v>878961.56395115587</v>
      </c>
      <c r="U41" s="27">
        <f>(U42)/((1+Assumptions!$B$21)^$E42)+N42/IF(N$3="EOP",((1+Assumptions!$B$21)^$E42),1)</f>
        <v>1801871.2060998688</v>
      </c>
      <c r="V41" s="27">
        <f>(V42)/((1+Assumptions!$B$21)^$E42)+O42/IF(O$3="EOP",((1+Assumptions!$B$21)^$E42),1)</f>
        <v>180187.12060998689</v>
      </c>
      <c r="W41" s="27">
        <f>(W42)/((1+Assumptions!$B$21)^$E42)+P42/IF(P$3="EOP",((1+Assumptions!$B$21)^$E42),1)</f>
        <v>720748.48243994743</v>
      </c>
      <c r="X41" s="27">
        <f>(X42)/((1+Assumptions!$B$21)^$E42)+Q42/IF(Q$3="EOP",((1+Assumptions!$B$21)^$E42),1)</f>
        <v>439480.78197557793</v>
      </c>
      <c r="Y41" s="28">
        <f t="shared" si="2"/>
        <v>-2711596.4247893151</v>
      </c>
      <c r="Z41" s="26">
        <f>H42*Assumptions!$B$7*Assumptions!$B$25/$E42/12</f>
        <v>42688.682833280771</v>
      </c>
      <c r="AA41" s="27">
        <f>Z41*Assumptions!$B$11</f>
        <v>8537.7365666561545</v>
      </c>
      <c r="AB41" s="29">
        <f t="shared" si="8"/>
        <v>34150.946266624618</v>
      </c>
      <c r="AC41" s="87">
        <f t="shared" si="9"/>
        <v>-2677445.4785226905</v>
      </c>
      <c r="AD41" s="87">
        <f>Assumptions!$B$23*R41</f>
        <v>1351403.4045749016</v>
      </c>
      <c r="AE41" s="87">
        <f t="shared" si="11"/>
        <v>-1326042.0739477889</v>
      </c>
    </row>
    <row r="42" spans="1:31" s="44" customFormat="1" x14ac:dyDescent="0.25">
      <c r="A42" s="44">
        <f t="shared" si="10"/>
        <v>37</v>
      </c>
      <c r="B42" s="45" t="s">
        <v>29</v>
      </c>
      <c r="C42" s="46">
        <f>C41+12</f>
        <v>48</v>
      </c>
      <c r="D42" s="47">
        <f t="shared" si="1"/>
        <v>4</v>
      </c>
      <c r="E42" s="47">
        <f t="shared" si="4"/>
        <v>1</v>
      </c>
      <c r="F42" s="48">
        <f t="shared" si="5"/>
        <v>1</v>
      </c>
      <c r="G42" s="49">
        <f>(G41*($K41/$K40)-L41)*(1+Assumptions!$B$15)^$F42</f>
        <v>650642932.98705637</v>
      </c>
      <c r="H42" s="49">
        <f>$H$6/$G$6*G42*(1+Assumptions!$B$16)^INT((C42-1)/12)*IF(B42="Monthly",1,12)</f>
        <v>819622.71039899089</v>
      </c>
      <c r="I42" s="50">
        <f>Assumptions!$B$14</f>
        <v>0.15</v>
      </c>
      <c r="J42" s="50">
        <f t="shared" si="6"/>
        <v>0.15000000000000002</v>
      </c>
      <c r="K42" s="51">
        <f t="shared" si="7"/>
        <v>0.52200624999999978</v>
      </c>
      <c r="L42" s="52">
        <f>H42*Assumptions!$B$7</f>
        <v>409811.35519949545</v>
      </c>
      <c r="M42" s="49">
        <f>L42*Assumptions!$B$11</f>
        <v>81962.271039899089</v>
      </c>
      <c r="N42" s="49">
        <f>H42*Assumptions!$B$11</f>
        <v>163924.54207979818</v>
      </c>
      <c r="O42" s="49">
        <f>N42*Assumptions!$B$12</f>
        <v>16392.454207979819</v>
      </c>
      <c r="P42" s="49">
        <f>H42*Assumptions!$B$9</f>
        <v>65569.816831919277</v>
      </c>
      <c r="Q42" s="49">
        <f>H42*Assumptions!$B$8</f>
        <v>40981.135519949545</v>
      </c>
      <c r="R42" s="52">
        <f>(R43)/((1+Assumptions!$B$21)^$E43)+H43/IF(H$3="EOP",((1+Assumptions!$B$21)^$E43),1)</f>
        <v>8394476.6531028617</v>
      </c>
      <c r="S42" s="49">
        <f>(S43)/((1+Assumptions!$B$21)^$E43)+L43/IF(L$3="EOP",((1+Assumptions!$B$21)^$E43),1)</f>
        <v>4094866.6600501775</v>
      </c>
      <c r="T42" s="49">
        <f>(T43)/((1+Assumptions!$B$21)^$E43)+M43/IF(M$3="EOP",((1+Assumptions!$B$21)^$E43),1)</f>
        <v>818973.33201003552</v>
      </c>
      <c r="U42" s="49">
        <f>(U43)/((1+Assumptions!$B$21)^$E43)+N43/IF(N$3="EOP",((1+Assumptions!$B$21)^$E43),1)</f>
        <v>1678895.3306205722</v>
      </c>
      <c r="V42" s="49">
        <f>(V43)/((1+Assumptions!$B$21)^$E43)+O43/IF(O$3="EOP",((1+Assumptions!$B$21)^$E43),1)</f>
        <v>167889.53306205725</v>
      </c>
      <c r="W42" s="49">
        <f>(W43)/((1+Assumptions!$B$21)^$E43)+P43/IF(P$3="EOP",((1+Assumptions!$B$21)^$E43),1)</f>
        <v>671558.13224822888</v>
      </c>
      <c r="X42" s="49">
        <f>(X43)/((1+Assumptions!$B$21)^$E43)+Q43/IF(Q$3="EOP",((1+Assumptions!$B$21)^$E43),1)</f>
        <v>409486.66600501776</v>
      </c>
      <c r="Y42" s="53">
        <f t="shared" si="2"/>
        <v>-2526532.7292509577</v>
      </c>
      <c r="Z42" s="52">
        <f>H43*Assumptions!$B$7*Assumptions!$B$25/$E43/12</f>
        <v>39942.355542097852</v>
      </c>
      <c r="AA42" s="49">
        <f>Z42*Assumptions!$B$11</f>
        <v>7988.4711084195706</v>
      </c>
      <c r="AB42" s="54">
        <f t="shared" si="8"/>
        <v>31953.884433678282</v>
      </c>
      <c r="AC42" s="89">
        <f t="shared" si="9"/>
        <v>-2494578.8448172794</v>
      </c>
      <c r="AD42" s="89">
        <f>Assumptions!$B$23*R42</f>
        <v>1259171.4979654292</v>
      </c>
      <c r="AE42" s="89">
        <f t="shared" si="11"/>
        <v>-1235407.3468518502</v>
      </c>
    </row>
    <row r="43" spans="1:31" s="44" customFormat="1" x14ac:dyDescent="0.25">
      <c r="A43" s="44">
        <f t="shared" si="10"/>
        <v>38</v>
      </c>
      <c r="B43" s="45" t="s">
        <v>29</v>
      </c>
      <c r="C43" s="48">
        <f>C42+12</f>
        <v>60</v>
      </c>
      <c r="D43" s="47">
        <f t="shared" si="1"/>
        <v>5</v>
      </c>
      <c r="E43" s="47">
        <f t="shared" si="4"/>
        <v>1</v>
      </c>
      <c r="F43" s="48">
        <f t="shared" si="5"/>
        <v>1</v>
      </c>
      <c r="G43" s="49">
        <f>(G42*($K42/$K41)-L42)*(1+Assumptions!$B$15)^$F43</f>
        <v>563689415.31747437</v>
      </c>
      <c r="H43" s="49">
        <f>$H$6/$G$6*G43*(1+Assumptions!$B$16)^INT((C43-1)/12)*IF(B43="Monthly",1,12)</f>
        <v>766893.2264082788</v>
      </c>
      <c r="I43" s="50">
        <f>Assumptions!$B$14</f>
        <v>0.15</v>
      </c>
      <c r="J43" s="50">
        <f t="shared" si="6"/>
        <v>0.15000000000000002</v>
      </c>
      <c r="K43" s="51">
        <f t="shared" si="7"/>
        <v>0.44370531249999978</v>
      </c>
      <c r="L43" s="52">
        <f>H43*Assumptions!$B$7</f>
        <v>383446.6132041394</v>
      </c>
      <c r="M43" s="49">
        <f>L43*Assumptions!$B$11</f>
        <v>76689.322640827886</v>
      </c>
      <c r="N43" s="49">
        <f>H43*Assumptions!$B$11</f>
        <v>153378.64528165577</v>
      </c>
      <c r="O43" s="49">
        <f>N43*Assumptions!$B$12</f>
        <v>15337.864528165577</v>
      </c>
      <c r="P43" s="49">
        <f>H43*Assumptions!$B$9</f>
        <v>61351.458112662309</v>
      </c>
      <c r="Q43" s="49">
        <f>H43*Assumptions!$B$8</f>
        <v>38344.661320413943</v>
      </c>
      <c r="R43" s="52">
        <f>(R44)/((1+Assumptions!$B$21)^$E44)+H44/IF(H$3="EOP",((1+Assumptions!$B$21)^$E44),1)</f>
        <v>7818273.0123619474</v>
      </c>
      <c r="S43" s="49">
        <f>(S44)/((1+Assumptions!$B$21)^$E44)+L44/IF(L$3="EOP",((1+Assumptions!$B$21)^$E44),1)</f>
        <v>3813791.713347292</v>
      </c>
      <c r="T43" s="49">
        <f>(T44)/((1+Assumptions!$B$21)^$E44)+M44/IF(M$3="EOP",((1+Assumptions!$B$21)^$E44),1)</f>
        <v>762758.34266945836</v>
      </c>
      <c r="U43" s="49">
        <f>(U44)/((1+Assumptions!$B$21)^$E44)+N44/IF(N$3="EOP",((1+Assumptions!$B$21)^$E44),1)</f>
        <v>1563654.6024723893</v>
      </c>
      <c r="V43" s="49">
        <f>(V44)/((1+Assumptions!$B$21)^$E44)+O44/IF(O$3="EOP",((1+Assumptions!$B$21)^$E44),1)</f>
        <v>156365.46024723895</v>
      </c>
      <c r="W43" s="49">
        <f>(W44)/((1+Assumptions!$B$21)^$E44)+P44/IF(P$3="EOP",((1+Assumptions!$B$21)^$E44),1)</f>
        <v>625461.84098895569</v>
      </c>
      <c r="X43" s="49">
        <f>(X44)/((1+Assumptions!$B$21)^$E44)+Q44/IF(Q$3="EOP",((1+Assumptions!$B$21)^$E44),1)</f>
        <v>381379.17133472918</v>
      </c>
      <c r="Y43" s="53">
        <f t="shared" si="2"/>
        <v>-2353109.4871352795</v>
      </c>
      <c r="Z43" s="52">
        <f>H44*Assumptions!$B$7*Assumptions!$B$25/$E44/12</f>
        <v>37370.492938928466</v>
      </c>
      <c r="AA43" s="49">
        <f>Z43*Assumptions!$B$11</f>
        <v>7474.0985877856938</v>
      </c>
      <c r="AB43" s="54">
        <f t="shared" si="8"/>
        <v>29896.394351142771</v>
      </c>
      <c r="AC43" s="89">
        <f t="shared" si="9"/>
        <v>-2323213.0927841365</v>
      </c>
      <c r="AD43" s="89">
        <f>Assumptions!$B$23*R43</f>
        <v>1172740.9518542921</v>
      </c>
      <c r="AE43" s="89">
        <f t="shared" si="11"/>
        <v>-1150472.1409298445</v>
      </c>
    </row>
    <row r="44" spans="1:31" x14ac:dyDescent="0.25">
      <c r="A44" s="44">
        <f t="shared" ref="A44:A78" si="12">A43+1</f>
        <v>39</v>
      </c>
      <c r="B44" s="45" t="s">
        <v>29</v>
      </c>
      <c r="C44" s="48">
        <f t="shared" ref="C44:C78" si="13">C43+12</f>
        <v>72</v>
      </c>
      <c r="D44" s="47">
        <f t="shared" si="1"/>
        <v>6</v>
      </c>
      <c r="E44" s="47">
        <f t="shared" si="4"/>
        <v>1</v>
      </c>
      <c r="F44" s="48">
        <f t="shared" ref="F44:F78" si="14">IF(E44&lt;1,IF(MOD(C44-1,12)=0,1,0),1)</f>
        <v>1</v>
      </c>
      <c r="G44" s="49">
        <f>(G43*($K43/$K42)-L43)*(1+Assumptions!$B$15)^$F44</f>
        <v>488327607.53478205</v>
      </c>
      <c r="H44" s="49">
        <f>$H$6/$G$6*G44*(1+Assumptions!$B$16)^INT((C44-1)/12)*IF(B44="Monthly",1,12)</f>
        <v>717513.46442742657</v>
      </c>
      <c r="I44" s="50">
        <f>Assumptions!$B$14</f>
        <v>0.15</v>
      </c>
      <c r="J44" s="50">
        <f t="shared" si="6"/>
        <v>0.15000000000000002</v>
      </c>
      <c r="K44" s="51">
        <f t="shared" si="7"/>
        <v>0.37714951562499982</v>
      </c>
      <c r="L44" s="52">
        <f>H44*Assumptions!$B$7</f>
        <v>358756.73221371329</v>
      </c>
      <c r="M44" s="49">
        <f>L44*Assumptions!$B$11</f>
        <v>71751.346442742666</v>
      </c>
      <c r="N44" s="49">
        <f>H44*Assumptions!$B$11</f>
        <v>143502.69288548533</v>
      </c>
      <c r="O44" s="49">
        <f>N44*Assumptions!$B$12</f>
        <v>14350.269288548534</v>
      </c>
      <c r="P44" s="49">
        <f>H44*Assumptions!$B$9</f>
        <v>57401.077154194129</v>
      </c>
      <c r="Q44" s="49">
        <f>H44*Assumptions!$B$8</f>
        <v>35875.673221371333</v>
      </c>
      <c r="R44" s="52">
        <f>(R45)/((1+Assumptions!$B$21)^$E45)+H45/IF(H$3="EOP",((1+Assumptions!$B$21)^$E45),1)</f>
        <v>7278278.5366328834</v>
      </c>
      <c r="S44" s="49">
        <f>(S45)/((1+Assumptions!$B$21)^$E45)+L45/IF(L$3="EOP",((1+Assumptions!$B$21)^$E45),1)</f>
        <v>3550379.7739672605</v>
      </c>
      <c r="T44" s="49">
        <f>(T45)/((1+Assumptions!$B$21)^$E45)+M45/IF(M$3="EOP",((1+Assumptions!$B$21)^$E45),1)</f>
        <v>710075.95479345205</v>
      </c>
      <c r="U44" s="49">
        <f>(U45)/((1+Assumptions!$B$21)^$E45)+N45/IF(N$3="EOP",((1+Assumptions!$B$21)^$E45),1)</f>
        <v>1455655.7073265766</v>
      </c>
      <c r="V44" s="49">
        <f>(V45)/((1+Assumptions!$B$21)^$E45)+O45/IF(O$3="EOP",((1+Assumptions!$B$21)^$E45),1)</f>
        <v>145565.57073265768</v>
      </c>
      <c r="W44" s="49">
        <f>(W45)/((1+Assumptions!$B$21)^$E45)+P45/IF(P$3="EOP",((1+Assumptions!$B$21)^$E45),1)</f>
        <v>582262.28293063061</v>
      </c>
      <c r="X44" s="49">
        <f>(X45)/((1+Assumptions!$B$21)^$E45)+Q45/IF(Q$3="EOP",((1+Assumptions!$B$21)^$E45),1)</f>
        <v>355037.97739672603</v>
      </c>
      <c r="Y44" s="53">
        <f t="shared" si="2"/>
        <v>-2190584.3205377995</v>
      </c>
      <c r="Z44" s="52">
        <f>H45*Assumptions!$B$7*Assumptions!$B$25/$E45/12</f>
        <v>34961.99060769799</v>
      </c>
      <c r="AA44" s="49">
        <f>Z44*Assumptions!$B$11</f>
        <v>6992.3981215395979</v>
      </c>
      <c r="AB44" s="54">
        <f t="shared" ref="AB44:AB77" si="15">Z44-AA44</f>
        <v>27969.592486158392</v>
      </c>
      <c r="AC44" s="89">
        <f t="shared" si="9"/>
        <v>-2162614.728051641</v>
      </c>
      <c r="AD44" s="89">
        <f>Assumptions!$B$23*R44</f>
        <v>1091741.7804949326</v>
      </c>
      <c r="AE44" s="89">
        <f t="shared" si="11"/>
        <v>-1070872.9475567085</v>
      </c>
    </row>
    <row r="45" spans="1:31" x14ac:dyDescent="0.25">
      <c r="A45" s="44">
        <f t="shared" si="12"/>
        <v>40</v>
      </c>
      <c r="B45" s="45" t="s">
        <v>29</v>
      </c>
      <c r="C45" s="48">
        <f t="shared" si="13"/>
        <v>84</v>
      </c>
      <c r="D45" s="47">
        <f t="shared" si="1"/>
        <v>7</v>
      </c>
      <c r="E45" s="47">
        <f t="shared" si="4"/>
        <v>1</v>
      </c>
      <c r="F45" s="48">
        <f t="shared" si="14"/>
        <v>1</v>
      </c>
      <c r="G45" s="49">
        <f>(G44*($K44/$K43)-L44)*(1+Assumptions!$B$15)^$F45</f>
        <v>423014103.86579806</v>
      </c>
      <c r="H45" s="49">
        <f>$H$6/$G$6*G45*(1+Assumptions!$B$16)^INT((C45-1)/12)*IF(B45="Monthly",1,12)</f>
        <v>671270.2196678014</v>
      </c>
      <c r="I45" s="50">
        <f>Assumptions!$B$14</f>
        <v>0.15</v>
      </c>
      <c r="J45" s="50">
        <f t="shared" si="6"/>
        <v>0.15000000000000002</v>
      </c>
      <c r="K45" s="51">
        <f t="shared" si="7"/>
        <v>0.32057708828124981</v>
      </c>
      <c r="L45" s="52">
        <f>H45*Assumptions!$B$7</f>
        <v>335635.1098339007</v>
      </c>
      <c r="M45" s="49">
        <f>L45*Assumptions!$B$11</f>
        <v>67127.021966780143</v>
      </c>
      <c r="N45" s="49">
        <f>H45*Assumptions!$B$11</f>
        <v>134254.04393356029</v>
      </c>
      <c r="O45" s="49">
        <f>N45*Assumptions!$B$12</f>
        <v>13425.40439335603</v>
      </c>
      <c r="P45" s="49">
        <f>H45*Assumptions!$B$9</f>
        <v>53701.617573424111</v>
      </c>
      <c r="Q45" s="49">
        <f>H45*Assumptions!$B$8</f>
        <v>33563.510983390071</v>
      </c>
      <c r="R45" s="52">
        <f>(R46)/((1+Assumptions!$B$21)^$E46)+H46/IF(H$3="EOP",((1+Assumptions!$B$21)^$E46),1)</f>
        <v>6772183.5248892084</v>
      </c>
      <c r="S45" s="49">
        <f>(S46)/((1+Assumptions!$B$21)^$E46)+L46/IF(L$3="EOP",((1+Assumptions!$B$21)^$E46),1)</f>
        <v>3303504.1584825409</v>
      </c>
      <c r="T45" s="49">
        <f>(T46)/((1+Assumptions!$B$21)^$E46)+M46/IF(M$3="EOP",((1+Assumptions!$B$21)^$E46),1)</f>
        <v>660700.83169650822</v>
      </c>
      <c r="U45" s="49">
        <f>(U46)/((1+Assumptions!$B$21)^$E46)+N46/IF(N$3="EOP",((1+Assumptions!$B$21)^$E46),1)</f>
        <v>1354436.7049778416</v>
      </c>
      <c r="V45" s="49">
        <f>(V46)/((1+Assumptions!$B$21)^$E46)+O46/IF(O$3="EOP",((1+Assumptions!$B$21)^$E46),1)</f>
        <v>135443.67049778419</v>
      </c>
      <c r="W45" s="49">
        <f>(W46)/((1+Assumptions!$B$21)^$E46)+P46/IF(P$3="EOP",((1+Assumptions!$B$21)^$E46),1)</f>
        <v>541774.68199113663</v>
      </c>
      <c r="X45" s="49">
        <f>(X46)/((1+Assumptions!$B$21)^$E46)+Q46/IF(Q$3="EOP",((1+Assumptions!$B$21)^$E46),1)</f>
        <v>330350.41584825411</v>
      </c>
      <c r="Y45" s="53">
        <f t="shared" si="2"/>
        <v>-2038262.0657837274</v>
      </c>
      <c r="Z45" s="52">
        <f>H46*Assumptions!$B$7*Assumptions!$B$25/$E46/12</f>
        <v>32706.450984350045</v>
      </c>
      <c r="AA45" s="49">
        <f>Z45*Assumptions!$B$11</f>
        <v>6541.2901968700098</v>
      </c>
      <c r="AB45" s="54">
        <f t="shared" si="15"/>
        <v>26165.160787480036</v>
      </c>
      <c r="AC45" s="89">
        <f t="shared" si="9"/>
        <v>-2012096.9049962475</v>
      </c>
      <c r="AD45" s="89">
        <f>Assumptions!$B$23*R45</f>
        <v>1015827.5287333812</v>
      </c>
      <c r="AE45" s="89">
        <f t="shared" si="11"/>
        <v>-996269.37626286631</v>
      </c>
    </row>
    <row r="46" spans="1:31" x14ac:dyDescent="0.25">
      <c r="A46" s="44">
        <f t="shared" si="12"/>
        <v>41</v>
      </c>
      <c r="B46" s="45" t="s">
        <v>29</v>
      </c>
      <c r="C46" s="48">
        <f t="shared" si="13"/>
        <v>96</v>
      </c>
      <c r="D46" s="47">
        <f t="shared" si="1"/>
        <v>8</v>
      </c>
      <c r="E46" s="47">
        <f t="shared" si="4"/>
        <v>1</v>
      </c>
      <c r="F46" s="48">
        <f t="shared" si="14"/>
        <v>1</v>
      </c>
      <c r="G46" s="49">
        <f>(G45*($K45/$K44)-L45)*(1+Assumptions!$B$15)^$F46</f>
        <v>366410880.23961633</v>
      </c>
      <c r="H46" s="49">
        <f>$H$6/$G$6*G46*(1+Assumptions!$B$16)^INT((C46-1)/12)*IF(B46="Monthly",1,12)</f>
        <v>627963.85889952094</v>
      </c>
      <c r="I46" s="50">
        <f>Assumptions!$B$14</f>
        <v>0.15</v>
      </c>
      <c r="J46" s="50">
        <f t="shared" si="6"/>
        <v>0.15000000000000002</v>
      </c>
      <c r="K46" s="51">
        <f t="shared" si="7"/>
        <v>0.27249052503906235</v>
      </c>
      <c r="L46" s="52">
        <f>H46*Assumptions!$B$7</f>
        <v>313981.92944976047</v>
      </c>
      <c r="M46" s="49">
        <f>L46*Assumptions!$B$11</f>
        <v>62796.3858899521</v>
      </c>
      <c r="N46" s="49">
        <f>H46*Assumptions!$B$11</f>
        <v>125592.7717799042</v>
      </c>
      <c r="O46" s="49">
        <f>N46*Assumptions!$B$12</f>
        <v>12559.277177990421</v>
      </c>
      <c r="P46" s="49">
        <f>H46*Assumptions!$B$9</f>
        <v>50237.108711961679</v>
      </c>
      <c r="Q46" s="49">
        <f>H46*Assumptions!$B$8</f>
        <v>31398.19294497605</v>
      </c>
      <c r="R46" s="52">
        <f>(R47)/((1+Assumptions!$B$21)^$E47)+H47/IF(H$3="EOP",((1+Assumptions!$B$21)^$E47),1)</f>
        <v>6297825.157639429</v>
      </c>
      <c r="S46" s="49">
        <f>(S47)/((1+Assumptions!$B$21)^$E47)+L47/IF(L$3="EOP",((1+Assumptions!$B$21)^$E47),1)</f>
        <v>3072109.8329948438</v>
      </c>
      <c r="T46" s="49">
        <f>(T47)/((1+Assumptions!$B$21)^$E47)+M47/IF(M$3="EOP",((1+Assumptions!$B$21)^$E47),1)</f>
        <v>614421.96659896872</v>
      </c>
      <c r="U46" s="49">
        <f>(U47)/((1+Assumptions!$B$21)^$E47)+N47/IF(N$3="EOP",((1+Assumptions!$B$21)^$E47),1)</f>
        <v>1259565.0315278857</v>
      </c>
      <c r="V46" s="49">
        <f>(V47)/((1+Assumptions!$B$21)^$E47)+O47/IF(O$3="EOP",((1+Assumptions!$B$21)^$E47),1)</f>
        <v>125956.5031527886</v>
      </c>
      <c r="W46" s="49">
        <f>(W47)/((1+Assumptions!$B$21)^$E47)+P47/IF(P$3="EOP",((1+Assumptions!$B$21)^$E47),1)</f>
        <v>503826.01261115429</v>
      </c>
      <c r="X46" s="49">
        <f>(X47)/((1+Assumptions!$B$21)^$E47)+Q47/IF(Q$3="EOP",((1+Assumptions!$B$21)^$E47),1)</f>
        <v>307210.98329948436</v>
      </c>
      <c r="Y46" s="53">
        <f t="shared" si="2"/>
        <v>-1895491.7669578181</v>
      </c>
      <c r="Z46" s="52">
        <f>H47*Assumptions!$B$7*Assumptions!$B$25/$E47/12</f>
        <v>30594.138391025019</v>
      </c>
      <c r="AA46" s="49">
        <f>Z46*Assumptions!$B$11</f>
        <v>6118.8276782050043</v>
      </c>
      <c r="AB46" s="54">
        <f t="shared" si="15"/>
        <v>24475.310712820014</v>
      </c>
      <c r="AC46" s="89">
        <f t="shared" si="9"/>
        <v>-1871016.4562449981</v>
      </c>
      <c r="AD46" s="89">
        <f>Assumptions!$B$23*R46</f>
        <v>944673.77364591428</v>
      </c>
      <c r="AE46" s="89">
        <f t="shared" si="11"/>
        <v>-926342.68259908387</v>
      </c>
    </row>
    <row r="47" spans="1:31" x14ac:dyDescent="0.25">
      <c r="A47" s="44">
        <f t="shared" si="12"/>
        <v>42</v>
      </c>
      <c r="B47" s="45" t="s">
        <v>29</v>
      </c>
      <c r="C47" s="48">
        <f t="shared" si="13"/>
        <v>108</v>
      </c>
      <c r="D47" s="47">
        <f t="shared" si="1"/>
        <v>9</v>
      </c>
      <c r="E47" s="47">
        <f t="shared" si="4"/>
        <v>1</v>
      </c>
      <c r="F47" s="48">
        <f t="shared" si="14"/>
        <v>1</v>
      </c>
      <c r="G47" s="49">
        <f>(G46*($K46/$K45)-L46)*(1+Assumptions!$B$15)^$F47</f>
        <v>317357971.59970868</v>
      </c>
      <c r="H47" s="49">
        <f>$H$6/$G$6*G47*(1+Assumptions!$B$16)^INT((C47-1)/12)*IF(B47="Monthly",1,12)</f>
        <v>587407.45710768038</v>
      </c>
      <c r="I47" s="50">
        <f>Assumptions!$B$14</f>
        <v>0.15</v>
      </c>
      <c r="J47" s="50">
        <f t="shared" si="6"/>
        <v>0.15000000000000002</v>
      </c>
      <c r="K47" s="51">
        <f t="shared" si="7"/>
        <v>0.23161694628320298</v>
      </c>
      <c r="L47" s="52">
        <f>H47*Assumptions!$B$7</f>
        <v>293703.72855384019</v>
      </c>
      <c r="M47" s="49">
        <f>L47*Assumptions!$B$11</f>
        <v>58740.745710768038</v>
      </c>
      <c r="N47" s="49">
        <f>H47*Assumptions!$B$11</f>
        <v>117481.49142153608</v>
      </c>
      <c r="O47" s="49">
        <f>N47*Assumptions!$B$12</f>
        <v>11748.149142153608</v>
      </c>
      <c r="P47" s="49">
        <f>H47*Assumptions!$B$9</f>
        <v>46992.596568614434</v>
      </c>
      <c r="Q47" s="49">
        <f>H47*Assumptions!$B$8</f>
        <v>29370.372855384019</v>
      </c>
      <c r="R47" s="52">
        <f>(R48)/((1+Assumptions!$B$21)^$E48)+H48/IF(H$3="EOP",((1+Assumptions!$B$21)^$E48),1)</f>
        <v>5853178.1430450417</v>
      </c>
      <c r="S47" s="49">
        <f>(S48)/((1+Assumptions!$B$21)^$E48)+L48/IF(L$3="EOP",((1+Assumptions!$B$21)^$E48),1)</f>
        <v>2855208.8502658741</v>
      </c>
      <c r="T47" s="49">
        <f>(T48)/((1+Assumptions!$B$21)^$E48)+M48/IF(M$3="EOP",((1+Assumptions!$B$21)^$E48),1)</f>
        <v>571041.77005317481</v>
      </c>
      <c r="U47" s="49">
        <f>(U48)/((1+Assumptions!$B$21)^$E48)+N48/IF(N$3="EOP",((1+Assumptions!$B$21)^$E48),1)</f>
        <v>1170635.6286090082</v>
      </c>
      <c r="V47" s="49">
        <f>(V48)/((1+Assumptions!$B$21)^$E48)+O48/IF(O$3="EOP",((1+Assumptions!$B$21)^$E48),1)</f>
        <v>117063.56286090086</v>
      </c>
      <c r="W47" s="49">
        <f>(W48)/((1+Assumptions!$B$21)^$E48)+P48/IF(P$3="EOP",((1+Assumptions!$B$21)^$E48),1)</f>
        <v>468254.25144360331</v>
      </c>
      <c r="X47" s="49">
        <f>(X48)/((1+Assumptions!$B$21)^$E48)+Q48/IF(Q$3="EOP",((1+Assumptions!$B$21)^$E48),1)</f>
        <v>285520.88502658741</v>
      </c>
      <c r="Y47" s="53">
        <f t="shared" si="2"/>
        <v>-1761663.8606140446</v>
      </c>
      <c r="Z47" s="52">
        <f>H48*Assumptions!$B$7*Assumptions!$B$25/$E48/12</f>
        <v>28615.936933475165</v>
      </c>
      <c r="AA47" s="49">
        <f>Z47*Assumptions!$B$11</f>
        <v>5723.1873866950336</v>
      </c>
      <c r="AB47" s="54">
        <f t="shared" si="15"/>
        <v>22892.749546780131</v>
      </c>
      <c r="AC47" s="89">
        <f t="shared" si="9"/>
        <v>-1738771.1110672646</v>
      </c>
      <c r="AD47" s="89">
        <f>Assumptions!$B$23*R47</f>
        <v>877976.72145675623</v>
      </c>
      <c r="AE47" s="89">
        <f t="shared" si="11"/>
        <v>-860794.38961050834</v>
      </c>
    </row>
    <row r="48" spans="1:31" x14ac:dyDescent="0.25">
      <c r="A48" s="44">
        <f t="shared" si="12"/>
        <v>43</v>
      </c>
      <c r="B48" s="45" t="s">
        <v>29</v>
      </c>
      <c r="C48" s="48">
        <f t="shared" si="13"/>
        <v>120</v>
      </c>
      <c r="D48" s="47">
        <f t="shared" si="1"/>
        <v>10</v>
      </c>
      <c r="E48" s="47">
        <f t="shared" si="4"/>
        <v>1</v>
      </c>
      <c r="F48" s="48">
        <f t="shared" si="14"/>
        <v>1</v>
      </c>
      <c r="G48" s="49">
        <f>(G47*($K47/$K46)-L47)*(1+Assumptions!$B$15)^$F48</f>
        <v>274849783.5738225</v>
      </c>
      <c r="H48" s="49">
        <f>$H$6/$G$6*G48*(1+Assumptions!$B$16)^INT((C48-1)/12)*IF(B48="Monthly",1,12)</f>
        <v>549425.98912272311</v>
      </c>
      <c r="I48" s="50">
        <f>Assumptions!$B$14</f>
        <v>0.15</v>
      </c>
      <c r="J48" s="50">
        <f t="shared" si="6"/>
        <v>0.15000000000000002</v>
      </c>
      <c r="K48" s="51">
        <f t="shared" si="7"/>
        <v>0.19687440434072254</v>
      </c>
      <c r="L48" s="52">
        <f>H48*Assumptions!$B$7</f>
        <v>274712.99456136156</v>
      </c>
      <c r="M48" s="49">
        <f>L48*Assumptions!$B$11</f>
        <v>54942.598912272311</v>
      </c>
      <c r="N48" s="49">
        <f>H48*Assumptions!$B$11</f>
        <v>109885.19782454462</v>
      </c>
      <c r="O48" s="49">
        <f>N48*Assumptions!$B$12</f>
        <v>10988.519782454463</v>
      </c>
      <c r="P48" s="49">
        <f>H48*Assumptions!$B$9</f>
        <v>43954.079129817852</v>
      </c>
      <c r="Q48" s="49">
        <f>H48*Assumptions!$B$8</f>
        <v>27471.299456136156</v>
      </c>
      <c r="R48" s="52">
        <f>(R49)/((1+Assumptions!$B$21)^$E49)+H49/IF(H$3="EOP",((1+Assumptions!$B$21)^$E49),1)</f>
        <v>5436345.9577703755</v>
      </c>
      <c r="S48" s="49">
        <f>(S49)/((1+Assumptions!$B$21)^$E49)+L49/IF(L$3="EOP",((1+Assumptions!$B$21)^$E49),1)</f>
        <v>2651876.0769611588</v>
      </c>
      <c r="T48" s="49">
        <f>(T49)/((1+Assumptions!$B$21)^$E49)+M49/IF(M$3="EOP",((1+Assumptions!$B$21)^$E49),1)</f>
        <v>530375.21539223182</v>
      </c>
      <c r="U48" s="49">
        <f>(U49)/((1+Assumptions!$B$21)^$E49)+N49/IF(N$3="EOP",((1+Assumptions!$B$21)^$E49),1)</f>
        <v>1087269.1915540749</v>
      </c>
      <c r="V48" s="49">
        <f>(V49)/((1+Assumptions!$B$21)^$E49)+O49/IF(O$3="EOP",((1+Assumptions!$B$21)^$E49),1)</f>
        <v>108726.91915540755</v>
      </c>
      <c r="W48" s="49">
        <f>(W49)/((1+Assumptions!$B$21)^$E49)+P49/IF(P$3="EOP",((1+Assumptions!$B$21)^$E49),1)</f>
        <v>434907.67662163009</v>
      </c>
      <c r="X48" s="49">
        <f>(X49)/((1+Assumptions!$B$21)^$E49)+Q49/IF(Q$3="EOP",((1+Assumptions!$B$21)^$E49),1)</f>
        <v>265187.60769611591</v>
      </c>
      <c r="Y48" s="53">
        <f t="shared" si="2"/>
        <v>-1636207.5394850352</v>
      </c>
      <c r="Z48" s="52">
        <f>H49*Assumptions!$B$7*Assumptions!$B$25/$E49/12</f>
        <v>26763.311079630115</v>
      </c>
      <c r="AA48" s="49">
        <f>Z48*Assumptions!$B$11</f>
        <v>5352.6622159260232</v>
      </c>
      <c r="AB48" s="54">
        <f t="shared" si="15"/>
        <v>21410.648863704093</v>
      </c>
      <c r="AC48" s="89">
        <f t="shared" si="9"/>
        <v>-1614796.8906213311</v>
      </c>
      <c r="AD48" s="89">
        <f>Assumptions!$B$23*R48</f>
        <v>815451.89366555633</v>
      </c>
      <c r="AE48" s="89">
        <f t="shared" si="11"/>
        <v>-799344.99695577472</v>
      </c>
    </row>
    <row r="49" spans="1:31" x14ac:dyDescent="0.25">
      <c r="A49" s="44">
        <f t="shared" si="12"/>
        <v>44</v>
      </c>
      <c r="B49" s="45" t="s">
        <v>29</v>
      </c>
      <c r="C49" s="48">
        <f t="shared" si="13"/>
        <v>132</v>
      </c>
      <c r="D49" s="47">
        <f t="shared" si="1"/>
        <v>11</v>
      </c>
      <c r="E49" s="47">
        <f t="shared" si="4"/>
        <v>1</v>
      </c>
      <c r="F49" s="48">
        <f t="shared" si="14"/>
        <v>1</v>
      </c>
      <c r="G49" s="49">
        <f>(G48*($K48/$K47)-L48)*(1+Assumptions!$B$15)^$F49</f>
        <v>238014555.1040515</v>
      </c>
      <c r="H49" s="49">
        <f>$H$6/$G$6*G49*(1+Assumptions!$B$16)^INT((C49-1)/12)*IF(B49="Monthly",1,12)</f>
        <v>513855.57272889814</v>
      </c>
      <c r="I49" s="50">
        <f>Assumptions!$B$14</f>
        <v>0.15</v>
      </c>
      <c r="J49" s="50">
        <f t="shared" si="6"/>
        <v>0.15000000000000002</v>
      </c>
      <c r="K49" s="51">
        <f t="shared" si="7"/>
        <v>0.16734324368961415</v>
      </c>
      <c r="L49" s="52">
        <f>H49*Assumptions!$B$7</f>
        <v>256927.78636444907</v>
      </c>
      <c r="M49" s="49">
        <f>L49*Assumptions!$B$11</f>
        <v>51385.557272889819</v>
      </c>
      <c r="N49" s="49">
        <f>H49*Assumptions!$B$11</f>
        <v>102771.11454577964</v>
      </c>
      <c r="O49" s="49">
        <f>N49*Assumptions!$B$12</f>
        <v>10277.111454577964</v>
      </c>
      <c r="P49" s="49">
        <f>H49*Assumptions!$B$9</f>
        <v>41108.445818311855</v>
      </c>
      <c r="Q49" s="49">
        <f>H49*Assumptions!$B$8</f>
        <v>25692.778636444909</v>
      </c>
      <c r="R49" s="52">
        <f>(R50)/((1+Assumptions!$B$21)^$E50)+H50/IF(H$3="EOP",((1+Assumptions!$B$21)^$E50),1)</f>
        <v>5045552.6446675137</v>
      </c>
      <c r="S49" s="49">
        <f>(S50)/((1+Assumptions!$B$21)^$E50)+L50/IF(L$3="EOP",((1+Assumptions!$B$21)^$E50),1)</f>
        <v>2461245.1925207386</v>
      </c>
      <c r="T49" s="49">
        <f>(T50)/((1+Assumptions!$B$21)^$E50)+M50/IF(M$3="EOP",((1+Assumptions!$B$21)^$E50),1)</f>
        <v>492249.03850414773</v>
      </c>
      <c r="U49" s="49">
        <f>(U50)/((1+Assumptions!$B$21)^$E50)+N50/IF(N$3="EOP",((1+Assumptions!$B$21)^$E50),1)</f>
        <v>1009110.5289335025</v>
      </c>
      <c r="V49" s="49">
        <f>(V50)/((1+Assumptions!$B$21)^$E50)+O50/IF(O$3="EOP",((1+Assumptions!$B$21)^$E50),1)</f>
        <v>100911.05289335031</v>
      </c>
      <c r="W49" s="49">
        <f>(W50)/((1+Assumptions!$B$21)^$E50)+P50/IF(P$3="EOP",((1+Assumptions!$B$21)^$E50),1)</f>
        <v>403644.21157340112</v>
      </c>
      <c r="X49" s="49">
        <f>(X50)/((1+Assumptions!$B$21)^$E50)+Q50/IF(Q$3="EOP",((1+Assumptions!$B$21)^$E50),1)</f>
        <v>246124.51925207386</v>
      </c>
      <c r="Y49" s="53">
        <f t="shared" si="2"/>
        <v>-1518588.2837852957</v>
      </c>
      <c r="Z49" s="52">
        <f>H50*Assumptions!$B$7*Assumptions!$B$25/$E50/12</f>
        <v>25028.268748822637</v>
      </c>
      <c r="AA49" s="49">
        <f>Z49*Assumptions!$B$11</f>
        <v>5005.6537497645277</v>
      </c>
      <c r="AB49" s="54">
        <f t="shared" si="15"/>
        <v>20022.614999058111</v>
      </c>
      <c r="AC49" s="89">
        <f t="shared" si="9"/>
        <v>-1498565.6687862375</v>
      </c>
      <c r="AD49" s="89">
        <f>Assumptions!$B$23*R49</f>
        <v>756832.89670012705</v>
      </c>
      <c r="AE49" s="89">
        <f t="shared" si="11"/>
        <v>-741732.77208611043</v>
      </c>
    </row>
    <row r="50" spans="1:31" x14ac:dyDescent="0.25">
      <c r="A50" s="44">
        <f t="shared" si="12"/>
        <v>45</v>
      </c>
      <c r="B50" s="45" t="s">
        <v>29</v>
      </c>
      <c r="C50" s="48">
        <f t="shared" si="13"/>
        <v>144</v>
      </c>
      <c r="D50" s="47">
        <f t="shared" si="1"/>
        <v>12</v>
      </c>
      <c r="E50" s="47">
        <f t="shared" si="4"/>
        <v>1</v>
      </c>
      <c r="F50" s="48">
        <f t="shared" si="14"/>
        <v>1</v>
      </c>
      <c r="G50" s="49">
        <f>(G49*($K49/$K48)-L49)*(1+Assumptions!$B$15)^$F50</f>
        <v>206096552.93312091</v>
      </c>
      <c r="H50" s="49">
        <f>$H$6/$G$6*G50*(1+Assumptions!$B$16)^INT((C50-1)/12)*IF(B50="Monthly",1,12)</f>
        <v>480542.7599773946</v>
      </c>
      <c r="I50" s="50">
        <f>Assumptions!$B$14</f>
        <v>0.15</v>
      </c>
      <c r="J50" s="50">
        <f t="shared" si="6"/>
        <v>0.15000000000000002</v>
      </c>
      <c r="K50" s="51">
        <f t="shared" si="7"/>
        <v>0.14224175713617201</v>
      </c>
      <c r="L50" s="52">
        <f>H50*Assumptions!$B$7</f>
        <v>240271.3799886973</v>
      </c>
      <c r="M50" s="49">
        <f>L50*Assumptions!$B$11</f>
        <v>48054.27599773946</v>
      </c>
      <c r="N50" s="49">
        <f>H50*Assumptions!$B$11</f>
        <v>96108.55199547892</v>
      </c>
      <c r="O50" s="49">
        <f>N50*Assumptions!$B$12</f>
        <v>9610.855199547892</v>
      </c>
      <c r="P50" s="49">
        <f>H50*Assumptions!$B$9</f>
        <v>38443.420798191568</v>
      </c>
      <c r="Q50" s="49">
        <f>H50*Assumptions!$B$8</f>
        <v>24027.13799886973</v>
      </c>
      <c r="R50" s="52">
        <f>(R51)/((1+Assumptions!$B$21)^$E51)+H51/IF(H$3="EOP",((1+Assumptions!$B$21)^$E51),1)</f>
        <v>4679135.131807372</v>
      </c>
      <c r="S50" s="49">
        <f>(S51)/((1+Assumptions!$B$21)^$E51)+L51/IF(L$3="EOP",((1+Assumptions!$B$21)^$E51),1)</f>
        <v>2282504.9423450595</v>
      </c>
      <c r="T50" s="49">
        <f>(T51)/((1+Assumptions!$B$21)^$E51)+M51/IF(M$3="EOP",((1+Assumptions!$B$21)^$E51),1)</f>
        <v>456500.98846901191</v>
      </c>
      <c r="U50" s="49">
        <f>(U51)/((1+Assumptions!$B$21)^$E51)+N51/IF(N$3="EOP",((1+Assumptions!$B$21)^$E51),1)</f>
        <v>935827.02636147407</v>
      </c>
      <c r="V50" s="49">
        <f>(V51)/((1+Assumptions!$B$21)^$E51)+O51/IF(O$3="EOP",((1+Assumptions!$B$21)^$E51),1)</f>
        <v>93582.702636147471</v>
      </c>
      <c r="W50" s="49">
        <f>(W51)/((1+Assumptions!$B$21)^$E51)+P51/IF(P$3="EOP",((1+Assumptions!$B$21)^$E51),1)</f>
        <v>374330.81054458977</v>
      </c>
      <c r="X50" s="49">
        <f>(X51)/((1+Assumptions!$B$21)^$E51)+Q51/IF(Q$3="EOP",((1+Assumptions!$B$21)^$E51),1)</f>
        <v>228250.49423450595</v>
      </c>
      <c r="Y50" s="53">
        <f t="shared" si="2"/>
        <v>-1408305.5494269021</v>
      </c>
      <c r="Z50" s="52">
        <f>H51*Assumptions!$B$7*Assumptions!$B$25/$E51/12</f>
        <v>23403.326752043675</v>
      </c>
      <c r="AA50" s="49">
        <f>Z50*Assumptions!$B$11</f>
        <v>4680.6653504087353</v>
      </c>
      <c r="AB50" s="54">
        <f t="shared" si="15"/>
        <v>18722.661401634941</v>
      </c>
      <c r="AC50" s="89">
        <f t="shared" si="9"/>
        <v>-1389582.888025267</v>
      </c>
      <c r="AD50" s="89">
        <f>Assumptions!$B$23*R50</f>
        <v>701870.26977110573</v>
      </c>
      <c r="AE50" s="89">
        <f t="shared" si="11"/>
        <v>-687712.61825416132</v>
      </c>
    </row>
    <row r="51" spans="1:31" x14ac:dyDescent="0.25">
      <c r="A51" s="44">
        <f t="shared" si="12"/>
        <v>46</v>
      </c>
      <c r="B51" s="45" t="s">
        <v>29</v>
      </c>
      <c r="C51" s="48">
        <f t="shared" si="13"/>
        <v>156</v>
      </c>
      <c r="D51" s="47">
        <f t="shared" si="1"/>
        <v>13</v>
      </c>
      <c r="E51" s="47">
        <f t="shared" si="4"/>
        <v>1</v>
      </c>
      <c r="F51" s="48">
        <f t="shared" si="14"/>
        <v>1</v>
      </c>
      <c r="G51" s="49">
        <f>(G50*($K50/$K49)-L50)*(1+Assumptions!$B$15)^$F51</f>
        <v>178440634.58542734</v>
      </c>
      <c r="H51" s="49">
        <f>$H$6/$G$6*G51*(1+Assumptions!$B$16)^INT((C51-1)/12)*IF(B51="Monthly",1,12)</f>
        <v>449343.87363923853</v>
      </c>
      <c r="I51" s="50">
        <f>Assumptions!$B$14</f>
        <v>0.15</v>
      </c>
      <c r="J51" s="50">
        <f t="shared" si="6"/>
        <v>0.15000000000000002</v>
      </c>
      <c r="K51" s="51">
        <f t="shared" si="7"/>
        <v>0.1209054935657462</v>
      </c>
      <c r="L51" s="52">
        <f>H51*Assumptions!$B$7</f>
        <v>224671.93681961927</v>
      </c>
      <c r="M51" s="49">
        <f>L51*Assumptions!$B$11</f>
        <v>44934.387363923859</v>
      </c>
      <c r="N51" s="49">
        <f>H51*Assumptions!$B$11</f>
        <v>89868.774727847718</v>
      </c>
      <c r="O51" s="49">
        <f>N51*Assumptions!$B$12</f>
        <v>8986.8774727847722</v>
      </c>
      <c r="P51" s="49">
        <f>H51*Assumptions!$B$9</f>
        <v>35947.509891139081</v>
      </c>
      <c r="Q51" s="49">
        <f>H51*Assumptions!$B$8</f>
        <v>22467.19368196193</v>
      </c>
      <c r="R51" s="52">
        <f>(R52)/((1+Assumptions!$B$21)^$E52)+H52/IF(H$3="EOP",((1+Assumptions!$B$21)^$E52),1)</f>
        <v>4335536.0396223357</v>
      </c>
      <c r="S51" s="49">
        <f>(S52)/((1+Assumptions!$B$21)^$E52)+L52/IF(L$3="EOP",((1+Assumptions!$B$21)^$E52),1)</f>
        <v>2114895.6290840665</v>
      </c>
      <c r="T51" s="49">
        <f>(T52)/((1+Assumptions!$B$21)^$E52)+M52/IF(M$3="EOP",((1+Assumptions!$B$21)^$E52),1)</f>
        <v>422979.12581681326</v>
      </c>
      <c r="U51" s="49">
        <f>(U52)/((1+Assumptions!$B$21)^$E52)+N52/IF(N$3="EOP",((1+Assumptions!$B$21)^$E52),1)</f>
        <v>867107.20792446705</v>
      </c>
      <c r="V51" s="49">
        <f>(V52)/((1+Assumptions!$B$21)^$E52)+O52/IF(O$3="EOP",((1+Assumptions!$B$21)^$E52),1)</f>
        <v>86710.720792446751</v>
      </c>
      <c r="W51" s="49">
        <f>(W52)/((1+Assumptions!$B$21)^$E52)+P52/IF(P$3="EOP",((1+Assumptions!$B$21)^$E52),1)</f>
        <v>346842.88316978695</v>
      </c>
      <c r="X51" s="49">
        <f>(X52)/((1+Assumptions!$B$21)^$E52)+Q52/IF(Q$3="EOP",((1+Assumptions!$B$21)^$E52),1)</f>
        <v>211489.56290840663</v>
      </c>
      <c r="Y51" s="53">
        <f t="shared" si="2"/>
        <v>-1304890.6031448685</v>
      </c>
      <c r="Z51" s="52">
        <f>H52*Assumptions!$B$7*Assumptions!$B$25/$E52/12</f>
        <v>21881.478433763525</v>
      </c>
      <c r="AA51" s="49">
        <f>Z51*Assumptions!$B$11</f>
        <v>4376.2956867527055</v>
      </c>
      <c r="AB51" s="54">
        <f t="shared" si="15"/>
        <v>17505.182747010818</v>
      </c>
      <c r="AC51" s="89">
        <f t="shared" si="9"/>
        <v>-1287385.4203978577</v>
      </c>
      <c r="AD51" s="89">
        <f>Assumptions!$B$23*R51</f>
        <v>650330.40594335028</v>
      </c>
      <c r="AE51" s="89">
        <f t="shared" si="11"/>
        <v>-637055.01445450739</v>
      </c>
    </row>
    <row r="52" spans="1:31" x14ac:dyDescent="0.25">
      <c r="A52" s="44">
        <f t="shared" si="12"/>
        <v>47</v>
      </c>
      <c r="B52" s="45" t="s">
        <v>29</v>
      </c>
      <c r="C52" s="48">
        <f t="shared" si="13"/>
        <v>168</v>
      </c>
      <c r="D52" s="47">
        <f t="shared" si="1"/>
        <v>14</v>
      </c>
      <c r="E52" s="47">
        <f t="shared" si="4"/>
        <v>1</v>
      </c>
      <c r="F52" s="48">
        <f t="shared" si="14"/>
        <v>1</v>
      </c>
      <c r="G52" s="49">
        <f>(G51*($K51/$K50)-L51)*(1+Assumptions!$B$15)^$F52</f>
        <v>154478864.81000948</v>
      </c>
      <c r="H52" s="49">
        <f>$H$6/$G$6*G52*(1+Assumptions!$B$16)^INT((C52-1)/12)*IF(B52="Monthly",1,12)</f>
        <v>420124.3859282597</v>
      </c>
      <c r="I52" s="50">
        <f>Assumptions!$B$14</f>
        <v>0.15</v>
      </c>
      <c r="J52" s="50">
        <f t="shared" si="6"/>
        <v>0.15000000000000002</v>
      </c>
      <c r="K52" s="51">
        <f t="shared" si="7"/>
        <v>0.10276966953088428</v>
      </c>
      <c r="L52" s="52">
        <f>H52*Assumptions!$B$7</f>
        <v>210062.19296412985</v>
      </c>
      <c r="M52" s="49">
        <f>L52*Assumptions!$B$11</f>
        <v>42012.438592825973</v>
      </c>
      <c r="N52" s="49">
        <f>H52*Assumptions!$B$11</f>
        <v>84024.877185651945</v>
      </c>
      <c r="O52" s="49">
        <f>N52*Assumptions!$B$12</f>
        <v>8402.4877185651949</v>
      </c>
      <c r="P52" s="49">
        <f>H52*Assumptions!$B$9</f>
        <v>33609.95087426078</v>
      </c>
      <c r="Q52" s="49">
        <f>H52*Assumptions!$B$8</f>
        <v>21006.219296412986</v>
      </c>
      <c r="R52" s="52">
        <f>(R53)/((1+Assumptions!$B$21)^$E53)+H53/IF(H$3="EOP",((1+Assumptions!$B$21)^$E53),1)</f>
        <v>4013296.9450364276</v>
      </c>
      <c r="S52" s="49">
        <f>(S53)/((1+Assumptions!$B$21)^$E53)+L53/IF(L$3="EOP",((1+Assumptions!$B$21)^$E53),1)</f>
        <v>1957705.8268470382</v>
      </c>
      <c r="T52" s="49">
        <f>(T53)/((1+Assumptions!$B$21)^$E53)+M53/IF(M$3="EOP",((1+Assumptions!$B$21)^$E53),1)</f>
        <v>391541.16536940762</v>
      </c>
      <c r="U52" s="49">
        <f>(U53)/((1+Assumptions!$B$21)^$E53)+N53/IF(N$3="EOP",((1+Assumptions!$B$21)^$E53),1)</f>
        <v>802659.38900728547</v>
      </c>
      <c r="V52" s="49">
        <f>(V53)/((1+Assumptions!$B$21)^$E53)+O53/IF(O$3="EOP",((1+Assumptions!$B$21)^$E53),1)</f>
        <v>80265.938900728579</v>
      </c>
      <c r="W52" s="49">
        <f>(W53)/((1+Assumptions!$B$21)^$E53)+P53/IF(P$3="EOP",((1+Assumptions!$B$21)^$E53),1)</f>
        <v>321063.75560291426</v>
      </c>
      <c r="X52" s="49">
        <f>(X53)/((1+Assumptions!$B$21)^$E53)+Q53/IF(Q$3="EOP",((1+Assumptions!$B$21)^$E53),1)</f>
        <v>195770.58268470381</v>
      </c>
      <c r="Y52" s="53">
        <f t="shared" si="2"/>
        <v>-1207904.4951646219</v>
      </c>
      <c r="Z52" s="52">
        <f>H53*Assumptions!$B$7*Assumptions!$B$25/$E53/12</f>
        <v>20456.16337537688</v>
      </c>
      <c r="AA52" s="49">
        <f>Z52*Assumptions!$B$11</f>
        <v>4091.2326750753764</v>
      </c>
      <c r="AB52" s="54">
        <f t="shared" si="15"/>
        <v>16364.930700301504</v>
      </c>
      <c r="AC52" s="89">
        <f t="shared" si="9"/>
        <v>-1191539.5644643204</v>
      </c>
      <c r="AD52" s="89">
        <f>Assumptions!$B$23*R52</f>
        <v>601994.54175546416</v>
      </c>
      <c r="AE52" s="89">
        <f t="shared" si="11"/>
        <v>-589545.02270885627</v>
      </c>
    </row>
    <row r="53" spans="1:31" x14ac:dyDescent="0.25">
      <c r="A53" s="44">
        <f t="shared" si="12"/>
        <v>48</v>
      </c>
      <c r="B53" s="45" t="s">
        <v>29</v>
      </c>
      <c r="C53" s="48">
        <f t="shared" si="13"/>
        <v>180</v>
      </c>
      <c r="D53" s="47">
        <f t="shared" si="1"/>
        <v>15</v>
      </c>
      <c r="E53" s="47">
        <f t="shared" si="4"/>
        <v>1</v>
      </c>
      <c r="F53" s="48">
        <f t="shared" si="14"/>
        <v>1</v>
      </c>
      <c r="G53" s="49">
        <f>(G52*($K52/$K51)-L52)*(1+Assumptions!$B$15)^$F53</f>
        <v>133718912.3534548</v>
      </c>
      <c r="H53" s="49">
        <f>$H$6/$G$6*G53*(1+Assumptions!$B$16)^INT((C53-1)/12)*IF(B53="Monthly",1,12)</f>
        <v>392758.33680723608</v>
      </c>
      <c r="I53" s="50">
        <f>Assumptions!$B$14</f>
        <v>0.15</v>
      </c>
      <c r="J53" s="50">
        <f t="shared" si="6"/>
        <v>0.15000000000000002</v>
      </c>
      <c r="K53" s="51">
        <f t="shared" si="7"/>
        <v>8.7354219101251629E-2</v>
      </c>
      <c r="L53" s="52">
        <f>H53*Assumptions!$B$7</f>
        <v>196379.16840361804</v>
      </c>
      <c r="M53" s="49">
        <f>L53*Assumptions!$B$11</f>
        <v>39275.833680723612</v>
      </c>
      <c r="N53" s="49">
        <f>H53*Assumptions!$B$11</f>
        <v>78551.667361447224</v>
      </c>
      <c r="O53" s="49">
        <f>N53*Assumptions!$B$12</f>
        <v>7855.1667361447226</v>
      </c>
      <c r="P53" s="49">
        <f>H53*Assumptions!$B$9</f>
        <v>31420.666944578887</v>
      </c>
      <c r="Q53" s="49">
        <f>H53*Assumptions!$B$8</f>
        <v>19637.916840361806</v>
      </c>
      <c r="R53" s="52">
        <f>(R54)/((1+Assumptions!$B$21)^$E54)+H54/IF(H$3="EOP",((1+Assumptions!$B$21)^$E54),1)</f>
        <v>3711052.073434921</v>
      </c>
      <c r="S53" s="49">
        <f>(S54)/((1+Assumptions!$B$21)^$E54)+L54/IF(L$3="EOP",((1+Assumptions!$B$21)^$E54),1)</f>
        <v>1810269.3041145958</v>
      </c>
      <c r="T53" s="49">
        <f>(T54)/((1+Assumptions!$B$21)^$E54)+M54/IF(M$3="EOP",((1+Assumptions!$B$21)^$E54),1)</f>
        <v>362053.86082291917</v>
      </c>
      <c r="U53" s="49">
        <f>(U54)/((1+Assumptions!$B$21)^$E54)+N54/IF(N$3="EOP",((1+Assumptions!$B$21)^$E54),1)</f>
        <v>742210.41468698415</v>
      </c>
      <c r="V53" s="49">
        <f>(V54)/((1+Assumptions!$B$21)^$E54)+O54/IF(O$3="EOP",((1+Assumptions!$B$21)^$E54),1)</f>
        <v>74221.041468698444</v>
      </c>
      <c r="W53" s="49">
        <f>(W54)/((1+Assumptions!$B$21)^$E54)+P54/IF(P$3="EOP",((1+Assumptions!$B$21)^$E54),1)</f>
        <v>296884.16587479372</v>
      </c>
      <c r="X53" s="49">
        <f>(X54)/((1+Assumptions!$B$21)^$E54)+Q54/IF(Q$3="EOP",((1+Assumptions!$B$21)^$E54),1)</f>
        <v>181026.93041145959</v>
      </c>
      <c r="Y53" s="53">
        <f t="shared" si="2"/>
        <v>-1116936.1606387054</v>
      </c>
      <c r="Z53" s="52">
        <f>H54*Assumptions!$B$7*Assumptions!$B$25/$E54/12</f>
        <v>19121.239029244167</v>
      </c>
      <c r="AA53" s="49">
        <f>Z53*Assumptions!$B$11</f>
        <v>3824.2478058488337</v>
      </c>
      <c r="AB53" s="54">
        <f t="shared" si="15"/>
        <v>15296.991223395333</v>
      </c>
      <c r="AC53" s="89">
        <f t="shared" si="9"/>
        <v>-1101639.16941531</v>
      </c>
      <c r="AD53" s="89">
        <f>Assumptions!$B$23*R53</f>
        <v>556657.81101523817</v>
      </c>
      <c r="AE53" s="89">
        <f t="shared" si="11"/>
        <v>-544981.35840007185</v>
      </c>
    </row>
    <row r="54" spans="1:31" x14ac:dyDescent="0.25">
      <c r="A54" s="44">
        <f t="shared" si="12"/>
        <v>49</v>
      </c>
      <c r="B54" s="45" t="s">
        <v>29</v>
      </c>
      <c r="C54" s="48">
        <f t="shared" si="13"/>
        <v>192</v>
      </c>
      <c r="D54" s="47">
        <f t="shared" si="1"/>
        <v>16</v>
      </c>
      <c r="E54" s="47">
        <f t="shared" si="4"/>
        <v>1</v>
      </c>
      <c r="F54" s="48">
        <f t="shared" si="14"/>
        <v>1</v>
      </c>
      <c r="G54" s="49">
        <f>(G53*($K53/$K52)-L53)*(1+Assumptions!$B$15)^$F54</f>
        <v>115733990.25867361</v>
      </c>
      <c r="H54" s="49">
        <f>$H$6/$G$6*G54*(1+Assumptions!$B$16)^INT((C54-1)/12)*IF(B54="Monthly",1,12)</f>
        <v>367127.78936148802</v>
      </c>
      <c r="I54" s="50">
        <f>Assumptions!$B$14</f>
        <v>0.15</v>
      </c>
      <c r="J54" s="50">
        <f t="shared" si="6"/>
        <v>0.15000000000000002</v>
      </c>
      <c r="K54" s="51">
        <f t="shared" si="7"/>
        <v>7.4251086236063885E-2</v>
      </c>
      <c r="L54" s="52">
        <f>H54*Assumptions!$B$7</f>
        <v>183563.89468074401</v>
      </c>
      <c r="M54" s="49">
        <f>L54*Assumptions!$B$11</f>
        <v>36712.778936148803</v>
      </c>
      <c r="N54" s="49">
        <f>H54*Assumptions!$B$11</f>
        <v>73425.557872297606</v>
      </c>
      <c r="O54" s="49">
        <f>N54*Assumptions!$B$12</f>
        <v>7342.5557872297613</v>
      </c>
      <c r="P54" s="49">
        <f>H54*Assumptions!$B$9</f>
        <v>29370.223148919042</v>
      </c>
      <c r="Q54" s="49">
        <f>H54*Assumptions!$B$8</f>
        <v>18356.389468074402</v>
      </c>
      <c r="R54" s="52">
        <f>(R55)/((1+Assumptions!$B$21)^$E55)+H55/IF(H$3="EOP",((1+Assumptions!$B$21)^$E55),1)</f>
        <v>3427522.3911752682</v>
      </c>
      <c r="S54" s="49">
        <f>(S55)/((1+Assumptions!$B$21)^$E55)+L55/IF(L$3="EOP",((1+Assumptions!$B$21)^$E55),1)</f>
        <v>1671962.1420367165</v>
      </c>
      <c r="T54" s="49">
        <f>(T55)/((1+Assumptions!$B$21)^$E55)+M55/IF(M$3="EOP",((1+Assumptions!$B$21)^$E55),1)</f>
        <v>334392.42840734334</v>
      </c>
      <c r="U54" s="49">
        <f>(U55)/((1+Assumptions!$B$21)^$E55)+N55/IF(N$3="EOP",((1+Assumptions!$B$21)^$E55),1)</f>
        <v>685504.47823505371</v>
      </c>
      <c r="V54" s="49">
        <f>(V55)/((1+Assumptions!$B$21)^$E55)+O55/IF(O$3="EOP",((1+Assumptions!$B$21)^$E55),1)</f>
        <v>68550.447823505383</v>
      </c>
      <c r="W54" s="49">
        <f>(W55)/((1+Assumptions!$B$21)^$E55)+P55/IF(P$3="EOP",((1+Assumptions!$B$21)^$E55),1)</f>
        <v>274201.79129402147</v>
      </c>
      <c r="X54" s="49">
        <f>(X55)/((1+Assumptions!$B$21)^$E55)+Q55/IF(Q$3="EOP",((1+Assumptions!$B$21)^$E55),1)</f>
        <v>167196.21420367167</v>
      </c>
      <c r="Y54" s="53">
        <f t="shared" si="2"/>
        <v>-1031600.6416366537</v>
      </c>
      <c r="Z54" s="52">
        <f>H55*Assumptions!$B$7*Assumptions!$B$25/$E55/12</f>
        <v>17870.954160649391</v>
      </c>
      <c r="AA54" s="49">
        <f>Z54*Assumptions!$B$11</f>
        <v>3574.1908321298783</v>
      </c>
      <c r="AB54" s="54">
        <f t="shared" si="15"/>
        <v>14296.763328519513</v>
      </c>
      <c r="AC54" s="89">
        <f t="shared" si="9"/>
        <v>-1017303.8783081342</v>
      </c>
      <c r="AD54" s="89">
        <f>Assumptions!$B$23*R54</f>
        <v>514128.3586762902</v>
      </c>
      <c r="AE54" s="89">
        <f t="shared" si="11"/>
        <v>-503175.51963184396</v>
      </c>
    </row>
    <row r="55" spans="1:31" x14ac:dyDescent="0.25">
      <c r="A55" s="44">
        <f t="shared" si="12"/>
        <v>50</v>
      </c>
      <c r="B55" s="45" t="s">
        <v>29</v>
      </c>
      <c r="C55" s="48">
        <f t="shared" si="13"/>
        <v>204</v>
      </c>
      <c r="D55" s="47">
        <f t="shared" si="1"/>
        <v>17</v>
      </c>
      <c r="E55" s="47">
        <f t="shared" si="4"/>
        <v>1</v>
      </c>
      <c r="F55" s="48">
        <f t="shared" si="14"/>
        <v>1</v>
      </c>
      <c r="G55" s="49">
        <f>(G54*($K54/$K53)-L54)*(1+Assumptions!$B$15)^$F55</f>
        <v>100154134.38169566</v>
      </c>
      <c r="H55" s="49">
        <f>$H$6/$G$6*G55*(1+Assumptions!$B$16)^INT((C55-1)/12)*IF(B55="Monthly",1,12)</f>
        <v>343122.31988446834</v>
      </c>
      <c r="I55" s="50">
        <f>Assumptions!$B$14</f>
        <v>0.15</v>
      </c>
      <c r="J55" s="50">
        <f t="shared" si="6"/>
        <v>0.15000000000000002</v>
      </c>
      <c r="K55" s="51">
        <f t="shared" si="7"/>
        <v>6.3113423300654295E-2</v>
      </c>
      <c r="L55" s="52">
        <f>H55*Assumptions!$B$7</f>
        <v>171561.15994223417</v>
      </c>
      <c r="M55" s="49">
        <f>L55*Assumptions!$B$11</f>
        <v>34312.231988446838</v>
      </c>
      <c r="N55" s="49">
        <f>H55*Assumptions!$B$11</f>
        <v>68624.463976893676</v>
      </c>
      <c r="O55" s="49">
        <f>N55*Assumptions!$B$12</f>
        <v>6862.4463976893676</v>
      </c>
      <c r="P55" s="49">
        <f>H55*Assumptions!$B$9</f>
        <v>27449.785590757467</v>
      </c>
      <c r="Q55" s="49">
        <f>H55*Assumptions!$B$8</f>
        <v>17156.115994223419</v>
      </c>
      <c r="R55" s="52">
        <f>(R56)/((1+Assumptions!$B$21)^$E56)+H56/IF(H$3="EOP",((1+Assumptions!$B$21)^$E56),1)</f>
        <v>3161510.0730730696</v>
      </c>
      <c r="S55" s="49">
        <f>(S56)/((1+Assumptions!$B$21)^$E56)+L56/IF(L$3="EOP",((1+Assumptions!$B$21)^$E56),1)</f>
        <v>1542200.0356453999</v>
      </c>
      <c r="T55" s="49">
        <f>(T56)/((1+Assumptions!$B$21)^$E56)+M56/IF(M$3="EOP",((1+Assumptions!$B$21)^$E56),1)</f>
        <v>308440.00712908001</v>
      </c>
      <c r="U55" s="49">
        <f>(U56)/((1+Assumptions!$B$21)^$E56)+N56/IF(N$3="EOP",((1+Assumptions!$B$21)^$E56),1)</f>
        <v>632302.01461461396</v>
      </c>
      <c r="V55" s="49">
        <f>(V56)/((1+Assumptions!$B$21)^$E56)+O56/IF(O$3="EOP",((1+Assumptions!$B$21)^$E56),1)</f>
        <v>63230.201461461402</v>
      </c>
      <c r="W55" s="49">
        <f>(W56)/((1+Assumptions!$B$21)^$E56)+P56/IF(P$3="EOP",((1+Assumptions!$B$21)^$E56),1)</f>
        <v>252920.80584584561</v>
      </c>
      <c r="X55" s="49">
        <f>(X56)/((1+Assumptions!$B$21)^$E56)+Q56/IF(Q$3="EOP",((1+Assumptions!$B$21)^$E56),1)</f>
        <v>154220.00356454001</v>
      </c>
      <c r="Y55" s="53">
        <f t="shared" si="2"/>
        <v>-951537.42199321114</v>
      </c>
      <c r="Z55" s="52">
        <f>H56*Assumptions!$B$7*Assumptions!$B$25/$E56/12</f>
        <v>16699.923982809694</v>
      </c>
      <c r="AA55" s="49">
        <f>Z55*Assumptions!$B$11</f>
        <v>3339.9847965619392</v>
      </c>
      <c r="AB55" s="54">
        <f t="shared" si="15"/>
        <v>13359.939186247755</v>
      </c>
      <c r="AC55" s="89">
        <f t="shared" si="9"/>
        <v>-938177.48280696338</v>
      </c>
      <c r="AD55" s="89">
        <f>Assumptions!$B$23*R55</f>
        <v>474226.51096096041</v>
      </c>
      <c r="AE55" s="89">
        <f t="shared" si="11"/>
        <v>-463950.97184600297</v>
      </c>
    </row>
    <row r="56" spans="1:31" x14ac:dyDescent="0.25">
      <c r="A56" s="44">
        <f t="shared" si="12"/>
        <v>51</v>
      </c>
      <c r="B56" s="45" t="s">
        <v>29</v>
      </c>
      <c r="C56" s="48">
        <f t="shared" si="13"/>
        <v>216</v>
      </c>
      <c r="D56" s="47">
        <f t="shared" si="1"/>
        <v>18</v>
      </c>
      <c r="E56" s="47">
        <f t="shared" si="4"/>
        <v>1</v>
      </c>
      <c r="F56" s="48">
        <f t="shared" si="14"/>
        <v>1</v>
      </c>
      <c r="G56" s="49">
        <f>(G55*($K55/$K54)-L55)*(1+Assumptions!$B$15)^$F56</f>
        <v>86658642.125789031</v>
      </c>
      <c r="H56" s="49">
        <f>$H$6/$G$6*G56*(1+Assumptions!$B$16)^INT((C56-1)/12)*IF(B56="Monthly",1,12)</f>
        <v>320638.54046994611</v>
      </c>
      <c r="I56" s="50">
        <f>Assumptions!$B$14</f>
        <v>0.15</v>
      </c>
      <c r="J56" s="50">
        <f t="shared" si="6"/>
        <v>0.15000000000000002</v>
      </c>
      <c r="K56" s="51">
        <f t="shared" si="7"/>
        <v>5.3646409805556149E-2</v>
      </c>
      <c r="L56" s="52">
        <f>H56*Assumptions!$B$7</f>
        <v>160319.27023497305</v>
      </c>
      <c r="M56" s="49">
        <f>L56*Assumptions!$B$11</f>
        <v>32063.854046994613</v>
      </c>
      <c r="N56" s="49">
        <f>H56*Assumptions!$B$11</f>
        <v>64127.708093989226</v>
      </c>
      <c r="O56" s="49">
        <f>N56*Assumptions!$B$12</f>
        <v>6412.7708093989231</v>
      </c>
      <c r="P56" s="49">
        <f>H56*Assumptions!$B$9</f>
        <v>25651.083237595689</v>
      </c>
      <c r="Q56" s="49">
        <f>H56*Assumptions!$B$8</f>
        <v>16031.927023497306</v>
      </c>
      <c r="R56" s="52">
        <f>(R57)/((1+Assumptions!$B$21)^$E57)+H57/IF(H$3="EOP",((1+Assumptions!$B$21)^$E57),1)</f>
        <v>2911893.320918201</v>
      </c>
      <c r="S56" s="49">
        <f>(S57)/((1+Assumptions!$B$21)^$E57)+L57/IF(L$3="EOP",((1+Assumptions!$B$21)^$E57),1)</f>
        <v>1420435.7663015616</v>
      </c>
      <c r="T56" s="49">
        <f>(T57)/((1+Assumptions!$B$21)^$E57)+M57/IF(M$3="EOP",((1+Assumptions!$B$21)^$E57),1)</f>
        <v>284087.15326031233</v>
      </c>
      <c r="U56" s="49">
        <f>(U57)/((1+Assumptions!$B$21)^$E57)+N57/IF(N$3="EOP",((1+Assumptions!$B$21)^$E57),1)</f>
        <v>582378.66418364039</v>
      </c>
      <c r="V56" s="49">
        <f>(V57)/((1+Assumptions!$B$21)^$E57)+O57/IF(O$3="EOP",((1+Assumptions!$B$21)^$E57),1)</f>
        <v>58237.866418364036</v>
      </c>
      <c r="W56" s="49">
        <f>(W57)/((1+Assumptions!$B$21)^$E57)+P57/IF(P$3="EOP",((1+Assumptions!$B$21)^$E57),1)</f>
        <v>232951.46567345614</v>
      </c>
      <c r="X56" s="49">
        <f>(X57)/((1+Assumptions!$B$21)^$E57)+Q57/IF(Q$3="EOP",((1+Assumptions!$B$21)^$E57),1)</f>
        <v>142043.57663015617</v>
      </c>
      <c r="Y56" s="53">
        <f t="shared" si="2"/>
        <v>-876408.86780806293</v>
      </c>
      <c r="Z56" s="52">
        <f>H57*Assumptions!$B$7*Assumptions!$B$25/$E57/12</f>
        <v>15603.106877389879</v>
      </c>
      <c r="AA56" s="49">
        <f>Z56*Assumptions!$B$11</f>
        <v>3120.621375477976</v>
      </c>
      <c r="AB56" s="54">
        <f t="shared" si="15"/>
        <v>12482.485501911902</v>
      </c>
      <c r="AC56" s="89">
        <f t="shared" si="9"/>
        <v>-863926.38230615098</v>
      </c>
      <c r="AD56" s="89">
        <f>Assumptions!$B$23*R56</f>
        <v>436783.99813773012</v>
      </c>
      <c r="AE56" s="89">
        <f t="shared" si="11"/>
        <v>-427142.38416842086</v>
      </c>
    </row>
    <row r="57" spans="1:31" x14ac:dyDescent="0.25">
      <c r="A57" s="44">
        <f t="shared" si="12"/>
        <v>52</v>
      </c>
      <c r="B57" s="45" t="s">
        <v>29</v>
      </c>
      <c r="C57" s="48">
        <f t="shared" si="13"/>
        <v>228</v>
      </c>
      <c r="D57" s="47">
        <f t="shared" si="1"/>
        <v>19</v>
      </c>
      <c r="E57" s="47">
        <f t="shared" si="4"/>
        <v>1</v>
      </c>
      <c r="F57" s="48">
        <f t="shared" si="14"/>
        <v>1</v>
      </c>
      <c r="G57" s="49">
        <f>(G56*($K56/$K55)-L56)*(1+Assumptions!$B$15)^$F57</f>
        <v>74969517.067419425</v>
      </c>
      <c r="H57" s="49">
        <f>$H$6/$G$6*G57*(1+Assumptions!$B$16)^INT((C57-1)/12)*IF(B57="Monthly",1,12)</f>
        <v>299579.65204588568</v>
      </c>
      <c r="I57" s="50">
        <f>Assumptions!$B$14</f>
        <v>0.15</v>
      </c>
      <c r="J57" s="50">
        <f t="shared" si="6"/>
        <v>0.15000000000000002</v>
      </c>
      <c r="K57" s="51">
        <f t="shared" si="7"/>
        <v>4.5599448334722723E-2</v>
      </c>
      <c r="L57" s="52">
        <f>H57*Assumptions!$B$7</f>
        <v>149789.82602294284</v>
      </c>
      <c r="M57" s="49">
        <f>L57*Assumptions!$B$11</f>
        <v>29957.96520458857</v>
      </c>
      <c r="N57" s="49">
        <f>H57*Assumptions!$B$11</f>
        <v>59915.930409177141</v>
      </c>
      <c r="O57" s="49">
        <f>N57*Assumptions!$B$12</f>
        <v>5991.5930409177145</v>
      </c>
      <c r="P57" s="49">
        <f>H57*Assumptions!$B$9</f>
        <v>23966.372163670854</v>
      </c>
      <c r="Q57" s="49">
        <f>H57*Assumptions!$B$8</f>
        <v>14978.982602294285</v>
      </c>
      <c r="R57" s="52">
        <f>(R58)/((1+Assumptions!$B$21)^$E58)+H58/IF(H$3="EOP",((1+Assumptions!$B$21)^$E58),1)</f>
        <v>2677621.510594123</v>
      </c>
      <c r="S57" s="49">
        <f>(S58)/((1+Assumptions!$B$21)^$E58)+L58/IF(L$3="EOP",((1+Assumptions!$B$21)^$E58),1)</f>
        <v>1306156.8344361577</v>
      </c>
      <c r="T57" s="49">
        <f>(T58)/((1+Assumptions!$B$21)^$E58)+M58/IF(M$3="EOP",((1+Assumptions!$B$21)^$E58),1)</f>
        <v>261231.36688723153</v>
      </c>
      <c r="U57" s="49">
        <f>(U58)/((1+Assumptions!$B$21)^$E58)+N58/IF(N$3="EOP",((1+Assumptions!$B$21)^$E58),1)</f>
        <v>535524.30211882479</v>
      </c>
      <c r="V57" s="49">
        <f>(V58)/((1+Assumptions!$B$21)^$E58)+O58/IF(O$3="EOP",((1+Assumptions!$B$21)^$E58),1)</f>
        <v>53552.430211882471</v>
      </c>
      <c r="W57" s="49">
        <f>(W58)/((1+Assumptions!$B$21)^$E58)+P58/IF(P$3="EOP",((1+Assumptions!$B$21)^$E58),1)</f>
        <v>214209.72084752988</v>
      </c>
      <c r="X57" s="49">
        <f>(X58)/((1+Assumptions!$B$21)^$E58)+Q58/IF(Q$3="EOP",((1+Assumptions!$B$21)^$E58),1)</f>
        <v>130615.68344361577</v>
      </c>
      <c r="Y57" s="53">
        <f t="shared" si="2"/>
        <v>-805898.76684710907</v>
      </c>
      <c r="Z57" s="52">
        <f>H58*Assumptions!$B$7*Assumptions!$B$25/$E58/12</f>
        <v>14575.78259982587</v>
      </c>
      <c r="AA57" s="49">
        <f>Z57*Assumptions!$B$11</f>
        <v>2915.1565199651741</v>
      </c>
      <c r="AB57" s="54">
        <f t="shared" si="15"/>
        <v>11660.626079860696</v>
      </c>
      <c r="AC57" s="89">
        <f t="shared" si="9"/>
        <v>-794238.14076724835</v>
      </c>
      <c r="AD57" s="89">
        <f>Assumptions!$B$23*R57</f>
        <v>401643.22658911842</v>
      </c>
      <c r="AE57" s="89">
        <f t="shared" si="11"/>
        <v>-392594.91417812993</v>
      </c>
    </row>
    <row r="58" spans="1:31" x14ac:dyDescent="0.25">
      <c r="A58" s="44">
        <f t="shared" si="12"/>
        <v>53</v>
      </c>
      <c r="B58" s="45" t="s">
        <v>29</v>
      </c>
      <c r="C58" s="48">
        <f t="shared" si="13"/>
        <v>240</v>
      </c>
      <c r="D58" s="47">
        <f t="shared" si="1"/>
        <v>20</v>
      </c>
      <c r="E58" s="47">
        <f t="shared" si="4"/>
        <v>1</v>
      </c>
      <c r="F58" s="48">
        <f t="shared" si="14"/>
        <v>1</v>
      </c>
      <c r="G58" s="49">
        <f>(G57*($K57/$K56)-L57)*(1+Assumptions!$B$15)^$F58</f>
        <v>64845785.674909234</v>
      </c>
      <c r="H58" s="49">
        <f>$H$6/$G$6*G58*(1+Assumptions!$B$16)^INT((C58-1)/12)*IF(B58="Monthly",1,12)</f>
        <v>279855.02591665671</v>
      </c>
      <c r="I58" s="50">
        <f>Assumptions!$B$14</f>
        <v>0.15</v>
      </c>
      <c r="J58" s="50">
        <f t="shared" si="6"/>
        <v>0.15000000000000002</v>
      </c>
      <c r="K58" s="51">
        <f t="shared" si="7"/>
        <v>3.8759531084514312E-2</v>
      </c>
      <c r="L58" s="52">
        <f>H58*Assumptions!$B$7</f>
        <v>139927.51295832836</v>
      </c>
      <c r="M58" s="49">
        <f>L58*Assumptions!$B$11</f>
        <v>27985.502591665674</v>
      </c>
      <c r="N58" s="49">
        <f>H58*Assumptions!$B$11</f>
        <v>55971.005183331348</v>
      </c>
      <c r="O58" s="49">
        <f>N58*Assumptions!$B$12</f>
        <v>5597.1005183331354</v>
      </c>
      <c r="P58" s="49">
        <f>H58*Assumptions!$B$9</f>
        <v>22388.402073332538</v>
      </c>
      <c r="Q58" s="49">
        <f>H58*Assumptions!$B$8</f>
        <v>13992.751295832837</v>
      </c>
      <c r="R58" s="52">
        <f>(R59)/((1+Assumptions!$B$21)^$E59)+H59/IF(H$3="EOP",((1+Assumptions!$B$21)^$E59),1)</f>
        <v>2457710.646794403</v>
      </c>
      <c r="S58" s="49">
        <f>(S59)/((1+Assumptions!$B$21)^$E59)+L59/IF(L$3="EOP",((1+Assumptions!$B$21)^$E59),1)</f>
        <v>1198883.2423387333</v>
      </c>
      <c r="T58" s="49">
        <f>(T59)/((1+Assumptions!$B$21)^$E59)+M59/IF(M$3="EOP",((1+Assumptions!$B$21)^$E59),1)</f>
        <v>239776.64846774662</v>
      </c>
      <c r="U58" s="49">
        <f>(U59)/((1+Assumptions!$B$21)^$E59)+N59/IF(N$3="EOP",((1+Assumptions!$B$21)^$E59),1)</f>
        <v>491542.12935888069</v>
      </c>
      <c r="V58" s="49">
        <f>(V59)/((1+Assumptions!$B$21)^$E59)+O59/IF(O$3="EOP",((1+Assumptions!$B$21)^$E59),1)</f>
        <v>49154.212935888063</v>
      </c>
      <c r="W58" s="49">
        <f>(W59)/((1+Assumptions!$B$21)^$E59)+P59/IF(P$3="EOP",((1+Assumptions!$B$21)^$E59),1)</f>
        <v>196616.85174355225</v>
      </c>
      <c r="X58" s="49">
        <f>(X59)/((1+Assumptions!$B$21)^$E59)+Q59/IF(Q$3="EOP",((1+Assumptions!$B$21)^$E59),1)</f>
        <v>119888.32423387331</v>
      </c>
      <c r="Y58" s="53">
        <f t="shared" si="2"/>
        <v>-739710.96052299801</v>
      </c>
      <c r="Z58" s="52">
        <f>H59*Assumptions!$B$7*Assumptions!$B$25/$E59/12</f>
        <v>13613.531875174665</v>
      </c>
      <c r="AA58" s="49">
        <f>Z58*Assumptions!$B$11</f>
        <v>2722.7063750349334</v>
      </c>
      <c r="AB58" s="54">
        <f t="shared" si="15"/>
        <v>10890.825500139732</v>
      </c>
      <c r="AC58" s="89">
        <f t="shared" si="9"/>
        <v>-728820.13502285827</v>
      </c>
      <c r="AD58" s="89">
        <f>Assumptions!$B$23*R58</f>
        <v>368656.59701916046</v>
      </c>
      <c r="AE58" s="89">
        <f t="shared" si="11"/>
        <v>-360163.53800369782</v>
      </c>
    </row>
    <row r="59" spans="1:31" x14ac:dyDescent="0.25">
      <c r="A59" s="44">
        <f t="shared" si="12"/>
        <v>54</v>
      </c>
      <c r="B59" s="45" t="s">
        <v>29</v>
      </c>
      <c r="C59" s="48">
        <f t="shared" si="13"/>
        <v>252</v>
      </c>
      <c r="D59" s="47">
        <f t="shared" si="1"/>
        <v>21</v>
      </c>
      <c r="E59" s="47">
        <f t="shared" si="4"/>
        <v>1</v>
      </c>
      <c r="F59" s="48">
        <f t="shared" si="14"/>
        <v>1</v>
      </c>
      <c r="G59" s="49">
        <f>(G58*($K58/$K57)-L58)*(1+Assumptions!$B$15)^$F59</f>
        <v>56078570.116928808</v>
      </c>
      <c r="H59" s="49">
        <f>$H$6/$G$6*G59*(1+Assumptions!$B$16)^INT((C59-1)/12)*IF(B59="Monthly",1,12)</f>
        <v>261379.81200335355</v>
      </c>
      <c r="I59" s="50">
        <f>Assumptions!$B$14</f>
        <v>0.15</v>
      </c>
      <c r="J59" s="50">
        <f t="shared" si="6"/>
        <v>0.15000000000000002</v>
      </c>
      <c r="K59" s="51">
        <f t="shared" si="7"/>
        <v>3.2945601421837167E-2</v>
      </c>
      <c r="L59" s="52">
        <f>H59*Assumptions!$B$7</f>
        <v>130689.90600167678</v>
      </c>
      <c r="M59" s="49">
        <f>L59*Assumptions!$B$11</f>
        <v>26137.981200335358</v>
      </c>
      <c r="N59" s="49">
        <f>H59*Assumptions!$B$11</f>
        <v>52275.962400670716</v>
      </c>
      <c r="O59" s="49">
        <f>N59*Assumptions!$B$12</f>
        <v>5227.5962400670724</v>
      </c>
      <c r="P59" s="49">
        <f>H59*Assumptions!$B$9</f>
        <v>20910.384960268286</v>
      </c>
      <c r="Q59" s="49">
        <f>H59*Assumptions!$B$8</f>
        <v>13068.990600167679</v>
      </c>
      <c r="R59" s="52">
        <f>(R60)/((1+Assumptions!$B$21)^$E60)+H60/IF(H$3="EOP",((1+Assumptions!$B$21)^$E60),1)</f>
        <v>2251239.1056608255</v>
      </c>
      <c r="S59" s="49">
        <f>(S60)/((1+Assumptions!$B$21)^$E60)+L60/IF(L$3="EOP",((1+Assumptions!$B$21)^$E60),1)</f>
        <v>1098165.4173955247</v>
      </c>
      <c r="T59" s="49">
        <f>(T60)/((1+Assumptions!$B$21)^$E60)+M60/IF(M$3="EOP",((1+Assumptions!$B$21)^$E60),1)</f>
        <v>219633.08347910491</v>
      </c>
      <c r="U59" s="49">
        <f>(U60)/((1+Assumptions!$B$21)^$E60)+N60/IF(N$3="EOP",((1+Assumptions!$B$21)^$E60),1)</f>
        <v>450247.82113216515</v>
      </c>
      <c r="V59" s="49">
        <f>(V60)/((1+Assumptions!$B$21)^$E60)+O60/IF(O$3="EOP",((1+Assumptions!$B$21)^$E60),1)</f>
        <v>45024.782113216512</v>
      </c>
      <c r="W59" s="49">
        <f>(W60)/((1+Assumptions!$B$21)^$E60)+P60/IF(P$3="EOP",((1+Assumptions!$B$21)^$E60),1)</f>
        <v>180099.12845286605</v>
      </c>
      <c r="X59" s="49">
        <f>(X60)/((1+Assumptions!$B$21)^$E60)+Q60/IF(Q$3="EOP",((1+Assumptions!$B$21)^$E60),1)</f>
        <v>109816.54173955246</v>
      </c>
      <c r="Y59" s="53">
        <f t="shared" si="2"/>
        <v>-677568.06253303867</v>
      </c>
      <c r="Z59" s="52">
        <f>H60*Assumptions!$B$7*Assumptions!$B$25/$E60/12</f>
        <v>12712.217296211993</v>
      </c>
      <c r="AA59" s="49">
        <f>Z59*Assumptions!$B$11</f>
        <v>2542.4434592423986</v>
      </c>
      <c r="AB59" s="54">
        <f t="shared" si="15"/>
        <v>10169.773836969594</v>
      </c>
      <c r="AC59" s="89">
        <f t="shared" si="9"/>
        <v>-667398.28869606904</v>
      </c>
      <c r="AD59" s="89">
        <f>Assumptions!$B$23*R59</f>
        <v>337685.8658491238</v>
      </c>
      <c r="AE59" s="89">
        <f t="shared" si="11"/>
        <v>-329712.42284694524</v>
      </c>
    </row>
    <row r="60" spans="1:31" x14ac:dyDescent="0.25">
      <c r="A60" s="44">
        <f t="shared" si="12"/>
        <v>55</v>
      </c>
      <c r="B60" s="45" t="s">
        <v>29</v>
      </c>
      <c r="C60" s="48">
        <f t="shared" si="13"/>
        <v>264</v>
      </c>
      <c r="D60" s="47">
        <f t="shared" si="1"/>
        <v>22</v>
      </c>
      <c r="E60" s="47">
        <f t="shared" si="4"/>
        <v>1</v>
      </c>
      <c r="F60" s="48">
        <f t="shared" si="14"/>
        <v>1</v>
      </c>
      <c r="G60" s="49">
        <f>(G59*($K59/$K58)-L59)*(1+Assumptions!$B$15)^$F60</f>
        <v>48486816.587255567</v>
      </c>
      <c r="H60" s="49">
        <f>$H$6/$G$6*G60*(1+Assumptions!$B$16)^INT((C60-1)/12)*IF(B60="Monthly",1,12)</f>
        <v>244074.57208727027</v>
      </c>
      <c r="I60" s="50">
        <f>Assumptions!$B$14</f>
        <v>0.15</v>
      </c>
      <c r="J60" s="50">
        <f t="shared" si="6"/>
        <v>0.15000000000000002</v>
      </c>
      <c r="K60" s="51">
        <f t="shared" si="7"/>
        <v>2.800376120856159E-2</v>
      </c>
      <c r="L60" s="52">
        <f>H60*Assumptions!$B$7</f>
        <v>122037.28604363513</v>
      </c>
      <c r="M60" s="49">
        <f>L60*Assumptions!$B$11</f>
        <v>24407.457208727028</v>
      </c>
      <c r="N60" s="49">
        <f>H60*Assumptions!$B$11</f>
        <v>48814.914417454056</v>
      </c>
      <c r="O60" s="49">
        <f>N60*Assumptions!$B$12</f>
        <v>4881.4914417454056</v>
      </c>
      <c r="P60" s="49">
        <f>H60*Assumptions!$B$9</f>
        <v>19525.965766981622</v>
      </c>
      <c r="Q60" s="49">
        <f>H60*Assumptions!$B$8</f>
        <v>12203.728604363514</v>
      </c>
      <c r="R60" s="52">
        <f>(R61)/((1+Assumptions!$B$21)^$E61)+H61/IF(H$3="EOP",((1+Assumptions!$B$21)^$E61),1)</f>
        <v>2057343.646912894</v>
      </c>
      <c r="S60" s="49">
        <f>(S61)/((1+Assumptions!$B$21)^$E61)+L61/IF(L$3="EOP",((1+Assumptions!$B$21)^$E61),1)</f>
        <v>1003582.2667867776</v>
      </c>
      <c r="T60" s="49">
        <f>(T61)/((1+Assumptions!$B$21)^$E61)+M61/IF(M$3="EOP",((1+Assumptions!$B$21)^$E61),1)</f>
        <v>200716.45335735549</v>
      </c>
      <c r="U60" s="49">
        <f>(U61)/((1+Assumptions!$B$21)^$E61)+N61/IF(N$3="EOP",((1+Assumptions!$B$21)^$E61),1)</f>
        <v>411468.72938257887</v>
      </c>
      <c r="V60" s="49">
        <f>(V61)/((1+Assumptions!$B$21)^$E61)+O61/IF(O$3="EOP",((1+Assumptions!$B$21)^$E61),1)</f>
        <v>41146.872938257882</v>
      </c>
      <c r="W60" s="49">
        <f>(W61)/((1+Assumptions!$B$21)^$E61)+P61/IF(P$3="EOP",((1+Assumptions!$B$21)^$E61),1)</f>
        <v>164587.49175303153</v>
      </c>
      <c r="X60" s="49">
        <f>(X61)/((1+Assumptions!$B$21)^$E61)+Q61/IF(Q$3="EOP",((1+Assumptions!$B$21)^$E61),1)</f>
        <v>100358.22667867775</v>
      </c>
      <c r="Y60" s="53">
        <f t="shared" si="2"/>
        <v>-619210.25860744156</v>
      </c>
      <c r="Z60" s="52">
        <f>H61*Assumptions!$B$7*Assumptions!$B$25/$E61/12</f>
        <v>11867.965441118204</v>
      </c>
      <c r="AA60" s="49">
        <f>Z60*Assumptions!$B$11</f>
        <v>2373.5930882236407</v>
      </c>
      <c r="AB60" s="54">
        <f t="shared" si="15"/>
        <v>9494.3723528945629</v>
      </c>
      <c r="AC60" s="89">
        <f t="shared" si="9"/>
        <v>-609715.88625454705</v>
      </c>
      <c r="AD60" s="89">
        <f>Assumptions!$B$23*R60</f>
        <v>308601.54703693406</v>
      </c>
      <c r="AE60" s="89">
        <f t="shared" si="11"/>
        <v>-301114.33921761299</v>
      </c>
    </row>
    <row r="61" spans="1:31" x14ac:dyDescent="0.25">
      <c r="A61" s="44">
        <f t="shared" si="12"/>
        <v>56</v>
      </c>
      <c r="B61" s="45" t="s">
        <v>29</v>
      </c>
      <c r="C61" s="48">
        <f t="shared" si="13"/>
        <v>276</v>
      </c>
      <c r="D61" s="47">
        <f t="shared" si="1"/>
        <v>23</v>
      </c>
      <c r="E61" s="47">
        <f t="shared" si="4"/>
        <v>1</v>
      </c>
      <c r="F61" s="48">
        <f t="shared" si="14"/>
        <v>1</v>
      </c>
      <c r="G61" s="49">
        <f>(G60*($K60/$K59)-L60)*(1+Assumptions!$B$15)^$F61</f>
        <v>41913591.94938606</v>
      </c>
      <c r="H61" s="49">
        <f>$H$6/$G$6*G61*(1+Assumptions!$B$16)^INT((C61-1)/12)*IF(B61="Monthly",1,12)</f>
        <v>227864.93646946951</v>
      </c>
      <c r="I61" s="50">
        <f>Assumptions!$B$14</f>
        <v>0.15</v>
      </c>
      <c r="J61" s="50">
        <f t="shared" si="6"/>
        <v>0.15000000000000002</v>
      </c>
      <c r="K61" s="51">
        <f t="shared" si="7"/>
        <v>2.3803197027277352E-2</v>
      </c>
      <c r="L61" s="52">
        <f>H61*Assumptions!$B$7</f>
        <v>113932.46823473476</v>
      </c>
      <c r="M61" s="49">
        <f>L61*Assumptions!$B$11</f>
        <v>22786.493646946954</v>
      </c>
      <c r="N61" s="49">
        <f>H61*Assumptions!$B$11</f>
        <v>45572.987293893908</v>
      </c>
      <c r="O61" s="49">
        <f>N61*Assumptions!$B$12</f>
        <v>4557.2987293893912</v>
      </c>
      <c r="P61" s="49">
        <f>H61*Assumptions!$B$9</f>
        <v>18229.194917557561</v>
      </c>
      <c r="Q61" s="49">
        <f>H61*Assumptions!$B$8</f>
        <v>11393.246823473477</v>
      </c>
      <c r="R61" s="52">
        <f>(R62)/((1+Assumptions!$B$21)^$E62)+H62/IF(H$3="EOP",((1+Assumptions!$B$21)^$E62),1)</f>
        <v>1875215.6782045099</v>
      </c>
      <c r="S61" s="49">
        <f>(S62)/((1+Assumptions!$B$21)^$E62)+L62/IF(L$3="EOP",((1+Assumptions!$B$21)^$E62),1)</f>
        <v>914739.35522171226</v>
      </c>
      <c r="T61" s="49">
        <f>(T62)/((1+Assumptions!$B$21)^$E62)+M62/IF(M$3="EOP",((1+Assumptions!$B$21)^$E62),1)</f>
        <v>182947.87104434241</v>
      </c>
      <c r="U61" s="49">
        <f>(U62)/((1+Assumptions!$B$21)^$E62)+N62/IF(N$3="EOP",((1+Assumptions!$B$21)^$E62),1)</f>
        <v>375043.1356409021</v>
      </c>
      <c r="V61" s="49">
        <f>(V62)/((1+Assumptions!$B$21)^$E62)+O62/IF(O$3="EOP",((1+Assumptions!$B$21)^$E62),1)</f>
        <v>37504.313564090204</v>
      </c>
      <c r="W61" s="49">
        <f>(W62)/((1+Assumptions!$B$21)^$E62)+P62/IF(P$3="EOP",((1+Assumptions!$B$21)^$E62),1)</f>
        <v>150017.25425636081</v>
      </c>
      <c r="X61" s="49">
        <f>(X62)/((1+Assumptions!$B$21)^$E62)+Q62/IF(Q$3="EOP",((1+Assumptions!$B$21)^$E62),1)</f>
        <v>91473.935522171203</v>
      </c>
      <c r="Y61" s="53">
        <f t="shared" si="2"/>
        <v>-564394.1821717961</v>
      </c>
      <c r="Z61" s="52">
        <f>H62*Assumptions!$B$7*Assumptions!$B$25/$E62/12</f>
        <v>11077.150133351757</v>
      </c>
      <c r="AA61" s="49">
        <f>Z61*Assumptions!$B$11</f>
        <v>2215.4300266703517</v>
      </c>
      <c r="AB61" s="54">
        <f t="shared" si="15"/>
        <v>8861.720106681405</v>
      </c>
      <c r="AC61" s="89">
        <f t="shared" si="9"/>
        <v>-555532.46206511464</v>
      </c>
      <c r="AD61" s="89">
        <f>Assumptions!$B$23*R61</f>
        <v>281282.35173067648</v>
      </c>
      <c r="AE61" s="89">
        <f t="shared" si="11"/>
        <v>-274250.11033443816</v>
      </c>
    </row>
    <row r="62" spans="1:31" x14ac:dyDescent="0.25">
      <c r="A62" s="44">
        <f t="shared" si="12"/>
        <v>57</v>
      </c>
      <c r="B62" s="45" t="s">
        <v>29</v>
      </c>
      <c r="C62" s="48">
        <f t="shared" si="13"/>
        <v>288</v>
      </c>
      <c r="D62" s="47">
        <f t="shared" si="1"/>
        <v>24</v>
      </c>
      <c r="E62" s="47">
        <f t="shared" si="4"/>
        <v>1</v>
      </c>
      <c r="F62" s="48">
        <f t="shared" si="14"/>
        <v>1</v>
      </c>
      <c r="G62" s="49">
        <f>(G61*($K61/$K60)-L61)*(1+Assumptions!$B$15)^$F62</f>
        <v>36222873.10251829</v>
      </c>
      <c r="H62" s="49">
        <f>$H$6/$G$6*G62*(1+Assumptions!$B$16)^INT((C62-1)/12)*IF(B62="Monthly",1,12)</f>
        <v>212681.28256035375</v>
      </c>
      <c r="I62" s="50">
        <f>Assumptions!$B$14</f>
        <v>0.15</v>
      </c>
      <c r="J62" s="50">
        <f t="shared" si="6"/>
        <v>0.15000000000000002</v>
      </c>
      <c r="K62" s="51">
        <f t="shared" si="7"/>
        <v>2.0232717473185748E-2</v>
      </c>
      <c r="L62" s="52">
        <f>H62*Assumptions!$B$7</f>
        <v>106340.64128017687</v>
      </c>
      <c r="M62" s="49">
        <f>L62*Assumptions!$B$11</f>
        <v>21268.128256035376</v>
      </c>
      <c r="N62" s="49">
        <f>H62*Assumptions!$B$11</f>
        <v>42536.256512070751</v>
      </c>
      <c r="O62" s="49">
        <f>N62*Assumptions!$B$12</f>
        <v>4253.625651207075</v>
      </c>
      <c r="P62" s="49">
        <f>H62*Assumptions!$B$9</f>
        <v>17014.5026048283</v>
      </c>
      <c r="Q62" s="49">
        <f>H62*Assumptions!$B$8</f>
        <v>10634.064128017688</v>
      </c>
      <c r="R62" s="52">
        <f>(R63)/((1+Assumptions!$B$21)^$E63)+H63/IF(H$3="EOP",((1+Assumptions!$B$21)^$E63),1)</f>
        <v>1704097.7555352598</v>
      </c>
      <c r="S62" s="49">
        <f>(S63)/((1+Assumptions!$B$21)^$E63)+L63/IF(L$3="EOP",((1+Assumptions!$B$21)^$E63),1)</f>
        <v>831267.19782207813</v>
      </c>
      <c r="T62" s="49">
        <f>(T63)/((1+Assumptions!$B$21)^$E63)+M63/IF(M$3="EOP",((1+Assumptions!$B$21)^$E63),1)</f>
        <v>166253.4395644156</v>
      </c>
      <c r="U62" s="49">
        <f>(U63)/((1+Assumptions!$B$21)^$E63)+N63/IF(N$3="EOP",((1+Assumptions!$B$21)^$E63),1)</f>
        <v>340819.55110705207</v>
      </c>
      <c r="V62" s="49">
        <f>(V63)/((1+Assumptions!$B$21)^$E63)+O63/IF(O$3="EOP",((1+Assumptions!$B$21)^$E63),1)</f>
        <v>34081.955110705203</v>
      </c>
      <c r="W62" s="49">
        <f>(W63)/((1+Assumptions!$B$21)^$E63)+P63/IF(P$3="EOP",((1+Assumptions!$B$21)^$E63),1)</f>
        <v>136327.82044282081</v>
      </c>
      <c r="X62" s="49">
        <f>(X63)/((1+Assumptions!$B$21)^$E63)+Q63/IF(Q$3="EOP",((1+Assumptions!$B$21)^$E63),1)</f>
        <v>83126.719782207801</v>
      </c>
      <c r="Y62" s="53">
        <f t="shared" si="2"/>
        <v>-512891.86105622182</v>
      </c>
      <c r="Z62" s="52">
        <f>H63*Assumptions!$B$7*Assumptions!$B$25/$E63/12</f>
        <v>10336.376771230194</v>
      </c>
      <c r="AA62" s="49">
        <f>Z62*Assumptions!$B$11</f>
        <v>2067.2753542460391</v>
      </c>
      <c r="AB62" s="54">
        <f t="shared" si="15"/>
        <v>8269.1014169841546</v>
      </c>
      <c r="AC62" s="89">
        <f t="shared" si="9"/>
        <v>-504622.75963923766</v>
      </c>
      <c r="AD62" s="89">
        <f>Assumptions!$B$23*R62</f>
        <v>255614.66333028895</v>
      </c>
      <c r="AE62" s="89">
        <f t="shared" si="11"/>
        <v>-249008.0963089487</v>
      </c>
    </row>
    <row r="63" spans="1:31" x14ac:dyDescent="0.25">
      <c r="A63" s="44">
        <f t="shared" si="12"/>
        <v>58</v>
      </c>
      <c r="B63" s="45" t="s">
        <v>29</v>
      </c>
      <c r="C63" s="48">
        <f t="shared" si="13"/>
        <v>300</v>
      </c>
      <c r="D63" s="47">
        <f t="shared" si="1"/>
        <v>25</v>
      </c>
      <c r="E63" s="47">
        <f t="shared" si="4"/>
        <v>1</v>
      </c>
      <c r="F63" s="48">
        <f t="shared" si="14"/>
        <v>1</v>
      </c>
      <c r="G63" s="49">
        <f>(G62*($K62/$K61)-L62)*(1+Assumptions!$B$15)^$F63</f>
        <v>31296763.525777575</v>
      </c>
      <c r="H63" s="49">
        <f>$H$6/$G$6*G63*(1+Assumptions!$B$16)^INT((C63-1)/12)*IF(B63="Monthly",1,12)</f>
        <v>198458.43400761974</v>
      </c>
      <c r="I63" s="50">
        <f>Assumptions!$B$14</f>
        <v>0.15</v>
      </c>
      <c r="J63" s="50">
        <f t="shared" si="6"/>
        <v>0.15000000000000002</v>
      </c>
      <c r="K63" s="51">
        <f t="shared" si="7"/>
        <v>1.7197809852207886E-2</v>
      </c>
      <c r="L63" s="52">
        <f>H63*Assumptions!$B$7</f>
        <v>99229.21700380987</v>
      </c>
      <c r="M63" s="49">
        <f>L63*Assumptions!$B$11</f>
        <v>19845.843400761976</v>
      </c>
      <c r="N63" s="49">
        <f>H63*Assumptions!$B$11</f>
        <v>39691.686801523952</v>
      </c>
      <c r="O63" s="49">
        <f>N63*Assumptions!$B$12</f>
        <v>3969.1686801523956</v>
      </c>
      <c r="P63" s="49">
        <f>H63*Assumptions!$B$9</f>
        <v>15876.674720609579</v>
      </c>
      <c r="Q63" s="49">
        <f>H63*Assumptions!$B$8</f>
        <v>9922.9217003809881</v>
      </c>
      <c r="R63" s="52">
        <f>(R64)/((1+Assumptions!$B$21)^$E64)+H64/IF(H$3="EOP",((1+Assumptions!$B$21)^$E64),1)</f>
        <v>1543280.3045658311</v>
      </c>
      <c r="S63" s="49">
        <f>(S64)/((1+Assumptions!$B$21)^$E64)+L64/IF(L$3="EOP",((1+Assumptions!$B$21)^$E64),1)</f>
        <v>752819.66076382005</v>
      </c>
      <c r="T63" s="49">
        <f>(T64)/((1+Assumptions!$B$21)^$E64)+M64/IF(M$3="EOP",((1+Assumptions!$B$21)^$E64),1)</f>
        <v>150563.932152764</v>
      </c>
      <c r="U63" s="49">
        <f>(U64)/((1+Assumptions!$B$21)^$E64)+N64/IF(N$3="EOP",((1+Assumptions!$B$21)^$E64),1)</f>
        <v>308656.06091316626</v>
      </c>
      <c r="V63" s="49">
        <f>(V64)/((1+Assumptions!$B$21)^$E64)+O64/IF(O$3="EOP",((1+Assumptions!$B$21)^$E64),1)</f>
        <v>30865.606091316622</v>
      </c>
      <c r="W63" s="49">
        <f>(W64)/((1+Assumptions!$B$21)^$E64)+P64/IF(P$3="EOP",((1+Assumptions!$B$21)^$E64),1)</f>
        <v>123462.42436526649</v>
      </c>
      <c r="X63" s="49">
        <f>(X64)/((1+Assumptions!$B$21)^$E64)+Q64/IF(Q$3="EOP",((1+Assumptions!$B$21)^$E64),1)</f>
        <v>75281.966076381999</v>
      </c>
      <c r="Y63" s="53">
        <f t="shared" si="2"/>
        <v>-464489.73069127707</v>
      </c>
      <c r="Z63" s="52">
        <f>H64*Assumptions!$B$7*Assumptions!$B$25/$E64/12</f>
        <v>9642.4676593414679</v>
      </c>
      <c r="AA63" s="49">
        <f>Z63*Assumptions!$B$11</f>
        <v>1928.4935318682938</v>
      </c>
      <c r="AB63" s="54">
        <f t="shared" si="15"/>
        <v>7713.9741274731741</v>
      </c>
      <c r="AC63" s="89">
        <f t="shared" si="9"/>
        <v>-456775.75656380388</v>
      </c>
      <c r="AD63" s="89">
        <f>Assumptions!$B$23*R63</f>
        <v>231492.04568487467</v>
      </c>
      <c r="AE63" s="89">
        <f t="shared" si="11"/>
        <v>-225283.71087892921</v>
      </c>
    </row>
    <row r="64" spans="1:31" x14ac:dyDescent="0.25">
      <c r="A64" s="44">
        <f t="shared" si="12"/>
        <v>59</v>
      </c>
      <c r="B64" s="45" t="s">
        <v>29</v>
      </c>
      <c r="C64" s="48">
        <f t="shared" si="13"/>
        <v>312</v>
      </c>
      <c r="D64" s="47">
        <f t="shared" si="1"/>
        <v>26</v>
      </c>
      <c r="E64" s="47">
        <f t="shared" si="4"/>
        <v>1</v>
      </c>
      <c r="F64" s="48">
        <f t="shared" si="14"/>
        <v>1</v>
      </c>
      <c r="G64" s="49">
        <f>(G63*($K63/$K62)-L63)*(1+Assumptions!$B$15)^$F64</f>
        <v>27033080.175505269</v>
      </c>
      <c r="H64" s="49">
        <f>$H$6/$G$6*G64*(1+Assumptions!$B$16)^INT((C64-1)/12)*IF(B64="Monthly",1,12)</f>
        <v>185135.3790593562</v>
      </c>
      <c r="I64" s="50">
        <f>Assumptions!$B$14</f>
        <v>0.15</v>
      </c>
      <c r="J64" s="50">
        <f t="shared" si="6"/>
        <v>0.15000000000000002</v>
      </c>
      <c r="K64" s="51">
        <f t="shared" si="7"/>
        <v>1.4618138374376703E-2</v>
      </c>
      <c r="L64" s="52">
        <f>H64*Assumptions!$B$7</f>
        <v>92567.6895296781</v>
      </c>
      <c r="M64" s="49">
        <f>L64*Assumptions!$B$11</f>
        <v>18513.53790593562</v>
      </c>
      <c r="N64" s="49">
        <f>H64*Assumptions!$B$11</f>
        <v>37027.07581187124</v>
      </c>
      <c r="O64" s="49">
        <f>N64*Assumptions!$B$12</f>
        <v>3702.7075811871241</v>
      </c>
      <c r="P64" s="49">
        <f>H64*Assumptions!$B$9</f>
        <v>14810.830324748496</v>
      </c>
      <c r="Q64" s="49">
        <f>H64*Assumptions!$B$8</f>
        <v>9256.76895296781</v>
      </c>
      <c r="R64" s="52">
        <f>(R65)/((1+Assumptions!$B$21)^$E65)+H65/IF(H$3="EOP",((1+Assumptions!$B$21)^$E65),1)</f>
        <v>1392098.5486441366</v>
      </c>
      <c r="S64" s="49">
        <f>(S65)/((1+Assumptions!$B$21)^$E65)+L65/IF(L$3="EOP",((1+Assumptions!$B$21)^$E65),1)</f>
        <v>679072.46275323734</v>
      </c>
      <c r="T64" s="49">
        <f>(T65)/((1+Assumptions!$B$21)^$E65)+M65/IF(M$3="EOP",((1+Assumptions!$B$21)^$E65),1)</f>
        <v>135814.49255064747</v>
      </c>
      <c r="U64" s="49">
        <f>(U65)/((1+Assumptions!$B$21)^$E65)+N65/IF(N$3="EOP",((1+Assumptions!$B$21)^$E65),1)</f>
        <v>278419.70972882735</v>
      </c>
      <c r="V64" s="49">
        <f>(V65)/((1+Assumptions!$B$21)^$E65)+O65/IF(O$3="EOP",((1+Assumptions!$B$21)^$E65),1)</f>
        <v>27841.970972882733</v>
      </c>
      <c r="W64" s="49">
        <f>(W65)/((1+Assumptions!$B$21)^$E65)+P65/IF(P$3="EOP",((1+Assumptions!$B$21)^$E65),1)</f>
        <v>111367.88389153093</v>
      </c>
      <c r="X64" s="49">
        <f>(X65)/((1+Assumptions!$B$21)^$E65)+Q65/IF(Q$3="EOP",((1+Assumptions!$B$21)^$E65),1)</f>
        <v>67907.246275323734</v>
      </c>
      <c r="Y64" s="53">
        <f t="shared" si="2"/>
        <v>-418987.70951874746</v>
      </c>
      <c r="Z64" s="52">
        <f>H65*Assumptions!$B$7*Assumptions!$B$25/$E65/12</f>
        <v>8992.4482782130563</v>
      </c>
      <c r="AA64" s="49">
        <f>Z64*Assumptions!$B$11</f>
        <v>1798.4896556426113</v>
      </c>
      <c r="AB64" s="54">
        <f t="shared" si="15"/>
        <v>7193.9586225704452</v>
      </c>
      <c r="AC64" s="89">
        <f t="shared" si="9"/>
        <v>-411793.75089617702</v>
      </c>
      <c r="AD64" s="89">
        <f>Assumptions!$B$23*R64</f>
        <v>208814.78229662048</v>
      </c>
      <c r="AE64" s="89">
        <f t="shared" si="11"/>
        <v>-202978.96859955654</v>
      </c>
    </row>
    <row r="65" spans="1:31" x14ac:dyDescent="0.25">
      <c r="A65" s="44">
        <f t="shared" si="12"/>
        <v>60</v>
      </c>
      <c r="B65" s="45" t="s">
        <v>29</v>
      </c>
      <c r="C65" s="48">
        <f t="shared" si="13"/>
        <v>324</v>
      </c>
      <c r="D65" s="47">
        <f t="shared" si="1"/>
        <v>27</v>
      </c>
      <c r="E65" s="47">
        <f t="shared" si="4"/>
        <v>1</v>
      </c>
      <c r="F65" s="48">
        <f t="shared" si="14"/>
        <v>1</v>
      </c>
      <c r="G65" s="49">
        <f>(G64*($K64/$K63)-L64)*(1+Assumptions!$B$15)^$F65</f>
        <v>23343261.468842793</v>
      </c>
      <c r="H65" s="49">
        <f>$H$6/$G$6*G65*(1+Assumptions!$B$16)^INT((C65-1)/12)*IF(B65="Monthly",1,12)</f>
        <v>172655.00694169069</v>
      </c>
      <c r="I65" s="50">
        <f>Assumptions!$B$14</f>
        <v>0.15</v>
      </c>
      <c r="J65" s="50">
        <f t="shared" si="6"/>
        <v>0.15000000000000002</v>
      </c>
      <c r="K65" s="51">
        <f t="shared" si="7"/>
        <v>1.2425417618220197E-2</v>
      </c>
      <c r="L65" s="52">
        <f>H65*Assumptions!$B$7</f>
        <v>86327.503470845346</v>
      </c>
      <c r="M65" s="49">
        <f>L65*Assumptions!$B$11</f>
        <v>17265.50069416907</v>
      </c>
      <c r="N65" s="49">
        <f>H65*Assumptions!$B$11</f>
        <v>34531.00138833814</v>
      </c>
      <c r="O65" s="49">
        <f>N65*Assumptions!$B$12</f>
        <v>3453.1001388338141</v>
      </c>
      <c r="P65" s="49">
        <f>H65*Assumptions!$B$9</f>
        <v>13812.400555335256</v>
      </c>
      <c r="Q65" s="49">
        <f>H65*Assumptions!$B$8</f>
        <v>8632.750347084535</v>
      </c>
      <c r="R65" s="52">
        <f>(R66)/((1+Assumptions!$B$21)^$E66)+H66/IF(H$3="EOP",((1+Assumptions!$B$21)^$E66),1)</f>
        <v>1249929.6302450069</v>
      </c>
      <c r="S65" s="49">
        <f>(S66)/((1+Assumptions!$B$21)^$E66)+L66/IF(L$3="EOP",((1+Assumptions!$B$21)^$E66),1)</f>
        <v>609721.77085122291</v>
      </c>
      <c r="T65" s="49">
        <f>(T66)/((1+Assumptions!$B$21)^$E66)+M66/IF(M$3="EOP",((1+Assumptions!$B$21)^$E66),1)</f>
        <v>121944.35417024458</v>
      </c>
      <c r="U65" s="49">
        <f>(U66)/((1+Assumptions!$B$21)^$E66)+N66/IF(N$3="EOP",((1+Assumptions!$B$21)^$E66),1)</f>
        <v>249985.9260490014</v>
      </c>
      <c r="V65" s="49">
        <f>(V66)/((1+Assumptions!$B$21)^$E66)+O66/IF(O$3="EOP",((1+Assumptions!$B$21)^$E66),1)</f>
        <v>24998.592604900139</v>
      </c>
      <c r="W65" s="49">
        <f>(W66)/((1+Assumptions!$B$21)^$E66)+P66/IF(P$3="EOP",((1+Assumptions!$B$21)^$E66),1)</f>
        <v>99994.370419600556</v>
      </c>
      <c r="X65" s="49">
        <f>(X66)/((1+Assumptions!$B$21)^$E66)+Q66/IF(Q$3="EOP",((1+Assumptions!$B$21)^$E66),1)</f>
        <v>60972.17708512229</v>
      </c>
      <c r="Y65" s="53">
        <f t="shared" si="2"/>
        <v>-376198.33261520439</v>
      </c>
      <c r="Z65" s="52">
        <f>H66*Assumptions!$B$7*Assumptions!$B$25/$E66/12</f>
        <v>8383.5344326905561</v>
      </c>
      <c r="AA65" s="49">
        <f>Z65*Assumptions!$B$11</f>
        <v>1676.7068865381113</v>
      </c>
      <c r="AB65" s="54">
        <f t="shared" si="15"/>
        <v>6706.8275461524445</v>
      </c>
      <c r="AC65" s="89">
        <f t="shared" si="9"/>
        <v>-369491.50506905193</v>
      </c>
      <c r="AD65" s="89">
        <f>Assumptions!$B$23*R65</f>
        <v>187489.44453675102</v>
      </c>
      <c r="AE65" s="89">
        <f t="shared" si="11"/>
        <v>-182002.06053230091</v>
      </c>
    </row>
    <row r="66" spans="1:31" x14ac:dyDescent="0.25">
      <c r="A66" s="44">
        <f t="shared" si="12"/>
        <v>61</v>
      </c>
      <c r="B66" s="45" t="s">
        <v>29</v>
      </c>
      <c r="C66" s="48">
        <f t="shared" si="13"/>
        <v>336</v>
      </c>
      <c r="D66" s="47">
        <f t="shared" si="1"/>
        <v>28</v>
      </c>
      <c r="E66" s="47">
        <f t="shared" si="4"/>
        <v>1</v>
      </c>
      <c r="F66" s="48">
        <f t="shared" si="14"/>
        <v>1</v>
      </c>
      <c r="G66" s="49">
        <f>(G65*($K65/$K64)-L65)*(1+Assumptions!$B$15)^$F66</f>
        <v>20150553.639946438</v>
      </c>
      <c r="H66" s="49">
        <f>$H$6/$G$6*G66*(1+Assumptions!$B$16)^INT((C66-1)/12)*IF(B66="Monthly",1,12)</f>
        <v>160963.86110765868</v>
      </c>
      <c r="I66" s="50">
        <f>Assumptions!$B$14</f>
        <v>0.15</v>
      </c>
      <c r="J66" s="50">
        <f t="shared" si="6"/>
        <v>0.15000000000000002</v>
      </c>
      <c r="K66" s="51">
        <f t="shared" si="7"/>
        <v>1.0561604975487167E-2</v>
      </c>
      <c r="L66" s="52">
        <f>H66*Assumptions!$B$7</f>
        <v>80481.930553829341</v>
      </c>
      <c r="M66" s="49">
        <f>L66*Assumptions!$B$11</f>
        <v>16096.386110765869</v>
      </c>
      <c r="N66" s="49">
        <f>H66*Assumptions!$B$11</f>
        <v>32192.772221531737</v>
      </c>
      <c r="O66" s="49">
        <f>N66*Assumptions!$B$12</f>
        <v>3219.2772221531741</v>
      </c>
      <c r="P66" s="49">
        <f>H66*Assumptions!$B$9</f>
        <v>12877.108888612694</v>
      </c>
      <c r="Q66" s="49">
        <f>H66*Assumptions!$B$8</f>
        <v>8048.1930553829343</v>
      </c>
      <c r="R66" s="52">
        <f>(R67)/((1+Assumptions!$B$21)^$E67)+H67/IF(H$3="EOP",((1+Assumptions!$B$21)^$E67),1)</f>
        <v>1116189.9133657818</v>
      </c>
      <c r="S66" s="49">
        <f>(S67)/((1+Assumptions!$B$21)^$E67)+L67/IF(L$3="EOP",((1+Assumptions!$B$21)^$E67),1)</f>
        <v>544482.88456867414</v>
      </c>
      <c r="T66" s="49">
        <f>(T67)/((1+Assumptions!$B$21)^$E67)+M67/IF(M$3="EOP",((1+Assumptions!$B$21)^$E67),1)</f>
        <v>108896.57691373481</v>
      </c>
      <c r="U66" s="49">
        <f>(U67)/((1+Assumptions!$B$21)^$E67)+N67/IF(N$3="EOP",((1+Assumptions!$B$21)^$E67),1)</f>
        <v>223237.98267315637</v>
      </c>
      <c r="V66" s="49">
        <f>(V67)/((1+Assumptions!$B$21)^$E67)+O67/IF(O$3="EOP",((1+Assumptions!$B$21)^$E67),1)</f>
        <v>22323.798267315637</v>
      </c>
      <c r="W66" s="49">
        <f>(W67)/((1+Assumptions!$B$21)^$E67)+P67/IF(P$3="EOP",((1+Assumptions!$B$21)^$E67),1)</f>
        <v>89295.193069262546</v>
      </c>
      <c r="X66" s="49">
        <f>(X67)/((1+Assumptions!$B$21)^$E67)+Q67/IF(Q$3="EOP",((1+Assumptions!$B$21)^$E67),1)</f>
        <v>54448.288456867405</v>
      </c>
      <c r="Y66" s="53">
        <f t="shared" si="2"/>
        <v>-335945.93977887178</v>
      </c>
      <c r="Z66" s="52">
        <f>H67*Assumptions!$B$7*Assumptions!$B$25/$E67/12</f>
        <v>7813.1202232373334</v>
      </c>
      <c r="AA66" s="49">
        <f>Z66*Assumptions!$B$11</f>
        <v>1562.6240446474667</v>
      </c>
      <c r="AB66" s="54">
        <f t="shared" si="15"/>
        <v>6250.4961785898668</v>
      </c>
      <c r="AC66" s="89">
        <f t="shared" si="9"/>
        <v>-329695.4436002819</v>
      </c>
      <c r="AD66" s="89">
        <f>Assumptions!$B$23*R66</f>
        <v>167428.48700486726</v>
      </c>
      <c r="AE66" s="89">
        <f t="shared" si="11"/>
        <v>-162266.95659541464</v>
      </c>
    </row>
    <row r="67" spans="1:31" x14ac:dyDescent="0.25">
      <c r="A67" s="44">
        <f t="shared" si="12"/>
        <v>62</v>
      </c>
      <c r="B67" s="45" t="s">
        <v>29</v>
      </c>
      <c r="C67" s="48">
        <f t="shared" si="13"/>
        <v>348</v>
      </c>
      <c r="D67" s="47">
        <f t="shared" si="1"/>
        <v>29</v>
      </c>
      <c r="E67" s="47">
        <f t="shared" si="4"/>
        <v>1</v>
      </c>
      <c r="F67" s="48">
        <f t="shared" si="14"/>
        <v>1</v>
      </c>
      <c r="G67" s="49">
        <f>(G66*($K66/$K65)-L66)*(1+Assumptions!$B$15)^$F67</f>
        <v>17388438.436668657</v>
      </c>
      <c r="H67" s="49">
        <f>$H$6/$G$6*G67*(1+Assumptions!$B$16)^INT((C67-1)/12)*IF(B67="Monthly",1,12)</f>
        <v>150011.9082861568</v>
      </c>
      <c r="I67" s="50">
        <f>Assumptions!$B$14</f>
        <v>0.15</v>
      </c>
      <c r="J67" s="50">
        <f t="shared" si="6"/>
        <v>0.15000000000000002</v>
      </c>
      <c r="K67" s="51">
        <f t="shared" si="7"/>
        <v>8.977364229164092E-3</v>
      </c>
      <c r="L67" s="52">
        <f>H67*Assumptions!$B$7</f>
        <v>75005.954143078401</v>
      </c>
      <c r="M67" s="49">
        <f>L67*Assumptions!$B$11</f>
        <v>15001.190828615681</v>
      </c>
      <c r="N67" s="49">
        <f>H67*Assumptions!$B$11</f>
        <v>30002.381657231363</v>
      </c>
      <c r="O67" s="49">
        <f>N67*Assumptions!$B$12</f>
        <v>3000.2381657231363</v>
      </c>
      <c r="P67" s="49">
        <f>H67*Assumptions!$B$9</f>
        <v>12000.952662892545</v>
      </c>
      <c r="Q67" s="49">
        <f>H67*Assumptions!$B$8</f>
        <v>7500.5954143078407</v>
      </c>
      <c r="R67" s="52">
        <f>(R68)/((1+Assumptions!$B$21)^$E68)+H68/IF(H$3="EOP",((1+Assumptions!$B$21)^$E68),1)</f>
        <v>990332.45520661562</v>
      </c>
      <c r="S67" s="49">
        <f>(S68)/((1+Assumptions!$B$21)^$E68)+L68/IF(L$3="EOP",((1+Assumptions!$B$21)^$E68),1)</f>
        <v>483089.00253981253</v>
      </c>
      <c r="T67" s="49">
        <f>(T68)/((1+Assumptions!$B$21)^$E68)+M68/IF(M$3="EOP",((1+Assumptions!$B$21)^$E68),1)</f>
        <v>96617.8005079625</v>
      </c>
      <c r="U67" s="49">
        <f>(U68)/((1+Assumptions!$B$21)^$E68)+N68/IF(N$3="EOP",((1+Assumptions!$B$21)^$E68),1)</f>
        <v>198066.49104132311</v>
      </c>
      <c r="V67" s="49">
        <f>(V68)/((1+Assumptions!$B$21)^$E68)+O68/IF(O$3="EOP",((1+Assumptions!$B$21)^$E68),1)</f>
        <v>19806.64910413231</v>
      </c>
      <c r="W67" s="49">
        <f>(W68)/((1+Assumptions!$B$21)^$E68)+P68/IF(P$3="EOP",((1+Assumptions!$B$21)^$E68),1)</f>
        <v>79226.596416529239</v>
      </c>
      <c r="X67" s="49">
        <f>(X68)/((1+Assumptions!$B$21)^$E68)+Q68/IF(Q$3="EOP",((1+Assumptions!$B$21)^$E68),1)</f>
        <v>48308.90025398125</v>
      </c>
      <c r="Y67" s="53">
        <f t="shared" si="2"/>
        <v>-298065.91456706438</v>
      </c>
      <c r="Z67" s="52">
        <f>H68*Assumptions!$B$7*Assumptions!$B$25/$E68/12</f>
        <v>7278.7667878785151</v>
      </c>
      <c r="AA67" s="49">
        <f>Z67*Assumptions!$B$11</f>
        <v>1455.7533575757031</v>
      </c>
      <c r="AB67" s="54">
        <f t="shared" si="15"/>
        <v>5823.0134303028117</v>
      </c>
      <c r="AC67" s="89">
        <f t="shared" si="9"/>
        <v>-292242.90113676159</v>
      </c>
      <c r="AD67" s="89">
        <f>Assumptions!$B$23*R67</f>
        <v>148549.86828099235</v>
      </c>
      <c r="AE67" s="89">
        <f t="shared" si="11"/>
        <v>-143693.03285576924</v>
      </c>
    </row>
    <row r="68" spans="1:31" x14ac:dyDescent="0.25">
      <c r="A68" s="44">
        <f t="shared" si="12"/>
        <v>63</v>
      </c>
      <c r="B68" s="45" t="s">
        <v>29</v>
      </c>
      <c r="C68" s="48">
        <f t="shared" si="13"/>
        <v>360</v>
      </c>
      <c r="D68" s="47">
        <f t="shared" si="1"/>
        <v>30</v>
      </c>
      <c r="E68" s="47">
        <f t="shared" si="4"/>
        <v>1</v>
      </c>
      <c r="F68" s="48">
        <f t="shared" si="14"/>
        <v>1</v>
      </c>
      <c r="G68" s="49">
        <f>(G67*($K67/$K66)-L67)*(1+Assumptions!$B$15)^$F68</f>
        <v>14999270.051365783</v>
      </c>
      <c r="H68" s="49">
        <f>$H$6/$G$6*G68*(1+Assumptions!$B$16)^INT((C68-1)/12)*IF(B68="Monthly",1,12)</f>
        <v>139752.32232726749</v>
      </c>
      <c r="I68" s="50">
        <f>Assumptions!$B$14</f>
        <v>0.15</v>
      </c>
      <c r="J68" s="50">
        <f t="shared" si="6"/>
        <v>0.15000000000000002</v>
      </c>
      <c r="K68" s="51">
        <f t="shared" si="7"/>
        <v>7.6307595947894781E-3</v>
      </c>
      <c r="L68" s="52">
        <f>H68*Assumptions!$B$7</f>
        <v>69876.161163633747</v>
      </c>
      <c r="M68" s="49">
        <f>L68*Assumptions!$B$11</f>
        <v>13975.23223272675</v>
      </c>
      <c r="N68" s="49">
        <f>H68*Assumptions!$B$11</f>
        <v>27950.4644654535</v>
      </c>
      <c r="O68" s="49">
        <f>N68*Assumptions!$B$12</f>
        <v>2795.0464465453501</v>
      </c>
      <c r="P68" s="49">
        <f>H68*Assumptions!$B$9</f>
        <v>11180.185786181401</v>
      </c>
      <c r="Q68" s="49">
        <f>H68*Assumptions!$B$8</f>
        <v>6987.6161163633751</v>
      </c>
      <c r="R68" s="52">
        <f>(R69)/((1+Assumptions!$B$21)^$E69)+H69/IF(H$3="EOP",((1+Assumptions!$B$21)^$E69),1)</f>
        <v>871844.63620133174</v>
      </c>
      <c r="S68" s="49">
        <f>(S69)/((1+Assumptions!$B$21)^$E69)+L69/IF(L$3="EOP",((1+Assumptions!$B$21)^$E69),1)</f>
        <v>425290.066439674</v>
      </c>
      <c r="T68" s="49">
        <f>(T69)/((1+Assumptions!$B$21)^$E69)+M69/IF(M$3="EOP",((1+Assumptions!$B$21)^$E69),1)</f>
        <v>85058.013287934809</v>
      </c>
      <c r="U68" s="49">
        <f>(U69)/((1+Assumptions!$B$21)^$E69)+N69/IF(N$3="EOP",((1+Assumptions!$B$21)^$E69),1)</f>
        <v>174368.92724026635</v>
      </c>
      <c r="V68" s="49">
        <f>(V69)/((1+Assumptions!$B$21)^$E69)+O69/IF(O$3="EOP",((1+Assumptions!$B$21)^$E69),1)</f>
        <v>17436.892724026631</v>
      </c>
      <c r="W68" s="49">
        <f>(W69)/((1+Assumptions!$B$21)^$E69)+P69/IF(P$3="EOP",((1+Assumptions!$B$21)^$E69),1)</f>
        <v>69747.570896106525</v>
      </c>
      <c r="X68" s="49">
        <f>(X69)/((1+Assumptions!$B$21)^$E69)+Q69/IF(Q$3="EOP",((1+Assumptions!$B$21)^$E69),1)</f>
        <v>42529.006643967405</v>
      </c>
      <c r="Y68" s="53">
        <f t="shared" si="2"/>
        <v>-262403.9709932789</v>
      </c>
      <c r="Z68" s="52">
        <f>H69*Assumptions!$B$7*Assumptions!$B$25/$E69/12</f>
        <v>6778.1917657893055</v>
      </c>
      <c r="AA68" s="49">
        <f>Z68*Assumptions!$B$11</f>
        <v>1355.6383531578613</v>
      </c>
      <c r="AB68" s="54">
        <f t="shared" si="15"/>
        <v>5422.5534126314442</v>
      </c>
      <c r="AC68" s="89">
        <f t="shared" si="9"/>
        <v>-256981.41758064745</v>
      </c>
      <c r="AD68" s="89">
        <f>Assumptions!$B$23*R68</f>
        <v>130776.69543019976</v>
      </c>
      <c r="AE68" s="89">
        <f t="shared" si="11"/>
        <v>-126204.72215044769</v>
      </c>
    </row>
    <row r="69" spans="1:31" x14ac:dyDescent="0.25">
      <c r="A69" s="44">
        <f t="shared" si="12"/>
        <v>64</v>
      </c>
      <c r="B69" s="45" t="s">
        <v>29</v>
      </c>
      <c r="C69" s="48">
        <f t="shared" si="13"/>
        <v>372</v>
      </c>
      <c r="D69" s="47">
        <f t="shared" si="1"/>
        <v>31</v>
      </c>
      <c r="E69" s="47">
        <f t="shared" si="4"/>
        <v>1</v>
      </c>
      <c r="F69" s="48">
        <f t="shared" si="14"/>
        <v>1</v>
      </c>
      <c r="G69" s="49">
        <f>(G68*($K68/$K67)-L68)*(1+Assumptions!$B$15)^$F69</f>
        <v>12933093.450147228</v>
      </c>
      <c r="H69" s="49">
        <f>$H$6/$G$6*G69*(1+Assumptions!$B$16)^INT((C69-1)/12)*IF(B69="Monthly",1,12)</f>
        <v>130141.28190315465</v>
      </c>
      <c r="I69" s="50">
        <f>Assumptions!$B$14</f>
        <v>0.15</v>
      </c>
      <c r="J69" s="50">
        <f t="shared" si="6"/>
        <v>0.15000000000000002</v>
      </c>
      <c r="K69" s="51">
        <f t="shared" si="7"/>
        <v>6.4861456555710562E-3</v>
      </c>
      <c r="L69" s="52">
        <f>H69*Assumptions!$B$7</f>
        <v>65070.640951577327</v>
      </c>
      <c r="M69" s="49">
        <f>L69*Assumptions!$B$11</f>
        <v>13014.128190315467</v>
      </c>
      <c r="N69" s="49">
        <f>H69*Assumptions!$B$11</f>
        <v>26028.256380630934</v>
      </c>
      <c r="O69" s="49">
        <f>N69*Assumptions!$B$12</f>
        <v>2602.8256380630937</v>
      </c>
      <c r="P69" s="49">
        <f>H69*Assumptions!$B$9</f>
        <v>10411.302552252373</v>
      </c>
      <c r="Q69" s="49">
        <f>H69*Assumptions!$B$8</f>
        <v>6507.0640951577334</v>
      </c>
      <c r="R69" s="52">
        <f>(R70)/((1+Assumptions!$B$21)^$E70)+H70/IF(H$3="EOP",((1+Assumptions!$B$21)^$E70),1)</f>
        <v>760245.93815563142</v>
      </c>
      <c r="S69" s="49">
        <f>(S70)/((1+Assumptions!$B$21)^$E70)+L70/IF(L$3="EOP",((1+Assumptions!$B$21)^$E70),1)</f>
        <v>370851.67714908853</v>
      </c>
      <c r="T69" s="49">
        <f>(T70)/((1+Assumptions!$B$21)^$E70)+M70/IF(M$3="EOP",((1+Assumptions!$B$21)^$E70),1)</f>
        <v>74170.3354298177</v>
      </c>
      <c r="U69" s="49">
        <f>(U70)/((1+Assumptions!$B$21)^$E70)+N70/IF(N$3="EOP",((1+Assumptions!$B$21)^$E70),1)</f>
        <v>152049.18763112626</v>
      </c>
      <c r="V69" s="49">
        <f>(V70)/((1+Assumptions!$B$21)^$E70)+O70/IF(O$3="EOP",((1+Assumptions!$B$21)^$E70),1)</f>
        <v>15204.918763112624</v>
      </c>
      <c r="W69" s="49">
        <f>(W70)/((1+Assumptions!$B$21)^$E70)+P70/IF(P$3="EOP",((1+Assumptions!$B$21)^$E70),1)</f>
        <v>60819.675052450497</v>
      </c>
      <c r="X69" s="49">
        <f>(X70)/((1+Assumptions!$B$21)^$E70)+Q70/IF(Q$3="EOP",((1+Assumptions!$B$21)^$E70),1)</f>
        <v>37085.16771490885</v>
      </c>
      <c r="Y69" s="53">
        <f t="shared" si="2"/>
        <v>-228815.48480098764</v>
      </c>
      <c r="Z69" s="52">
        <f>H70*Assumptions!$B$7*Assumptions!$B$25/$E70/12</f>
        <v>6309.2594365829054</v>
      </c>
      <c r="AA69" s="49">
        <f>Z69*Assumptions!$B$11</f>
        <v>1261.8518873165813</v>
      </c>
      <c r="AB69" s="54">
        <f t="shared" si="15"/>
        <v>5047.4075492663242</v>
      </c>
      <c r="AC69" s="89">
        <f t="shared" si="9"/>
        <v>-223768.07725172132</v>
      </c>
      <c r="AD69" s="89">
        <f>Assumptions!$B$23*R69</f>
        <v>114036.89072334471</v>
      </c>
      <c r="AE69" s="89">
        <f t="shared" si="11"/>
        <v>-109731.18652837661</v>
      </c>
    </row>
    <row r="70" spans="1:31" x14ac:dyDescent="0.25">
      <c r="A70" s="44">
        <f t="shared" si="12"/>
        <v>65</v>
      </c>
      <c r="B70" s="45" t="s">
        <v>29</v>
      </c>
      <c r="C70" s="48">
        <f t="shared" si="13"/>
        <v>384</v>
      </c>
      <c r="D70" s="47">
        <f t="shared" ref="D70:D78" si="16">C70/12</f>
        <v>32</v>
      </c>
      <c r="E70" s="47">
        <f t="shared" si="4"/>
        <v>1</v>
      </c>
      <c r="F70" s="48">
        <f t="shared" si="14"/>
        <v>1</v>
      </c>
      <c r="G70" s="49">
        <f>(G69*($K69/$K68)-L69)*(1+Assumptions!$B$15)^$F70</f>
        <v>11146619.967507036</v>
      </c>
      <c r="H70" s="49">
        <f>$H$6/$G$6*G70*(1+Assumptions!$B$16)^INT((C70-1)/12)*IF(B70="Monthly",1,12)</f>
        <v>121137.78118239177</v>
      </c>
      <c r="I70" s="50">
        <f>Assumptions!$B$14</f>
        <v>0.15</v>
      </c>
      <c r="J70" s="50">
        <f t="shared" si="6"/>
        <v>0.15000000000000002</v>
      </c>
      <c r="K70" s="51">
        <f t="shared" si="7"/>
        <v>5.5132238072353977E-3</v>
      </c>
      <c r="L70" s="52">
        <f>H70*Assumptions!$B$7</f>
        <v>60568.890591195886</v>
      </c>
      <c r="M70" s="49">
        <f>L70*Assumptions!$B$11</f>
        <v>12113.778118239177</v>
      </c>
      <c r="N70" s="49">
        <f>H70*Assumptions!$B$11</f>
        <v>24227.556236478355</v>
      </c>
      <c r="O70" s="49">
        <f>N70*Assumptions!$B$12</f>
        <v>2422.7556236478354</v>
      </c>
      <c r="P70" s="49">
        <f>H70*Assumptions!$B$9</f>
        <v>9691.0224945913415</v>
      </c>
      <c r="Q70" s="49">
        <f>H70*Assumptions!$B$8</f>
        <v>6056.8890591195886</v>
      </c>
      <c r="R70" s="52">
        <f>(R71)/((1+Assumptions!$B$21)^$E71)+H71/IF(H$3="EOP",((1+Assumptions!$B$21)^$E71),1)</f>
        <v>655085.8608975705</v>
      </c>
      <c r="S70" s="49">
        <f>(S71)/((1+Assumptions!$B$21)^$E71)+L71/IF(L$3="EOP",((1+Assumptions!$B$21)^$E71),1)</f>
        <v>319554.07848661981</v>
      </c>
      <c r="T70" s="49">
        <f>(T71)/((1+Assumptions!$B$21)^$E71)+M71/IF(M$3="EOP",((1+Assumptions!$B$21)^$E71),1)</f>
        <v>63910.815697323953</v>
      </c>
      <c r="U70" s="49">
        <f>(U71)/((1+Assumptions!$B$21)^$E71)+N71/IF(N$3="EOP",((1+Assumptions!$B$21)^$E71),1)</f>
        <v>131017.17217951408</v>
      </c>
      <c r="V70" s="49">
        <f>(V71)/((1+Assumptions!$B$21)^$E71)+O71/IF(O$3="EOP",((1+Assumptions!$B$21)^$E71),1)</f>
        <v>13101.717217951407</v>
      </c>
      <c r="W70" s="49">
        <f>(W71)/((1+Assumptions!$B$21)^$E71)+P71/IF(P$3="EOP",((1+Assumptions!$B$21)^$E71),1)</f>
        <v>52406.868871805629</v>
      </c>
      <c r="X70" s="49">
        <f>(X71)/((1+Assumptions!$B$21)^$E71)+Q71/IF(Q$3="EOP",((1+Assumptions!$B$21)^$E71),1)</f>
        <v>31955.407848661976</v>
      </c>
      <c r="Y70" s="53">
        <f t="shared" ref="Y70:Y78" si="17">-R70+S70-T70+U70-V70+W70+X70</f>
        <v>-197164.86642624438</v>
      </c>
      <c r="Z70" s="52">
        <f>H71*Assumptions!$B$7*Assumptions!$B$25/$E71/12</f>
        <v>5869.9714921989098</v>
      </c>
      <c r="AA70" s="49">
        <f>Z70*Assumptions!$B$11</f>
        <v>1173.9942984397819</v>
      </c>
      <c r="AB70" s="54">
        <f t="shared" si="15"/>
        <v>4695.9771937591277</v>
      </c>
      <c r="AC70" s="89">
        <f t="shared" ref="AC70:AC78" si="18">Y70+AB70</f>
        <v>-192468.88923248526</v>
      </c>
      <c r="AD70" s="89">
        <f>Assumptions!$B$23*R70</f>
        <v>98262.879134635572</v>
      </c>
      <c r="AE70" s="89">
        <f t="shared" ref="AE70:AE78" si="19">AC70+AD70</f>
        <v>-94206.010097849692</v>
      </c>
    </row>
    <row r="71" spans="1:31" x14ac:dyDescent="0.25">
      <c r="A71" s="44">
        <f t="shared" si="12"/>
        <v>66</v>
      </c>
      <c r="B71" s="45" t="s">
        <v>29</v>
      </c>
      <c r="C71" s="48">
        <f t="shared" si="13"/>
        <v>396</v>
      </c>
      <c r="D71" s="47">
        <f t="shared" si="16"/>
        <v>33</v>
      </c>
      <c r="E71" s="47">
        <f t="shared" ref="E71:E78" si="20">D71-D70</f>
        <v>1</v>
      </c>
      <c r="F71" s="48">
        <f t="shared" si="14"/>
        <v>1</v>
      </c>
      <c r="G71" s="49">
        <f>(G70*($K70/$K69)-L70)*(1+Assumptions!$B$15)^$F71</f>
        <v>9602339.2434255797</v>
      </c>
      <c r="H71" s="49">
        <f>$H$6/$G$6*G71*(1+Assumptions!$B$16)^INT((C71-1)/12)*IF(B71="Monthly",1,12)</f>
        <v>112703.45265021906</v>
      </c>
      <c r="I71" s="50">
        <f>Assumptions!$B$14</f>
        <v>0.15</v>
      </c>
      <c r="J71" s="50">
        <f t="shared" ref="J71:J78" si="21">1-(1-I71)^$E71</f>
        <v>0.15000000000000002</v>
      </c>
      <c r="K71" s="51">
        <f t="shared" ref="K71:K77" si="22">K70*(1-J71)</f>
        <v>4.6862402361500877E-3</v>
      </c>
      <c r="L71" s="52">
        <f>H71*Assumptions!$B$7</f>
        <v>56351.726325109528</v>
      </c>
      <c r="M71" s="49">
        <f>L71*Assumptions!$B$11</f>
        <v>11270.345265021906</v>
      </c>
      <c r="N71" s="49">
        <f>H71*Assumptions!$B$11</f>
        <v>22540.690530043812</v>
      </c>
      <c r="O71" s="49">
        <f>N71*Assumptions!$B$12</f>
        <v>2254.0690530043812</v>
      </c>
      <c r="P71" s="49">
        <f>H71*Assumptions!$B$9</f>
        <v>9016.2762120175248</v>
      </c>
      <c r="Q71" s="49">
        <f>H71*Assumptions!$B$8</f>
        <v>5635.172632510953</v>
      </c>
      <c r="R71" s="52">
        <f>(R72)/((1+Assumptions!$B$21)^$E72)+H72/IF(H$3="EOP",((1+Assumptions!$B$21)^$E72),1)</f>
        <v>555941.96845353511</v>
      </c>
      <c r="S71" s="49">
        <f>(S72)/((1+Assumptions!$B$21)^$E72)+L72/IF(L$3="EOP",((1+Assumptions!$B$21)^$E72),1)</f>
        <v>271191.20412367571</v>
      </c>
      <c r="T71" s="49">
        <f>(T72)/((1+Assumptions!$B$21)^$E72)+M72/IF(M$3="EOP",((1+Assumptions!$B$21)^$E72),1)</f>
        <v>54238.240824735141</v>
      </c>
      <c r="U71" s="49">
        <f>(U72)/((1+Assumptions!$B$21)^$E72)+N72/IF(N$3="EOP",((1+Assumptions!$B$21)^$E72),1)</f>
        <v>111188.39369070702</v>
      </c>
      <c r="V71" s="49">
        <f>(V72)/((1+Assumptions!$B$21)^$E72)+O72/IF(O$3="EOP",((1+Assumptions!$B$21)^$E72),1)</f>
        <v>11118.839369070702</v>
      </c>
      <c r="W71" s="49">
        <f>(W72)/((1+Assumptions!$B$21)^$E72)+P72/IF(P$3="EOP",((1+Assumptions!$B$21)^$E72),1)</f>
        <v>44475.357476282807</v>
      </c>
      <c r="X71" s="49">
        <f>(X72)/((1+Assumptions!$B$21)^$E72)+Q72/IF(Q$3="EOP",((1+Assumptions!$B$21)^$E72),1)</f>
        <v>27119.120412367571</v>
      </c>
      <c r="Y71" s="53">
        <f t="shared" si="17"/>
        <v>-167324.97294430784</v>
      </c>
      <c r="Z71" s="52">
        <f>H72*Assumptions!$B$7*Assumptions!$B$25/$E72/12</f>
        <v>5458.4584009397395</v>
      </c>
      <c r="AA71" s="49">
        <f>Z71*Assumptions!$B$11</f>
        <v>1091.6916801879479</v>
      </c>
      <c r="AB71" s="54">
        <f t="shared" si="15"/>
        <v>4366.7667207517916</v>
      </c>
      <c r="AC71" s="89">
        <f t="shared" si="18"/>
        <v>-162958.20622355604</v>
      </c>
      <c r="AD71" s="89">
        <f>Assumptions!$B$23*R71</f>
        <v>83391.29526803027</v>
      </c>
      <c r="AE71" s="89">
        <f t="shared" si="19"/>
        <v>-79566.910955525775</v>
      </c>
    </row>
    <row r="72" spans="1:31" x14ac:dyDescent="0.25">
      <c r="A72" s="44">
        <f t="shared" si="12"/>
        <v>67</v>
      </c>
      <c r="B72" s="45" t="s">
        <v>29</v>
      </c>
      <c r="C72" s="48">
        <f t="shared" si="13"/>
        <v>408</v>
      </c>
      <c r="D72" s="47">
        <f t="shared" si="16"/>
        <v>34</v>
      </c>
      <c r="E72" s="47">
        <f t="shared" si="20"/>
        <v>1</v>
      </c>
      <c r="F72" s="48">
        <f t="shared" si="14"/>
        <v>1</v>
      </c>
      <c r="G72" s="49">
        <f>(G71*($K71/$K70)-L71)*(1+Assumptions!$B$15)^$F72</f>
        <v>8267749.3631983651</v>
      </c>
      <c r="H72" s="49">
        <f>$H$6/$G$6*G72*(1+Assumptions!$B$16)^INT((C72-1)/12)*IF(B72="Monthly",1,12)</f>
        <v>104802.401298043</v>
      </c>
      <c r="I72" s="50">
        <f>Assumptions!$B$14</f>
        <v>0.15</v>
      </c>
      <c r="J72" s="50">
        <f t="shared" si="21"/>
        <v>0.15000000000000002</v>
      </c>
      <c r="K72" s="51">
        <f t="shared" si="22"/>
        <v>3.9833042007275743E-3</v>
      </c>
      <c r="L72" s="52">
        <f>H72*Assumptions!$B$7</f>
        <v>52401.200649021499</v>
      </c>
      <c r="M72" s="49">
        <f>L72*Assumptions!$B$11</f>
        <v>10480.240129804301</v>
      </c>
      <c r="N72" s="49">
        <f>H72*Assumptions!$B$11</f>
        <v>20960.480259608601</v>
      </c>
      <c r="O72" s="49">
        <f>N72*Assumptions!$B$12</f>
        <v>2096.0480259608603</v>
      </c>
      <c r="P72" s="49">
        <f>H72*Assumptions!$B$9</f>
        <v>8384.1921038434393</v>
      </c>
      <c r="Q72" s="49">
        <f>H72*Assumptions!$B$8</f>
        <v>5240.1200649021503</v>
      </c>
      <c r="R72" s="52">
        <f>(R73)/((1+Assumptions!$B$21)^$E73)+H73/IF(H$3="EOP",((1+Assumptions!$B$21)^$E73),1)</f>
        <v>462418.05633437936</v>
      </c>
      <c r="S72" s="49">
        <f>(S73)/((1+Assumptions!$B$21)^$E73)+L73/IF(L$3="EOP",((1+Assumptions!$B$21)^$E73),1)</f>
        <v>225569.78357774607</v>
      </c>
      <c r="T72" s="49">
        <f>(T73)/((1+Assumptions!$B$21)^$E73)+M73/IF(M$3="EOP",((1+Assumptions!$B$21)^$E73),1)</f>
        <v>45113.956715549211</v>
      </c>
      <c r="U72" s="49">
        <f>(U73)/((1+Assumptions!$B$21)^$E73)+N73/IF(N$3="EOP",((1+Assumptions!$B$21)^$E73),1)</f>
        <v>92483.611266875872</v>
      </c>
      <c r="V72" s="49">
        <f>(V73)/((1+Assumptions!$B$21)^$E73)+O73/IF(O$3="EOP",((1+Assumptions!$B$21)^$E73),1)</f>
        <v>9248.3611266875869</v>
      </c>
      <c r="W72" s="49">
        <f>(W73)/((1+Assumptions!$B$21)^$E73)+P73/IF(P$3="EOP",((1+Assumptions!$B$21)^$E73),1)</f>
        <v>36993.444506750348</v>
      </c>
      <c r="X72" s="49">
        <f>(X73)/((1+Assumptions!$B$21)^$E73)+Q73/IF(Q$3="EOP",((1+Assumptions!$B$21)^$E73),1)</f>
        <v>22556.978357774606</v>
      </c>
      <c r="Y72" s="53">
        <f t="shared" si="17"/>
        <v>-139176.55646746926</v>
      </c>
      <c r="Z72" s="52">
        <f>H73*Assumptions!$B$7*Assumptions!$B$25/$E73/12</f>
        <v>5072.971325660601</v>
      </c>
      <c r="AA72" s="49">
        <f>Z72*Assumptions!$B$11</f>
        <v>1014.5942651321202</v>
      </c>
      <c r="AB72" s="54">
        <f t="shared" si="15"/>
        <v>4058.3770605284808</v>
      </c>
      <c r="AC72" s="89">
        <f t="shared" si="18"/>
        <v>-135118.17940694076</v>
      </c>
      <c r="AD72" s="89">
        <f>Assumptions!$B$23*R72</f>
        <v>69362.708450156904</v>
      </c>
      <c r="AE72" s="89">
        <f t="shared" si="19"/>
        <v>-65755.470956783858</v>
      </c>
    </row>
    <row r="73" spans="1:31" x14ac:dyDescent="0.25">
      <c r="A73" s="44">
        <f t="shared" si="12"/>
        <v>68</v>
      </c>
      <c r="B73" s="45" t="s">
        <v>29</v>
      </c>
      <c r="C73" s="48">
        <f t="shared" si="13"/>
        <v>420</v>
      </c>
      <c r="D73" s="47">
        <f t="shared" si="16"/>
        <v>35</v>
      </c>
      <c r="E73" s="47">
        <f t="shared" si="20"/>
        <v>1</v>
      </c>
      <c r="F73" s="48">
        <f t="shared" si="14"/>
        <v>1</v>
      </c>
      <c r="G73" s="49">
        <f>(G72*($K72/$K71)-L72)*(1+Assumptions!$B$15)^$F73</f>
        <v>7114689.4732309803</v>
      </c>
      <c r="H73" s="49">
        <f>$H$6/$G$6*G73*(1+Assumptions!$B$16)^INT((C73-1)/12)*IF(B73="Monthly",1,12)</f>
        <v>97401.049452683539</v>
      </c>
      <c r="I73" s="50">
        <f>Assumptions!$B$14</f>
        <v>0.15</v>
      </c>
      <c r="J73" s="50">
        <f t="shared" si="21"/>
        <v>0.15000000000000002</v>
      </c>
      <c r="K73" s="51">
        <f t="shared" si="22"/>
        <v>3.3858085706184381E-3</v>
      </c>
      <c r="L73" s="52">
        <f>H73*Assumptions!$B$7</f>
        <v>48700.52472634177</v>
      </c>
      <c r="M73" s="49">
        <f>L73*Assumptions!$B$11</f>
        <v>9740.1049452683546</v>
      </c>
      <c r="N73" s="49">
        <f>H73*Assumptions!$B$11</f>
        <v>19480.209890536709</v>
      </c>
      <c r="O73" s="49">
        <f>N73*Assumptions!$B$12</f>
        <v>1948.020989053671</v>
      </c>
      <c r="P73" s="49">
        <f>H73*Assumptions!$B$9</f>
        <v>7792.083956214683</v>
      </c>
      <c r="Q73" s="49">
        <f>H73*Assumptions!$B$8</f>
        <v>4870.0524726341773</v>
      </c>
      <c r="R73" s="52">
        <f>(R74)/((1+Assumptions!$B$21)^$E74)+H74/IF(H$3="EOP",((1+Assumptions!$B$21)^$E74),1)</f>
        <v>374142.43205373816</v>
      </c>
      <c r="S73" s="49">
        <f>(S74)/((1+Assumptions!$B$21)^$E74)+L74/IF(L$3="EOP",((1+Assumptions!$B$21)^$E74),1)</f>
        <v>182508.50344084791</v>
      </c>
      <c r="T73" s="49">
        <f>(T74)/((1+Assumptions!$B$21)^$E74)+M74/IF(M$3="EOP",((1+Assumptions!$B$21)^$E74),1)</f>
        <v>36501.700688169578</v>
      </c>
      <c r="U73" s="49">
        <f>(U74)/((1+Assumptions!$B$21)^$E74)+N74/IF(N$3="EOP",((1+Assumptions!$B$21)^$E74),1)</f>
        <v>74828.486410747646</v>
      </c>
      <c r="V73" s="49">
        <f>(V74)/((1+Assumptions!$B$21)^$E74)+O74/IF(O$3="EOP",((1+Assumptions!$B$21)^$E74),1)</f>
        <v>7482.8486410747637</v>
      </c>
      <c r="W73" s="49">
        <f>(W74)/((1+Assumptions!$B$21)^$E74)+P74/IF(P$3="EOP",((1+Assumptions!$B$21)^$E74),1)</f>
        <v>29931.394564299055</v>
      </c>
      <c r="X73" s="49">
        <f>(X74)/((1+Assumptions!$B$21)^$E74)+Q74/IF(Q$3="EOP",((1+Assumptions!$B$21)^$E74),1)</f>
        <v>18250.850344084789</v>
      </c>
      <c r="Y73" s="53">
        <f t="shared" si="17"/>
        <v>-112607.7466230031</v>
      </c>
      <c r="Z73" s="52">
        <f>H74*Assumptions!$B$7*Assumptions!$B$25/$E74/12</f>
        <v>4711.8745603965554</v>
      </c>
      <c r="AA73" s="49">
        <f>Z73*Assumptions!$B$11</f>
        <v>942.37491207931112</v>
      </c>
      <c r="AB73" s="54">
        <f t="shared" si="15"/>
        <v>3769.4996483172445</v>
      </c>
      <c r="AC73" s="89">
        <f t="shared" si="18"/>
        <v>-108838.24697468586</v>
      </c>
      <c r="AD73" s="89">
        <f>Assumptions!$B$23*R73</f>
        <v>56121.364808060724</v>
      </c>
      <c r="AE73" s="89">
        <f t="shared" si="19"/>
        <v>-52716.882166625132</v>
      </c>
    </row>
    <row r="74" spans="1:31" x14ac:dyDescent="0.25">
      <c r="A74" s="44">
        <f t="shared" si="12"/>
        <v>69</v>
      </c>
      <c r="B74" s="45" t="s">
        <v>29</v>
      </c>
      <c r="C74" s="48">
        <f t="shared" si="13"/>
        <v>432</v>
      </c>
      <c r="D74" s="47">
        <f t="shared" si="16"/>
        <v>36</v>
      </c>
      <c r="E74" s="47">
        <f t="shared" si="20"/>
        <v>1</v>
      </c>
      <c r="F74" s="48">
        <f t="shared" si="14"/>
        <v>1</v>
      </c>
      <c r="G74" s="49">
        <f>(G73*($K73/$K72)-L73)*(1+Assumptions!$B$15)^$F74</f>
        <v>6118761.2380703911</v>
      </c>
      <c r="H74" s="49">
        <f>$H$6/$G$6*G74*(1+Assumptions!$B$16)^INT((C74-1)/12)*IF(B74="Monthly",1,12)</f>
        <v>90467.99155961386</v>
      </c>
      <c r="I74" s="50">
        <f>Assumptions!$B$14</f>
        <v>0.15</v>
      </c>
      <c r="J74" s="50">
        <f t="shared" si="21"/>
        <v>0.15000000000000002</v>
      </c>
      <c r="K74" s="51">
        <f t="shared" si="22"/>
        <v>2.8779372850256725E-3</v>
      </c>
      <c r="L74" s="52">
        <f>H74*Assumptions!$B$7</f>
        <v>45233.99577980693</v>
      </c>
      <c r="M74" s="49">
        <f>L74*Assumptions!$B$11</f>
        <v>9046.7991559613856</v>
      </c>
      <c r="N74" s="49">
        <f>H74*Assumptions!$B$11</f>
        <v>18093.598311922771</v>
      </c>
      <c r="O74" s="49">
        <f>N74*Assumptions!$B$12</f>
        <v>1809.3598311922772</v>
      </c>
      <c r="P74" s="49">
        <f>H74*Assumptions!$B$9</f>
        <v>7237.4393247691087</v>
      </c>
      <c r="Q74" s="49">
        <f>H74*Assumptions!$B$8</f>
        <v>4523.3995779806928</v>
      </c>
      <c r="R74" s="52">
        <f>(R75)/((1+Assumptions!$B$21)^$E75)+H75/IF(H$3="EOP",((1+Assumptions!$B$21)^$E75),1)</f>
        <v>290766.30150647741</v>
      </c>
      <c r="S74" s="49">
        <f>(S75)/((1+Assumptions!$B$21)^$E75)+L75/IF(L$3="EOP",((1+Assumptions!$B$21)^$E75),1)</f>
        <v>141837.22024706216</v>
      </c>
      <c r="T74" s="49">
        <f>(T75)/((1+Assumptions!$B$21)^$E75)+M75/IF(M$3="EOP",((1+Assumptions!$B$21)^$E75),1)</f>
        <v>28367.444049412428</v>
      </c>
      <c r="U74" s="49">
        <f>(U75)/((1+Assumptions!$B$21)^$E75)+N75/IF(N$3="EOP",((1+Assumptions!$B$21)^$E75),1)</f>
        <v>58153.260301295486</v>
      </c>
      <c r="V74" s="49">
        <f>(V75)/((1+Assumptions!$B$21)^$E75)+O75/IF(O$3="EOP",((1+Assumptions!$B$21)^$E75),1)</f>
        <v>5815.3260301295486</v>
      </c>
      <c r="W74" s="49">
        <f>(W75)/((1+Assumptions!$B$21)^$E75)+P75/IF(P$3="EOP",((1+Assumptions!$B$21)^$E75),1)</f>
        <v>23261.304120518194</v>
      </c>
      <c r="X74" s="49">
        <f>(X75)/((1+Assumptions!$B$21)^$E75)+Q75/IF(Q$3="EOP",((1+Assumptions!$B$21)^$E75),1)</f>
        <v>14183.722024706214</v>
      </c>
      <c r="Y74" s="53">
        <f t="shared" si="17"/>
        <v>-87513.564892437338</v>
      </c>
      <c r="Z74" s="52">
        <f>H75*Assumptions!$B$7*Assumptions!$B$25/$E75/12</f>
        <v>4373.6384518168888</v>
      </c>
      <c r="AA74" s="49">
        <f>Z74*Assumptions!$B$11</f>
        <v>874.72769036337786</v>
      </c>
      <c r="AB74" s="54">
        <f t="shared" si="15"/>
        <v>3498.910761453511</v>
      </c>
      <c r="AC74" s="89">
        <f t="shared" si="18"/>
        <v>-84014.654130983821</v>
      </c>
      <c r="AD74" s="89">
        <f>Assumptions!$B$23*R74</f>
        <v>43614.945225971613</v>
      </c>
      <c r="AE74" s="89">
        <f t="shared" si="19"/>
        <v>-40399.708905012209</v>
      </c>
    </row>
    <row r="75" spans="1:31" x14ac:dyDescent="0.25">
      <c r="A75" s="44">
        <f t="shared" si="12"/>
        <v>70</v>
      </c>
      <c r="B75" s="45" t="s">
        <v>29</v>
      </c>
      <c r="C75" s="48">
        <f t="shared" si="13"/>
        <v>444</v>
      </c>
      <c r="D75" s="47">
        <f t="shared" si="16"/>
        <v>37</v>
      </c>
      <c r="E75" s="47">
        <f t="shared" si="20"/>
        <v>1</v>
      </c>
      <c r="F75" s="48">
        <f t="shared" si="14"/>
        <v>1</v>
      </c>
      <c r="G75" s="49">
        <f>(G74*($K74/$K73)-L74)*(1+Assumptions!$B$15)^$F75</f>
        <v>5258827.3177116262</v>
      </c>
      <c r="H75" s="49">
        <f>$H$6/$G$6*G75*(1+Assumptions!$B$16)^INT((C75-1)/12)*IF(B75="Monthly",1,12)</f>
        <v>83973.85827488426</v>
      </c>
      <c r="I75" s="50">
        <f>Assumptions!$B$14</f>
        <v>0.15</v>
      </c>
      <c r="J75" s="50">
        <f t="shared" si="21"/>
        <v>0.15000000000000002</v>
      </c>
      <c r="K75" s="51">
        <f t="shared" si="22"/>
        <v>2.4462466922718215E-3</v>
      </c>
      <c r="L75" s="52">
        <f>H75*Assumptions!$B$7</f>
        <v>41986.92913744213</v>
      </c>
      <c r="M75" s="49">
        <f>L75*Assumptions!$B$11</f>
        <v>8397.385827488426</v>
      </c>
      <c r="N75" s="49">
        <f>H75*Assumptions!$B$11</f>
        <v>16794.771654976852</v>
      </c>
      <c r="O75" s="49">
        <f>N75*Assumptions!$B$12</f>
        <v>1679.4771654976853</v>
      </c>
      <c r="P75" s="49">
        <f>H75*Assumptions!$B$9</f>
        <v>6717.9086619907412</v>
      </c>
      <c r="Q75" s="49">
        <f>H75*Assumptions!$B$8</f>
        <v>4198.692913744213</v>
      </c>
      <c r="R75" s="52">
        <f>(R76)/((1+Assumptions!$B$21)^$E76)+H76/IF(H$3="EOP",((1+Assumptions!$B$21)^$E76),1)</f>
        <v>211962.25431238295</v>
      </c>
      <c r="S75" s="49">
        <f>(S76)/((1+Assumptions!$B$21)^$E76)+L76/IF(L$3="EOP",((1+Assumptions!$B$21)^$E76),1)</f>
        <v>103396.22161579657</v>
      </c>
      <c r="T75" s="49">
        <f>(T76)/((1+Assumptions!$B$21)^$E76)+M76/IF(M$3="EOP",((1+Assumptions!$B$21)^$E76),1)</f>
        <v>20679.244323159313</v>
      </c>
      <c r="U75" s="49">
        <f>(U76)/((1+Assumptions!$B$21)^$E76)+N76/IF(N$3="EOP",((1+Assumptions!$B$21)^$E76),1)</f>
        <v>42392.450862476595</v>
      </c>
      <c r="V75" s="49">
        <f>(V76)/((1+Assumptions!$B$21)^$E76)+O76/IF(O$3="EOP",((1+Assumptions!$B$21)^$E76),1)</f>
        <v>4239.2450862476599</v>
      </c>
      <c r="W75" s="49">
        <f>(W76)/((1+Assumptions!$B$21)^$E76)+P76/IF(P$3="EOP",((1+Assumptions!$B$21)^$E76),1)</f>
        <v>16956.980344990636</v>
      </c>
      <c r="X75" s="49">
        <f>(X76)/((1+Assumptions!$B$21)^$E76)+Q76/IF(Q$3="EOP",((1+Assumptions!$B$21)^$E76),1)</f>
        <v>10339.622161579657</v>
      </c>
      <c r="Y75" s="53">
        <f t="shared" si="17"/>
        <v>-63795.468736946466</v>
      </c>
      <c r="Z75" s="52">
        <f>H76*Assumptions!$B$7*Assumptions!$B$25/$E76/12</f>
        <v>4056.8327738395569</v>
      </c>
      <c r="AA75" s="49">
        <f>Z75*Assumptions!$B$11</f>
        <v>811.36655476791145</v>
      </c>
      <c r="AB75" s="54">
        <f t="shared" si="15"/>
        <v>3245.4662190716454</v>
      </c>
      <c r="AC75" s="89">
        <f t="shared" si="18"/>
        <v>-60550.002517874818</v>
      </c>
      <c r="AD75" s="89">
        <f>Assumptions!$B$23*R75</f>
        <v>31794.338146857441</v>
      </c>
      <c r="AE75" s="89">
        <f t="shared" si="19"/>
        <v>-28755.664371017378</v>
      </c>
    </row>
    <row r="76" spans="1:31" x14ac:dyDescent="0.25">
      <c r="A76" s="44">
        <f t="shared" si="12"/>
        <v>71</v>
      </c>
      <c r="B76" s="45" t="s">
        <v>29</v>
      </c>
      <c r="C76" s="48">
        <f t="shared" si="13"/>
        <v>456</v>
      </c>
      <c r="D76" s="47">
        <f t="shared" si="16"/>
        <v>38</v>
      </c>
      <c r="E76" s="47">
        <f t="shared" si="20"/>
        <v>1</v>
      </c>
      <c r="F76" s="48">
        <f t="shared" si="14"/>
        <v>1</v>
      </c>
      <c r="G76" s="49">
        <f>(G75*($K75/$K74)-L75)*(1+Assumptions!$B$15)^$F76</f>
        <v>4516576.616735789</v>
      </c>
      <c r="H76" s="49">
        <f>$H$6/$G$6*G76*(1+Assumptions!$B$16)^INT((C76-1)/12)*IF(B76="Monthly",1,12)</f>
        <v>77891.189257719496</v>
      </c>
      <c r="I76" s="50">
        <f>Assumptions!$B$14</f>
        <v>0.15</v>
      </c>
      <c r="J76" s="50">
        <f t="shared" si="21"/>
        <v>0.15000000000000002</v>
      </c>
      <c r="K76" s="51">
        <f t="shared" si="22"/>
        <v>2.0793096884310484E-3</v>
      </c>
      <c r="L76" s="52">
        <f>H76*Assumptions!$B$7</f>
        <v>38945.594628859748</v>
      </c>
      <c r="M76" s="49">
        <f>L76*Assumptions!$B$11</f>
        <v>7789.1189257719498</v>
      </c>
      <c r="N76" s="49">
        <f>H76*Assumptions!$B$11</f>
        <v>15578.2378515439</v>
      </c>
      <c r="O76" s="49">
        <f>N76*Assumptions!$B$12</f>
        <v>1557.82378515439</v>
      </c>
      <c r="P76" s="49">
        <f>H76*Assumptions!$B$9</f>
        <v>6231.2951406175598</v>
      </c>
      <c r="Q76" s="49">
        <f>H76*Assumptions!$B$8</f>
        <v>3894.5594628859749</v>
      </c>
      <c r="R76" s="52">
        <f>(R77)/((1+Assumptions!$B$21)^$E77)+H77/IF(H$3="EOP",((1+Assumptions!$B$21)^$E77),1)</f>
        <v>137422.84168103003</v>
      </c>
      <c r="S76" s="49">
        <f>(S77)/((1+Assumptions!$B$21)^$E77)+L77/IF(L$3="EOP",((1+Assumptions!$B$21)^$E77),1)</f>
        <v>67035.532527331728</v>
      </c>
      <c r="T76" s="49">
        <f>(T77)/((1+Assumptions!$B$21)^$E77)+M77/IF(M$3="EOP",((1+Assumptions!$B$21)^$E77),1)</f>
        <v>13407.106505466345</v>
      </c>
      <c r="U76" s="49">
        <f>(U77)/((1+Assumptions!$B$21)^$E77)+N77/IF(N$3="EOP",((1+Assumptions!$B$21)^$E77),1)</f>
        <v>27484.568336206008</v>
      </c>
      <c r="V76" s="49">
        <f>(V77)/((1+Assumptions!$B$21)^$E77)+O77/IF(O$3="EOP",((1+Assumptions!$B$21)^$E77),1)</f>
        <v>2748.4568336206007</v>
      </c>
      <c r="W76" s="49">
        <f>(W77)/((1+Assumptions!$B$21)^$E77)+P77/IF(P$3="EOP",((1+Assumptions!$B$21)^$E77),1)</f>
        <v>10993.827334482401</v>
      </c>
      <c r="X76" s="49">
        <f>(X77)/((1+Assumptions!$B$21)^$E77)+Q77/IF(Q$3="EOP",((1+Assumptions!$B$21)^$E77),1)</f>
        <v>6703.5532527331725</v>
      </c>
      <c r="Y76" s="53">
        <f t="shared" si="17"/>
        <v>-41360.923569363666</v>
      </c>
      <c r="Z76" s="52">
        <f>H77*Assumptions!$B$7*Assumptions!$B$25/$E77/12</f>
        <v>3760.1205255241512</v>
      </c>
      <c r="AA76" s="49">
        <f>Z76*Assumptions!$B$11</f>
        <v>752.02410510483026</v>
      </c>
      <c r="AB76" s="54">
        <f t="shared" si="15"/>
        <v>3008.096420419321</v>
      </c>
      <c r="AC76" s="89">
        <f t="shared" si="18"/>
        <v>-38352.827148944343</v>
      </c>
      <c r="AD76" s="89">
        <f>Assumptions!$B$23*R76</f>
        <v>20613.426252154502</v>
      </c>
      <c r="AE76" s="89">
        <f t="shared" si="19"/>
        <v>-17739.400896789841</v>
      </c>
    </row>
    <row r="77" spans="1:31" x14ac:dyDescent="0.25">
      <c r="A77" s="44">
        <f t="shared" si="12"/>
        <v>72</v>
      </c>
      <c r="B77" s="45" t="s">
        <v>29</v>
      </c>
      <c r="C77" s="48">
        <f t="shared" si="13"/>
        <v>468</v>
      </c>
      <c r="D77" s="47">
        <f t="shared" si="16"/>
        <v>39</v>
      </c>
      <c r="E77" s="47">
        <f t="shared" si="20"/>
        <v>1</v>
      </c>
      <c r="F77" s="48">
        <f t="shared" si="14"/>
        <v>1</v>
      </c>
      <c r="G77" s="49">
        <f>(G76*($K76/$K75)-L76)*(1+Assumptions!$B$15)^$F77</f>
        <v>3876147.4201884922</v>
      </c>
      <c r="H77" s="49">
        <f>$H$6/$G$6*G77*(1+Assumptions!$B$16)^INT((C77-1)/12)*IF(B77="Monthly",1,12)</f>
        <v>72194.314090063708</v>
      </c>
      <c r="I77" s="50">
        <f>Assumptions!$B$14</f>
        <v>0.15</v>
      </c>
      <c r="J77" s="50">
        <f t="shared" si="21"/>
        <v>0.15000000000000002</v>
      </c>
      <c r="K77" s="51">
        <f t="shared" si="22"/>
        <v>1.7674132351663911E-3</v>
      </c>
      <c r="L77" s="52">
        <f>H77*Assumptions!$B$7</f>
        <v>36097.157045031854</v>
      </c>
      <c r="M77" s="49">
        <f>L77*Assumptions!$B$11</f>
        <v>7219.4314090063708</v>
      </c>
      <c r="N77" s="49">
        <f>H77*Assumptions!$B$11</f>
        <v>14438.862818012742</v>
      </c>
      <c r="O77" s="49">
        <f>N77*Assumptions!$B$12</f>
        <v>1443.8862818012742</v>
      </c>
      <c r="P77" s="49">
        <f>H77*Assumptions!$B$9</f>
        <v>5775.5451272050968</v>
      </c>
      <c r="Q77" s="49">
        <f>H77*Assumptions!$B$8</f>
        <v>3609.7157045031854</v>
      </c>
      <c r="R77" s="52">
        <f>(R78)/((1+Assumptions!$B$21)^$E78)+H78/IF(H$3="EOP",((1+Assumptions!$B$21)^$E78),1)</f>
        <v>66859.240780740467</v>
      </c>
      <c r="S77" s="49">
        <f>(S78)/((1+Assumptions!$B$21)^$E78)+L78/IF(L$3="EOP",((1+Assumptions!$B$21)^$E78),1)</f>
        <v>32614.263795483159</v>
      </c>
      <c r="T77" s="49">
        <f>(T78)/((1+Assumptions!$B$21)^$E78)+M78/IF(M$3="EOP",((1+Assumptions!$B$21)^$E78),1)</f>
        <v>6522.8527590966323</v>
      </c>
      <c r="U77" s="49">
        <f>(U78)/((1+Assumptions!$B$21)^$E78)+N78/IF(N$3="EOP",((1+Assumptions!$B$21)^$E78),1)</f>
        <v>13371.848156148095</v>
      </c>
      <c r="V77" s="49">
        <f>(V78)/((1+Assumptions!$B$21)^$E78)+O78/IF(O$3="EOP",((1+Assumptions!$B$21)^$E78),1)</f>
        <v>1337.1848156148096</v>
      </c>
      <c r="W77" s="49">
        <f>(W78)/((1+Assumptions!$B$21)^$E78)+P78/IF(P$3="EOP",((1+Assumptions!$B$21)^$E78),1)</f>
        <v>5348.7392624592376</v>
      </c>
      <c r="X77" s="49">
        <f>(X78)/((1+Assumptions!$B$21)^$E78)+Q78/IF(Q$3="EOP",((1+Assumptions!$B$21)^$E78),1)</f>
        <v>3261.4263795483162</v>
      </c>
      <c r="Y77" s="53">
        <f t="shared" si="17"/>
        <v>-20123.000761813102</v>
      </c>
      <c r="Z77" s="52">
        <f>H78*Assumptions!$B$7*Assumptions!$B$25/$E78/12</f>
        <v>3482.2521239968992</v>
      </c>
      <c r="AA77" s="49">
        <f>Z77*Assumptions!$B$11</f>
        <v>696.4504247993799</v>
      </c>
      <c r="AB77" s="54">
        <f t="shared" si="15"/>
        <v>2785.8016991975192</v>
      </c>
      <c r="AC77" s="89">
        <f t="shared" si="18"/>
        <v>-17337.199062615582</v>
      </c>
      <c r="AD77" s="89">
        <f>Assumptions!$B$23*R77</f>
        <v>10028.886117111069</v>
      </c>
      <c r="AE77" s="89">
        <f t="shared" si="19"/>
        <v>-7308.3129455045128</v>
      </c>
    </row>
    <row r="78" spans="1:31" x14ac:dyDescent="0.25">
      <c r="A78" s="44">
        <f t="shared" si="12"/>
        <v>73</v>
      </c>
      <c r="B78" s="45" t="s">
        <v>29</v>
      </c>
      <c r="C78" s="48">
        <f t="shared" si="13"/>
        <v>480</v>
      </c>
      <c r="D78" s="47">
        <f t="shared" si="16"/>
        <v>40</v>
      </c>
      <c r="E78" s="47">
        <f t="shared" si="20"/>
        <v>1</v>
      </c>
      <c r="F78" s="48">
        <f t="shared" si="14"/>
        <v>1</v>
      </c>
      <c r="G78" s="49">
        <f>(G77*($K77/$K76)-L77)*(1+Assumptions!$B$15)^$F78</f>
        <v>3323800.7131174901</v>
      </c>
      <c r="H78" s="49">
        <f>$H$6/$G$6*G78*(1+Assumptions!$B$16)^INT((C78-1)/12)*IF(B78="Monthly",1,12)</f>
        <v>66859.240780740467</v>
      </c>
      <c r="I78" s="50">
        <f>Assumptions!$B$14</f>
        <v>0.15</v>
      </c>
      <c r="J78" s="50">
        <f t="shared" si="21"/>
        <v>0.15000000000000002</v>
      </c>
      <c r="K78" s="55">
        <v>0</v>
      </c>
      <c r="L78" s="52">
        <f>H78*Assumptions!$B$7</f>
        <v>33429.620390370234</v>
      </c>
      <c r="M78" s="49">
        <f>L78*Assumptions!$B$11</f>
        <v>6685.9240780740474</v>
      </c>
      <c r="N78" s="49">
        <f>H78*Assumptions!$B$11</f>
        <v>13371.848156148095</v>
      </c>
      <c r="O78" s="49">
        <f>N78*Assumptions!$B$12</f>
        <v>1337.1848156148096</v>
      </c>
      <c r="P78" s="49">
        <f>H78*Assumptions!$B$9</f>
        <v>5348.7392624592376</v>
      </c>
      <c r="Q78" s="49">
        <f>H78*Assumptions!$B$8</f>
        <v>3342.9620390370237</v>
      </c>
      <c r="R78" s="56">
        <v>0</v>
      </c>
      <c r="S78" s="57">
        <v>0</v>
      </c>
      <c r="T78" s="57">
        <v>0</v>
      </c>
      <c r="U78" s="57">
        <v>0</v>
      </c>
      <c r="V78" s="57">
        <v>0</v>
      </c>
      <c r="W78" s="57">
        <v>0</v>
      </c>
      <c r="X78" s="57">
        <v>0</v>
      </c>
      <c r="Y78" s="53">
        <f t="shared" si="17"/>
        <v>0</v>
      </c>
      <c r="Z78" s="56">
        <v>0</v>
      </c>
      <c r="AA78" s="57">
        <v>0</v>
      </c>
      <c r="AB78" s="58">
        <v>0</v>
      </c>
      <c r="AC78" s="89">
        <f t="shared" si="18"/>
        <v>0</v>
      </c>
      <c r="AD78" s="89">
        <f>Assumptions!$B$23*R78</f>
        <v>0</v>
      </c>
      <c r="AE78" s="89">
        <f t="shared" si="19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G78"/>
  <sheetViews>
    <sheetView showGridLines="0" zoomScale="85" zoomScaleNormal="8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defaultColWidth="9.33203125" defaultRowHeight="13.5" x14ac:dyDescent="0.25"/>
  <cols>
    <col min="1" max="2" width="11.83203125" style="1" customWidth="1"/>
    <col min="3" max="4" width="12.33203125" style="1" customWidth="1"/>
    <col min="5" max="5" width="11.83203125" style="1" customWidth="1"/>
    <col min="6" max="6" width="13.83203125" style="1" customWidth="1"/>
    <col min="7" max="7" width="14.6640625" style="1" customWidth="1"/>
    <col min="8" max="10" width="13.5" style="1" customWidth="1"/>
    <col min="11" max="11" width="13.83203125" style="1" customWidth="1"/>
    <col min="12" max="12" width="13.6640625" style="1" bestFit="1" customWidth="1"/>
    <col min="13" max="13" width="15.1640625" style="1" customWidth="1"/>
    <col min="14" max="16" width="14.83203125" style="1" customWidth="1"/>
    <col min="17" max="17" width="15.6640625" style="1" customWidth="1"/>
    <col min="18" max="24" width="14.33203125" style="1" customWidth="1"/>
    <col min="25" max="25" width="14.5" style="1" customWidth="1"/>
    <col min="26" max="28" width="9.6640625" style="1" customWidth="1"/>
    <col min="29" max="31" width="14.6640625" style="1" bestFit="1" customWidth="1"/>
    <col min="32" max="32" width="12.6640625" style="1" bestFit="1" customWidth="1"/>
    <col min="33" max="33" width="10.83203125" style="1" bestFit="1" customWidth="1"/>
    <col min="34" max="16384" width="9.33203125" style="1"/>
  </cols>
  <sheetData>
    <row r="1" spans="1:33" x14ac:dyDescent="0.25">
      <c r="H1" s="2"/>
      <c r="I1" s="2"/>
      <c r="J1" s="2"/>
      <c r="L1" s="3"/>
      <c r="R1" s="3"/>
      <c r="Y1" s="4"/>
      <c r="AB1" s="5"/>
      <c r="AC1" s="88"/>
      <c r="AD1" s="4"/>
      <c r="AE1" s="4"/>
    </row>
    <row r="2" spans="1:33" x14ac:dyDescent="0.25">
      <c r="G2" s="6"/>
      <c r="H2" s="2"/>
      <c r="I2" s="2"/>
      <c r="J2" s="2"/>
      <c r="L2" s="3"/>
      <c r="R2" s="3"/>
      <c r="Y2" s="4"/>
      <c r="AB2" s="5"/>
      <c r="AC2" s="4"/>
      <c r="AD2" s="4"/>
      <c r="AE2" s="4"/>
    </row>
    <row r="3" spans="1:33" s="15" customFormat="1" x14ac:dyDescent="0.25">
      <c r="A3" s="7" t="s">
        <v>43</v>
      </c>
      <c r="B3" s="8"/>
      <c r="C3" s="8"/>
      <c r="D3" s="8"/>
      <c r="E3" s="8"/>
      <c r="F3" s="9" t="s">
        <v>25</v>
      </c>
      <c r="G3" s="9" t="s">
        <v>25</v>
      </c>
      <c r="H3" s="9" t="s">
        <v>25</v>
      </c>
      <c r="I3" s="10"/>
      <c r="J3" s="10"/>
      <c r="K3" s="11" t="s">
        <v>26</v>
      </c>
      <c r="L3" s="12" t="s">
        <v>26</v>
      </c>
      <c r="M3" s="11" t="s">
        <v>26</v>
      </c>
      <c r="N3" s="9" t="s">
        <v>25</v>
      </c>
      <c r="O3" s="9" t="s">
        <v>25</v>
      </c>
      <c r="P3" s="9" t="s">
        <v>25</v>
      </c>
      <c r="Q3" s="11" t="s">
        <v>26</v>
      </c>
      <c r="R3" s="12" t="s">
        <v>26</v>
      </c>
      <c r="S3" s="11" t="s">
        <v>26</v>
      </c>
      <c r="T3" s="11" t="s">
        <v>26</v>
      </c>
      <c r="U3" s="11" t="s">
        <v>26</v>
      </c>
      <c r="V3" s="11" t="s">
        <v>26</v>
      </c>
      <c r="W3" s="11" t="s">
        <v>26</v>
      </c>
      <c r="X3" s="11" t="s">
        <v>26</v>
      </c>
      <c r="Y3" s="13" t="s">
        <v>26</v>
      </c>
      <c r="Z3" s="12" t="s">
        <v>26</v>
      </c>
      <c r="AA3" s="11" t="s">
        <v>26</v>
      </c>
      <c r="AB3" s="14" t="s">
        <v>26</v>
      </c>
      <c r="AC3" s="13" t="s">
        <v>26</v>
      </c>
      <c r="AD3" s="13" t="s">
        <v>26</v>
      </c>
      <c r="AE3" s="13" t="s">
        <v>26</v>
      </c>
    </row>
    <row r="4" spans="1:33" s="20" customFormat="1" ht="76.5" customHeight="1" x14ac:dyDescent="0.25">
      <c r="A4" s="16" t="s">
        <v>23</v>
      </c>
      <c r="B4" s="16" t="s">
        <v>27</v>
      </c>
      <c r="C4" s="16" t="s">
        <v>21</v>
      </c>
      <c r="D4" s="16" t="s">
        <v>22</v>
      </c>
      <c r="E4" s="16" t="s">
        <v>20</v>
      </c>
      <c r="F4" s="16" t="s">
        <v>24</v>
      </c>
      <c r="G4" s="16" t="s">
        <v>53</v>
      </c>
      <c r="H4" s="16" t="s">
        <v>54</v>
      </c>
      <c r="I4" s="16" t="s">
        <v>48</v>
      </c>
      <c r="J4" s="16" t="s">
        <v>49</v>
      </c>
      <c r="K4" s="16" t="s">
        <v>50</v>
      </c>
      <c r="L4" s="17" t="s">
        <v>55</v>
      </c>
      <c r="M4" s="16" t="s">
        <v>56</v>
      </c>
      <c r="N4" s="16" t="s">
        <v>57</v>
      </c>
      <c r="O4" s="16" t="s">
        <v>58</v>
      </c>
      <c r="P4" s="16" t="s">
        <v>59</v>
      </c>
      <c r="Q4" s="16" t="s">
        <v>70</v>
      </c>
      <c r="R4" s="17" t="str">
        <f>"PV of Modelled "&amp;H4</f>
        <v>PV of Modelled Office Premium
$</v>
      </c>
      <c r="S4" s="16" t="str">
        <f t="shared" ref="S4:X4" si="0">"PV of Modelled "&amp;L4</f>
        <v>PV of Modelled Gross Claim Incurred
$</v>
      </c>
      <c r="T4" s="16" t="str">
        <f t="shared" si="0"/>
        <v>PV of Modelled Reinsurance Recovery Incurred
$</v>
      </c>
      <c r="U4" s="16" t="str">
        <f t="shared" si="0"/>
        <v>PV of Modelled Gross Reinsurance Premium
$</v>
      </c>
      <c r="V4" s="16" t="str">
        <f t="shared" si="0"/>
        <v>PV of Modelled Reinsurance Commission
$</v>
      </c>
      <c r="W4" s="16" t="str">
        <f t="shared" si="0"/>
        <v>PV of Modelled Advisor Commission
$</v>
      </c>
      <c r="X4" s="16" t="str">
        <f t="shared" si="0"/>
        <v>PV of Modelled Maintenance Expenses
$</v>
      </c>
      <c r="Y4" s="17" t="s">
        <v>71</v>
      </c>
      <c r="Z4" s="17" t="s">
        <v>60</v>
      </c>
      <c r="AA4" s="16" t="s">
        <v>61</v>
      </c>
      <c r="AB4" s="19" t="s">
        <v>62</v>
      </c>
      <c r="AC4" s="18" t="s">
        <v>72</v>
      </c>
      <c r="AD4" s="18" t="s">
        <v>74</v>
      </c>
      <c r="AE4" s="18" t="s">
        <v>73</v>
      </c>
    </row>
    <row r="5" spans="1:33" s="21" customFormat="1" x14ac:dyDescent="0.25">
      <c r="C5" s="91">
        <v>0</v>
      </c>
      <c r="D5" s="22">
        <f>C5/12</f>
        <v>0</v>
      </c>
      <c r="E5" s="23"/>
      <c r="G5" s="24"/>
      <c r="H5" s="24"/>
      <c r="I5" s="24"/>
      <c r="J5" s="24"/>
      <c r="K5" s="25">
        <v>1</v>
      </c>
      <c r="L5" s="26"/>
      <c r="M5" s="24"/>
      <c r="N5" s="24"/>
      <c r="O5" s="24"/>
      <c r="P5" s="24"/>
      <c r="Q5" s="24"/>
      <c r="R5" s="26">
        <f>(R6)/((1+Assumptions!$B$21)^$E6)+H6/IF(H$3="EOP",((1+Assumptions!$B$21)^$E6),1)</f>
        <v>10888926.680032387</v>
      </c>
      <c r="S5" s="27">
        <f>(S6)/((1+Assumptions!$B$21)^$E6)+L6/IF(L$3="EOP",((1+Assumptions!$B$21)^$E6),1)</f>
        <v>5431551.2427810244</v>
      </c>
      <c r="T5" s="27">
        <f>(T6)/((1+Assumptions!$B$21)^$E6)+M6/IF(M$3="EOP",((1+Assumptions!$B$21)^$E6),1)</f>
        <v>1086310.2485562062</v>
      </c>
      <c r="U5" s="27">
        <f>(U6)/((1+Assumptions!$B$21)^$E6)+N6/IF(N$3="EOP",((1+Assumptions!$B$21)^$E6),1)</f>
        <v>2177785.3360064789</v>
      </c>
      <c r="V5" s="27">
        <f>(V6)/((1+Assumptions!$B$21)^$E6)+O6/IF(O$3="EOP",((1+Assumptions!$B$21)^$E6),1)</f>
        <v>217778.53360064779</v>
      </c>
      <c r="W5" s="27">
        <f>(W6)/((1+Assumptions!$B$21)^$E6)+P6/IF(P$3="EOP",((1+Assumptions!$B$21)^$E6),1)</f>
        <v>871114.13440259115</v>
      </c>
      <c r="X5" s="27">
        <f>(X6)/((1+Assumptions!$B$21)^$E6)+Q6/IF(Q$3="EOP",((1+Assumptions!$B$21)^$E6),1)</f>
        <v>533985.44295805541</v>
      </c>
      <c r="Y5" s="28">
        <f>-R5+S5-T5+U5-V5+W5+X5</f>
        <v>-3178579.3060410907</v>
      </c>
      <c r="Z5" s="94">
        <f>H6*Assumptions!$B$7*Assumptions!$B$25/$E6/12*(1+Assumptions!$K$7)</f>
        <v>62500</v>
      </c>
      <c r="AA5" s="27">
        <f>Z5*Assumptions!$B$11</f>
        <v>12500</v>
      </c>
      <c r="AB5" s="29">
        <f>Z5-AA5</f>
        <v>50000</v>
      </c>
      <c r="AC5" s="87">
        <f>Y5+AB5</f>
        <v>-3128579.3060410907</v>
      </c>
      <c r="AD5" s="87">
        <f>Assumptions!$B$23*R5</f>
        <v>1633339.0020048581</v>
      </c>
      <c r="AE5" s="87">
        <f>AC5+AD5</f>
        <v>-1495240.3040362326</v>
      </c>
      <c r="AG5" s="24"/>
    </row>
    <row r="6" spans="1:33" x14ac:dyDescent="0.25">
      <c r="A6" s="1">
        <v>1</v>
      </c>
      <c r="B6" s="30" t="s">
        <v>28</v>
      </c>
      <c r="C6" s="31">
        <f>C5+1</f>
        <v>1</v>
      </c>
      <c r="D6" s="32">
        <f t="shared" ref="D6:D69" si="1">C6/12</f>
        <v>8.3333333333333329E-2</v>
      </c>
      <c r="E6" s="32">
        <f>D6-D5</f>
        <v>8.3333333333333329E-2</v>
      </c>
      <c r="F6" s="31">
        <f>IF(E6&lt;1,IF(MOD(C6-1,12)=0,1,0),1)</f>
        <v>1</v>
      </c>
      <c r="G6" s="33">
        <f>Assumptions!$B$19</f>
        <v>1000000000</v>
      </c>
      <c r="H6" s="33">
        <f>Assumptions!$B$18*$E6</f>
        <v>83333.333333333328</v>
      </c>
      <c r="I6" s="34">
        <f>Assumptions!$B$14</f>
        <v>0.15</v>
      </c>
      <c r="J6" s="34">
        <f>1-(1-I6)^$E6</f>
        <v>1.3451947011868914E-2</v>
      </c>
      <c r="K6" s="35">
        <f>K5*(1-J6)</f>
        <v>0.98654805298813109</v>
      </c>
      <c r="L6" s="93">
        <f>H6*Assumptions!$B$7*(1+Assumptions!$K$7)</f>
        <v>49999.999999999993</v>
      </c>
      <c r="M6" s="36">
        <f>L6*Assumptions!$B$11</f>
        <v>10000</v>
      </c>
      <c r="N6" s="36">
        <f>H6*Assumptions!$B$11</f>
        <v>16666.666666666668</v>
      </c>
      <c r="O6" s="36">
        <f>N6*Assumptions!$B$12</f>
        <v>1666.666666666667</v>
      </c>
      <c r="P6" s="36">
        <f>H6*Assumptions!$B$9</f>
        <v>6666.6666666666661</v>
      </c>
      <c r="Q6" s="36">
        <f>H6*Assumptions!$B$8</f>
        <v>4166.666666666667</v>
      </c>
      <c r="R6" s="37">
        <f>(R7)/((1+Assumptions!$B$21)^$E7)+H7/IF(H$3="EOP",((1+Assumptions!$B$21)^$E7),1)</f>
        <v>10827851.099791756</v>
      </c>
      <c r="S6" s="36">
        <f>(S7)/((1+Assumptions!$B$21)^$E7)+L7/IF(L$3="EOP",((1+Assumptions!$B$21)^$E7),1)</f>
        <v>5392739.3490324141</v>
      </c>
      <c r="T6" s="36">
        <f>(T7)/((1+Assumptions!$B$21)^$E7)+M7/IF(M$3="EOP",((1+Assumptions!$B$21)^$E7),1)</f>
        <v>1078547.8698064841</v>
      </c>
      <c r="U6" s="36">
        <f>(U7)/((1+Assumptions!$B$21)^$E7)+N7/IF(N$3="EOP",((1+Assumptions!$B$21)^$E7),1)</f>
        <v>2165570.2199583529</v>
      </c>
      <c r="V6" s="36">
        <f>(V7)/((1+Assumptions!$B$21)^$E7)+O7/IF(O$3="EOP",((1+Assumptions!$B$21)^$E7),1)</f>
        <v>216557.02199583518</v>
      </c>
      <c r="W6" s="36">
        <f>(W7)/((1+Assumptions!$B$21)^$E7)+P7/IF(P$3="EOP",((1+Assumptions!$B$21)^$E7),1)</f>
        <v>866228.08798334072</v>
      </c>
      <c r="X6" s="36">
        <f>(X7)/((1+Assumptions!$B$21)^$E7)+Q7/IF(Q$3="EOP",((1+Assumptions!$B$21)^$E7),1)</f>
        <v>530918.69887436181</v>
      </c>
      <c r="Y6" s="38">
        <f t="shared" ref="Y6:Y69" si="2">-R6+S6-T6+U6-V6+W6+X6</f>
        <v>-3167499.6357456055</v>
      </c>
      <c r="Z6" s="93">
        <f>H7*Assumptions!$B$7*Assumptions!$B$25/$E7/12*(1+Assumptions!$K$7)</f>
        <v>61656.128311758199</v>
      </c>
      <c r="AA6" s="36">
        <f>Z6*Assumptions!$B$11</f>
        <v>12331.22566235164</v>
      </c>
      <c r="AB6" s="39">
        <f>Z6-AA6</f>
        <v>49324.902649406562</v>
      </c>
      <c r="AC6" s="88">
        <f>Y6+AB6</f>
        <v>-3118174.7330961991</v>
      </c>
      <c r="AD6" s="88">
        <f>Assumptions!$B$23*R6</f>
        <v>1624177.6649687632</v>
      </c>
      <c r="AE6" s="88">
        <f>AC6+AD6</f>
        <v>-1493997.0681274359</v>
      </c>
    </row>
    <row r="7" spans="1:33" x14ac:dyDescent="0.25">
      <c r="A7" s="1">
        <f>A6+1</f>
        <v>2</v>
      </c>
      <c r="B7" s="30" t="s">
        <v>28</v>
      </c>
      <c r="C7" s="31">
        <f t="shared" ref="C7:C41" si="3">C6+1</f>
        <v>2</v>
      </c>
      <c r="D7" s="32">
        <f t="shared" si="1"/>
        <v>0.16666666666666666</v>
      </c>
      <c r="E7" s="32">
        <f t="shared" ref="E7:E70" si="4">D7-D6</f>
        <v>8.3333333333333329E-2</v>
      </c>
      <c r="F7" s="31">
        <f t="shared" ref="F7:F70" si="5">IF(E7&lt;1,IF(MOD(C7-1,12)=0,1,0),1)</f>
        <v>0</v>
      </c>
      <c r="G7" s="36">
        <f>(G6*($K6/$K5)-L6)*(1+Assumptions!$B$15)^$F7</f>
        <v>986498052.98813105</v>
      </c>
      <c r="H7" s="36">
        <f>$H$6/$G$6*G7*(1+Assumptions!$B$16)^INT((C7-1)/12)*IF(B7="Monthly",1,12)</f>
        <v>82208.171082344255</v>
      </c>
      <c r="I7" s="40">
        <f>Assumptions!$B$14</f>
        <v>0.15</v>
      </c>
      <c r="J7" s="40">
        <f t="shared" ref="J7:J70" si="6">1-(1-I7)^$E7</f>
        <v>1.3451947011868914E-2</v>
      </c>
      <c r="K7" s="35">
        <f t="shared" ref="K7:K70" si="7">K6*(1-J7)</f>
        <v>0.97327706085467225</v>
      </c>
      <c r="L7" s="93">
        <f>H7*Assumptions!$B$7*(1+Assumptions!$K$7)</f>
        <v>49324.902649406555</v>
      </c>
      <c r="M7" s="36">
        <f>L7*Assumptions!$B$11</f>
        <v>9864.9805298813117</v>
      </c>
      <c r="N7" s="36">
        <f>H7*Assumptions!$B$11</f>
        <v>16441.63421646885</v>
      </c>
      <c r="O7" s="36">
        <f>N7*Assumptions!$B$12</f>
        <v>1644.1634216468851</v>
      </c>
      <c r="P7" s="36">
        <f>H7*Assumptions!$B$9</f>
        <v>6576.6536865875405</v>
      </c>
      <c r="Q7" s="36">
        <f>H7*Assumptions!$B$8</f>
        <v>4110.4085541172126</v>
      </c>
      <c r="R7" s="37">
        <f>(R8)/((1+Assumptions!$B$21)^$E8)+H8/IF(H$3="EOP",((1+Assumptions!$B$21)^$E8),1)</f>
        <v>10767777.193756746</v>
      </c>
      <c r="S7" s="36">
        <f>(S8)/((1+Assumptions!$B$21)^$E8)+L8/IF(L$3="EOP",((1+Assumptions!$B$21)^$E8),1)</f>
        <v>5354522.6064879531</v>
      </c>
      <c r="T7" s="36">
        <f>(T8)/((1+Assumptions!$B$21)^$E8)+M8/IF(M$3="EOP",((1+Assumptions!$B$21)^$E8),1)</f>
        <v>1070904.5212975917</v>
      </c>
      <c r="U7" s="36">
        <f>(U8)/((1+Assumptions!$B$21)^$E8)+N8/IF(N$3="EOP",((1+Assumptions!$B$21)^$E8),1)</f>
        <v>2153555.4387513511</v>
      </c>
      <c r="V7" s="36">
        <f>(V8)/((1+Assumptions!$B$21)^$E8)+O8/IF(O$3="EOP",((1+Assumptions!$B$21)^$E8),1)</f>
        <v>215355.54387513499</v>
      </c>
      <c r="W7" s="36">
        <f>(W8)/((1+Assumptions!$B$21)^$E8)+P8/IF(P$3="EOP",((1+Assumptions!$B$21)^$E8),1)</f>
        <v>861422.17550053995</v>
      </c>
      <c r="X7" s="36">
        <f>(X8)/((1+Assumptions!$B$21)^$E8)+Q8/IF(Q$3="EOP",((1+Assumptions!$B$21)^$E8),1)</f>
        <v>527901.89591252373</v>
      </c>
      <c r="Y7" s="38">
        <f t="shared" si="2"/>
        <v>-3156635.1422771043</v>
      </c>
      <c r="Z7" s="93">
        <f>H8*Assumptions!$B$7*Assumptions!$B$25/$E8/12*(1+Assumptions!$K$7)</f>
        <v>60823.650534335837</v>
      </c>
      <c r="AA7" s="36">
        <f>Z7*Assumptions!$B$11</f>
        <v>12164.730106867168</v>
      </c>
      <c r="AB7" s="39">
        <f t="shared" ref="AB7:AB70" si="8">Z7-AA7</f>
        <v>48658.920427468671</v>
      </c>
      <c r="AC7" s="88">
        <f t="shared" ref="AC7:AC70" si="9">Y7+AB7</f>
        <v>-3107976.2218496357</v>
      </c>
      <c r="AD7" s="88">
        <f>Assumptions!$B$23*R7</f>
        <v>1615166.5790635119</v>
      </c>
      <c r="AE7" s="88">
        <f>AC7+AD7</f>
        <v>-1492809.6427861238</v>
      </c>
      <c r="AG7" s="92"/>
    </row>
    <row r="8" spans="1:33" x14ac:dyDescent="0.25">
      <c r="A8" s="1">
        <f t="shared" ref="A8:A71" si="10">A7+1</f>
        <v>3</v>
      </c>
      <c r="B8" s="30" t="s">
        <v>28</v>
      </c>
      <c r="C8" s="31">
        <f t="shared" si="3"/>
        <v>3</v>
      </c>
      <c r="D8" s="32">
        <f t="shared" si="1"/>
        <v>0.25</v>
      </c>
      <c r="E8" s="32">
        <f t="shared" si="4"/>
        <v>8.3333333333333343E-2</v>
      </c>
      <c r="F8" s="31">
        <f t="shared" si="5"/>
        <v>0</v>
      </c>
      <c r="G8" s="36">
        <f>(G7*($K7/$K6)-L7)*(1+Assumptions!$B$15)^$F8</f>
        <v>973178408.54937351</v>
      </c>
      <c r="H8" s="36">
        <f>$H$6/$G$6*G8*(1+Assumptions!$B$16)^INT((C8-1)/12)*IF(B8="Monthly",1,12)</f>
        <v>81098.200712447797</v>
      </c>
      <c r="I8" s="40">
        <f>Assumptions!$B$14</f>
        <v>0.15</v>
      </c>
      <c r="J8" s="40">
        <f t="shared" si="6"/>
        <v>1.3451947011868914E-2</v>
      </c>
      <c r="K8" s="35">
        <f t="shared" si="7"/>
        <v>0.96018458940418772</v>
      </c>
      <c r="L8" s="93">
        <f>H8*Assumptions!$B$7*(1+Assumptions!$K$7)</f>
        <v>48658.920427468678</v>
      </c>
      <c r="M8" s="36">
        <f>L8*Assumptions!$B$11</f>
        <v>9731.7840854937367</v>
      </c>
      <c r="N8" s="36">
        <f>H8*Assumptions!$B$11</f>
        <v>16219.640142489559</v>
      </c>
      <c r="O8" s="36">
        <f>N8*Assumptions!$B$12</f>
        <v>1621.9640142489561</v>
      </c>
      <c r="P8" s="36">
        <f>H8*Assumptions!$B$9</f>
        <v>6487.8560569958236</v>
      </c>
      <c r="Q8" s="36">
        <f>H8*Assumptions!$B$8</f>
        <v>4054.9100356223898</v>
      </c>
      <c r="R8" s="37">
        <f>(R9)/((1+Assumptions!$B$21)^$E9)+H9/IF(H$3="EOP",((1+Assumptions!$B$21)^$E9),1)</f>
        <v>10708691.802038338</v>
      </c>
      <c r="S8" s="36">
        <f>(S9)/((1+Assumptions!$B$21)^$E9)+L9/IF(L$3="EOP",((1+Assumptions!$B$21)^$E9),1)</f>
        <v>5316893.1259330213</v>
      </c>
      <c r="T8" s="36">
        <f>(T9)/((1+Assumptions!$B$21)^$E9)+M9/IF(M$3="EOP",((1+Assumptions!$B$21)^$E9),1)</f>
        <v>1063378.6251866054</v>
      </c>
      <c r="U8" s="36">
        <f>(U9)/((1+Assumptions!$B$21)^$E9)+N9/IF(N$3="EOP",((1+Assumptions!$B$21)^$E9),1)</f>
        <v>2141738.3604076691</v>
      </c>
      <c r="V8" s="36">
        <f>(V9)/((1+Assumptions!$B$21)^$E9)+O9/IF(O$3="EOP",((1+Assumptions!$B$21)^$E9),1)</f>
        <v>214173.83604076682</v>
      </c>
      <c r="W8" s="36">
        <f>(W9)/((1+Assumptions!$B$21)^$E9)+P9/IF(P$3="EOP",((1+Assumptions!$B$21)^$E9),1)</f>
        <v>856695.34416306729</v>
      </c>
      <c r="X8" s="36">
        <f>(X9)/((1+Assumptions!$B$21)^$E9)+Q9/IF(Q$3="EOP",((1+Assumptions!$B$21)^$E9),1)</f>
        <v>524934.37734902068</v>
      </c>
      <c r="Y8" s="38">
        <f t="shared" si="2"/>
        <v>-3145983.0554129323</v>
      </c>
      <c r="Z8" s="93">
        <f>H9*Assumptions!$B$7*Assumptions!$B$25/$E9/12*(1+Assumptions!$K$7)</f>
        <v>60002.412827752822</v>
      </c>
      <c r="AA8" s="36">
        <f>Z8*Assumptions!$B$11</f>
        <v>12000.482565550565</v>
      </c>
      <c r="AB8" s="39">
        <f t="shared" si="8"/>
        <v>48001.930262202259</v>
      </c>
      <c r="AC8" s="88">
        <f t="shared" si="9"/>
        <v>-3097981.1251507299</v>
      </c>
      <c r="AD8" s="88">
        <f>Assumptions!$B$23*R8</f>
        <v>1606303.7703057507</v>
      </c>
      <c r="AE8" s="88">
        <f t="shared" ref="AE8:AE71" si="11">AC8+AD8</f>
        <v>-1491677.3548449792</v>
      </c>
    </row>
    <row r="9" spans="1:33" x14ac:dyDescent="0.25">
      <c r="A9" s="1">
        <f t="shared" si="10"/>
        <v>4</v>
      </c>
      <c r="B9" s="30" t="s">
        <v>28</v>
      </c>
      <c r="C9" s="31">
        <f t="shared" si="3"/>
        <v>4</v>
      </c>
      <c r="D9" s="32">
        <f t="shared" si="1"/>
        <v>0.33333333333333331</v>
      </c>
      <c r="E9" s="32">
        <f t="shared" si="4"/>
        <v>8.3333333333333315E-2</v>
      </c>
      <c r="F9" s="31">
        <f t="shared" si="5"/>
        <v>0</v>
      </c>
      <c r="G9" s="36">
        <f>(G8*($K8/$K7)-L8)*(1+Assumptions!$B$15)^$F9</f>
        <v>960038605.24404502</v>
      </c>
      <c r="H9" s="36">
        <f>$H$6/$G$6*G9*(1+Assumptions!$B$16)^INT((C9-1)/12)*IF(B9="Monthly",1,12)</f>
        <v>80003.217103670409</v>
      </c>
      <c r="I9" s="40">
        <f>Assumptions!$B$14</f>
        <v>0.15</v>
      </c>
      <c r="J9" s="40">
        <f t="shared" si="6"/>
        <v>1.3451947011868914E-2</v>
      </c>
      <c r="K9" s="35">
        <f t="shared" si="7"/>
        <v>0.94726823718590947</v>
      </c>
      <c r="L9" s="93">
        <f>H9*Assumptions!$B$7*(1+Assumptions!$K$7)</f>
        <v>48001.930262202244</v>
      </c>
      <c r="M9" s="36">
        <f>L9*Assumptions!$B$11</f>
        <v>9600.3860524404499</v>
      </c>
      <c r="N9" s="36">
        <f>H9*Assumptions!$B$11</f>
        <v>16000.643420734083</v>
      </c>
      <c r="O9" s="36">
        <f>N9*Assumptions!$B$12</f>
        <v>1600.0643420734084</v>
      </c>
      <c r="P9" s="36">
        <f>H9*Assumptions!$B$9</f>
        <v>6400.2573682936327</v>
      </c>
      <c r="Q9" s="36">
        <f>H9*Assumptions!$B$8</f>
        <v>4000.1608551835207</v>
      </c>
      <c r="R9" s="37">
        <f>(R10)/((1+Assumptions!$B$21)^$E10)+H10/IF(H$3="EOP",((1+Assumptions!$B$21)^$E10),1)</f>
        <v>10650581.943182779</v>
      </c>
      <c r="S9" s="36">
        <f>(S10)/((1+Assumptions!$B$21)^$E10)+L10/IF(L$3="EOP",((1+Assumptions!$B$21)^$E10),1)</f>
        <v>5279843.1249744929</v>
      </c>
      <c r="T9" s="36">
        <f>(T10)/((1+Assumptions!$B$21)^$E10)+M10/IF(M$3="EOP",((1+Assumptions!$B$21)^$E10),1)</f>
        <v>1055968.6249948998</v>
      </c>
      <c r="U9" s="36">
        <f>(U10)/((1+Assumptions!$B$21)^$E10)+N10/IF(N$3="EOP",((1+Assumptions!$B$21)^$E10),1)</f>
        <v>2130116.3886365574</v>
      </c>
      <c r="V9" s="36">
        <f>(V10)/((1+Assumptions!$B$21)^$E10)+O10/IF(O$3="EOP",((1+Assumptions!$B$21)^$E10),1)</f>
        <v>213011.63886365565</v>
      </c>
      <c r="W9" s="36">
        <f>(W10)/((1+Assumptions!$B$21)^$E10)+P10/IF(P$3="EOP",((1+Assumptions!$B$21)^$E10),1)</f>
        <v>852046.5554546226</v>
      </c>
      <c r="X9" s="36">
        <f>(X10)/((1+Assumptions!$B$21)^$E10)+Q10/IF(Q$3="EOP",((1+Assumptions!$B$21)^$E10),1)</f>
        <v>522015.49536358798</v>
      </c>
      <c r="Y9" s="38">
        <f t="shared" si="2"/>
        <v>-3135540.6426120745</v>
      </c>
      <c r="Z9" s="93">
        <f>H10*Assumptions!$B$7*Assumptions!$B$25/$E10/12*(1+Assumptions!$K$7)</f>
        <v>59192.26342916819</v>
      </c>
      <c r="AA9" s="36">
        <f>Z9*Assumptions!$B$11</f>
        <v>11838.452685833639</v>
      </c>
      <c r="AB9" s="39">
        <f t="shared" si="8"/>
        <v>47353.81074333455</v>
      </c>
      <c r="AC9" s="88">
        <f t="shared" si="9"/>
        <v>-3088186.8318687398</v>
      </c>
      <c r="AD9" s="88">
        <f>Assumptions!$B$23*R9</f>
        <v>1597587.2914774169</v>
      </c>
      <c r="AE9" s="88">
        <f t="shared" si="11"/>
        <v>-1490599.5403913229</v>
      </c>
    </row>
    <row r="10" spans="1:33" x14ac:dyDescent="0.25">
      <c r="A10" s="1">
        <f t="shared" si="10"/>
        <v>5</v>
      </c>
      <c r="B10" s="30" t="s">
        <v>28</v>
      </c>
      <c r="C10" s="31">
        <f t="shared" si="3"/>
        <v>5</v>
      </c>
      <c r="D10" s="32">
        <f t="shared" si="1"/>
        <v>0.41666666666666669</v>
      </c>
      <c r="E10" s="32">
        <f t="shared" si="4"/>
        <v>8.333333333333337E-2</v>
      </c>
      <c r="F10" s="31">
        <f t="shared" si="5"/>
        <v>0</v>
      </c>
      <c r="G10" s="36">
        <f>(G9*($K9/$K8)-L9)*(1+Assumptions!$B$15)^$F10</f>
        <v>947076214.86669135</v>
      </c>
      <c r="H10" s="36">
        <f>$H$6/$G$6*G10*(1+Assumptions!$B$16)^INT((C10-1)/12)*IF(B10="Monthly",1,12)</f>
        <v>78923.017905557615</v>
      </c>
      <c r="I10" s="40">
        <f>Assumptions!$B$14</f>
        <v>0.15</v>
      </c>
      <c r="J10" s="40">
        <f t="shared" si="6"/>
        <v>1.3451947011868914E-2</v>
      </c>
      <c r="K10" s="35">
        <f t="shared" si="7"/>
        <v>0.93452563505325814</v>
      </c>
      <c r="L10" s="93">
        <f>H10*Assumptions!$B$7*(1+Assumptions!$K$7)</f>
        <v>47353.810743334565</v>
      </c>
      <c r="M10" s="36">
        <f>L10*Assumptions!$B$11</f>
        <v>9470.7621486669141</v>
      </c>
      <c r="N10" s="36">
        <f>H10*Assumptions!$B$11</f>
        <v>15784.603581111523</v>
      </c>
      <c r="O10" s="36">
        <f>N10*Assumptions!$B$12</f>
        <v>1578.4603581111523</v>
      </c>
      <c r="P10" s="36">
        <f>H10*Assumptions!$B$9</f>
        <v>6313.8414324446094</v>
      </c>
      <c r="Q10" s="36">
        <f>H10*Assumptions!$B$8</f>
        <v>3946.1508952778809</v>
      </c>
      <c r="R10" s="37">
        <f>(R11)/((1+Assumptions!$B$21)^$E11)+H11/IF(H$3="EOP",((1+Assumptions!$B$21)^$E11),1)</f>
        <v>10593434.811763914</v>
      </c>
      <c r="S10" s="36">
        <f>(S11)/((1+Assumptions!$B$21)^$E11)+L11/IF(L$3="EOP",((1+Assumptions!$B$21)^$E11),1)</f>
        <v>5243364.9265990611</v>
      </c>
      <c r="T10" s="36">
        <f>(T11)/((1+Assumptions!$B$21)^$E11)+M11/IF(M$3="EOP",((1+Assumptions!$B$21)^$E11),1)</f>
        <v>1048672.9853198132</v>
      </c>
      <c r="U10" s="36">
        <f>(U11)/((1+Assumptions!$B$21)^$E11)+N11/IF(N$3="EOP",((1+Assumptions!$B$21)^$E11),1)</f>
        <v>2118686.9623527844</v>
      </c>
      <c r="V10" s="36">
        <f>(V11)/((1+Assumptions!$B$21)^$E11)+O11/IF(O$3="EOP",((1+Assumptions!$B$21)^$E11),1)</f>
        <v>211868.69623527836</v>
      </c>
      <c r="W10" s="36">
        <f>(W11)/((1+Assumptions!$B$21)^$E11)+P11/IF(P$3="EOP",((1+Assumptions!$B$21)^$E11),1)</f>
        <v>847474.78494111344</v>
      </c>
      <c r="X10" s="36">
        <f>(X11)/((1+Assumptions!$B$21)^$E11)+Q11/IF(Q$3="EOP",((1+Assumptions!$B$21)^$E11),1)</f>
        <v>519144.61091907998</v>
      </c>
      <c r="Y10" s="38">
        <f t="shared" si="2"/>
        <v>-3125305.2085069679</v>
      </c>
      <c r="Z10" s="93">
        <f>H11*Assumptions!$B$7*Assumptions!$B$25/$E11/12*(1+Assumptions!$K$7)</f>
        <v>58393.052624835</v>
      </c>
      <c r="AA10" s="36">
        <f>Z10*Assumptions!$B$11</f>
        <v>11678.610524967</v>
      </c>
      <c r="AB10" s="39">
        <f t="shared" si="8"/>
        <v>46714.442099868</v>
      </c>
      <c r="AC10" s="88">
        <f t="shared" si="9"/>
        <v>-3078590.7664071</v>
      </c>
      <c r="AD10" s="88">
        <f>Assumptions!$B$23*R10</f>
        <v>1589015.2217645871</v>
      </c>
      <c r="AE10" s="88">
        <f t="shared" si="11"/>
        <v>-1489575.5446425129</v>
      </c>
    </row>
    <row r="11" spans="1:33" x14ac:dyDescent="0.25">
      <c r="A11" s="1">
        <f t="shared" si="10"/>
        <v>6</v>
      </c>
      <c r="B11" s="30" t="s">
        <v>28</v>
      </c>
      <c r="C11" s="31">
        <f t="shared" si="3"/>
        <v>6</v>
      </c>
      <c r="D11" s="32">
        <f t="shared" si="1"/>
        <v>0.5</v>
      </c>
      <c r="E11" s="32">
        <f t="shared" si="4"/>
        <v>8.3333333333333315E-2</v>
      </c>
      <c r="F11" s="31">
        <f t="shared" si="5"/>
        <v>0</v>
      </c>
      <c r="G11" s="36">
        <f>(G10*($K10/$K9)-L10)*(1+Assumptions!$B$15)^$F11</f>
        <v>934288841.99735987</v>
      </c>
      <c r="H11" s="36">
        <f>$H$6/$G$6*G11*(1+Assumptions!$B$16)^INT((C11-1)/12)*IF(B11="Monthly",1,12)</f>
        <v>77857.40349977999</v>
      </c>
      <c r="I11" s="40">
        <f>Assumptions!$B$14</f>
        <v>0.15</v>
      </c>
      <c r="J11" s="40">
        <f t="shared" si="6"/>
        <v>1.3451947011868914E-2</v>
      </c>
      <c r="K11" s="35">
        <f t="shared" si="7"/>
        <v>0.92195444572928853</v>
      </c>
      <c r="L11" s="93">
        <f>H11*Assumptions!$B$7*(1+Assumptions!$K$7)</f>
        <v>46714.442099867993</v>
      </c>
      <c r="M11" s="36">
        <f>L11*Assumptions!$B$11</f>
        <v>9342.8884199735985</v>
      </c>
      <c r="N11" s="36">
        <f>H11*Assumptions!$B$11</f>
        <v>15571.480699955999</v>
      </c>
      <c r="O11" s="36">
        <f>N11*Assumptions!$B$12</f>
        <v>1557.1480699956001</v>
      </c>
      <c r="P11" s="36">
        <f>H11*Assumptions!$B$9</f>
        <v>6228.5922799823993</v>
      </c>
      <c r="Q11" s="36">
        <f>H11*Assumptions!$B$8</f>
        <v>3892.8701749889997</v>
      </c>
      <c r="R11" s="37">
        <f>(R12)/((1+Assumptions!$B$21)^$E12)+H12/IF(H$3="EOP",((1+Assumptions!$B$21)^$E12),1)</f>
        <v>10537237.776008015</v>
      </c>
      <c r="S11" s="36">
        <f>(S12)/((1+Assumptions!$B$21)^$E12)+L12/IF(L$3="EOP",((1+Assumptions!$B$21)^$E12),1)</f>
        <v>5207450.9577510236</v>
      </c>
      <c r="T11" s="36">
        <f>(T12)/((1+Assumptions!$B$21)^$E12)+M12/IF(M$3="EOP",((1+Assumptions!$B$21)^$E12),1)</f>
        <v>1041490.1915502056</v>
      </c>
      <c r="U11" s="36">
        <f>(U12)/((1+Assumptions!$B$21)^$E12)+N12/IF(N$3="EOP",((1+Assumptions!$B$21)^$E12),1)</f>
        <v>2107447.5552016045</v>
      </c>
      <c r="V11" s="36">
        <f>(V12)/((1+Assumptions!$B$21)^$E12)+O12/IF(O$3="EOP",((1+Assumptions!$B$21)^$E12),1)</f>
        <v>210744.7555201604</v>
      </c>
      <c r="W11" s="36">
        <f>(W12)/((1+Assumptions!$B$21)^$E12)+P12/IF(P$3="EOP",((1+Assumptions!$B$21)^$E12),1)</f>
        <v>842979.02208064159</v>
      </c>
      <c r="X11" s="36">
        <f>(X12)/((1+Assumptions!$B$21)^$E12)+Q12/IF(Q$3="EOP",((1+Assumptions!$B$21)^$E12),1)</f>
        <v>516321.09364295547</v>
      </c>
      <c r="Y11" s="38">
        <f t="shared" si="2"/>
        <v>-3115274.0944021554</v>
      </c>
      <c r="Z11" s="93">
        <f>H12*Assumptions!$B$7*Assumptions!$B$25/$E12/12*(1+Assumptions!$K$7)</f>
        <v>57604.632722433176</v>
      </c>
      <c r="AA11" s="36">
        <f>Z11*Assumptions!$B$11</f>
        <v>11520.926544486636</v>
      </c>
      <c r="AB11" s="39">
        <f t="shared" si="8"/>
        <v>46083.706177946544</v>
      </c>
      <c r="AC11" s="88">
        <f t="shared" si="9"/>
        <v>-3069190.3882242087</v>
      </c>
      <c r="AD11" s="88">
        <f>Assumptions!$B$23*R11</f>
        <v>1580585.6664012023</v>
      </c>
      <c r="AE11" s="88">
        <f t="shared" si="11"/>
        <v>-1488604.7218230064</v>
      </c>
    </row>
    <row r="12" spans="1:33" x14ac:dyDescent="0.25">
      <c r="A12" s="1">
        <f t="shared" si="10"/>
        <v>7</v>
      </c>
      <c r="B12" s="30" t="s">
        <v>28</v>
      </c>
      <c r="C12" s="31">
        <f t="shared" si="3"/>
        <v>7</v>
      </c>
      <c r="D12" s="32">
        <f t="shared" si="1"/>
        <v>0.58333333333333337</v>
      </c>
      <c r="E12" s="32">
        <f t="shared" si="4"/>
        <v>8.333333333333337E-2</v>
      </c>
      <c r="F12" s="31">
        <f t="shared" si="5"/>
        <v>0</v>
      </c>
      <c r="G12" s="36">
        <f>(G11*($K11/$K10)-L11)*(1+Assumptions!$B$15)^$F12</f>
        <v>921674123.55893123</v>
      </c>
      <c r="H12" s="36">
        <f>$H$6/$G$6*G12*(1+Assumptions!$B$16)^INT((C12-1)/12)*IF(B12="Monthly",1,12)</f>
        <v>76806.176963244274</v>
      </c>
      <c r="I12" s="40">
        <f>Assumptions!$B$14</f>
        <v>0.15</v>
      </c>
      <c r="J12" s="40">
        <f t="shared" si="6"/>
        <v>1.3451947011868914E-2</v>
      </c>
      <c r="K12" s="35">
        <f t="shared" si="7"/>
        <v>0.90955236337798118</v>
      </c>
      <c r="L12" s="93">
        <f>H12*Assumptions!$B$7*(1+Assumptions!$K$7)</f>
        <v>46083.706177946566</v>
      </c>
      <c r="M12" s="36">
        <f>L12*Assumptions!$B$11</f>
        <v>9216.7412355893139</v>
      </c>
      <c r="N12" s="36">
        <f>H12*Assumptions!$B$11</f>
        <v>15361.235392648856</v>
      </c>
      <c r="O12" s="36">
        <f>N12*Assumptions!$B$12</f>
        <v>1536.1235392648857</v>
      </c>
      <c r="P12" s="36">
        <f>H12*Assumptions!$B$9</f>
        <v>6144.494157059542</v>
      </c>
      <c r="Q12" s="36">
        <f>H12*Assumptions!$B$8</f>
        <v>3840.308848162214</v>
      </c>
      <c r="R12" s="37">
        <f>(R13)/((1+Assumptions!$B$21)^$E13)+H13/IF(H$3="EOP",((1+Assumptions!$B$21)^$E13),1)</f>
        <v>10481978.375450693</v>
      </c>
      <c r="S12" s="36">
        <f>(S13)/((1+Assumptions!$B$21)^$E13)+L13/IF(L$3="EOP",((1+Assumptions!$B$21)^$E13),1)</f>
        <v>5172093.7479292797</v>
      </c>
      <c r="T12" s="36">
        <f>(T13)/((1+Assumptions!$B$21)^$E13)+M13/IF(M$3="EOP",((1+Assumptions!$B$21)^$E13),1)</f>
        <v>1034418.7495858568</v>
      </c>
      <c r="U12" s="36">
        <f>(U13)/((1+Assumptions!$B$21)^$E13)+N13/IF(N$3="EOP",((1+Assumptions!$B$21)^$E13),1)</f>
        <v>2096395.6750901397</v>
      </c>
      <c r="V12" s="36">
        <f>(V13)/((1+Assumptions!$B$21)^$E13)+O13/IF(O$3="EOP",((1+Assumptions!$B$21)^$E13),1)</f>
        <v>209639.56750901393</v>
      </c>
      <c r="W12" s="36">
        <f>(W13)/((1+Assumptions!$B$21)^$E13)+P13/IF(P$3="EOP",((1+Assumptions!$B$21)^$E13),1)</f>
        <v>838558.27003605571</v>
      </c>
      <c r="X12" s="36">
        <f>(X13)/((1+Assumptions!$B$21)^$E13)+Q13/IF(Q$3="EOP",((1+Assumptions!$B$21)^$E13),1)</f>
        <v>513544.3217103639</v>
      </c>
      <c r="Y12" s="38">
        <f t="shared" si="2"/>
        <v>-3105444.6777797248</v>
      </c>
      <c r="Z12" s="93">
        <f>H13*Assumptions!$B$7*Assumptions!$B$25/$E13/12*(1+Assumptions!$K$7)</f>
        <v>56826.858023776789</v>
      </c>
      <c r="AA12" s="36">
        <f>Z12*Assumptions!$B$11</f>
        <v>11365.371604755359</v>
      </c>
      <c r="AB12" s="39">
        <f t="shared" si="8"/>
        <v>45461.486419021428</v>
      </c>
      <c r="AC12" s="88">
        <f t="shared" si="9"/>
        <v>-3059983.1913607032</v>
      </c>
      <c r="AD12" s="88">
        <f>Assumptions!$B$23*R12</f>
        <v>1572296.7563176039</v>
      </c>
      <c r="AE12" s="88">
        <f t="shared" si="11"/>
        <v>-1487686.4350430993</v>
      </c>
    </row>
    <row r="13" spans="1:33" x14ac:dyDescent="0.25">
      <c r="A13" s="1">
        <f t="shared" si="10"/>
        <v>8</v>
      </c>
      <c r="B13" s="30" t="s">
        <v>28</v>
      </c>
      <c r="C13" s="31">
        <f t="shared" si="3"/>
        <v>8</v>
      </c>
      <c r="D13" s="32">
        <f t="shared" si="1"/>
        <v>0.66666666666666663</v>
      </c>
      <c r="E13" s="32">
        <f t="shared" si="4"/>
        <v>8.3333333333333259E-2</v>
      </c>
      <c r="F13" s="31">
        <f t="shared" si="5"/>
        <v>0</v>
      </c>
      <c r="G13" s="36">
        <f>(G12*($K12/$K11)-L12)*(1+Assumptions!$B$15)^$F13</f>
        <v>909229728.38042784</v>
      </c>
      <c r="H13" s="36">
        <f>$H$6/$G$6*G13*(1+Assumptions!$B$16)^INT((C13-1)/12)*IF(B13="Monthly",1,12)</f>
        <v>75769.144031702323</v>
      </c>
      <c r="I13" s="40">
        <f>Assumptions!$B$14</f>
        <v>0.15</v>
      </c>
      <c r="J13" s="40">
        <f t="shared" si="6"/>
        <v>1.3451947011868914E-2</v>
      </c>
      <c r="K13" s="35">
        <f t="shared" si="7"/>
        <v>0.89731711318130047</v>
      </c>
      <c r="L13" s="93">
        <f>H13*Assumptions!$B$7*(1+Assumptions!$K$7)</f>
        <v>45461.486419021392</v>
      </c>
      <c r="M13" s="36">
        <f>L13*Assumptions!$B$11</f>
        <v>9092.2972838042788</v>
      </c>
      <c r="N13" s="36">
        <f>H13*Assumptions!$B$11</f>
        <v>15153.828806340465</v>
      </c>
      <c r="O13" s="36">
        <f>N13*Assumptions!$B$12</f>
        <v>1515.3828806340466</v>
      </c>
      <c r="P13" s="36">
        <f>H13*Assumptions!$B$9</f>
        <v>6061.5315225361855</v>
      </c>
      <c r="Q13" s="36">
        <f>H13*Assumptions!$B$8</f>
        <v>3788.4572015851163</v>
      </c>
      <c r="R13" s="37">
        <f>(R14)/((1+Assumptions!$B$21)^$E14)+H14/IF(H$3="EOP",((1+Assumptions!$B$21)^$E14),1)</f>
        <v>10427644.318625441</v>
      </c>
      <c r="S13" s="36">
        <f>(S14)/((1+Assumptions!$B$21)^$E14)+L14/IF(L$3="EOP",((1+Assumptions!$B$21)^$E14),1)</f>
        <v>5137285.9278032696</v>
      </c>
      <c r="T13" s="36">
        <f>(T14)/((1+Assumptions!$B$21)^$E14)+M14/IF(M$3="EOP",((1+Assumptions!$B$21)^$E14),1)</f>
        <v>1027457.1855606548</v>
      </c>
      <c r="U13" s="36">
        <f>(U14)/((1+Assumptions!$B$21)^$E14)+N14/IF(N$3="EOP",((1+Assumptions!$B$21)^$E14),1)</f>
        <v>2085528.863725089</v>
      </c>
      <c r="V13" s="36">
        <f>(V14)/((1+Assumptions!$B$21)^$E14)+O14/IF(O$3="EOP",((1+Assumptions!$B$21)^$E14),1)</f>
        <v>208552.88637250886</v>
      </c>
      <c r="W13" s="36">
        <f>(W14)/((1+Assumptions!$B$21)^$E14)+P14/IF(P$3="EOP",((1+Assumptions!$B$21)^$E14),1)</f>
        <v>834211.54549003544</v>
      </c>
      <c r="X13" s="36">
        <f>(X14)/((1+Assumptions!$B$21)^$E14)+Q14/IF(Q$3="EOP",((1+Assumptions!$B$21)^$E14),1)</f>
        <v>510813.68172880955</v>
      </c>
      <c r="Y13" s="38">
        <f t="shared" si="2"/>
        <v>-3095814.3718114002</v>
      </c>
      <c r="Z13" s="93">
        <f>H14*Assumptions!$B$7*Assumptions!$B$25/$E14/12*(1+Assumptions!$K$7)</f>
        <v>56059.584797888696</v>
      </c>
      <c r="AA13" s="36">
        <f>Z13*Assumptions!$B$11</f>
        <v>11211.91695957774</v>
      </c>
      <c r="AB13" s="39">
        <f t="shared" si="8"/>
        <v>44847.667838310954</v>
      </c>
      <c r="AC13" s="88">
        <f t="shared" si="9"/>
        <v>-3050966.7039730893</v>
      </c>
      <c r="AD13" s="88">
        <f>Assumptions!$B$23*R13</f>
        <v>1564146.6477938162</v>
      </c>
      <c r="AE13" s="88">
        <f t="shared" si="11"/>
        <v>-1486820.0561792732</v>
      </c>
    </row>
    <row r="14" spans="1:33" x14ac:dyDescent="0.25">
      <c r="A14" s="1">
        <f t="shared" si="10"/>
        <v>9</v>
      </c>
      <c r="B14" s="30" t="s">
        <v>28</v>
      </c>
      <c r="C14" s="31">
        <f t="shared" si="3"/>
        <v>9</v>
      </c>
      <c r="D14" s="32">
        <f t="shared" si="1"/>
        <v>0.75</v>
      </c>
      <c r="E14" s="32">
        <f t="shared" si="4"/>
        <v>8.333333333333337E-2</v>
      </c>
      <c r="F14" s="31">
        <f t="shared" si="5"/>
        <v>0</v>
      </c>
      <c r="G14" s="36">
        <f>(G13*($K13/$K12)-L13)*(1+Assumptions!$B$15)^$F14</f>
        <v>896953356.76621938</v>
      </c>
      <c r="H14" s="36">
        <f>$H$6/$G$6*G14*(1+Assumptions!$B$16)^INT((C14-1)/12)*IF(B14="Monthly",1,12)</f>
        <v>74746.113063851619</v>
      </c>
      <c r="I14" s="40">
        <f>Assumptions!$B$14</f>
        <v>0.15</v>
      </c>
      <c r="J14" s="40">
        <f t="shared" si="6"/>
        <v>1.3451947011868914E-2</v>
      </c>
      <c r="K14" s="35">
        <f t="shared" si="7"/>
        <v>0.88524645092194243</v>
      </c>
      <c r="L14" s="93">
        <f>H14*Assumptions!$B$7*(1+Assumptions!$K$7)</f>
        <v>44847.667838310968</v>
      </c>
      <c r="M14" s="36">
        <f>L14*Assumptions!$B$11</f>
        <v>8969.5335676621944</v>
      </c>
      <c r="N14" s="36">
        <f>H14*Assumptions!$B$11</f>
        <v>14949.222612770325</v>
      </c>
      <c r="O14" s="36">
        <f>N14*Assumptions!$B$12</f>
        <v>1494.9222612770327</v>
      </c>
      <c r="P14" s="36">
        <f>H14*Assumptions!$B$9</f>
        <v>5979.6890451081299</v>
      </c>
      <c r="Q14" s="36">
        <f>H14*Assumptions!$B$8</f>
        <v>3737.3056531925813</v>
      </c>
      <c r="R14" s="37">
        <f>(R15)/((1+Assumptions!$B$21)^$E15)+H15/IF(H$3="EOP",((1+Assumptions!$B$21)^$E15),1)</f>
        <v>10374223.480783395</v>
      </c>
      <c r="S14" s="36">
        <f>(S15)/((1+Assumptions!$B$21)^$E15)+L15/IF(L$3="EOP",((1+Assumptions!$B$21)^$E15),1)</f>
        <v>5103020.2278476004</v>
      </c>
      <c r="T14" s="36">
        <f>(T15)/((1+Assumptions!$B$21)^$E15)+M15/IF(M$3="EOP",((1+Assumptions!$B$21)^$E15),1)</f>
        <v>1020604.045569521</v>
      </c>
      <c r="U14" s="36">
        <f>(U15)/((1+Assumptions!$B$21)^$E15)+N15/IF(N$3="EOP",((1+Assumptions!$B$21)^$E15),1)</f>
        <v>2074844.6961566799</v>
      </c>
      <c r="V14" s="36">
        <f>(V15)/((1+Assumptions!$B$21)^$E15)+O15/IF(O$3="EOP",((1+Assumptions!$B$21)^$E15),1)</f>
        <v>207484.46961566794</v>
      </c>
      <c r="W14" s="36">
        <f>(W15)/((1+Assumptions!$B$21)^$E15)+P15/IF(P$3="EOP",((1+Assumptions!$B$21)^$E15),1)</f>
        <v>829937.87846267177</v>
      </c>
      <c r="X14" s="36">
        <f>(X15)/((1+Assumptions!$B$21)^$E15)+Q15/IF(Q$3="EOP",((1+Assumptions!$B$21)^$E15),1)</f>
        <v>508128.56862437387</v>
      </c>
      <c r="Y14" s="38">
        <f t="shared" si="2"/>
        <v>-3086380.6248772591</v>
      </c>
      <c r="Z14" s="93">
        <f>H15*Assumptions!$B$7*Assumptions!$B$25/$E15/12*(1+Assumptions!$K$7)</f>
        <v>55302.671254440211</v>
      </c>
      <c r="AA14" s="36">
        <f>Z14*Assumptions!$B$11</f>
        <v>11060.534250888042</v>
      </c>
      <c r="AB14" s="39">
        <f t="shared" si="8"/>
        <v>44242.137003552169</v>
      </c>
      <c r="AC14" s="88">
        <f t="shared" si="9"/>
        <v>-3042138.487873707</v>
      </c>
      <c r="AD14" s="88">
        <f>Assumptions!$B$23*R14</f>
        <v>1556133.5221175093</v>
      </c>
      <c r="AE14" s="88">
        <f t="shared" si="11"/>
        <v>-1486004.9657561977</v>
      </c>
    </row>
    <row r="15" spans="1:33" x14ac:dyDescent="0.25">
      <c r="A15" s="1">
        <f t="shared" si="10"/>
        <v>10</v>
      </c>
      <c r="B15" s="30" t="s">
        <v>28</v>
      </c>
      <c r="C15" s="31">
        <f t="shared" si="3"/>
        <v>10</v>
      </c>
      <c r="D15" s="32">
        <f t="shared" si="1"/>
        <v>0.83333333333333337</v>
      </c>
      <c r="E15" s="32">
        <f t="shared" si="4"/>
        <v>8.333333333333337E-2</v>
      </c>
      <c r="F15" s="31">
        <f t="shared" si="5"/>
        <v>0</v>
      </c>
      <c r="G15" s="36">
        <f>(G14*($K14/$K13)-L14)*(1+Assumptions!$B$15)^$F15</f>
        <v>884842740.07104385</v>
      </c>
      <c r="H15" s="36">
        <f>$H$6/$G$6*G15*(1+Assumptions!$B$16)^INT((C15-1)/12)*IF(B15="Monthly",1,12)</f>
        <v>73736.89500592032</v>
      </c>
      <c r="I15" s="40">
        <f>Assumptions!$B$14</f>
        <v>0.15</v>
      </c>
      <c r="J15" s="40">
        <f t="shared" si="6"/>
        <v>1.3451947011868914E-2</v>
      </c>
      <c r="K15" s="35">
        <f t="shared" si="7"/>
        <v>0.8733381625716955</v>
      </c>
      <c r="L15" s="93">
        <f>H15*Assumptions!$B$7*(1+Assumptions!$K$7)</f>
        <v>44242.13700355219</v>
      </c>
      <c r="M15" s="36">
        <f>L15*Assumptions!$B$11</f>
        <v>8848.4274007104377</v>
      </c>
      <c r="N15" s="36">
        <f>H15*Assumptions!$B$11</f>
        <v>14747.379001184065</v>
      </c>
      <c r="O15" s="36">
        <f>N15*Assumptions!$B$12</f>
        <v>1474.7379001184065</v>
      </c>
      <c r="P15" s="36">
        <f>H15*Assumptions!$B$9</f>
        <v>5898.9516004736261</v>
      </c>
      <c r="Q15" s="36">
        <f>H15*Assumptions!$B$8</f>
        <v>3686.8447502960162</v>
      </c>
      <c r="R15" s="37">
        <f>(R16)/((1+Assumptions!$B$21)^$E16)+H16/IF(H$3="EOP",((1+Assumptions!$B$21)^$E16),1)</f>
        <v>10321703.901643887</v>
      </c>
      <c r="S15" s="36">
        <f>(S16)/((1+Assumptions!$B$21)^$E16)+L16/IF(L$3="EOP",((1+Assumptions!$B$21)^$E16),1)</f>
        <v>5069289.4769951105</v>
      </c>
      <c r="T15" s="36">
        <f>(T16)/((1+Assumptions!$B$21)^$E16)+M16/IF(M$3="EOP",((1+Assumptions!$B$21)^$E16),1)</f>
        <v>1013857.8953990228</v>
      </c>
      <c r="U15" s="36">
        <f>(U16)/((1+Assumptions!$B$21)^$E16)+N16/IF(N$3="EOP",((1+Assumptions!$B$21)^$E16),1)</f>
        <v>2064340.7803287783</v>
      </c>
      <c r="V15" s="36">
        <f>(V16)/((1+Assumptions!$B$21)^$E16)+O16/IF(O$3="EOP",((1+Assumptions!$B$21)^$E16),1)</f>
        <v>206434.07803287779</v>
      </c>
      <c r="W15" s="36">
        <f>(W16)/((1+Assumptions!$B$21)^$E16)+P16/IF(P$3="EOP",((1+Assumptions!$B$21)^$E16),1)</f>
        <v>825736.31213151116</v>
      </c>
      <c r="X15" s="36">
        <f>(X16)/((1+Assumptions!$B$21)^$E16)+Q16/IF(Q$3="EOP",((1+Assumptions!$B$21)^$E16),1)</f>
        <v>505488.3855294736</v>
      </c>
      <c r="Y15" s="38">
        <f t="shared" si="2"/>
        <v>-3077140.9200909147</v>
      </c>
      <c r="Z15" s="93">
        <f>H16*Assumptions!$B$7*Assumptions!$B$25/$E16/12*(1+Assumptions!$K$7)</f>
        <v>54555.977517548024</v>
      </c>
      <c r="AA15" s="36">
        <f>Z15*Assumptions!$B$11</f>
        <v>10911.195503509605</v>
      </c>
      <c r="AB15" s="39">
        <f t="shared" si="8"/>
        <v>43644.782014038421</v>
      </c>
      <c r="AC15" s="88">
        <f t="shared" si="9"/>
        <v>-3033496.1380768763</v>
      </c>
      <c r="AD15" s="88">
        <f>Assumptions!$B$23*R15</f>
        <v>1548255.585246583</v>
      </c>
      <c r="AE15" s="88">
        <f t="shared" si="11"/>
        <v>-1485240.5528302933</v>
      </c>
    </row>
    <row r="16" spans="1:33" x14ac:dyDescent="0.25">
      <c r="A16" s="1">
        <f t="shared" si="10"/>
        <v>11</v>
      </c>
      <c r="B16" s="30" t="s">
        <v>28</v>
      </c>
      <c r="C16" s="31">
        <f t="shared" si="3"/>
        <v>11</v>
      </c>
      <c r="D16" s="32">
        <f t="shared" si="1"/>
        <v>0.91666666666666663</v>
      </c>
      <c r="E16" s="32">
        <f t="shared" si="4"/>
        <v>8.3333333333333259E-2</v>
      </c>
      <c r="F16" s="31">
        <f t="shared" si="5"/>
        <v>0</v>
      </c>
      <c r="G16" s="36">
        <f>(G15*($K15/$K14)-L15)*(1+Assumptions!$B$15)^$F16</f>
        <v>872895640.2807678</v>
      </c>
      <c r="H16" s="36">
        <f>$H$6/$G$6*G16*(1+Assumptions!$B$16)^INT((C16-1)/12)*IF(B16="Monthly",1,12)</f>
        <v>72741.303356730641</v>
      </c>
      <c r="I16" s="40">
        <f>Assumptions!$B$14</f>
        <v>0.15</v>
      </c>
      <c r="J16" s="40">
        <f t="shared" si="6"/>
        <v>1.3451947011868914E-2</v>
      </c>
      <c r="K16" s="35">
        <f t="shared" si="7"/>
        <v>0.8615900638853381</v>
      </c>
      <c r="L16" s="93">
        <f>H16*Assumptions!$B$7*(1+Assumptions!$K$7)</f>
        <v>43644.782014038385</v>
      </c>
      <c r="M16" s="36">
        <f>L16*Assumptions!$B$11</f>
        <v>8728.9564028076766</v>
      </c>
      <c r="N16" s="36">
        <f>H16*Assumptions!$B$11</f>
        <v>14548.260671346128</v>
      </c>
      <c r="O16" s="36">
        <f>N16*Assumptions!$B$12</f>
        <v>1454.8260671346129</v>
      </c>
      <c r="P16" s="36">
        <f>H16*Assumptions!$B$9</f>
        <v>5819.3042685384517</v>
      </c>
      <c r="Q16" s="36">
        <f>H16*Assumptions!$B$8</f>
        <v>3637.0651678365321</v>
      </c>
      <c r="R16" s="37">
        <f>(R17)/((1+Assumptions!$B$21)^$E17)+H17/IF(H$3="EOP",((1+Assumptions!$B$21)^$E17),1)</f>
        <v>10270073.78317537</v>
      </c>
      <c r="S16" s="36">
        <f>(S17)/((1+Assumptions!$B$21)^$E17)+L17/IF(L$3="EOP",((1+Assumptions!$B$21)^$E17),1)</f>
        <v>5036086.6013081195</v>
      </c>
      <c r="T16" s="36">
        <f>(T17)/((1+Assumptions!$B$21)^$E17)+M17/IF(M$3="EOP",((1+Assumptions!$B$21)^$E17),1)</f>
        <v>1007217.3202616245</v>
      </c>
      <c r="U16" s="36">
        <f>(U17)/((1+Assumptions!$B$21)^$E17)+N17/IF(N$3="EOP",((1+Assumptions!$B$21)^$E17),1)</f>
        <v>2054014.7566350747</v>
      </c>
      <c r="V16" s="36">
        <f>(V17)/((1+Assumptions!$B$21)^$E17)+O17/IF(O$3="EOP",((1+Assumptions!$B$21)^$E17),1)</f>
        <v>205401.47566350744</v>
      </c>
      <c r="W16" s="36">
        <f>(W17)/((1+Assumptions!$B$21)^$E17)+P17/IF(P$3="EOP",((1+Assumptions!$B$21)^$E17),1)</f>
        <v>821605.90265402978</v>
      </c>
      <c r="X16" s="36">
        <f>(X17)/((1+Assumptions!$B$21)^$E17)+Q17/IF(Q$3="EOP",((1+Assumptions!$B$21)^$E17),1)</f>
        <v>502892.54367213493</v>
      </c>
      <c r="Y16" s="38">
        <f t="shared" si="2"/>
        <v>-3068092.7748311427</v>
      </c>
      <c r="Z16" s="93">
        <f>H17*Assumptions!$B$7*Assumptions!$B$25/$E17/12*(1+Assumptions!$K$7)</f>
        <v>53819.365599925324</v>
      </c>
      <c r="AA16" s="36">
        <f>Z16*Assumptions!$B$11</f>
        <v>10763.873119985066</v>
      </c>
      <c r="AB16" s="39">
        <f t="shared" si="8"/>
        <v>43055.492479940258</v>
      </c>
      <c r="AC16" s="88">
        <f t="shared" si="9"/>
        <v>-3025037.2823512023</v>
      </c>
      <c r="AD16" s="88">
        <f>Assumptions!$B$23*R16</f>
        <v>1540511.0674763054</v>
      </c>
      <c r="AE16" s="88">
        <f t="shared" si="11"/>
        <v>-1484526.2148748969</v>
      </c>
    </row>
    <row r="17" spans="1:31" s="21" customFormat="1" x14ac:dyDescent="0.25">
      <c r="A17" s="21">
        <f t="shared" si="10"/>
        <v>12</v>
      </c>
      <c r="B17" s="41" t="s">
        <v>28</v>
      </c>
      <c r="C17" s="23">
        <f t="shared" si="3"/>
        <v>12</v>
      </c>
      <c r="D17" s="22">
        <f t="shared" si="1"/>
        <v>1</v>
      </c>
      <c r="E17" s="22">
        <f t="shared" si="4"/>
        <v>8.333333333333337E-2</v>
      </c>
      <c r="F17" s="23">
        <f t="shared" si="5"/>
        <v>0</v>
      </c>
      <c r="G17" s="27">
        <f>(G16*($K16/$K15)-L16)*(1+Assumptions!$B$15)^$F17</f>
        <v>861109849.59880555</v>
      </c>
      <c r="H17" s="27">
        <f>$H$6/$G$6*G17*(1+Assumptions!$B$16)^INT((C17-1)/12)*IF(B17="Monthly",1,12)</f>
        <v>71759.154133233795</v>
      </c>
      <c r="I17" s="42">
        <f>Assumptions!$B$14</f>
        <v>0.15</v>
      </c>
      <c r="J17" s="42">
        <f t="shared" si="6"/>
        <v>1.3451947011868914E-2</v>
      </c>
      <c r="K17" s="43">
        <f t="shared" si="7"/>
        <v>0.84999999999999976</v>
      </c>
      <c r="L17" s="94">
        <f>H17*Assumptions!$B$7*(1+Assumptions!$K$7)</f>
        <v>43055.492479940272</v>
      </c>
      <c r="M17" s="27">
        <f>L17*Assumptions!$B$11</f>
        <v>8611.0984959880552</v>
      </c>
      <c r="N17" s="27">
        <f>H17*Assumptions!$B$11</f>
        <v>14351.830826646759</v>
      </c>
      <c r="O17" s="27">
        <f>N17*Assumptions!$B$12</f>
        <v>1435.183082664676</v>
      </c>
      <c r="P17" s="27">
        <f>H17*Assumptions!$B$9</f>
        <v>5740.7323306587041</v>
      </c>
      <c r="Q17" s="27">
        <f>H17*Assumptions!$B$8</f>
        <v>3587.9577066616898</v>
      </c>
      <c r="R17" s="26">
        <f>(R18)/((1+Assumptions!$B$21)^$E18)+H18/IF(H$3="EOP",((1+Assumptions!$B$21)^$E18),1)</f>
        <v>10219321.487406304</v>
      </c>
      <c r="S17" s="27">
        <f>(S18)/((1+Assumptions!$B$21)^$E18)+L18/IF(L$3="EOP",((1+Assumptions!$B$21)^$E18),1)</f>
        <v>5003404.6226676228</v>
      </c>
      <c r="T17" s="27">
        <f>(T18)/((1+Assumptions!$B$21)^$E18)+M18/IF(M$3="EOP",((1+Assumptions!$B$21)^$E18),1)</f>
        <v>1000680.9245335251</v>
      </c>
      <c r="U17" s="27">
        <f>(U18)/((1+Assumptions!$B$21)^$E18)+N18/IF(N$3="EOP",((1+Assumptions!$B$21)^$E18),1)</f>
        <v>2043864.2974812619</v>
      </c>
      <c r="V17" s="27">
        <f>(V18)/((1+Assumptions!$B$21)^$E18)+O18/IF(O$3="EOP",((1+Assumptions!$B$21)^$E18),1)</f>
        <v>204386.42974812613</v>
      </c>
      <c r="W17" s="27">
        <f>(W18)/((1+Assumptions!$B$21)^$E18)+P18/IF(P$3="EOP",((1+Assumptions!$B$21)^$E18),1)</f>
        <v>817545.71899250452</v>
      </c>
      <c r="X17" s="27">
        <f>(X18)/((1+Assumptions!$B$21)^$E18)+Q18/IF(Q$3="EOP",((1+Assumptions!$B$21)^$E18),1)</f>
        <v>500340.46226676257</v>
      </c>
      <c r="Y17" s="28">
        <f t="shared" si="2"/>
        <v>-3059233.740279804</v>
      </c>
      <c r="Z17" s="94">
        <f>H18*Assumptions!$B$7*Assumptions!$B$25/$E18/12*(1+Assumptions!$K$7)</f>
        <v>58486.917634124897</v>
      </c>
      <c r="AA17" s="27">
        <f>Z17*Assumptions!$B$11</f>
        <v>11697.38352682498</v>
      </c>
      <c r="AB17" s="29">
        <f t="shared" si="8"/>
        <v>46789.534107299914</v>
      </c>
      <c r="AC17" s="87">
        <f t="shared" si="9"/>
        <v>-3012444.206172504</v>
      </c>
      <c r="AD17" s="87">
        <f>Assumptions!$B$23*R17</f>
        <v>1532898.2231109457</v>
      </c>
      <c r="AE17" s="87">
        <f t="shared" si="11"/>
        <v>-1479545.9830615583</v>
      </c>
    </row>
    <row r="18" spans="1:31" x14ac:dyDescent="0.25">
      <c r="A18" s="1">
        <f t="shared" si="10"/>
        <v>13</v>
      </c>
      <c r="B18" s="30" t="s">
        <v>28</v>
      </c>
      <c r="C18" s="31">
        <f t="shared" si="3"/>
        <v>13</v>
      </c>
      <c r="D18" s="32">
        <f t="shared" si="1"/>
        <v>1.0833333333333333</v>
      </c>
      <c r="E18" s="32">
        <f t="shared" si="4"/>
        <v>8.3333333333333259E-2</v>
      </c>
      <c r="F18" s="31">
        <f t="shared" si="5"/>
        <v>1</v>
      </c>
      <c r="G18" s="36">
        <f>(G17*($K17/$K16)-L17)*(1+Assumptions!$B$15)^$F18</f>
        <v>866472853.83888662</v>
      </c>
      <c r="H18" s="36">
        <f>$H$6/$G$6*G18*(1+Assumptions!$B$16)^INT((C18-1)/12)*IF(B18="Monthly",1,12)</f>
        <v>77982.556845499799</v>
      </c>
      <c r="I18" s="40">
        <f>Assumptions!$B$14</f>
        <v>0.15</v>
      </c>
      <c r="J18" s="40">
        <f t="shared" si="6"/>
        <v>1.3451947011868914E-2</v>
      </c>
      <c r="K18" s="35">
        <f t="shared" si="7"/>
        <v>0.83856584503991116</v>
      </c>
      <c r="L18" s="37">
        <f>H18*Assumptions!$B$7</f>
        <v>38991.2784227499</v>
      </c>
      <c r="M18" s="36">
        <f>L18*Assumptions!$B$11</f>
        <v>7798.2556845499803</v>
      </c>
      <c r="N18" s="36">
        <f>H18*Assumptions!$B$11</f>
        <v>15596.511369099961</v>
      </c>
      <c r="O18" s="36">
        <f>N18*Assumptions!$B$12</f>
        <v>1559.6511369099962</v>
      </c>
      <c r="P18" s="36">
        <f>H18*Assumptions!$B$9</f>
        <v>6238.604547639984</v>
      </c>
      <c r="Q18" s="36">
        <f>H18*Assumptions!$B$8</f>
        <v>3899.1278422749901</v>
      </c>
      <c r="R18" s="37">
        <f>(R19)/((1+Assumptions!$B$21)^$E19)+H19/IF(H$3="EOP",((1+Assumptions!$B$21)^$E19),1)</f>
        <v>10162228.428314742</v>
      </c>
      <c r="S18" s="36">
        <f>(S19)/((1+Assumptions!$B$21)^$E19)+L19/IF(L$3="EOP",((1+Assumptions!$B$21)^$E19),1)</f>
        <v>4974719.5385593418</v>
      </c>
      <c r="T18" s="36">
        <f>(T19)/((1+Assumptions!$B$21)^$E19)+M19/IF(M$3="EOP",((1+Assumptions!$B$21)^$E19),1)</f>
        <v>994943.90771186911</v>
      </c>
      <c r="U18" s="36">
        <f>(U19)/((1+Assumptions!$B$21)^$E19)+N19/IF(N$3="EOP",((1+Assumptions!$B$21)^$E19),1)</f>
        <v>2032445.6856629492</v>
      </c>
      <c r="V18" s="36">
        <f>(V19)/((1+Assumptions!$B$21)^$E19)+O19/IF(O$3="EOP",((1+Assumptions!$B$21)^$E19),1)</f>
        <v>203244.56856629488</v>
      </c>
      <c r="W18" s="36">
        <f>(W19)/((1+Assumptions!$B$21)^$E19)+P19/IF(P$3="EOP",((1+Assumptions!$B$21)^$E19),1)</f>
        <v>812978.27426517953</v>
      </c>
      <c r="X18" s="36">
        <f>(X19)/((1+Assumptions!$B$21)^$E19)+Q19/IF(Q$3="EOP",((1+Assumptions!$B$21)^$E19),1)</f>
        <v>497471.95385593455</v>
      </c>
      <c r="Y18" s="38">
        <f t="shared" si="2"/>
        <v>-3042801.4522495009</v>
      </c>
      <c r="Z18" s="37">
        <f>H19*Assumptions!$B$7*Assumptions!$B$25/$E19/12</f>
        <v>48081.269004941183</v>
      </c>
      <c r="AA18" s="36">
        <f>Z18*Assumptions!$B$11</f>
        <v>9616.2538009882373</v>
      </c>
      <c r="AB18" s="39">
        <f t="shared" si="8"/>
        <v>38465.015203952949</v>
      </c>
      <c r="AC18" s="88">
        <f t="shared" si="9"/>
        <v>-3004336.4370455481</v>
      </c>
      <c r="AD18" s="88">
        <f>Assumptions!$B$23*R18</f>
        <v>1524334.2642472112</v>
      </c>
      <c r="AE18" s="88">
        <f t="shared" si="11"/>
        <v>-1480002.1727983369</v>
      </c>
    </row>
    <row r="19" spans="1:31" x14ac:dyDescent="0.25">
      <c r="A19" s="1">
        <f t="shared" si="10"/>
        <v>14</v>
      </c>
      <c r="B19" s="30" t="s">
        <v>28</v>
      </c>
      <c r="C19" s="31">
        <f t="shared" si="3"/>
        <v>14</v>
      </c>
      <c r="D19" s="32">
        <f t="shared" si="1"/>
        <v>1.1666666666666667</v>
      </c>
      <c r="E19" s="32">
        <f t="shared" si="4"/>
        <v>8.3333333333333481E-2</v>
      </c>
      <c r="F19" s="31">
        <f t="shared" si="5"/>
        <v>0</v>
      </c>
      <c r="G19" s="36">
        <f>(G18*($K18/$K17)-L18)*(1+Assumptions!$B$15)^$F19</f>
        <v>854778115.64340031</v>
      </c>
      <c r="H19" s="36">
        <f>$H$6/$G$6*G19*(1+Assumptions!$B$16)^INT((C19-1)/12)*IF(B19="Monthly",1,12)</f>
        <v>76930.03040790603</v>
      </c>
      <c r="I19" s="40">
        <f>Assumptions!$B$14</f>
        <v>0.15</v>
      </c>
      <c r="J19" s="40">
        <f t="shared" si="6"/>
        <v>1.3451947011868914E-2</v>
      </c>
      <c r="K19" s="35">
        <f t="shared" si="7"/>
        <v>0.8272855017264712</v>
      </c>
      <c r="L19" s="37">
        <f>H19*Assumptions!$B$7</f>
        <v>38465.015203953015</v>
      </c>
      <c r="M19" s="36">
        <f>L19*Assumptions!$B$11</f>
        <v>7693.0030407906033</v>
      </c>
      <c r="N19" s="36">
        <f>H19*Assumptions!$B$11</f>
        <v>15386.006081581207</v>
      </c>
      <c r="O19" s="36">
        <f>N19*Assumptions!$B$12</f>
        <v>1538.6006081581208</v>
      </c>
      <c r="P19" s="36">
        <f>H19*Assumptions!$B$9</f>
        <v>6154.4024326324825</v>
      </c>
      <c r="Q19" s="36">
        <f>H19*Assumptions!$B$8</f>
        <v>3846.5015203953017</v>
      </c>
      <c r="R19" s="37">
        <f>(R20)/((1+Assumptions!$B$21)^$E20)+H20/IF(H$3="EOP",((1+Assumptions!$B$21)^$E20),1)</f>
        <v>10106072.461339034</v>
      </c>
      <c r="S19" s="36">
        <f>(S20)/((1+Assumptions!$B$21)^$E20)+L20/IF(L$3="EOP",((1+Assumptions!$B$21)^$E20),1)</f>
        <v>4946501.6310932096</v>
      </c>
      <c r="T19" s="36">
        <f>(T20)/((1+Assumptions!$B$21)^$E20)+M20/IF(M$3="EOP",((1+Assumptions!$B$21)^$E20),1)</f>
        <v>989300.32621864276</v>
      </c>
      <c r="U19" s="36">
        <f>(U20)/((1+Assumptions!$B$21)^$E20)+N20/IF(N$3="EOP",((1+Assumptions!$B$21)^$E20),1)</f>
        <v>2021214.4922678077</v>
      </c>
      <c r="V19" s="36">
        <f>(V20)/((1+Assumptions!$B$21)^$E20)+O20/IF(O$3="EOP",((1+Assumptions!$B$21)^$E20),1)</f>
        <v>202121.44922678071</v>
      </c>
      <c r="W19" s="36">
        <f>(W20)/((1+Assumptions!$B$21)^$E20)+P20/IF(P$3="EOP",((1+Assumptions!$B$21)^$E20),1)</f>
        <v>808485.79690712283</v>
      </c>
      <c r="X19" s="36">
        <f>(X20)/((1+Assumptions!$B$21)^$E20)+Q20/IF(Q$3="EOP",((1+Assumptions!$B$21)^$E20),1)</f>
        <v>494650.16310932138</v>
      </c>
      <c r="Y19" s="38">
        <f t="shared" si="2"/>
        <v>-3026642.1534069953</v>
      </c>
      <c r="Z19" s="37">
        <f>H20*Assumptions!$B$7*Assumptions!$B$25/$E20/12</f>
        <v>47432.318664918195</v>
      </c>
      <c r="AA19" s="36">
        <f>Z19*Assumptions!$B$11</f>
        <v>9486.4637329836387</v>
      </c>
      <c r="AB19" s="39">
        <f t="shared" si="8"/>
        <v>37945.854931934555</v>
      </c>
      <c r="AC19" s="88">
        <f t="shared" si="9"/>
        <v>-2988696.2984750606</v>
      </c>
      <c r="AD19" s="88">
        <f>Assumptions!$B$23*R19</f>
        <v>1515910.869200855</v>
      </c>
      <c r="AE19" s="88">
        <f t="shared" si="11"/>
        <v>-1472785.4292742056</v>
      </c>
    </row>
    <row r="20" spans="1:31" x14ac:dyDescent="0.25">
      <c r="A20" s="1">
        <f t="shared" si="10"/>
        <v>15</v>
      </c>
      <c r="B20" s="30" t="s">
        <v>28</v>
      </c>
      <c r="C20" s="31">
        <f t="shared" si="3"/>
        <v>15</v>
      </c>
      <c r="D20" s="32">
        <f t="shared" si="1"/>
        <v>1.25</v>
      </c>
      <c r="E20" s="32">
        <f t="shared" si="4"/>
        <v>8.3333333333333259E-2</v>
      </c>
      <c r="F20" s="31">
        <f t="shared" si="5"/>
        <v>0</v>
      </c>
      <c r="G20" s="36">
        <f>(G19*($K19/$K18)-L19)*(1+Assumptions!$B$15)^$F20</f>
        <v>843241220.70965612</v>
      </c>
      <c r="H20" s="36">
        <f>$H$6/$G$6*G20*(1+Assumptions!$B$16)^INT((C20-1)/12)*IF(B20="Monthly",1,12)</f>
        <v>75891.709863869051</v>
      </c>
      <c r="I20" s="40">
        <f>Assumptions!$B$14</f>
        <v>0.15</v>
      </c>
      <c r="J20" s="40">
        <f t="shared" si="6"/>
        <v>1.3451947011868914E-2</v>
      </c>
      <c r="K20" s="35">
        <f t="shared" si="7"/>
        <v>0.81615690099355931</v>
      </c>
      <c r="L20" s="37">
        <f>H20*Assumptions!$B$7</f>
        <v>37945.854931934526</v>
      </c>
      <c r="M20" s="36">
        <f>L20*Assumptions!$B$11</f>
        <v>7589.1709863869055</v>
      </c>
      <c r="N20" s="36">
        <f>H20*Assumptions!$B$11</f>
        <v>15178.341972773811</v>
      </c>
      <c r="O20" s="36">
        <f>N20*Assumptions!$B$12</f>
        <v>1517.8341972773812</v>
      </c>
      <c r="P20" s="36">
        <f>H20*Assumptions!$B$9</f>
        <v>6071.336789109524</v>
      </c>
      <c r="Q20" s="36">
        <f>H20*Assumptions!$B$8</f>
        <v>3794.5854931934527</v>
      </c>
      <c r="R20" s="37">
        <f>(R21)/((1+Assumptions!$B$21)^$E21)+H21/IF(H$3="EOP",((1+Assumptions!$B$21)^$E21),1)</f>
        <v>10050841.281580132</v>
      </c>
      <c r="S20" s="36">
        <f>(S21)/((1+Assumptions!$B$21)^$E21)+L21/IF(L$3="EOP",((1+Assumptions!$B$21)^$E21),1)</f>
        <v>4918744.7596298372</v>
      </c>
      <c r="T20" s="36">
        <f>(T21)/((1+Assumptions!$B$21)^$E21)+M21/IF(M$3="EOP",((1+Assumptions!$B$21)^$E21),1)</f>
        <v>983748.95192596829</v>
      </c>
      <c r="U20" s="36">
        <f>(U21)/((1+Assumptions!$B$21)^$E21)+N21/IF(N$3="EOP",((1+Assumptions!$B$21)^$E21),1)</f>
        <v>2010168.2563160271</v>
      </c>
      <c r="V20" s="36">
        <f>(V21)/((1+Assumptions!$B$21)^$E21)+O21/IF(O$3="EOP",((1+Assumptions!$B$21)^$E21),1)</f>
        <v>201016.82563160267</v>
      </c>
      <c r="W20" s="36">
        <f>(W21)/((1+Assumptions!$B$21)^$E21)+P21/IF(P$3="EOP",((1+Assumptions!$B$21)^$E21),1)</f>
        <v>804067.30252641067</v>
      </c>
      <c r="X20" s="36">
        <f>(X21)/((1+Assumptions!$B$21)^$E21)+Q21/IF(Q$3="EOP",((1+Assumptions!$B$21)^$E21),1)</f>
        <v>491874.47596298414</v>
      </c>
      <c r="Y20" s="38">
        <f t="shared" si="2"/>
        <v>-3010752.2647024421</v>
      </c>
      <c r="Z20" s="37">
        <f>H21*Assumptions!$B$7*Assumptions!$B$25/$E21/12</f>
        <v>46792.127173247718</v>
      </c>
      <c r="AA20" s="36">
        <f>Z20*Assumptions!$B$11</f>
        <v>9358.4254346495436</v>
      </c>
      <c r="AB20" s="39">
        <f t="shared" si="8"/>
        <v>37433.701738598174</v>
      </c>
      <c r="AC20" s="88">
        <f t="shared" si="9"/>
        <v>-2973318.5629638438</v>
      </c>
      <c r="AD20" s="88">
        <f>Assumptions!$B$23*R20</f>
        <v>1507626.1922370198</v>
      </c>
      <c r="AE20" s="88">
        <f t="shared" si="11"/>
        <v>-1465692.370726824</v>
      </c>
    </row>
    <row r="21" spans="1:31" x14ac:dyDescent="0.25">
      <c r="A21" s="1">
        <f t="shared" si="10"/>
        <v>16</v>
      </c>
      <c r="B21" s="30" t="s">
        <v>28</v>
      </c>
      <c r="C21" s="31">
        <f t="shared" si="3"/>
        <v>16</v>
      </c>
      <c r="D21" s="32">
        <f t="shared" si="1"/>
        <v>1.3333333333333333</v>
      </c>
      <c r="E21" s="32">
        <f t="shared" si="4"/>
        <v>8.3333333333333259E-2</v>
      </c>
      <c r="F21" s="31">
        <f t="shared" si="5"/>
        <v>0</v>
      </c>
      <c r="G21" s="36">
        <f>(G20*($K20/$K19)-L20)*(1+Assumptions!$B$15)^$F21</f>
        <v>831860038.63551426</v>
      </c>
      <c r="H21" s="36">
        <f>$H$6/$G$6*G21*(1+Assumptions!$B$16)^INT((C21-1)/12)*IF(B21="Monthly",1,12)</f>
        <v>74867.403477196276</v>
      </c>
      <c r="I21" s="40">
        <f>Assumptions!$B$14</f>
        <v>0.15</v>
      </c>
      <c r="J21" s="40">
        <f t="shared" si="6"/>
        <v>1.3451947011868914E-2</v>
      </c>
      <c r="K21" s="35">
        <f t="shared" si="7"/>
        <v>0.80517800160802278</v>
      </c>
      <c r="L21" s="37">
        <f>H21*Assumptions!$B$7</f>
        <v>37433.701738598138</v>
      </c>
      <c r="M21" s="36">
        <f>L21*Assumptions!$B$11</f>
        <v>7486.7403477196276</v>
      </c>
      <c r="N21" s="36">
        <f>H21*Assumptions!$B$11</f>
        <v>14973.480695439255</v>
      </c>
      <c r="O21" s="36">
        <f>N21*Assumptions!$B$12</f>
        <v>1497.3480695439257</v>
      </c>
      <c r="P21" s="36">
        <f>H21*Assumptions!$B$9</f>
        <v>5989.3922781757019</v>
      </c>
      <c r="Q21" s="36">
        <f>H21*Assumptions!$B$8</f>
        <v>3743.3701738598138</v>
      </c>
      <c r="R21" s="37">
        <f>(R22)/((1+Assumptions!$B$21)^$E22)+H22/IF(H$3="EOP",((1+Assumptions!$B$21)^$E22),1)</f>
        <v>9996522.7509240564</v>
      </c>
      <c r="S21" s="36">
        <f>(S22)/((1+Assumptions!$B$21)^$E22)+L22/IF(L$3="EOP",((1+Assumptions!$B$21)^$E22),1)</f>
        <v>4891442.8667492233</v>
      </c>
      <c r="T21" s="36">
        <f>(T22)/((1+Assumptions!$B$21)^$E22)+M22/IF(M$3="EOP",((1+Assumptions!$B$21)^$E22),1)</f>
        <v>978288.5733498456</v>
      </c>
      <c r="U21" s="36">
        <f>(U22)/((1+Assumptions!$B$21)^$E22)+N22/IF(N$3="EOP",((1+Assumptions!$B$21)^$E22),1)</f>
        <v>1999304.5501848119</v>
      </c>
      <c r="V21" s="36">
        <f>(V22)/((1+Assumptions!$B$21)^$E22)+O22/IF(O$3="EOP",((1+Assumptions!$B$21)^$E22),1)</f>
        <v>199930.45501848115</v>
      </c>
      <c r="W21" s="36">
        <f>(W22)/((1+Assumptions!$B$21)^$E22)+P22/IF(P$3="EOP",((1+Assumptions!$B$21)^$E22),1)</f>
        <v>799721.82007392461</v>
      </c>
      <c r="X21" s="36">
        <f>(X22)/((1+Assumptions!$B$21)^$E22)+Q22/IF(Q$3="EOP",((1+Assumptions!$B$21)^$E22),1)</f>
        <v>489144.2866749228</v>
      </c>
      <c r="Y21" s="38">
        <f t="shared" si="2"/>
        <v>-2995128.2556095002</v>
      </c>
      <c r="Z21" s="37">
        <f>H22*Assumptions!$B$7*Assumptions!$B$25/$E22/12</f>
        <v>46160.57631221765</v>
      </c>
      <c r="AA21" s="36">
        <f>Z21*Assumptions!$B$11</f>
        <v>9232.1152624435308</v>
      </c>
      <c r="AB21" s="39">
        <f t="shared" si="8"/>
        <v>36928.461049774123</v>
      </c>
      <c r="AC21" s="88">
        <f t="shared" si="9"/>
        <v>-2958199.794559726</v>
      </c>
      <c r="AD21" s="88">
        <f>Assumptions!$B$23*R21</f>
        <v>1499478.4126386084</v>
      </c>
      <c r="AE21" s="88">
        <f t="shared" si="11"/>
        <v>-1458721.3819211177</v>
      </c>
    </row>
    <row r="22" spans="1:31" x14ac:dyDescent="0.25">
      <c r="A22" s="1">
        <f t="shared" si="10"/>
        <v>17</v>
      </c>
      <c r="B22" s="30" t="s">
        <v>28</v>
      </c>
      <c r="C22" s="31">
        <f t="shared" si="3"/>
        <v>17</v>
      </c>
      <c r="D22" s="32">
        <f t="shared" si="1"/>
        <v>1.4166666666666667</v>
      </c>
      <c r="E22" s="32">
        <f t="shared" si="4"/>
        <v>8.3333333333333481E-2</v>
      </c>
      <c r="F22" s="31">
        <f t="shared" si="5"/>
        <v>0</v>
      </c>
      <c r="G22" s="36">
        <f>(G21*($K21/$K20)-L21)*(1+Assumptions!$B$15)^$F22</f>
        <v>820632467.77275956</v>
      </c>
      <c r="H22" s="36">
        <f>$H$6/$G$6*G22*(1+Assumptions!$B$16)^INT((C22-1)/12)*IF(B22="Monthly",1,12)</f>
        <v>73856.922099548363</v>
      </c>
      <c r="I22" s="40">
        <f>Assumptions!$B$14</f>
        <v>0.15</v>
      </c>
      <c r="J22" s="40">
        <f t="shared" si="6"/>
        <v>1.3451947011868914E-2</v>
      </c>
      <c r="K22" s="35">
        <f t="shared" si="7"/>
        <v>0.79434678979526918</v>
      </c>
      <c r="L22" s="37">
        <f>H22*Assumptions!$B$7</f>
        <v>36928.461049774181</v>
      </c>
      <c r="M22" s="36">
        <f>L22*Assumptions!$B$11</f>
        <v>7385.6922099548365</v>
      </c>
      <c r="N22" s="36">
        <f>H22*Assumptions!$B$11</f>
        <v>14771.384419909673</v>
      </c>
      <c r="O22" s="36">
        <f>N22*Assumptions!$B$12</f>
        <v>1477.1384419909673</v>
      </c>
      <c r="P22" s="36">
        <f>H22*Assumptions!$B$9</f>
        <v>5908.5537679638692</v>
      </c>
      <c r="Q22" s="36">
        <f>H22*Assumptions!$B$8</f>
        <v>3692.8461049774182</v>
      </c>
      <c r="R22" s="37">
        <f>(R23)/((1+Assumptions!$B$21)^$E23)+H23/IF(H$3="EOP",((1+Assumptions!$B$21)^$E23),1)</f>
        <v>9943104.8957922533</v>
      </c>
      <c r="S22" s="36">
        <f>(S23)/((1+Assumptions!$B$21)^$E23)+L23/IF(L$3="EOP",((1+Assumptions!$B$21)^$E23),1)</f>
        <v>4864589.977128244</v>
      </c>
      <c r="T22" s="36">
        <f>(T23)/((1+Assumptions!$B$21)^$E23)+M23/IF(M$3="EOP",((1+Assumptions!$B$21)^$E23),1)</f>
        <v>972917.99542564969</v>
      </c>
      <c r="U22" s="36">
        <f>(U23)/((1+Assumptions!$B$21)^$E23)+N23/IF(N$3="EOP",((1+Assumptions!$B$21)^$E23),1)</f>
        <v>1988620.9791584511</v>
      </c>
      <c r="V22" s="36">
        <f>(V23)/((1+Assumptions!$B$21)^$E23)+O23/IF(O$3="EOP",((1+Assumptions!$B$21)^$E23),1)</f>
        <v>198862.09791584505</v>
      </c>
      <c r="W22" s="36">
        <f>(W23)/((1+Assumptions!$B$21)^$E23)+P23/IF(P$3="EOP",((1+Assumptions!$B$21)^$E23),1)</f>
        <v>795448.3916633802</v>
      </c>
      <c r="X22" s="36">
        <f>(X23)/((1+Assumptions!$B$21)^$E23)+Q23/IF(Q$3="EOP",((1+Assumptions!$B$21)^$E23),1)</f>
        <v>486458.99771282484</v>
      </c>
      <c r="Y22" s="38">
        <f t="shared" si="2"/>
        <v>-2979766.6434708484</v>
      </c>
      <c r="Z22" s="37">
        <f>H23*Assumptions!$B$7*Assumptions!$B$25/$E23/12</f>
        <v>45537.549459694448</v>
      </c>
      <c r="AA22" s="36">
        <f>Z22*Assumptions!$B$11</f>
        <v>9107.5098919388893</v>
      </c>
      <c r="AB22" s="39">
        <f t="shared" si="8"/>
        <v>36430.039567755557</v>
      </c>
      <c r="AC22" s="88">
        <f t="shared" si="9"/>
        <v>-2943336.6039030929</v>
      </c>
      <c r="AD22" s="88">
        <f>Assumptions!$B$23*R22</f>
        <v>1491465.7343688379</v>
      </c>
      <c r="AE22" s="88">
        <f t="shared" si="11"/>
        <v>-1451870.869534255</v>
      </c>
    </row>
    <row r="23" spans="1:31" x14ac:dyDescent="0.25">
      <c r="A23" s="1">
        <f t="shared" si="10"/>
        <v>18</v>
      </c>
      <c r="B23" s="30" t="s">
        <v>28</v>
      </c>
      <c r="C23" s="31">
        <f t="shared" si="3"/>
        <v>18</v>
      </c>
      <c r="D23" s="32">
        <f t="shared" si="1"/>
        <v>1.5</v>
      </c>
      <c r="E23" s="32">
        <f t="shared" si="4"/>
        <v>8.3333333333333259E-2</v>
      </c>
      <c r="F23" s="31">
        <f t="shared" si="5"/>
        <v>0</v>
      </c>
      <c r="G23" s="36">
        <f>(G22*($K22/$K21)-L22)*(1+Assumptions!$B$15)^$F23</f>
        <v>809556434.83901143</v>
      </c>
      <c r="H23" s="36">
        <f>$H$6/$G$6*G23*(1+Assumptions!$B$16)^INT((C23-1)/12)*IF(B23="Monthly",1,12)</f>
        <v>72860.079135511041</v>
      </c>
      <c r="I23" s="40">
        <f>Assumptions!$B$14</f>
        <v>0.15</v>
      </c>
      <c r="J23" s="40">
        <f t="shared" si="6"/>
        <v>1.3451947011868914E-2</v>
      </c>
      <c r="K23" s="35">
        <f t="shared" si="7"/>
        <v>0.78366127886989501</v>
      </c>
      <c r="L23" s="37">
        <f>H23*Assumptions!$B$7</f>
        <v>36430.039567755521</v>
      </c>
      <c r="M23" s="36">
        <f>L23*Assumptions!$B$11</f>
        <v>7286.0079135511041</v>
      </c>
      <c r="N23" s="36">
        <f>H23*Assumptions!$B$11</f>
        <v>14572.015827102208</v>
      </c>
      <c r="O23" s="36">
        <f>N23*Assumptions!$B$12</f>
        <v>1457.2015827102209</v>
      </c>
      <c r="P23" s="36">
        <f>H23*Assumptions!$B$9</f>
        <v>5828.8063308408837</v>
      </c>
      <c r="Q23" s="36">
        <f>H23*Assumptions!$B$8</f>
        <v>3643.0039567755521</v>
      </c>
      <c r="R23" s="37">
        <f>(R24)/((1+Assumptions!$B$21)^$E24)+H24/IF(H$3="EOP",((1+Assumptions!$B$21)^$E24),1)</f>
        <v>9890575.9049223196</v>
      </c>
      <c r="S23" s="36">
        <f>(S24)/((1+Assumptions!$B$21)^$E24)+L24/IF(L$3="EOP",((1+Assumptions!$B$21)^$E24),1)</f>
        <v>4838180.1964332908</v>
      </c>
      <c r="T23" s="36">
        <f>(T24)/((1+Assumptions!$B$21)^$E24)+M24/IF(M$3="EOP",((1+Assumptions!$B$21)^$E24),1)</f>
        <v>967636.03928665898</v>
      </c>
      <c r="U23" s="36">
        <f>(U24)/((1+Assumptions!$B$21)^$E24)+N24/IF(N$3="EOP",((1+Assumptions!$B$21)^$E24),1)</f>
        <v>1978115.1809844642</v>
      </c>
      <c r="V23" s="36">
        <f>(V24)/((1+Assumptions!$B$21)^$E24)+O24/IF(O$3="EOP",((1+Assumptions!$B$21)^$E24),1)</f>
        <v>197811.51809844637</v>
      </c>
      <c r="W23" s="36">
        <f>(W24)/((1+Assumptions!$B$21)^$E24)+P24/IF(P$3="EOP",((1+Assumptions!$B$21)^$E24),1)</f>
        <v>791246.07239378546</v>
      </c>
      <c r="X23" s="36">
        <f>(X24)/((1+Assumptions!$B$21)^$E24)+Q24/IF(Q$3="EOP",((1+Assumptions!$B$21)^$E24),1)</f>
        <v>483818.01964332949</v>
      </c>
      <c r="Y23" s="38">
        <f t="shared" si="2"/>
        <v>-2964663.9928525551</v>
      </c>
      <c r="Z23" s="37">
        <f>H24*Assumptions!$B$7*Assumptions!$B$25/$E24/12</f>
        <v>44922.931567586587</v>
      </c>
      <c r="AA23" s="36">
        <f>Z23*Assumptions!$B$11</f>
        <v>8984.5863135173186</v>
      </c>
      <c r="AB23" s="39">
        <f t="shared" si="8"/>
        <v>35938.345254069267</v>
      </c>
      <c r="AC23" s="88">
        <f t="shared" si="9"/>
        <v>-2928725.6475984859</v>
      </c>
      <c r="AD23" s="88">
        <f>Assumptions!$B$23*R23</f>
        <v>1483586.3857383479</v>
      </c>
      <c r="AE23" s="88">
        <f t="shared" si="11"/>
        <v>-1445139.261860138</v>
      </c>
    </row>
    <row r="24" spans="1:31" x14ac:dyDescent="0.25">
      <c r="A24" s="1">
        <f t="shared" si="10"/>
        <v>19</v>
      </c>
      <c r="B24" s="30" t="s">
        <v>28</v>
      </c>
      <c r="C24" s="31">
        <f t="shared" si="3"/>
        <v>19</v>
      </c>
      <c r="D24" s="32">
        <f t="shared" si="1"/>
        <v>1.5833333333333333</v>
      </c>
      <c r="E24" s="32">
        <f t="shared" si="4"/>
        <v>8.3333333333333259E-2</v>
      </c>
      <c r="F24" s="31">
        <f t="shared" si="5"/>
        <v>0</v>
      </c>
      <c r="G24" s="36">
        <f>(G23*($K23/$K22)-L23)*(1+Assumptions!$B$15)^$F24</f>
        <v>798629894.53487182</v>
      </c>
      <c r="H24" s="36">
        <f>$H$6/$G$6*G24*(1+Assumptions!$B$16)^INT((C24-1)/12)*IF(B24="Monthly",1,12)</f>
        <v>71876.690508138476</v>
      </c>
      <c r="I24" s="40">
        <f>Assumptions!$B$14</f>
        <v>0.15</v>
      </c>
      <c r="J24" s="40">
        <f t="shared" si="6"/>
        <v>1.3451947011868914E-2</v>
      </c>
      <c r="K24" s="35">
        <f t="shared" si="7"/>
        <v>0.77311950887128378</v>
      </c>
      <c r="L24" s="37">
        <f>H24*Assumptions!$B$7</f>
        <v>35938.345254069238</v>
      </c>
      <c r="M24" s="36">
        <f>L24*Assumptions!$B$11</f>
        <v>7187.6690508138481</v>
      </c>
      <c r="N24" s="36">
        <f>H24*Assumptions!$B$11</f>
        <v>14375.338101627696</v>
      </c>
      <c r="O24" s="36">
        <f>N24*Assumptions!$B$12</f>
        <v>1437.5338101627697</v>
      </c>
      <c r="P24" s="36">
        <f>H24*Assumptions!$B$9</f>
        <v>5750.1352406510778</v>
      </c>
      <c r="Q24" s="36">
        <f>H24*Assumptions!$B$8</f>
        <v>3593.8345254069241</v>
      </c>
      <c r="R24" s="37">
        <f>(R25)/((1+Assumptions!$B$21)^$E25)+H25/IF(H$3="EOP",((1+Assumptions!$B$21)^$E25),1)</f>
        <v>9838924.1271787081</v>
      </c>
      <c r="S24" s="36">
        <f>(S25)/((1+Assumptions!$B$21)^$E25)+L25/IF(L$3="EOP",((1+Assumptions!$B$21)^$E25),1)</f>
        <v>4812207.7102278704</v>
      </c>
      <c r="T24" s="36">
        <f>(T25)/((1+Assumptions!$B$21)^$E25)+M25/IF(M$3="EOP",((1+Assumptions!$B$21)^$E25),1)</f>
        <v>962441.54204557475</v>
      </c>
      <c r="U24" s="36">
        <f>(U25)/((1+Assumptions!$B$21)^$E25)+N25/IF(N$3="EOP",((1+Assumptions!$B$21)^$E25),1)</f>
        <v>1967784.8254357418</v>
      </c>
      <c r="V24" s="36">
        <f>(V25)/((1+Assumptions!$B$21)^$E25)+O25/IF(O$3="EOP",((1+Assumptions!$B$21)^$E25),1)</f>
        <v>196778.48254357412</v>
      </c>
      <c r="W24" s="36">
        <f>(W25)/((1+Assumptions!$B$21)^$E25)+P25/IF(P$3="EOP",((1+Assumptions!$B$21)^$E25),1)</f>
        <v>787113.93017429649</v>
      </c>
      <c r="X24" s="36">
        <f>(X25)/((1+Assumptions!$B$21)^$E25)+Q25/IF(Q$3="EOP",((1+Assumptions!$B$21)^$E25),1)</f>
        <v>481220.77102278738</v>
      </c>
      <c r="Y24" s="38">
        <f t="shared" si="2"/>
        <v>-2949816.9149071602</v>
      </c>
      <c r="Z24" s="37">
        <f>H25*Assumptions!$B$7*Assumptions!$B$25/$E25/12</f>
        <v>44316.609140600929</v>
      </c>
      <c r="AA24" s="36">
        <f>Z24*Assumptions!$B$11</f>
        <v>8863.3218281201862</v>
      </c>
      <c r="AB24" s="39">
        <f t="shared" si="8"/>
        <v>35453.287312480745</v>
      </c>
      <c r="AC24" s="88">
        <f t="shared" si="9"/>
        <v>-2914363.6275946796</v>
      </c>
      <c r="AD24" s="88">
        <f>Assumptions!$B$23*R24</f>
        <v>1475838.6190768061</v>
      </c>
      <c r="AE24" s="88">
        <f t="shared" si="11"/>
        <v>-1438525.0085178735</v>
      </c>
    </row>
    <row r="25" spans="1:31" x14ac:dyDescent="0.25">
      <c r="A25" s="1">
        <f t="shared" si="10"/>
        <v>20</v>
      </c>
      <c r="B25" s="30" t="s">
        <v>28</v>
      </c>
      <c r="C25" s="31">
        <f t="shared" si="3"/>
        <v>20</v>
      </c>
      <c r="D25" s="32">
        <f t="shared" si="1"/>
        <v>1.6666666666666667</v>
      </c>
      <c r="E25" s="32">
        <f t="shared" si="4"/>
        <v>8.3333333333333481E-2</v>
      </c>
      <c r="F25" s="31">
        <f t="shared" si="5"/>
        <v>0</v>
      </c>
      <c r="G25" s="36">
        <f>(G24*($K24/$K23)-L24)*(1+Assumptions!$B$15)^$F25</f>
        <v>787850829.16624022</v>
      </c>
      <c r="H25" s="36">
        <f>$H$6/$G$6*G25*(1+Assumptions!$B$16)^INT((C25-1)/12)*IF(B25="Monthly",1,12)</f>
        <v>70906.57462496162</v>
      </c>
      <c r="I25" s="40">
        <f>Assumptions!$B$14</f>
        <v>0.15</v>
      </c>
      <c r="J25" s="40">
        <f t="shared" si="6"/>
        <v>1.3451947011868914E-2</v>
      </c>
      <c r="K25" s="35">
        <f t="shared" si="7"/>
        <v>0.7627195462041052</v>
      </c>
      <c r="L25" s="37">
        <f>H25*Assumptions!$B$7</f>
        <v>35453.28731248081</v>
      </c>
      <c r="M25" s="36">
        <f>L25*Assumptions!$B$11</f>
        <v>7090.6574624961622</v>
      </c>
      <c r="N25" s="36">
        <f>H25*Assumptions!$B$11</f>
        <v>14181.314924992324</v>
      </c>
      <c r="O25" s="36">
        <f>N25*Assumptions!$B$12</f>
        <v>1418.1314924992325</v>
      </c>
      <c r="P25" s="36">
        <f>H25*Assumptions!$B$9</f>
        <v>5672.5259699969301</v>
      </c>
      <c r="Q25" s="36">
        <f>H25*Assumptions!$B$8</f>
        <v>3545.3287312480811</v>
      </c>
      <c r="R25" s="37">
        <f>(R26)/((1+Assumptions!$B$21)^$E26)+H26/IF(H$3="EOP",((1+Assumptions!$B$21)^$E26),1)</f>
        <v>9788138.0693929605</v>
      </c>
      <c r="S25" s="36">
        <f>(S26)/((1+Assumptions!$B$21)^$E26)+L26/IF(L$3="EOP",((1+Assumptions!$B$21)^$E26),1)</f>
        <v>4786666.7828949345</v>
      </c>
      <c r="T25" s="36">
        <f>(T26)/((1+Assumptions!$B$21)^$E26)+M26/IF(M$3="EOP",((1+Assumptions!$B$21)^$E26),1)</f>
        <v>957333.35657898756</v>
      </c>
      <c r="U25" s="36">
        <f>(U26)/((1+Assumptions!$B$21)^$E26)+N26/IF(N$3="EOP",((1+Assumptions!$B$21)^$E26),1)</f>
        <v>1957627.6138785919</v>
      </c>
      <c r="V25" s="36">
        <f>(V26)/((1+Assumptions!$B$21)^$E26)+O26/IF(O$3="EOP",((1+Assumptions!$B$21)^$E26),1)</f>
        <v>195762.76138785915</v>
      </c>
      <c r="W25" s="36">
        <f>(W26)/((1+Assumptions!$B$21)^$E26)+P26/IF(P$3="EOP",((1+Assumptions!$B$21)^$E26),1)</f>
        <v>783051.0455514366</v>
      </c>
      <c r="X25" s="36">
        <f>(X26)/((1+Assumptions!$B$21)^$E26)+Q26/IF(Q$3="EOP",((1+Assumptions!$B$21)^$E26),1)</f>
        <v>478666.67828949378</v>
      </c>
      <c r="Y25" s="38">
        <f t="shared" si="2"/>
        <v>-2935222.0667453511</v>
      </c>
      <c r="Z25" s="37">
        <f>H26*Assumptions!$B$7*Assumptions!$B$25/$E26/12</f>
        <v>43718.470215284651</v>
      </c>
      <c r="AA25" s="36">
        <f>Z25*Assumptions!$B$11</f>
        <v>8743.6940430569302</v>
      </c>
      <c r="AB25" s="39">
        <f t="shared" si="8"/>
        <v>34974.776172227721</v>
      </c>
      <c r="AC25" s="88">
        <f t="shared" si="9"/>
        <v>-2900247.2905731234</v>
      </c>
      <c r="AD25" s="88">
        <f>Assumptions!$B$23*R25</f>
        <v>1468220.7104089439</v>
      </c>
      <c r="AE25" s="88">
        <f t="shared" si="11"/>
        <v>-1432026.5801641794</v>
      </c>
    </row>
    <row r="26" spans="1:31" x14ac:dyDescent="0.25">
      <c r="A26" s="1">
        <f t="shared" si="10"/>
        <v>21</v>
      </c>
      <c r="B26" s="30" t="s">
        <v>28</v>
      </c>
      <c r="C26" s="31">
        <f t="shared" si="3"/>
        <v>21</v>
      </c>
      <c r="D26" s="32">
        <f t="shared" si="1"/>
        <v>1.75</v>
      </c>
      <c r="E26" s="32">
        <f t="shared" si="4"/>
        <v>8.3333333333333259E-2</v>
      </c>
      <c r="F26" s="31">
        <f t="shared" si="5"/>
        <v>0</v>
      </c>
      <c r="G26" s="36">
        <f>(G25*($K25/$K24)-L25)*(1+Assumptions!$B$15)^$F26</f>
        <v>777217248.27172649</v>
      </c>
      <c r="H26" s="36">
        <f>$H$6/$G$6*G26*(1+Assumptions!$B$16)^INT((C26-1)/12)*IF(B26="Monthly",1,12)</f>
        <v>69949.552344455384</v>
      </c>
      <c r="I26" s="40">
        <f>Assumptions!$B$14</f>
        <v>0.15</v>
      </c>
      <c r="J26" s="40">
        <f t="shared" si="6"/>
        <v>1.3451947011868914E-2</v>
      </c>
      <c r="K26" s="35">
        <f t="shared" si="7"/>
        <v>0.75245948328365087</v>
      </c>
      <c r="L26" s="37">
        <f>H26*Assumptions!$B$7</f>
        <v>34974.776172227692</v>
      </c>
      <c r="M26" s="36">
        <f>L26*Assumptions!$B$11</f>
        <v>6994.9552344455387</v>
      </c>
      <c r="N26" s="36">
        <f>H26*Assumptions!$B$11</f>
        <v>13989.910468891077</v>
      </c>
      <c r="O26" s="36">
        <f>N26*Assumptions!$B$12</f>
        <v>1398.9910468891078</v>
      </c>
      <c r="P26" s="36">
        <f>H26*Assumptions!$B$9</f>
        <v>5595.9641875564312</v>
      </c>
      <c r="Q26" s="36">
        <f>H26*Assumptions!$B$8</f>
        <v>3497.4776172227694</v>
      </c>
      <c r="R26" s="37">
        <f>(R27)/((1+Assumptions!$B$21)^$E27)+H27/IF(H$3="EOP",((1+Assumptions!$B$21)^$E27),1)</f>
        <v>9738206.3942330908</v>
      </c>
      <c r="S26" s="36">
        <f>(S27)/((1+Assumptions!$B$21)^$E27)+L27/IF(L$3="EOP",((1+Assumptions!$B$21)^$E27),1)</f>
        <v>4761551.7565737655</v>
      </c>
      <c r="T26" s="36">
        <f>(T27)/((1+Assumptions!$B$21)^$E27)+M27/IF(M$3="EOP",((1+Assumptions!$B$21)^$E27),1)</f>
        <v>952310.35131475376</v>
      </c>
      <c r="U26" s="36">
        <f>(U27)/((1+Assumptions!$B$21)^$E27)+N27/IF(N$3="EOP",((1+Assumptions!$B$21)^$E27),1)</f>
        <v>1947641.278846618</v>
      </c>
      <c r="V26" s="36">
        <f>(V27)/((1+Assumptions!$B$21)^$E27)+O27/IF(O$3="EOP",((1+Assumptions!$B$21)^$E27),1)</f>
        <v>194764.12788466175</v>
      </c>
      <c r="W26" s="36">
        <f>(W27)/((1+Assumptions!$B$21)^$E27)+P27/IF(P$3="EOP",((1+Assumptions!$B$21)^$E27),1)</f>
        <v>779056.511538647</v>
      </c>
      <c r="X26" s="36">
        <f>(X27)/((1+Assumptions!$B$21)^$E27)+Q27/IF(Q$3="EOP",((1+Assumptions!$B$21)^$E27),1)</f>
        <v>476155.17565737688</v>
      </c>
      <c r="Y26" s="38">
        <f t="shared" si="2"/>
        <v>-2920876.1508160997</v>
      </c>
      <c r="Z26" s="37">
        <f>H27*Assumptions!$B$7*Assumptions!$B$25/$E27/12</f>
        <v>43128.404339348977</v>
      </c>
      <c r="AA26" s="36">
        <f>Z26*Assumptions!$B$11</f>
        <v>8625.6808678697962</v>
      </c>
      <c r="AB26" s="39">
        <f t="shared" si="8"/>
        <v>34502.723471479185</v>
      </c>
      <c r="AC26" s="88">
        <f t="shared" si="9"/>
        <v>-2886373.4273446207</v>
      </c>
      <c r="AD26" s="88">
        <f>Assumptions!$B$23*R26</f>
        <v>1460730.9591349636</v>
      </c>
      <c r="AE26" s="88">
        <f t="shared" si="11"/>
        <v>-1425642.4682096571</v>
      </c>
    </row>
    <row r="27" spans="1:31" x14ac:dyDescent="0.25">
      <c r="A27" s="1">
        <f t="shared" si="10"/>
        <v>22</v>
      </c>
      <c r="B27" s="30" t="s">
        <v>28</v>
      </c>
      <c r="C27" s="31">
        <f t="shared" si="3"/>
        <v>22</v>
      </c>
      <c r="D27" s="32">
        <f t="shared" si="1"/>
        <v>1.8333333333333333</v>
      </c>
      <c r="E27" s="32">
        <f t="shared" si="4"/>
        <v>8.3333333333333259E-2</v>
      </c>
      <c r="F27" s="31">
        <f t="shared" si="5"/>
        <v>0</v>
      </c>
      <c r="G27" s="36">
        <f>(G26*($K26/$K25)-L26)*(1+Assumptions!$B$15)^$F27</f>
        <v>766727188.25509238</v>
      </c>
      <c r="H27" s="36">
        <f>$H$6/$G$6*G27*(1+Assumptions!$B$16)^INT((C27-1)/12)*IF(B27="Monthly",1,12)</f>
        <v>69005.446942958311</v>
      </c>
      <c r="I27" s="40">
        <f>Assumptions!$B$14</f>
        <v>0.15</v>
      </c>
      <c r="J27" s="40">
        <f t="shared" si="6"/>
        <v>1.3451947011868914E-2</v>
      </c>
      <c r="K27" s="35">
        <f t="shared" si="7"/>
        <v>0.74233743818594089</v>
      </c>
      <c r="L27" s="37">
        <f>H27*Assumptions!$B$7</f>
        <v>34502.723471479156</v>
      </c>
      <c r="M27" s="36">
        <f>L27*Assumptions!$B$11</f>
        <v>6900.5446942958315</v>
      </c>
      <c r="N27" s="36">
        <f>H27*Assumptions!$B$11</f>
        <v>13801.089388591663</v>
      </c>
      <c r="O27" s="36">
        <f>N27*Assumptions!$B$12</f>
        <v>1380.1089388591663</v>
      </c>
      <c r="P27" s="36">
        <f>H27*Assumptions!$B$9</f>
        <v>5520.4357554366652</v>
      </c>
      <c r="Q27" s="36">
        <f>H27*Assumptions!$B$8</f>
        <v>3450.2723471479158</v>
      </c>
      <c r="R27" s="37">
        <f>(R28)/((1+Assumptions!$B$21)^$E28)+H28/IF(H$3="EOP",((1+Assumptions!$B$21)^$E28),1)</f>
        <v>9689117.9181017578</v>
      </c>
      <c r="S27" s="36">
        <f>(S28)/((1+Assumptions!$B$21)^$E28)+L28/IF(L$3="EOP",((1+Assumptions!$B$21)^$E28),1)</f>
        <v>4736857.0501112109</v>
      </c>
      <c r="T27" s="36">
        <f>(T28)/((1+Assumptions!$B$21)^$E28)+M28/IF(M$3="EOP",((1+Assumptions!$B$21)^$E28),1)</f>
        <v>947371.41002224269</v>
      </c>
      <c r="U27" s="36">
        <f>(U28)/((1+Assumptions!$B$21)^$E28)+N28/IF(N$3="EOP",((1+Assumptions!$B$21)^$E28),1)</f>
        <v>1937823.5836203515</v>
      </c>
      <c r="V27" s="36">
        <f>(V28)/((1+Assumptions!$B$21)^$E28)+O28/IF(O$3="EOP",((1+Assumptions!$B$21)^$E28),1)</f>
        <v>193782.3583620351</v>
      </c>
      <c r="W27" s="36">
        <f>(W28)/((1+Assumptions!$B$21)^$E28)+P28/IF(P$3="EOP",((1+Assumptions!$B$21)^$E28),1)</f>
        <v>775129.43344814039</v>
      </c>
      <c r="X27" s="36">
        <f>(X28)/((1+Assumptions!$B$21)^$E28)+Q28/IF(Q$3="EOP",((1+Assumptions!$B$21)^$E28),1)</f>
        <v>473685.70501112135</v>
      </c>
      <c r="Y27" s="38">
        <f t="shared" si="2"/>
        <v>-2906775.914295211</v>
      </c>
      <c r="Z27" s="37">
        <f>H28*Assumptions!$B$7*Assumptions!$B$25/$E28/12</f>
        <v>42546.30255127421</v>
      </c>
      <c r="AA27" s="36">
        <f>Z27*Assumptions!$B$11</f>
        <v>8509.2605102548423</v>
      </c>
      <c r="AB27" s="39">
        <f t="shared" si="8"/>
        <v>34037.042041019369</v>
      </c>
      <c r="AC27" s="88">
        <f t="shared" si="9"/>
        <v>-2872738.8722541914</v>
      </c>
      <c r="AD27" s="88">
        <f>Assumptions!$B$23*R27</f>
        <v>1453367.6877152636</v>
      </c>
      <c r="AE27" s="88">
        <f t="shared" si="11"/>
        <v>-1419371.1845389279</v>
      </c>
    </row>
    <row r="28" spans="1:31" x14ac:dyDescent="0.25">
      <c r="A28" s="1">
        <f t="shared" si="10"/>
        <v>23</v>
      </c>
      <c r="B28" s="30" t="s">
        <v>28</v>
      </c>
      <c r="C28" s="31">
        <f t="shared" si="3"/>
        <v>23</v>
      </c>
      <c r="D28" s="32">
        <f t="shared" si="1"/>
        <v>1.9166666666666667</v>
      </c>
      <c r="E28" s="32">
        <f t="shared" si="4"/>
        <v>8.3333333333333481E-2</v>
      </c>
      <c r="F28" s="31">
        <f t="shared" si="5"/>
        <v>0</v>
      </c>
      <c r="G28" s="36">
        <f>(G27*($K27/$K26)-L27)*(1+Assumptions!$B$15)^$F28</f>
        <v>756378712.02265406</v>
      </c>
      <c r="H28" s="36">
        <f>$H$6/$G$6*G28*(1+Assumptions!$B$16)^INT((C28-1)/12)*IF(B28="Monthly",1,12)</f>
        <v>68074.084082038869</v>
      </c>
      <c r="I28" s="40">
        <f>Assumptions!$B$14</f>
        <v>0.15</v>
      </c>
      <c r="J28" s="40">
        <f t="shared" si="6"/>
        <v>1.3451947011868914E-2</v>
      </c>
      <c r="K28" s="35">
        <f t="shared" si="7"/>
        <v>0.73235155430253707</v>
      </c>
      <c r="L28" s="37">
        <f>H28*Assumptions!$B$7</f>
        <v>34037.042041019435</v>
      </c>
      <c r="M28" s="36">
        <f>L28*Assumptions!$B$11</f>
        <v>6807.4084082038871</v>
      </c>
      <c r="N28" s="36">
        <f>H28*Assumptions!$B$11</f>
        <v>13614.816816407774</v>
      </c>
      <c r="O28" s="36">
        <f>N28*Assumptions!$B$12</f>
        <v>1361.4816816407774</v>
      </c>
      <c r="P28" s="36">
        <f>H28*Assumptions!$B$9</f>
        <v>5445.9267265631097</v>
      </c>
      <c r="Q28" s="36">
        <f>H28*Assumptions!$B$8</f>
        <v>3403.7042041019436</v>
      </c>
      <c r="R28" s="37">
        <f>(R29)/((1+Assumptions!$B$21)^$E29)+H29/IF(H$3="EOP",((1+Assumptions!$B$21)^$E29),1)</f>
        <v>9640861.6090627816</v>
      </c>
      <c r="S28" s="36">
        <f>(S29)/((1+Assumptions!$B$21)^$E29)+L29/IF(L$3="EOP",((1+Assumptions!$B$21)^$E29),1)</f>
        <v>4712577.1580270724</v>
      </c>
      <c r="T28" s="36">
        <f>(T29)/((1+Assumptions!$B$21)^$E29)+M29/IF(M$3="EOP",((1+Assumptions!$B$21)^$E29),1)</f>
        <v>942515.43160541484</v>
      </c>
      <c r="U28" s="36">
        <f>(U29)/((1+Assumptions!$B$21)^$E29)+N29/IF(N$3="EOP",((1+Assumptions!$B$21)^$E29),1)</f>
        <v>1928172.3218125564</v>
      </c>
      <c r="V28" s="36">
        <f>(V29)/((1+Assumptions!$B$21)^$E29)+O29/IF(O$3="EOP",((1+Assumptions!$B$21)^$E29),1)</f>
        <v>192817.23218125556</v>
      </c>
      <c r="W28" s="36">
        <f>(W29)/((1+Assumptions!$B$21)^$E29)+P29/IF(P$3="EOP",((1+Assumptions!$B$21)^$E29),1)</f>
        <v>771268.92872502224</v>
      </c>
      <c r="X28" s="36">
        <f>(X29)/((1+Assumptions!$B$21)^$E29)+Q29/IF(Q$3="EOP",((1+Assumptions!$B$21)^$E29),1)</f>
        <v>471257.71580270742</v>
      </c>
      <c r="Y28" s="38">
        <f t="shared" si="2"/>
        <v>-2892918.1484820936</v>
      </c>
      <c r="Z28" s="37">
        <f>H29*Assumptions!$B$7*Assumptions!$B$25/$E29/12</f>
        <v>41972.057360188839</v>
      </c>
      <c r="AA28" s="36">
        <f>Z28*Assumptions!$B$11</f>
        <v>8394.4114720377675</v>
      </c>
      <c r="AB28" s="39">
        <f t="shared" si="8"/>
        <v>33577.64588815107</v>
      </c>
      <c r="AC28" s="88">
        <f t="shared" si="9"/>
        <v>-2859340.5025939425</v>
      </c>
      <c r="AD28" s="88">
        <f>Assumptions!$B$23*R28</f>
        <v>1446129.2413594171</v>
      </c>
      <c r="AE28" s="88">
        <f t="shared" si="11"/>
        <v>-1413211.2612345254</v>
      </c>
    </row>
    <row r="29" spans="1:31" s="21" customFormat="1" x14ac:dyDescent="0.25">
      <c r="A29" s="21">
        <f t="shared" si="10"/>
        <v>24</v>
      </c>
      <c r="B29" s="41" t="s">
        <v>28</v>
      </c>
      <c r="C29" s="23">
        <f t="shared" si="3"/>
        <v>24</v>
      </c>
      <c r="D29" s="22">
        <f t="shared" si="1"/>
        <v>2</v>
      </c>
      <c r="E29" s="22">
        <f t="shared" si="4"/>
        <v>8.3333333333333259E-2</v>
      </c>
      <c r="F29" s="23">
        <f t="shared" si="5"/>
        <v>0</v>
      </c>
      <c r="G29" s="27">
        <f>(G28*($K28/$K27)-L28)*(1+Assumptions!$B$15)^$F29</f>
        <v>746169908.62557864</v>
      </c>
      <c r="H29" s="27">
        <f>$H$6/$G$6*G29*(1+Assumptions!$B$16)^INT((C29-1)/12)*IF(B29="Monthly",1,12)</f>
        <v>67155.291776302081</v>
      </c>
      <c r="I29" s="42">
        <f>Assumptions!$B$14</f>
        <v>0.15</v>
      </c>
      <c r="J29" s="42">
        <f t="shared" si="6"/>
        <v>1.3451947011868914E-2</v>
      </c>
      <c r="K29" s="43">
        <f t="shared" si="7"/>
        <v>0.72249999999999948</v>
      </c>
      <c r="L29" s="26">
        <f>H29*Assumptions!$B$7</f>
        <v>33577.645888151041</v>
      </c>
      <c r="M29" s="27">
        <f>L29*Assumptions!$B$11</f>
        <v>6715.5291776302083</v>
      </c>
      <c r="N29" s="27">
        <f>H29*Assumptions!$B$11</f>
        <v>13431.058355260417</v>
      </c>
      <c r="O29" s="27">
        <f>N29*Assumptions!$B$12</f>
        <v>1343.1058355260418</v>
      </c>
      <c r="P29" s="27">
        <f>H29*Assumptions!$B$9</f>
        <v>5372.4233421041663</v>
      </c>
      <c r="Q29" s="27">
        <f>H29*Assumptions!$B$8</f>
        <v>3357.7645888151042</v>
      </c>
      <c r="R29" s="26">
        <f>(R30)/((1+Assumptions!$B$21)^$E30)+H30/IF(H$3="EOP",((1+Assumptions!$B$21)^$E30),1)</f>
        <v>9593426.5847956501</v>
      </c>
      <c r="S29" s="27">
        <f>(S30)/((1+Assumptions!$B$21)^$E30)+L30/IF(L$3="EOP",((1+Assumptions!$B$21)^$E30),1)</f>
        <v>4688706.6494934587</v>
      </c>
      <c r="T29" s="27">
        <f>(T30)/((1+Assumptions!$B$21)^$E30)+M30/IF(M$3="EOP",((1+Assumptions!$B$21)^$E30),1)</f>
        <v>937741.32989869197</v>
      </c>
      <c r="U29" s="27">
        <f>(U30)/((1+Assumptions!$B$21)^$E30)+N30/IF(N$3="EOP",((1+Assumptions!$B$21)^$E30),1)</f>
        <v>1918685.3169591299</v>
      </c>
      <c r="V29" s="27">
        <f>(V30)/((1+Assumptions!$B$21)^$E30)+O30/IF(O$3="EOP",((1+Assumptions!$B$21)^$E30),1)</f>
        <v>191868.53169591291</v>
      </c>
      <c r="W29" s="27">
        <f>(W30)/((1+Assumptions!$B$21)^$E30)+P30/IF(P$3="EOP",((1+Assumptions!$B$21)^$E30),1)</f>
        <v>767474.12678365165</v>
      </c>
      <c r="X29" s="27">
        <f>(X30)/((1+Assumptions!$B$21)^$E30)+Q30/IF(Q$3="EOP",((1+Assumptions!$B$21)^$E30),1)</f>
        <v>468870.66494934598</v>
      </c>
      <c r="Y29" s="28">
        <f t="shared" si="2"/>
        <v>-2879299.6882046689</v>
      </c>
      <c r="Z29" s="26">
        <f>H30*Assumptions!$B$7*Assumptions!$B$25/$E30/12</f>
        <v>45612.367898982688</v>
      </c>
      <c r="AA29" s="27">
        <f>Z29*Assumptions!$B$11</f>
        <v>9122.4735797965386</v>
      </c>
      <c r="AB29" s="29">
        <f t="shared" si="8"/>
        <v>36489.894319186147</v>
      </c>
      <c r="AC29" s="87">
        <f t="shared" si="9"/>
        <v>-2842809.7938854829</v>
      </c>
      <c r="AD29" s="87">
        <f>Assumptions!$B$23*R29</f>
        <v>1439013.9877193475</v>
      </c>
      <c r="AE29" s="87">
        <f t="shared" si="11"/>
        <v>-1403795.8061661355</v>
      </c>
    </row>
    <row r="30" spans="1:31" x14ac:dyDescent="0.25">
      <c r="A30" s="1">
        <f t="shared" si="10"/>
        <v>25</v>
      </c>
      <c r="B30" s="30" t="s">
        <v>28</v>
      </c>
      <c r="C30" s="31">
        <f t="shared" si="3"/>
        <v>25</v>
      </c>
      <c r="D30" s="32">
        <f t="shared" si="1"/>
        <v>2.0833333333333335</v>
      </c>
      <c r="E30" s="32">
        <f t="shared" si="4"/>
        <v>8.3333333333333481E-2</v>
      </c>
      <c r="F30" s="31">
        <f t="shared" si="5"/>
        <v>1</v>
      </c>
      <c r="G30" s="36">
        <f>(G29*($K29/$K28)-L29)*(1+Assumptions!$B$15)^$F30</f>
        <v>750820870.76514828</v>
      </c>
      <c r="H30" s="36">
        <f>$H$6/$G$6*G30*(1+Assumptions!$B$16)^INT((C30-1)/12)*IF(B30="Monthly",1,12)</f>
        <v>72979.788638372425</v>
      </c>
      <c r="I30" s="40">
        <f>Assumptions!$B$14</f>
        <v>0.15</v>
      </c>
      <c r="J30" s="40">
        <f t="shared" si="6"/>
        <v>1.3451947011868914E-2</v>
      </c>
      <c r="K30" s="35">
        <f t="shared" si="7"/>
        <v>0.71278096828392423</v>
      </c>
      <c r="L30" s="37">
        <f>H30*Assumptions!$B$7</f>
        <v>36489.894319186213</v>
      </c>
      <c r="M30" s="36">
        <f>L30*Assumptions!$B$11</f>
        <v>7297.9788638372429</v>
      </c>
      <c r="N30" s="36">
        <f>H30*Assumptions!$B$11</f>
        <v>14595.957727674486</v>
      </c>
      <c r="O30" s="36">
        <f>N30*Assumptions!$B$12</f>
        <v>1459.5957727674486</v>
      </c>
      <c r="P30" s="36">
        <f>H30*Assumptions!$B$9</f>
        <v>5838.3830910697943</v>
      </c>
      <c r="Q30" s="36">
        <f>H30*Assumptions!$B$8</f>
        <v>3648.9894319186214</v>
      </c>
      <c r="R30" s="37">
        <f>(R31)/((1+Assumptions!$B$21)^$E31)+H31/IF(H$3="EOP",((1+Assumptions!$B$21)^$E31),1)</f>
        <v>9540057.357773114</v>
      </c>
      <c r="S30" s="36">
        <f>(S31)/((1+Assumptions!$B$21)^$E31)+L31/IF(L$3="EOP",((1+Assumptions!$B$21)^$E31),1)</f>
        <v>4661874.7231895532</v>
      </c>
      <c r="T30" s="36">
        <f>(T31)/((1+Assumptions!$B$21)^$E31)+M31/IF(M$3="EOP",((1+Assumptions!$B$21)^$E31),1)</f>
        <v>932374.94463791081</v>
      </c>
      <c r="U30" s="36">
        <f>(U31)/((1+Assumptions!$B$21)^$E31)+N31/IF(N$3="EOP",((1+Assumptions!$B$21)^$E31),1)</f>
        <v>1908011.4715546225</v>
      </c>
      <c r="V30" s="36">
        <f>(V31)/((1+Assumptions!$B$21)^$E31)+O31/IF(O$3="EOP",((1+Assumptions!$B$21)^$E31),1)</f>
        <v>190801.14715546218</v>
      </c>
      <c r="W30" s="36">
        <f>(W31)/((1+Assumptions!$B$21)^$E31)+P31/IF(P$3="EOP",((1+Assumptions!$B$21)^$E31),1)</f>
        <v>763204.58862184873</v>
      </c>
      <c r="X30" s="36">
        <f>(X31)/((1+Assumptions!$B$21)^$E31)+Q31/IF(Q$3="EOP",((1+Assumptions!$B$21)^$E31),1)</f>
        <v>466187.47231895541</v>
      </c>
      <c r="Y30" s="38">
        <f t="shared" si="2"/>
        <v>-2863955.193881507</v>
      </c>
      <c r="Z30" s="37">
        <f>H31*Assumptions!$B$7*Assumptions!$B$25/$E31/12</f>
        <v>44996.575981840047</v>
      </c>
      <c r="AA30" s="36">
        <f>Z30*Assumptions!$B$11</f>
        <v>8999.3151963680102</v>
      </c>
      <c r="AB30" s="39">
        <f t="shared" si="8"/>
        <v>35997.260785472041</v>
      </c>
      <c r="AC30" s="88">
        <f t="shared" si="9"/>
        <v>-2827957.9330960349</v>
      </c>
      <c r="AD30" s="88">
        <f>Assumptions!$B$23*R30</f>
        <v>1431008.603665967</v>
      </c>
      <c r="AE30" s="88">
        <f t="shared" si="11"/>
        <v>-1396949.3294300679</v>
      </c>
    </row>
    <row r="31" spans="1:31" x14ac:dyDescent="0.25">
      <c r="A31" s="1">
        <f t="shared" si="10"/>
        <v>26</v>
      </c>
      <c r="B31" s="30" t="s">
        <v>28</v>
      </c>
      <c r="C31" s="31">
        <f t="shared" si="3"/>
        <v>26</v>
      </c>
      <c r="D31" s="32">
        <f t="shared" si="1"/>
        <v>2.1666666666666665</v>
      </c>
      <c r="E31" s="32">
        <f t="shared" si="4"/>
        <v>8.3333333333333037E-2</v>
      </c>
      <c r="F31" s="31">
        <f t="shared" si="5"/>
        <v>0</v>
      </c>
      <c r="G31" s="36">
        <f>(G30*($K30/$K29)-L30)*(1+Assumptions!$B$15)^$F31</f>
        <v>740684378.30189109</v>
      </c>
      <c r="H31" s="36">
        <f>$H$6/$G$6*G31*(1+Assumptions!$B$16)^INT((C31-1)/12)*IF(B31="Monthly",1,12)</f>
        <v>71994.52157094382</v>
      </c>
      <c r="I31" s="40">
        <f>Assumptions!$B$14</f>
        <v>0.15</v>
      </c>
      <c r="J31" s="40">
        <f t="shared" si="6"/>
        <v>1.3451947011868803E-2</v>
      </c>
      <c r="K31" s="35">
        <f t="shared" si="7"/>
        <v>0.70319267646750039</v>
      </c>
      <c r="L31" s="37">
        <f>H31*Assumptions!$B$7</f>
        <v>35997.26078547191</v>
      </c>
      <c r="M31" s="36">
        <f>L31*Assumptions!$B$11</f>
        <v>7199.4521570943825</v>
      </c>
      <c r="N31" s="36">
        <f>H31*Assumptions!$B$11</f>
        <v>14398.904314188765</v>
      </c>
      <c r="O31" s="36">
        <f>N31*Assumptions!$B$12</f>
        <v>1439.8904314188767</v>
      </c>
      <c r="P31" s="36">
        <f>H31*Assumptions!$B$9</f>
        <v>5759.5617256755058</v>
      </c>
      <c r="Q31" s="36">
        <f>H31*Assumptions!$B$8</f>
        <v>3599.7260785471913</v>
      </c>
      <c r="R31" s="37">
        <f>(R32)/((1+Assumptions!$B$21)^$E32)+H32/IF(H$3="EOP",((1+Assumptions!$B$21)^$E32),1)</f>
        <v>9487565.4954373296</v>
      </c>
      <c r="S31" s="36">
        <f>(S32)/((1+Assumptions!$B$21)^$E32)+L32/IF(L$3="EOP",((1+Assumptions!$B$21)^$E32),1)</f>
        <v>4635480.1610443704</v>
      </c>
      <c r="T31" s="36">
        <f>(T32)/((1+Assumptions!$B$21)^$E32)+M32/IF(M$3="EOP",((1+Assumptions!$B$21)^$E32),1)</f>
        <v>927096.03220887424</v>
      </c>
      <c r="U31" s="36">
        <f>(U32)/((1+Assumptions!$B$21)^$E32)+N32/IF(N$3="EOP",((1+Assumptions!$B$21)^$E32),1)</f>
        <v>1897513.0990874656</v>
      </c>
      <c r="V31" s="36">
        <f>(V32)/((1+Assumptions!$B$21)^$E32)+O32/IF(O$3="EOP",((1+Assumptions!$B$21)^$E32),1)</f>
        <v>189751.30990874651</v>
      </c>
      <c r="W31" s="36">
        <f>(W32)/((1+Assumptions!$B$21)^$E32)+P32/IF(P$3="EOP",((1+Assumptions!$B$21)^$E32),1)</f>
        <v>759005.23963498604</v>
      </c>
      <c r="X31" s="36">
        <f>(X32)/((1+Assumptions!$B$21)^$E32)+Q32/IF(Q$3="EOP",((1+Assumptions!$B$21)^$E32),1)</f>
        <v>463548.01610443712</v>
      </c>
      <c r="Y31" s="38">
        <f t="shared" si="2"/>
        <v>-2848866.3216836913</v>
      </c>
      <c r="Z31" s="37">
        <f>H32*Assumptions!$B$7*Assumptions!$B$25/$E32/12</f>
        <v>44389.097592423866</v>
      </c>
      <c r="AA31" s="36">
        <f>Z31*Assumptions!$B$11</f>
        <v>8877.8195184847737</v>
      </c>
      <c r="AB31" s="39">
        <f t="shared" si="8"/>
        <v>35511.278073939095</v>
      </c>
      <c r="AC31" s="88">
        <f t="shared" si="9"/>
        <v>-2813355.0436097523</v>
      </c>
      <c r="AD31" s="88">
        <f>Assumptions!$B$23*R31</f>
        <v>1423134.8243155994</v>
      </c>
      <c r="AE31" s="88">
        <f t="shared" si="11"/>
        <v>-1390220.2192941529</v>
      </c>
    </row>
    <row r="32" spans="1:31" x14ac:dyDescent="0.25">
      <c r="A32" s="1">
        <f t="shared" si="10"/>
        <v>27</v>
      </c>
      <c r="B32" s="30" t="s">
        <v>28</v>
      </c>
      <c r="C32" s="31">
        <f t="shared" si="3"/>
        <v>27</v>
      </c>
      <c r="D32" s="32">
        <f t="shared" si="1"/>
        <v>2.25</v>
      </c>
      <c r="E32" s="32">
        <f t="shared" si="4"/>
        <v>8.3333333333333481E-2</v>
      </c>
      <c r="F32" s="31">
        <f t="shared" si="5"/>
        <v>0</v>
      </c>
      <c r="G32" s="36">
        <f>(G31*($K31/$K30)-L31)*(1+Assumptions!$B$15)^$F32</f>
        <v>730684734.03166974</v>
      </c>
      <c r="H32" s="36">
        <f>$H$6/$G$6*G32*(1+Assumptions!$B$16)^INT((C32-1)/12)*IF(B32="Monthly",1,12)</f>
        <v>71022.556147878306</v>
      </c>
      <c r="I32" s="40">
        <f>Assumptions!$B$14</f>
        <v>0.15</v>
      </c>
      <c r="J32" s="40">
        <f t="shared" si="6"/>
        <v>1.3451947011868914E-2</v>
      </c>
      <c r="K32" s="35">
        <f t="shared" si="7"/>
        <v>0.69373336584452527</v>
      </c>
      <c r="L32" s="37">
        <f>H32*Assumptions!$B$7</f>
        <v>35511.278073939153</v>
      </c>
      <c r="M32" s="36">
        <f>L32*Assumptions!$B$11</f>
        <v>7102.2556147878313</v>
      </c>
      <c r="N32" s="36">
        <f>H32*Assumptions!$B$11</f>
        <v>14204.511229575663</v>
      </c>
      <c r="O32" s="36">
        <f>N32*Assumptions!$B$12</f>
        <v>1420.4511229575664</v>
      </c>
      <c r="P32" s="36">
        <f>H32*Assumptions!$B$9</f>
        <v>5681.8044918302649</v>
      </c>
      <c r="Q32" s="36">
        <f>H32*Assumptions!$B$8</f>
        <v>3551.1278073939156</v>
      </c>
      <c r="R32" s="37">
        <f>(R33)/((1+Assumptions!$B$21)^$E33)+H33/IF(H$3="EOP",((1+Assumptions!$B$21)^$E33),1)</f>
        <v>9435939.4759723321</v>
      </c>
      <c r="S32" s="36">
        <f>(S33)/((1+Assumptions!$B$21)^$E33)+L33/IF(L$3="EOP",((1+Assumptions!$B$21)^$E33),1)</f>
        <v>4609517.2131342879</v>
      </c>
      <c r="T32" s="36">
        <f>(T33)/((1+Assumptions!$B$21)^$E33)+M33/IF(M$3="EOP",((1+Assumptions!$B$21)^$E33),1)</f>
        <v>921903.44262685778</v>
      </c>
      <c r="U32" s="36">
        <f>(U33)/((1+Assumptions!$B$21)^$E33)+N33/IF(N$3="EOP",((1+Assumptions!$B$21)^$E33),1)</f>
        <v>1887187.8951944665</v>
      </c>
      <c r="V32" s="36">
        <f>(V33)/((1+Assumptions!$B$21)^$E33)+O33/IF(O$3="EOP",((1+Assumptions!$B$21)^$E33),1)</f>
        <v>188718.78951944658</v>
      </c>
      <c r="W32" s="36">
        <f>(W33)/((1+Assumptions!$B$21)^$E33)+P33/IF(P$3="EOP",((1+Assumptions!$B$21)^$E33),1)</f>
        <v>754875.15807778633</v>
      </c>
      <c r="X32" s="36">
        <f>(X33)/((1+Assumptions!$B$21)^$E33)+Q33/IF(Q$3="EOP",((1+Assumptions!$B$21)^$E33),1)</f>
        <v>460951.72131342889</v>
      </c>
      <c r="Y32" s="38">
        <f t="shared" si="2"/>
        <v>-2834029.7203986673</v>
      </c>
      <c r="Z32" s="37">
        <f>H33*Assumptions!$B$7*Assumptions!$B$25/$E33/12</f>
        <v>43789.820493562904</v>
      </c>
      <c r="AA32" s="36">
        <f>Z32*Assumptions!$B$11</f>
        <v>8757.9640987125804</v>
      </c>
      <c r="AB32" s="39">
        <f t="shared" si="8"/>
        <v>35031.856394850322</v>
      </c>
      <c r="AC32" s="88">
        <f t="shared" si="9"/>
        <v>-2798997.8640038171</v>
      </c>
      <c r="AD32" s="88">
        <f>Assumptions!$B$23*R32</f>
        <v>1415390.9213958497</v>
      </c>
      <c r="AE32" s="88">
        <f t="shared" si="11"/>
        <v>-1383606.9426079674</v>
      </c>
    </row>
    <row r="33" spans="1:31" x14ac:dyDescent="0.25">
      <c r="A33" s="1">
        <f t="shared" si="10"/>
        <v>28</v>
      </c>
      <c r="B33" s="30" t="s">
        <v>28</v>
      </c>
      <c r="C33" s="31">
        <f t="shared" si="3"/>
        <v>28</v>
      </c>
      <c r="D33" s="32">
        <f t="shared" si="1"/>
        <v>2.3333333333333335</v>
      </c>
      <c r="E33" s="32">
        <f t="shared" si="4"/>
        <v>8.3333333333333481E-2</v>
      </c>
      <c r="F33" s="31">
        <f t="shared" si="5"/>
        <v>0</v>
      </c>
      <c r="G33" s="36">
        <f>(G32*($K32/$K31)-L32)*(1+Assumptions!$B$15)^$F33</f>
        <v>720820090.42902029</v>
      </c>
      <c r="H33" s="36">
        <f>$H$6/$G$6*G33*(1+Assumptions!$B$16)^INT((C33-1)/12)*IF(B33="Monthly",1,12)</f>
        <v>70063.712789700774</v>
      </c>
      <c r="I33" s="40">
        <f>Assumptions!$B$14</f>
        <v>0.15</v>
      </c>
      <c r="J33" s="40">
        <f t="shared" si="6"/>
        <v>1.3451947011868914E-2</v>
      </c>
      <c r="K33" s="35">
        <f t="shared" si="7"/>
        <v>0.6844013013668192</v>
      </c>
      <c r="L33" s="37">
        <f>H33*Assumptions!$B$7</f>
        <v>35031.856394850387</v>
      </c>
      <c r="M33" s="36">
        <f>L33*Assumptions!$B$11</f>
        <v>7006.3712789700776</v>
      </c>
      <c r="N33" s="36">
        <f>H33*Assumptions!$B$11</f>
        <v>14012.742557940155</v>
      </c>
      <c r="O33" s="36">
        <f>N33*Assumptions!$B$12</f>
        <v>1401.2742557940155</v>
      </c>
      <c r="P33" s="36">
        <f>H33*Assumptions!$B$9</f>
        <v>5605.0970231760621</v>
      </c>
      <c r="Q33" s="36">
        <f>H33*Assumptions!$B$8</f>
        <v>3503.1856394850388</v>
      </c>
      <c r="R33" s="37">
        <f>(R34)/((1+Assumptions!$B$21)^$E34)+H34/IF(H$3="EOP",((1+Assumptions!$B$21)^$E34),1)</f>
        <v>9385167.9337784778</v>
      </c>
      <c r="S33" s="36">
        <f>(S34)/((1+Assumptions!$B$21)^$E34)+L34/IF(L$3="EOP",((1+Assumptions!$B$21)^$E34),1)</f>
        <v>4583980.2074815175</v>
      </c>
      <c r="T33" s="36">
        <f>(T34)/((1+Assumptions!$B$21)^$E34)+M34/IF(M$3="EOP",((1+Assumptions!$B$21)^$E34),1)</f>
        <v>916796.04149630363</v>
      </c>
      <c r="U33" s="36">
        <f>(U34)/((1+Assumptions!$B$21)^$E34)+N34/IF(N$3="EOP",((1+Assumptions!$B$21)^$E34),1)</f>
        <v>1877033.5867556958</v>
      </c>
      <c r="V33" s="36">
        <f>(V34)/((1+Assumptions!$B$21)^$E34)+O34/IF(O$3="EOP",((1+Assumptions!$B$21)^$E34),1)</f>
        <v>187703.3586755695</v>
      </c>
      <c r="W33" s="36">
        <f>(W34)/((1+Assumptions!$B$21)^$E34)+P34/IF(P$3="EOP",((1+Assumptions!$B$21)^$E34),1)</f>
        <v>750813.434702278</v>
      </c>
      <c r="X33" s="36">
        <f>(X34)/((1+Assumptions!$B$21)^$E34)+Q34/IF(Q$3="EOP",((1+Assumptions!$B$21)^$E34),1)</f>
        <v>458398.02074815182</v>
      </c>
      <c r="Y33" s="38">
        <f t="shared" si="2"/>
        <v>-2819442.0842627077</v>
      </c>
      <c r="Z33" s="37">
        <f>H34*Assumptions!$B$7*Assumptions!$B$25/$E34/12</f>
        <v>43198.633963348482</v>
      </c>
      <c r="AA33" s="36">
        <f>Z33*Assumptions!$B$11</f>
        <v>8639.7267926696968</v>
      </c>
      <c r="AB33" s="39">
        <f t="shared" si="8"/>
        <v>34558.907170678787</v>
      </c>
      <c r="AC33" s="88">
        <f t="shared" si="9"/>
        <v>-2784883.1770920288</v>
      </c>
      <c r="AD33" s="88">
        <f>Assumptions!$B$23*R33</f>
        <v>1407775.1900667716</v>
      </c>
      <c r="AE33" s="88">
        <f t="shared" si="11"/>
        <v>-1377107.9870252572</v>
      </c>
    </row>
    <row r="34" spans="1:31" x14ac:dyDescent="0.25">
      <c r="A34" s="1">
        <f t="shared" si="10"/>
        <v>29</v>
      </c>
      <c r="B34" s="30" t="s">
        <v>28</v>
      </c>
      <c r="C34" s="31">
        <f t="shared" si="3"/>
        <v>29</v>
      </c>
      <c r="D34" s="32">
        <f t="shared" si="1"/>
        <v>2.4166666666666665</v>
      </c>
      <c r="E34" s="32">
        <f t="shared" si="4"/>
        <v>8.3333333333333037E-2</v>
      </c>
      <c r="F34" s="31">
        <f t="shared" si="5"/>
        <v>0</v>
      </c>
      <c r="G34" s="36">
        <f>(G33*($K33/$K32)-L33)*(1+Assumptions!$B$15)^$F34</f>
        <v>711088624.91108358</v>
      </c>
      <c r="H34" s="36">
        <f>$H$6/$G$6*G34*(1+Assumptions!$B$16)^INT((C34-1)/12)*IF(B34="Monthly",1,12)</f>
        <v>69117.814341357327</v>
      </c>
      <c r="I34" s="40">
        <f>Assumptions!$B$14</f>
        <v>0.15</v>
      </c>
      <c r="J34" s="40">
        <f t="shared" si="6"/>
        <v>1.3451947011868803E-2</v>
      </c>
      <c r="K34" s="35">
        <f t="shared" si="7"/>
        <v>0.67519477132597872</v>
      </c>
      <c r="L34" s="37">
        <f>H34*Assumptions!$B$7</f>
        <v>34558.907170678664</v>
      </c>
      <c r="M34" s="36">
        <f>L34*Assumptions!$B$11</f>
        <v>6911.7814341357334</v>
      </c>
      <c r="N34" s="36">
        <f>H34*Assumptions!$B$11</f>
        <v>13823.562868271467</v>
      </c>
      <c r="O34" s="36">
        <f>N34*Assumptions!$B$12</f>
        <v>1382.3562868271467</v>
      </c>
      <c r="P34" s="36">
        <f>H34*Assumptions!$B$9</f>
        <v>5529.425147308586</v>
      </c>
      <c r="Q34" s="36">
        <f>H34*Assumptions!$B$8</f>
        <v>3455.8907170678667</v>
      </c>
      <c r="R34" s="37">
        <f>(R35)/((1+Assumptions!$B$21)^$E35)+H35/IF(H$3="EOP",((1+Assumptions!$B$21)^$E35),1)</f>
        <v>9335239.6573648099</v>
      </c>
      <c r="S34" s="36">
        <f>(S35)/((1+Assumptions!$B$21)^$E35)+L35/IF(L$3="EOP",((1+Assumptions!$B$21)^$E35),1)</f>
        <v>4558863.5490024509</v>
      </c>
      <c r="T34" s="36">
        <f>(T35)/((1+Assumptions!$B$21)^$E35)+M35/IF(M$3="EOP",((1+Assumptions!$B$21)^$E35),1)</f>
        <v>911772.70980049018</v>
      </c>
      <c r="U34" s="36">
        <f>(U35)/((1+Assumptions!$B$21)^$E35)+N35/IF(N$3="EOP",((1+Assumptions!$B$21)^$E35),1)</f>
        <v>1867047.9314729623</v>
      </c>
      <c r="V34" s="36">
        <f>(V35)/((1+Assumptions!$B$21)^$E35)+O35/IF(O$3="EOP",((1+Assumptions!$B$21)^$E35),1)</f>
        <v>186704.79314729612</v>
      </c>
      <c r="W34" s="36">
        <f>(W35)/((1+Assumptions!$B$21)^$E35)+P35/IF(P$3="EOP",((1+Assumptions!$B$21)^$E35),1)</f>
        <v>746819.17258918448</v>
      </c>
      <c r="X34" s="36">
        <f>(X35)/((1+Assumptions!$B$21)^$E35)+Q35/IF(Q$3="EOP",((1+Assumptions!$B$21)^$E35),1)</f>
        <v>455886.35490024509</v>
      </c>
      <c r="Y34" s="38">
        <f t="shared" si="2"/>
        <v>-2805100.1523477533</v>
      </c>
      <c r="Z34" s="37">
        <f>H35*Assumptions!$B$7*Assumptions!$B$25/$E35/12</f>
        <v>42615.428774677559</v>
      </c>
      <c r="AA34" s="36">
        <f>Z34*Assumptions!$B$11</f>
        <v>8523.0857549355114</v>
      </c>
      <c r="AB34" s="39">
        <f t="shared" si="8"/>
        <v>34092.343019742046</v>
      </c>
      <c r="AC34" s="88">
        <f t="shared" si="9"/>
        <v>-2771007.8093280112</v>
      </c>
      <c r="AD34" s="88">
        <f>Assumptions!$B$23*R34</f>
        <v>1400285.9486047213</v>
      </c>
      <c r="AE34" s="88">
        <f t="shared" si="11"/>
        <v>-1370721.8607232899</v>
      </c>
    </row>
    <row r="35" spans="1:31" x14ac:dyDescent="0.25">
      <c r="A35" s="1">
        <f t="shared" si="10"/>
        <v>30</v>
      </c>
      <c r="B35" s="30" t="s">
        <v>28</v>
      </c>
      <c r="C35" s="31">
        <f t="shared" si="3"/>
        <v>30</v>
      </c>
      <c r="D35" s="32">
        <f t="shared" si="1"/>
        <v>2.5</v>
      </c>
      <c r="E35" s="32">
        <f t="shared" si="4"/>
        <v>8.3333333333333481E-2</v>
      </c>
      <c r="F35" s="31">
        <f t="shared" si="5"/>
        <v>0</v>
      </c>
      <c r="G35" s="36">
        <f>(G34*($K34/$K33)-L34)*(1+Assumptions!$B$15)^$F35</f>
        <v>701488539.50086641</v>
      </c>
      <c r="H35" s="36">
        <f>$H$6/$G$6*G35*(1+Assumptions!$B$16)^INT((C35-1)/12)*IF(B35="Monthly",1,12)</f>
        <v>68184.686039484222</v>
      </c>
      <c r="I35" s="40">
        <f>Assumptions!$B$14</f>
        <v>0.15</v>
      </c>
      <c r="J35" s="40">
        <f t="shared" si="6"/>
        <v>1.3451947011868914E-2</v>
      </c>
      <c r="K35" s="35">
        <f t="shared" si="7"/>
        <v>0.66611208703941072</v>
      </c>
      <c r="L35" s="37">
        <f>H35*Assumptions!$B$7</f>
        <v>34092.343019742111</v>
      </c>
      <c r="M35" s="36">
        <f>L35*Assumptions!$B$11</f>
        <v>6818.4686039484222</v>
      </c>
      <c r="N35" s="36">
        <f>H35*Assumptions!$B$11</f>
        <v>13636.937207896844</v>
      </c>
      <c r="O35" s="36">
        <f>N35*Assumptions!$B$12</f>
        <v>1363.6937207896844</v>
      </c>
      <c r="P35" s="36">
        <f>H35*Assumptions!$B$9</f>
        <v>5454.7748831587378</v>
      </c>
      <c r="Q35" s="36">
        <f>H35*Assumptions!$B$8</f>
        <v>3409.2343019742111</v>
      </c>
      <c r="R35" s="37">
        <f>(R36)/((1+Assumptions!$B$21)^$E36)+H36/IF(H$3="EOP",((1+Assumptions!$B$21)^$E36),1)</f>
        <v>9286143.5872698892</v>
      </c>
      <c r="S35" s="36">
        <f>(S36)/((1+Assumptions!$B$21)^$E36)+L36/IF(L$3="EOP",((1+Assumptions!$B$21)^$E36),1)</f>
        <v>4534161.7184702093</v>
      </c>
      <c r="T35" s="36">
        <f>(T36)/((1+Assumptions!$B$21)^$E36)+M36/IF(M$3="EOP",((1+Assumptions!$B$21)^$E36),1)</f>
        <v>906832.34369404183</v>
      </c>
      <c r="U35" s="36">
        <f>(U36)/((1+Assumptions!$B$21)^$E36)+N36/IF(N$3="EOP",((1+Assumptions!$B$21)^$E36),1)</f>
        <v>1857228.7174539785</v>
      </c>
      <c r="V35" s="36">
        <f>(V36)/((1+Assumptions!$B$21)^$E36)+O36/IF(O$3="EOP",((1+Assumptions!$B$21)^$E36),1)</f>
        <v>185722.87174539772</v>
      </c>
      <c r="W35" s="36">
        <f>(W36)/((1+Assumptions!$B$21)^$E36)+P36/IF(P$3="EOP",((1+Assumptions!$B$21)^$E36),1)</f>
        <v>742891.48698159086</v>
      </c>
      <c r="X35" s="36">
        <f>(X36)/((1+Assumptions!$B$21)^$E36)+Q36/IF(Q$3="EOP",((1+Assumptions!$B$21)^$E36),1)</f>
        <v>453416.17184702092</v>
      </c>
      <c r="Y35" s="38">
        <f t="shared" si="2"/>
        <v>-2791000.7079565292</v>
      </c>
      <c r="Z35" s="37">
        <f>H36*Assumptions!$B$7*Assumptions!$B$25/$E36/12</f>
        <v>42040.097175074072</v>
      </c>
      <c r="AA35" s="36">
        <f>Z35*Assumptions!$B$11</f>
        <v>8408.019435014814</v>
      </c>
      <c r="AB35" s="39">
        <f t="shared" si="8"/>
        <v>33632.077740059256</v>
      </c>
      <c r="AC35" s="88">
        <f t="shared" si="9"/>
        <v>-2757368.63021647</v>
      </c>
      <c r="AD35" s="88">
        <f>Assumptions!$B$23*R35</f>
        <v>1392921.5380904833</v>
      </c>
      <c r="AE35" s="88">
        <f t="shared" si="11"/>
        <v>-1364447.0921259867</v>
      </c>
    </row>
    <row r="36" spans="1:31" x14ac:dyDescent="0.25">
      <c r="A36" s="1">
        <f t="shared" si="10"/>
        <v>31</v>
      </c>
      <c r="B36" s="30" t="s">
        <v>28</v>
      </c>
      <c r="C36" s="31">
        <f t="shared" si="3"/>
        <v>31</v>
      </c>
      <c r="D36" s="32">
        <f t="shared" si="1"/>
        <v>2.5833333333333335</v>
      </c>
      <c r="E36" s="32">
        <f t="shared" si="4"/>
        <v>8.3333333333333481E-2</v>
      </c>
      <c r="F36" s="31">
        <f t="shared" si="5"/>
        <v>0</v>
      </c>
      <c r="G36" s="36">
        <f>(G35*($K35/$K34)-L35)*(1+Assumptions!$B$15)^$F36</f>
        <v>692018060.49504769</v>
      </c>
      <c r="H36" s="36">
        <f>$H$6/$G$6*G36*(1+Assumptions!$B$16)^INT((C36-1)/12)*IF(B36="Monthly",1,12)</f>
        <v>67264.155480118628</v>
      </c>
      <c r="I36" s="40">
        <f>Assumptions!$B$14</f>
        <v>0.15</v>
      </c>
      <c r="J36" s="40">
        <f t="shared" si="6"/>
        <v>1.3451947011868914E-2</v>
      </c>
      <c r="K36" s="35">
        <f t="shared" si="7"/>
        <v>0.65715158254059114</v>
      </c>
      <c r="L36" s="37">
        <f>H36*Assumptions!$B$7</f>
        <v>33632.077740059314</v>
      </c>
      <c r="M36" s="36">
        <f>L36*Assumptions!$B$11</f>
        <v>6726.4155480118634</v>
      </c>
      <c r="N36" s="36">
        <f>H36*Assumptions!$B$11</f>
        <v>13452.831096023727</v>
      </c>
      <c r="O36" s="36">
        <f>N36*Assumptions!$B$12</f>
        <v>1345.2831096023729</v>
      </c>
      <c r="P36" s="36">
        <f>H36*Assumptions!$B$9</f>
        <v>5381.1324384094905</v>
      </c>
      <c r="Q36" s="36">
        <f>H36*Assumptions!$B$8</f>
        <v>3363.2077740059317</v>
      </c>
      <c r="R36" s="37">
        <f>(R37)/((1+Assumptions!$B$21)^$E37)+H37/IF(H$3="EOP",((1+Assumptions!$B$21)^$E37),1)</f>
        <v>9237868.8140106797</v>
      </c>
      <c r="S36" s="36">
        <f>(S37)/((1+Assumptions!$B$21)^$E37)+L37/IF(L$3="EOP",((1+Assumptions!$B$21)^$E37),1)</f>
        <v>4509869.2714911886</v>
      </c>
      <c r="T36" s="36">
        <f>(T37)/((1+Assumptions!$B$21)^$E37)+M37/IF(M$3="EOP",((1+Assumptions!$B$21)^$E37),1)</f>
        <v>901973.85429823771</v>
      </c>
      <c r="U36" s="36">
        <f>(U37)/((1+Assumptions!$B$21)^$E37)+N37/IF(N$3="EOP",((1+Assumptions!$B$21)^$E37),1)</f>
        <v>1847573.7628021366</v>
      </c>
      <c r="V36" s="36">
        <f>(V37)/((1+Assumptions!$B$21)^$E37)+O37/IF(O$3="EOP",((1+Assumptions!$B$21)^$E37),1)</f>
        <v>184757.37628021353</v>
      </c>
      <c r="W36" s="36">
        <f>(W37)/((1+Assumptions!$B$21)^$E37)+P37/IF(P$3="EOP",((1+Assumptions!$B$21)^$E37),1)</f>
        <v>739029.50512085413</v>
      </c>
      <c r="X36" s="36">
        <f>(X37)/((1+Assumptions!$B$21)^$E37)+Q37/IF(Q$3="EOP",((1+Assumptions!$B$21)^$E37),1)</f>
        <v>450986.92714911886</v>
      </c>
      <c r="Y36" s="38">
        <f t="shared" si="2"/>
        <v>-2777140.5780258328</v>
      </c>
      <c r="Z36" s="37">
        <f>H37*Assumptions!$B$7*Assumptions!$B$25/$E37/12</f>
        <v>41472.532866778667</v>
      </c>
      <c r="AA36" s="36">
        <f>Z36*Assumptions!$B$11</f>
        <v>8294.5065733557331</v>
      </c>
      <c r="AB36" s="39">
        <f t="shared" si="8"/>
        <v>33178.026293422932</v>
      </c>
      <c r="AC36" s="88">
        <f t="shared" si="9"/>
        <v>-2743962.5517324097</v>
      </c>
      <c r="AD36" s="88">
        <f>Assumptions!$B$23*R36</f>
        <v>1385680.3221016019</v>
      </c>
      <c r="AE36" s="88">
        <f t="shared" si="11"/>
        <v>-1358282.2296308079</v>
      </c>
    </row>
    <row r="37" spans="1:31" x14ac:dyDescent="0.25">
      <c r="A37" s="1">
        <f t="shared" si="10"/>
        <v>32</v>
      </c>
      <c r="B37" s="30" t="s">
        <v>28</v>
      </c>
      <c r="C37" s="31">
        <f t="shared" si="3"/>
        <v>32</v>
      </c>
      <c r="D37" s="32">
        <f t="shared" si="1"/>
        <v>2.6666666666666665</v>
      </c>
      <c r="E37" s="32">
        <f t="shared" si="4"/>
        <v>8.3333333333333037E-2</v>
      </c>
      <c r="F37" s="31">
        <f t="shared" si="5"/>
        <v>0</v>
      </c>
      <c r="G37" s="36">
        <f>(G36*($K36/$K35)-L36)*(1+Assumptions!$B$15)^$F37</f>
        <v>682675438.13627195</v>
      </c>
      <c r="H37" s="36">
        <f>$H$6/$G$6*G37*(1+Assumptions!$B$16)^INT((C37-1)/12)*IF(B37="Monthly",1,12)</f>
        <v>66356.052586845632</v>
      </c>
      <c r="I37" s="40">
        <f>Assumptions!$B$14</f>
        <v>0.15</v>
      </c>
      <c r="J37" s="40">
        <f t="shared" si="6"/>
        <v>1.3451947011868803E-2</v>
      </c>
      <c r="K37" s="35">
        <f t="shared" si="7"/>
        <v>0.64831161427348938</v>
      </c>
      <c r="L37" s="37">
        <f>H37*Assumptions!$B$7</f>
        <v>33178.026293422816</v>
      </c>
      <c r="M37" s="36">
        <f>L37*Assumptions!$B$11</f>
        <v>6635.6052586845635</v>
      </c>
      <c r="N37" s="36">
        <f>H37*Assumptions!$B$11</f>
        <v>13271.210517369127</v>
      </c>
      <c r="O37" s="36">
        <f>N37*Assumptions!$B$12</f>
        <v>1327.1210517369127</v>
      </c>
      <c r="P37" s="36">
        <f>H37*Assumptions!$B$9</f>
        <v>5308.4842069476508</v>
      </c>
      <c r="Q37" s="36">
        <f>H37*Assumptions!$B$8</f>
        <v>3317.8026293422818</v>
      </c>
      <c r="R37" s="37">
        <f>(R38)/((1+Assumptions!$B$21)^$E38)+H38/IF(H$3="EOP",((1+Assumptions!$B$21)^$E38),1)</f>
        <v>9190404.5760591403</v>
      </c>
      <c r="S37" s="36">
        <f>(S38)/((1+Assumptions!$B$21)^$E38)+L38/IF(L$3="EOP",((1+Assumptions!$B$21)^$E38),1)</f>
        <v>4485980.8374954332</v>
      </c>
      <c r="T37" s="36">
        <f>(T38)/((1+Assumptions!$B$21)^$E38)+M38/IF(M$3="EOP",((1+Assumptions!$B$21)^$E38),1)</f>
        <v>897196.16749908647</v>
      </c>
      <c r="U37" s="36">
        <f>(U38)/((1+Assumptions!$B$21)^$E38)+N38/IF(N$3="EOP",((1+Assumptions!$B$21)^$E38),1)</f>
        <v>1838080.9152118287</v>
      </c>
      <c r="V37" s="36">
        <f>(V38)/((1+Assumptions!$B$21)^$E38)+O38/IF(O$3="EOP",((1+Assumptions!$B$21)^$E38),1)</f>
        <v>183808.09152118277</v>
      </c>
      <c r="W37" s="36">
        <f>(W38)/((1+Assumptions!$B$21)^$E38)+P38/IF(P$3="EOP",((1+Assumptions!$B$21)^$E38),1)</f>
        <v>735232.36608473107</v>
      </c>
      <c r="X37" s="36">
        <f>(X38)/((1+Assumptions!$B$21)^$E38)+Q38/IF(Q$3="EOP",((1+Assumptions!$B$21)^$E38),1)</f>
        <v>448598.08374954324</v>
      </c>
      <c r="Y37" s="38">
        <f t="shared" si="2"/>
        <v>-2763516.6325378735</v>
      </c>
      <c r="Z37" s="37">
        <f>H38*Assumptions!$B$7*Assumptions!$B$25/$E38/12</f>
        <v>40912.630987109238</v>
      </c>
      <c r="AA37" s="36">
        <f>Z37*Assumptions!$B$11</f>
        <v>8182.5261974218483</v>
      </c>
      <c r="AB37" s="39">
        <f t="shared" si="8"/>
        <v>32730.10478968739</v>
      </c>
      <c r="AC37" s="88">
        <f t="shared" si="9"/>
        <v>-2730786.5277481861</v>
      </c>
      <c r="AD37" s="88">
        <f>Assumptions!$B$23*R37</f>
        <v>1378560.6864088711</v>
      </c>
      <c r="AE37" s="88">
        <f t="shared" si="11"/>
        <v>-1352225.8413393151</v>
      </c>
    </row>
    <row r="38" spans="1:31" x14ac:dyDescent="0.25">
      <c r="A38" s="1">
        <f t="shared" si="10"/>
        <v>33</v>
      </c>
      <c r="B38" s="30" t="s">
        <v>28</v>
      </c>
      <c r="C38" s="31">
        <f t="shared" si="3"/>
        <v>33</v>
      </c>
      <c r="D38" s="32">
        <f t="shared" si="1"/>
        <v>2.75</v>
      </c>
      <c r="E38" s="32">
        <f t="shared" si="4"/>
        <v>8.3333333333333481E-2</v>
      </c>
      <c r="F38" s="31">
        <f t="shared" si="5"/>
        <v>0</v>
      </c>
      <c r="G38" s="36">
        <f>(G37*($K37/$K36)-L37)*(1+Assumptions!$B$15)^$F38</f>
        <v>673458946.28986514</v>
      </c>
      <c r="H38" s="36">
        <f>$H$6/$G$6*G38*(1+Assumptions!$B$16)^INT((C38-1)/12)*IF(B38="Monthly",1,12)</f>
        <v>65460.209579374896</v>
      </c>
      <c r="I38" s="40">
        <f>Assumptions!$B$14</f>
        <v>0.15</v>
      </c>
      <c r="J38" s="40">
        <f t="shared" si="6"/>
        <v>1.3451947011868914E-2</v>
      </c>
      <c r="K38" s="35">
        <f t="shared" si="7"/>
        <v>0.63959056079110321</v>
      </c>
      <c r="L38" s="37">
        <f>H38*Assumptions!$B$7</f>
        <v>32730.104789687448</v>
      </c>
      <c r="M38" s="36">
        <f>L38*Assumptions!$B$11</f>
        <v>6546.0209579374896</v>
      </c>
      <c r="N38" s="36">
        <f>H38*Assumptions!$B$11</f>
        <v>13092.041915874979</v>
      </c>
      <c r="O38" s="36">
        <f>N38*Assumptions!$B$12</f>
        <v>1309.2041915874979</v>
      </c>
      <c r="P38" s="36">
        <f>H38*Assumptions!$B$9</f>
        <v>5236.8167663499917</v>
      </c>
      <c r="Q38" s="36">
        <f>H38*Assumptions!$B$8</f>
        <v>3273.0104789687448</v>
      </c>
      <c r="R38" s="37">
        <f>(R39)/((1+Assumptions!$B$21)^$E39)+H39/IF(H$3="EOP",((1+Assumptions!$B$21)^$E39),1)</f>
        <v>9143740.2578461394</v>
      </c>
      <c r="S38" s="36">
        <f>(S39)/((1+Assumptions!$B$21)^$E39)+L39/IF(L$3="EOP",((1+Assumptions!$B$21)^$E39),1)</f>
        <v>4462491.1187406396</v>
      </c>
      <c r="T38" s="36">
        <f>(T39)/((1+Assumptions!$B$21)^$E39)+M39/IF(M$3="EOP",((1+Assumptions!$B$21)^$E39),1)</f>
        <v>892498.2237481277</v>
      </c>
      <c r="U38" s="36">
        <f>(U39)/((1+Assumptions!$B$21)^$E39)+N39/IF(N$3="EOP",((1+Assumptions!$B$21)^$E39),1)</f>
        <v>1828748.0515692285</v>
      </c>
      <c r="V38" s="36">
        <f>(V39)/((1+Assumptions!$B$21)^$E39)+O39/IF(O$3="EOP",((1+Assumptions!$B$21)^$E39),1)</f>
        <v>182874.80515692275</v>
      </c>
      <c r="W38" s="36">
        <f>(W39)/((1+Assumptions!$B$21)^$E39)+P39/IF(P$3="EOP",((1+Assumptions!$B$21)^$E39),1)</f>
        <v>731499.22062769101</v>
      </c>
      <c r="X38" s="36">
        <f>(X39)/((1+Assumptions!$B$21)^$E39)+Q39/IF(Q$3="EOP",((1+Assumptions!$B$21)^$E39),1)</f>
        <v>446249.11187406385</v>
      </c>
      <c r="Y38" s="38">
        <f t="shared" si="2"/>
        <v>-2750125.7839395669</v>
      </c>
      <c r="Z38" s="37">
        <f>H39*Assumptions!$B$7*Assumptions!$B$25/$E39/12</f>
        <v>40360.288089088514</v>
      </c>
      <c r="AA38" s="36">
        <f>Z38*Assumptions!$B$11</f>
        <v>8072.0576178177034</v>
      </c>
      <c r="AB38" s="39">
        <f t="shared" si="8"/>
        <v>32288.23047127081</v>
      </c>
      <c r="AC38" s="88">
        <f t="shared" si="9"/>
        <v>-2717837.5534682963</v>
      </c>
      <c r="AD38" s="88">
        <f>Assumptions!$B$23*R38</f>
        <v>1371561.0386769208</v>
      </c>
      <c r="AE38" s="88">
        <f t="shared" si="11"/>
        <v>-1346276.5147913755</v>
      </c>
    </row>
    <row r="39" spans="1:31" x14ac:dyDescent="0.25">
      <c r="A39" s="1">
        <f t="shared" si="10"/>
        <v>34</v>
      </c>
      <c r="B39" s="30" t="s">
        <v>28</v>
      </c>
      <c r="C39" s="31">
        <f t="shared" si="3"/>
        <v>34</v>
      </c>
      <c r="D39" s="32">
        <f t="shared" si="1"/>
        <v>2.8333333333333335</v>
      </c>
      <c r="E39" s="32">
        <f t="shared" si="4"/>
        <v>8.3333333333333481E-2</v>
      </c>
      <c r="F39" s="31">
        <f t="shared" si="5"/>
        <v>0</v>
      </c>
      <c r="G39" s="36">
        <f>(G38*($K38/$K37)-L38)*(1+Assumptions!$B$15)^$F39</f>
        <v>664366882.124915</v>
      </c>
      <c r="H39" s="36">
        <f>$H$6/$G$6*G39*(1+Assumptions!$B$16)^INT((C39-1)/12)*IF(B39="Monthly",1,12)</f>
        <v>64576.460942541744</v>
      </c>
      <c r="I39" s="40">
        <f>Assumptions!$B$14</f>
        <v>0.15</v>
      </c>
      <c r="J39" s="40">
        <f t="shared" si="6"/>
        <v>1.3451947011868914E-2</v>
      </c>
      <c r="K39" s="35">
        <f t="shared" si="7"/>
        <v>0.63098682245804982</v>
      </c>
      <c r="L39" s="37">
        <f>H39*Assumptions!$B$7</f>
        <v>32288.230471270872</v>
      </c>
      <c r="M39" s="36">
        <f>L39*Assumptions!$B$11</f>
        <v>6457.6460942541744</v>
      </c>
      <c r="N39" s="36">
        <f>H39*Assumptions!$B$11</f>
        <v>12915.292188508349</v>
      </c>
      <c r="O39" s="36">
        <f>N39*Assumptions!$B$12</f>
        <v>1291.5292188508349</v>
      </c>
      <c r="P39" s="36">
        <f>H39*Assumptions!$B$9</f>
        <v>5166.1168754033397</v>
      </c>
      <c r="Q39" s="36">
        <f>H39*Assumptions!$B$8</f>
        <v>3228.8230471270872</v>
      </c>
      <c r="R39" s="37">
        <f>(R40)/((1+Assumptions!$B$21)^$E40)+H40/IF(H$3="EOP",((1+Assumptions!$B$21)^$E40),1)</f>
        <v>9097865.3877923042</v>
      </c>
      <c r="S39" s="36">
        <f>(S40)/((1+Assumptions!$B$21)^$E40)+L40/IF(L$3="EOP",((1+Assumptions!$B$21)^$E40),1)</f>
        <v>4439394.889329602</v>
      </c>
      <c r="T39" s="36">
        <f>(T40)/((1+Assumptions!$B$21)^$E40)+M40/IF(M$3="EOP",((1+Assumptions!$B$21)^$E40),1)</f>
        <v>887878.97786592029</v>
      </c>
      <c r="U39" s="36">
        <f>(U40)/((1+Assumptions!$B$21)^$E40)+N40/IF(N$3="EOP",((1+Assumptions!$B$21)^$E40),1)</f>
        <v>1819573.0775584616</v>
      </c>
      <c r="V39" s="36">
        <f>(V40)/((1+Assumptions!$B$21)^$E40)+O40/IF(O$3="EOP",((1+Assumptions!$B$21)^$E40),1)</f>
        <v>181957.30775584606</v>
      </c>
      <c r="W39" s="36">
        <f>(W40)/((1+Assumptions!$B$21)^$E40)+P40/IF(P$3="EOP",((1+Assumptions!$B$21)^$E40),1)</f>
        <v>727829.23102338426</v>
      </c>
      <c r="X39" s="36">
        <f>(X40)/((1+Assumptions!$B$21)^$E40)+Q40/IF(Q$3="EOP",((1+Assumptions!$B$21)^$E40),1)</f>
        <v>443939.48893296014</v>
      </c>
      <c r="Y39" s="38">
        <f t="shared" si="2"/>
        <v>-2736964.9865696626</v>
      </c>
      <c r="Z39" s="37">
        <f>H40*Assumptions!$B$7*Assumptions!$B$25/$E40/12</f>
        <v>39815.402122329418</v>
      </c>
      <c r="AA39" s="36">
        <f>Z39*Assumptions!$B$11</f>
        <v>7963.0804244658839</v>
      </c>
      <c r="AB39" s="39">
        <f t="shared" si="8"/>
        <v>31852.321697863536</v>
      </c>
      <c r="AC39" s="88">
        <f t="shared" si="9"/>
        <v>-2705112.6648717988</v>
      </c>
      <c r="AD39" s="88">
        <f>Assumptions!$B$23*R39</f>
        <v>1364679.8081688455</v>
      </c>
      <c r="AE39" s="88">
        <f t="shared" si="11"/>
        <v>-1340432.8567029533</v>
      </c>
    </row>
    <row r="40" spans="1:31" x14ac:dyDescent="0.25">
      <c r="A40" s="1">
        <f t="shared" si="10"/>
        <v>35</v>
      </c>
      <c r="B40" s="30" t="s">
        <v>28</v>
      </c>
      <c r="C40" s="31">
        <f t="shared" si="3"/>
        <v>35</v>
      </c>
      <c r="D40" s="32">
        <f t="shared" si="1"/>
        <v>2.9166666666666665</v>
      </c>
      <c r="E40" s="32">
        <f t="shared" si="4"/>
        <v>8.3333333333333037E-2</v>
      </c>
      <c r="F40" s="31">
        <f t="shared" si="5"/>
        <v>0</v>
      </c>
      <c r="G40" s="36">
        <f>(G39*($K39/$K38)-L39)*(1+Assumptions!$B$15)^$F40</f>
        <v>655397565.79965889</v>
      </c>
      <c r="H40" s="36">
        <f>$H$6/$G$6*G40*(1+Assumptions!$B$16)^INT((C40-1)/12)*IF(B40="Monthly",1,12)</f>
        <v>63704.643395726853</v>
      </c>
      <c r="I40" s="40">
        <f>Assumptions!$B$14</f>
        <v>0.15</v>
      </c>
      <c r="J40" s="40">
        <f t="shared" si="6"/>
        <v>1.3451947011868803E-2</v>
      </c>
      <c r="K40" s="35">
        <f t="shared" si="7"/>
        <v>0.62249882115715671</v>
      </c>
      <c r="L40" s="37">
        <f>H40*Assumptions!$B$7</f>
        <v>31852.321697863426</v>
      </c>
      <c r="M40" s="36">
        <f>L40*Assumptions!$B$11</f>
        <v>6370.4643395726853</v>
      </c>
      <c r="N40" s="36">
        <f>H40*Assumptions!$B$11</f>
        <v>12740.928679145371</v>
      </c>
      <c r="O40" s="36">
        <f>N40*Assumptions!$B$12</f>
        <v>1274.0928679145372</v>
      </c>
      <c r="P40" s="36">
        <f>H40*Assumptions!$B$9</f>
        <v>5096.371471658148</v>
      </c>
      <c r="Q40" s="36">
        <f>H40*Assumptions!$B$8</f>
        <v>3185.2321697863426</v>
      </c>
      <c r="R40" s="37">
        <f>(R41)/((1+Assumptions!$B$21)^$E41)+H41/IF(H$3="EOP",((1+Assumptions!$B$21)^$E41),1)</f>
        <v>9052769.6363654751</v>
      </c>
      <c r="S40" s="36">
        <f>(S41)/((1+Assumptions!$B$21)^$E41)+L41/IF(L$3="EOP",((1+Assumptions!$B$21)^$E41),1)</f>
        <v>4416686.994240934</v>
      </c>
      <c r="T40" s="36">
        <f>(T41)/((1+Assumptions!$B$21)^$E41)+M41/IF(M$3="EOP",((1+Assumptions!$B$21)^$E41),1)</f>
        <v>883337.39884818671</v>
      </c>
      <c r="U40" s="36">
        <f>(U41)/((1+Assumptions!$B$21)^$E41)+N41/IF(N$3="EOP",((1+Assumptions!$B$21)^$E41),1)</f>
        <v>1810553.9272730956</v>
      </c>
      <c r="V40" s="36">
        <f>(V41)/((1+Assumptions!$B$21)^$E41)+O41/IF(O$3="EOP",((1+Assumptions!$B$21)^$E41),1)</f>
        <v>181055.39272730949</v>
      </c>
      <c r="W40" s="36">
        <f>(W41)/((1+Assumptions!$B$21)^$E41)+P41/IF(P$3="EOP",((1+Assumptions!$B$21)^$E41),1)</f>
        <v>724221.57090923795</v>
      </c>
      <c r="X40" s="36">
        <f>(X41)/((1+Assumptions!$B$21)^$E41)+Q41/IF(Q$3="EOP",((1+Assumptions!$B$21)^$E41),1)</f>
        <v>441668.69942409336</v>
      </c>
      <c r="Y40" s="38">
        <f t="shared" si="2"/>
        <v>-2724031.2360936105</v>
      </c>
      <c r="Z40" s="37">
        <f>H41*Assumptions!$B$7*Assumptions!$B$25/$E41/12</f>
        <v>39277.872414180245</v>
      </c>
      <c r="AA40" s="36">
        <f>Z40*Assumptions!$B$11</f>
        <v>7855.5744828360494</v>
      </c>
      <c r="AB40" s="39">
        <f t="shared" si="8"/>
        <v>31422.297931344197</v>
      </c>
      <c r="AC40" s="88">
        <f t="shared" si="9"/>
        <v>-2692608.9381622663</v>
      </c>
      <c r="AD40" s="88">
        <f>Assumptions!$B$23*R40</f>
        <v>1357915.4454548212</v>
      </c>
      <c r="AE40" s="88">
        <f t="shared" si="11"/>
        <v>-1334693.4927074451</v>
      </c>
    </row>
    <row r="41" spans="1:31" s="21" customFormat="1" x14ac:dyDescent="0.25">
      <c r="A41" s="21">
        <f t="shared" si="10"/>
        <v>36</v>
      </c>
      <c r="B41" s="41" t="s">
        <v>28</v>
      </c>
      <c r="C41" s="23">
        <f t="shared" si="3"/>
        <v>36</v>
      </c>
      <c r="D41" s="22">
        <f t="shared" si="1"/>
        <v>3</v>
      </c>
      <c r="E41" s="22">
        <f t="shared" si="4"/>
        <v>8.3333333333333481E-2</v>
      </c>
      <c r="F41" s="23">
        <f t="shared" si="5"/>
        <v>0</v>
      </c>
      <c r="G41" s="27">
        <f>(G40*($K40/$K39)-L40)*(1+Assumptions!$B$15)^$F41</f>
        <v>646549340.15111637</v>
      </c>
      <c r="H41" s="27">
        <f>$H$6/$G$6*G41*(1+Assumptions!$B$16)^INT((C41-1)/12)*IF(B41="Monthly",1,12)</f>
        <v>62844.595862688511</v>
      </c>
      <c r="I41" s="42">
        <f>Assumptions!$B$14</f>
        <v>0.15</v>
      </c>
      <c r="J41" s="42">
        <f t="shared" si="6"/>
        <v>1.3451947011868914E-2</v>
      </c>
      <c r="K41" s="43">
        <f t="shared" si="7"/>
        <v>0.61412499999999981</v>
      </c>
      <c r="L41" s="26">
        <f>H41*Assumptions!$B$7</f>
        <v>31422.297931344256</v>
      </c>
      <c r="M41" s="27">
        <f>L41*Assumptions!$B$11</f>
        <v>6284.4595862688511</v>
      </c>
      <c r="N41" s="27">
        <f>H41*Assumptions!$B$11</f>
        <v>12568.919172537702</v>
      </c>
      <c r="O41" s="27">
        <f>N41*Assumptions!$B$12</f>
        <v>1256.8919172537703</v>
      </c>
      <c r="P41" s="27">
        <f>H41*Assumptions!$B$9</f>
        <v>5027.5676690150813</v>
      </c>
      <c r="Q41" s="27">
        <f>H41*Assumptions!$B$8</f>
        <v>3142.2297931344256</v>
      </c>
      <c r="R41" s="26">
        <f>(R42)/((1+Assumptions!$B$21)^$E42)+H42/IF(H$3="EOP",((1+Assumptions!$B$21)^$E42),1)</f>
        <v>9008442.8141643833</v>
      </c>
      <c r="S41" s="27">
        <f>(S42)/((1+Assumptions!$B$21)^$E42)+L42/IF(L$3="EOP",((1+Assumptions!$B$21)^$E42),1)</f>
        <v>4394362.3483728701</v>
      </c>
      <c r="T41" s="27">
        <f>(T42)/((1+Assumptions!$B$21)^$E42)+M42/IF(M$3="EOP",((1+Assumptions!$B$21)^$E42),1)</f>
        <v>878872.46967457409</v>
      </c>
      <c r="U41" s="27">
        <f>(U42)/((1+Assumptions!$B$21)^$E42)+N42/IF(N$3="EOP",((1+Assumptions!$B$21)^$E42),1)</f>
        <v>1801688.5628328773</v>
      </c>
      <c r="V41" s="27">
        <f>(V42)/((1+Assumptions!$B$21)^$E42)+O42/IF(O$3="EOP",((1+Assumptions!$B$21)^$E42),1)</f>
        <v>180168.85628328766</v>
      </c>
      <c r="W41" s="27">
        <f>(W42)/((1+Assumptions!$B$21)^$E42)+P42/IF(P$3="EOP",((1+Assumptions!$B$21)^$E42),1)</f>
        <v>720675.42513315065</v>
      </c>
      <c r="X41" s="27">
        <f>(X42)/((1+Assumptions!$B$21)^$E42)+Q42/IF(Q$3="EOP",((1+Assumptions!$B$21)^$E42),1)</f>
        <v>439436.23483728705</v>
      </c>
      <c r="Y41" s="28">
        <f t="shared" si="2"/>
        <v>-2711321.5689460603</v>
      </c>
      <c r="Z41" s="26">
        <f>H42*Assumptions!$B$7*Assumptions!$B$25/$E42/12</f>
        <v>42684.355775680939</v>
      </c>
      <c r="AA41" s="27">
        <f>Z41*Assumptions!$B$11</f>
        <v>8536.8711551361885</v>
      </c>
      <c r="AB41" s="29">
        <f t="shared" si="8"/>
        <v>34147.484620544754</v>
      </c>
      <c r="AC41" s="87">
        <f t="shared" si="9"/>
        <v>-2677174.0843255157</v>
      </c>
      <c r="AD41" s="87">
        <f>Assumptions!$B$23*R41</f>
        <v>1351266.4221246575</v>
      </c>
      <c r="AE41" s="87">
        <f t="shared" si="11"/>
        <v>-1325907.6622008581</v>
      </c>
    </row>
    <row r="42" spans="1:31" s="44" customFormat="1" x14ac:dyDescent="0.25">
      <c r="A42" s="44">
        <f t="shared" si="10"/>
        <v>37</v>
      </c>
      <c r="B42" s="45" t="s">
        <v>29</v>
      </c>
      <c r="C42" s="46">
        <f>C41+12</f>
        <v>48</v>
      </c>
      <c r="D42" s="47">
        <f t="shared" si="1"/>
        <v>4</v>
      </c>
      <c r="E42" s="47">
        <f t="shared" si="4"/>
        <v>1</v>
      </c>
      <c r="F42" s="48">
        <f t="shared" si="5"/>
        <v>1</v>
      </c>
      <c r="G42" s="49">
        <f>(G41*($K41/$K40)-L41)*(1+Assumptions!$B$15)^$F42</f>
        <v>650576981.79669166</v>
      </c>
      <c r="H42" s="49">
        <f>$H$6/$G$6*G42*(1+Assumptions!$B$16)^INT((C42-1)/12)*IF(B42="Monthly",1,12)</f>
        <v>819539.63089307409</v>
      </c>
      <c r="I42" s="50">
        <f>Assumptions!$B$14</f>
        <v>0.15</v>
      </c>
      <c r="J42" s="50">
        <f t="shared" si="6"/>
        <v>0.15000000000000002</v>
      </c>
      <c r="K42" s="51">
        <f t="shared" si="7"/>
        <v>0.52200624999999978</v>
      </c>
      <c r="L42" s="52">
        <f>H42*Assumptions!$B$7</f>
        <v>409769.81544653705</v>
      </c>
      <c r="M42" s="49">
        <f>L42*Assumptions!$B$11</f>
        <v>81953.963089307421</v>
      </c>
      <c r="N42" s="49">
        <f>H42*Assumptions!$B$11</f>
        <v>163907.92617861484</v>
      </c>
      <c r="O42" s="49">
        <f>N42*Assumptions!$B$12</f>
        <v>16390.792617861483</v>
      </c>
      <c r="P42" s="49">
        <f>H42*Assumptions!$B$9</f>
        <v>65563.170471445934</v>
      </c>
      <c r="Q42" s="49">
        <f>H42*Assumptions!$B$8</f>
        <v>40976.98154465371</v>
      </c>
      <c r="R42" s="52">
        <f>(R43)/((1+Assumptions!$B$21)^$E43)+H43/IF(H$3="EOP",((1+Assumptions!$B$21)^$E43),1)</f>
        <v>8393625.7628530916</v>
      </c>
      <c r="S42" s="49">
        <f>(S43)/((1+Assumptions!$B$21)^$E43)+L43/IF(L$3="EOP",((1+Assumptions!$B$21)^$E43),1)</f>
        <v>4094451.5916356547</v>
      </c>
      <c r="T42" s="49">
        <f>(T43)/((1+Assumptions!$B$21)^$E43)+M43/IF(M$3="EOP",((1+Assumptions!$B$21)^$E43),1)</f>
        <v>818890.31832713098</v>
      </c>
      <c r="U42" s="49">
        <f>(U43)/((1+Assumptions!$B$21)^$E43)+N43/IF(N$3="EOP",((1+Assumptions!$B$21)^$E43),1)</f>
        <v>1678725.1525706188</v>
      </c>
      <c r="V42" s="49">
        <f>(V43)/((1+Assumptions!$B$21)^$E43)+O43/IF(O$3="EOP",((1+Assumptions!$B$21)^$E43),1)</f>
        <v>167872.51525706184</v>
      </c>
      <c r="W42" s="49">
        <f>(W43)/((1+Assumptions!$B$21)^$E43)+P43/IF(P$3="EOP",((1+Assumptions!$B$21)^$E43),1)</f>
        <v>671490.06102824735</v>
      </c>
      <c r="X42" s="49">
        <f>(X43)/((1+Assumptions!$B$21)^$E43)+Q43/IF(Q$3="EOP",((1+Assumptions!$B$21)^$E43),1)</f>
        <v>409445.15916356549</v>
      </c>
      <c r="Y42" s="53">
        <f t="shared" si="2"/>
        <v>-2526276.6320391982</v>
      </c>
      <c r="Z42" s="52">
        <f>H43*Assumptions!$B$7*Assumptions!$B$25/$E43/12</f>
        <v>39938.306860769866</v>
      </c>
      <c r="AA42" s="49">
        <f>Z42*Assumptions!$B$11</f>
        <v>7987.6613721539734</v>
      </c>
      <c r="AB42" s="54">
        <f t="shared" si="8"/>
        <v>31950.645488615894</v>
      </c>
      <c r="AC42" s="89">
        <f t="shared" si="9"/>
        <v>-2494325.9865505821</v>
      </c>
      <c r="AD42" s="89">
        <f>Assumptions!$B$23*R42</f>
        <v>1259043.8644279637</v>
      </c>
      <c r="AE42" s="89">
        <f t="shared" si="11"/>
        <v>-1235282.1221226184</v>
      </c>
    </row>
    <row r="43" spans="1:31" s="44" customFormat="1" x14ac:dyDescent="0.25">
      <c r="A43" s="44">
        <f t="shared" si="10"/>
        <v>38</v>
      </c>
      <c r="B43" s="45" t="s">
        <v>29</v>
      </c>
      <c r="C43" s="48">
        <f>C42+12</f>
        <v>60</v>
      </c>
      <c r="D43" s="47">
        <f t="shared" si="1"/>
        <v>5</v>
      </c>
      <c r="E43" s="47">
        <f t="shared" si="4"/>
        <v>1</v>
      </c>
      <c r="F43" s="48">
        <f t="shared" si="5"/>
        <v>1</v>
      </c>
      <c r="G43" s="49">
        <f>(G42*($K42/$K41)-L42)*(1+Assumptions!$B$15)^$F43</f>
        <v>563632278.0059762</v>
      </c>
      <c r="H43" s="49">
        <f>$H$6/$G$6*G43*(1+Assumptions!$B$16)^INT((C43-1)/12)*IF(B43="Monthly",1,12)</f>
        <v>766815.49172678147</v>
      </c>
      <c r="I43" s="50">
        <f>Assumptions!$B$14</f>
        <v>0.15</v>
      </c>
      <c r="J43" s="50">
        <f t="shared" si="6"/>
        <v>0.15000000000000002</v>
      </c>
      <c r="K43" s="51">
        <f t="shared" si="7"/>
        <v>0.44370531249999978</v>
      </c>
      <c r="L43" s="52">
        <f>H43*Assumptions!$B$7</f>
        <v>383407.74586339074</v>
      </c>
      <c r="M43" s="49">
        <f>L43*Assumptions!$B$11</f>
        <v>76681.549172678147</v>
      </c>
      <c r="N43" s="49">
        <f>H43*Assumptions!$B$11</f>
        <v>153363.09834535629</v>
      </c>
      <c r="O43" s="49">
        <f>N43*Assumptions!$B$12</f>
        <v>15336.30983453563</v>
      </c>
      <c r="P43" s="49">
        <f>H43*Assumptions!$B$9</f>
        <v>61345.239338142521</v>
      </c>
      <c r="Q43" s="49">
        <f>H43*Assumptions!$B$8</f>
        <v>38340.774586339074</v>
      </c>
      <c r="R43" s="52">
        <f>(R44)/((1+Assumptions!$B$21)^$E44)+H44/IF(H$3="EOP",((1+Assumptions!$B$21)^$E44),1)</f>
        <v>7817480.5279044667</v>
      </c>
      <c r="S43" s="49">
        <f>(S44)/((1+Assumptions!$B$21)^$E44)+L44/IF(L$3="EOP",((1+Assumptions!$B$21)^$E44),1)</f>
        <v>3813405.1355631552</v>
      </c>
      <c r="T43" s="49">
        <f>(T44)/((1+Assumptions!$B$21)^$E44)+M44/IF(M$3="EOP",((1+Assumptions!$B$21)^$E44),1)</f>
        <v>762681.02711263101</v>
      </c>
      <c r="U43" s="49">
        <f>(U44)/((1+Assumptions!$B$21)^$E44)+N44/IF(N$3="EOP",((1+Assumptions!$B$21)^$E44),1)</f>
        <v>1563496.1055808938</v>
      </c>
      <c r="V43" s="49">
        <f>(V44)/((1+Assumptions!$B$21)^$E44)+O44/IF(O$3="EOP",((1+Assumptions!$B$21)^$E44),1)</f>
        <v>156349.61055808933</v>
      </c>
      <c r="W43" s="49">
        <f>(W44)/((1+Assumptions!$B$21)^$E44)+P44/IF(P$3="EOP",((1+Assumptions!$B$21)^$E44),1)</f>
        <v>625398.44223235734</v>
      </c>
      <c r="X43" s="49">
        <f>(X44)/((1+Assumptions!$B$21)^$E44)+Q44/IF(Q$3="EOP",((1+Assumptions!$B$21)^$E44),1)</f>
        <v>381340.51355631551</v>
      </c>
      <c r="Y43" s="53">
        <f t="shared" si="2"/>
        <v>-2352870.9686424648</v>
      </c>
      <c r="Z43" s="52">
        <f>H44*Assumptions!$B$7*Assumptions!$B$25/$E44/12</f>
        <v>37366.704949589184</v>
      </c>
      <c r="AA43" s="49">
        <f>Z43*Assumptions!$B$11</f>
        <v>7473.3409899178369</v>
      </c>
      <c r="AB43" s="54">
        <f t="shared" si="8"/>
        <v>29893.363959671347</v>
      </c>
      <c r="AC43" s="89">
        <f t="shared" si="9"/>
        <v>-2322977.6046827934</v>
      </c>
      <c r="AD43" s="89">
        <f>Assumptions!$B$23*R43</f>
        <v>1172622.07918567</v>
      </c>
      <c r="AE43" s="89">
        <f t="shared" si="11"/>
        <v>-1150355.5254971234</v>
      </c>
    </row>
    <row r="44" spans="1:31" x14ac:dyDescent="0.25">
      <c r="A44" s="44">
        <f t="shared" si="10"/>
        <v>39</v>
      </c>
      <c r="B44" s="45" t="s">
        <v>29</v>
      </c>
      <c r="C44" s="48">
        <f t="shared" ref="C44:C78" si="12">C43+12</f>
        <v>72</v>
      </c>
      <c r="D44" s="47">
        <f t="shared" si="1"/>
        <v>6</v>
      </c>
      <c r="E44" s="47">
        <f t="shared" si="4"/>
        <v>1</v>
      </c>
      <c r="F44" s="48">
        <f t="shared" si="5"/>
        <v>1</v>
      </c>
      <c r="G44" s="49">
        <f>(G43*($K43/$K42)-L43)*(1+Assumptions!$B$15)^$F44</f>
        <v>488278109.13040072</v>
      </c>
      <c r="H44" s="49">
        <f>$H$6/$G$6*G44*(1+Assumptions!$B$16)^INT((C44-1)/12)*IF(B44="Monthly",1,12)</f>
        <v>717440.73503211234</v>
      </c>
      <c r="I44" s="50">
        <f>Assumptions!$B$14</f>
        <v>0.15</v>
      </c>
      <c r="J44" s="50">
        <f t="shared" si="6"/>
        <v>0.15000000000000002</v>
      </c>
      <c r="K44" s="51">
        <f t="shared" si="7"/>
        <v>0.37714951562499982</v>
      </c>
      <c r="L44" s="52">
        <f>H44*Assumptions!$B$7</f>
        <v>358720.36751605617</v>
      </c>
      <c r="M44" s="49">
        <f>L44*Assumptions!$B$11</f>
        <v>71744.073503211242</v>
      </c>
      <c r="N44" s="49">
        <f>H44*Assumptions!$B$11</f>
        <v>143488.14700642248</v>
      </c>
      <c r="O44" s="49">
        <f>N44*Assumptions!$B$12</f>
        <v>14348.81470064225</v>
      </c>
      <c r="P44" s="49">
        <f>H44*Assumptions!$B$9</f>
        <v>57395.258802568991</v>
      </c>
      <c r="Q44" s="49">
        <f>H44*Assumptions!$B$8</f>
        <v>35872.036751605621</v>
      </c>
      <c r="R44" s="52">
        <f>(R45)/((1+Assumptions!$B$21)^$E45)+H45/IF(H$3="EOP",((1+Assumptions!$B$21)^$E45),1)</f>
        <v>7277540.7876941627</v>
      </c>
      <c r="S44" s="49">
        <f>(S45)/((1+Assumptions!$B$21)^$E45)+L45/IF(L$3="EOP",((1+Assumptions!$B$21)^$E45),1)</f>
        <v>3550019.8964361777</v>
      </c>
      <c r="T44" s="49">
        <f>(T45)/((1+Assumptions!$B$21)^$E45)+M45/IF(M$3="EOP",((1+Assumptions!$B$21)^$E45),1)</f>
        <v>710003.97928723542</v>
      </c>
      <c r="U44" s="49">
        <f>(U45)/((1+Assumptions!$B$21)^$E45)+N45/IF(N$3="EOP",((1+Assumptions!$B$21)^$E45),1)</f>
        <v>1455508.1575388329</v>
      </c>
      <c r="V44" s="49">
        <f>(V45)/((1+Assumptions!$B$21)^$E45)+O45/IF(O$3="EOP",((1+Assumptions!$B$21)^$E45),1)</f>
        <v>145550.81575388325</v>
      </c>
      <c r="W44" s="49">
        <f>(W45)/((1+Assumptions!$B$21)^$E45)+P45/IF(P$3="EOP",((1+Assumptions!$B$21)^$E45),1)</f>
        <v>582203.26301553298</v>
      </c>
      <c r="X44" s="49">
        <f>(X45)/((1+Assumptions!$B$21)^$E45)+Q45/IF(Q$3="EOP",((1+Assumptions!$B$21)^$E45),1)</f>
        <v>355001.98964361771</v>
      </c>
      <c r="Y44" s="53">
        <f t="shared" si="2"/>
        <v>-2190362.2761011203</v>
      </c>
      <c r="Z44" s="52">
        <f>H45*Assumptions!$B$7*Assumptions!$B$25/$E45/12</f>
        <v>34958.44675164239</v>
      </c>
      <c r="AA44" s="49">
        <f>Z44*Assumptions!$B$11</f>
        <v>6991.6893503284782</v>
      </c>
      <c r="AB44" s="54">
        <f t="shared" si="8"/>
        <v>27966.757401313913</v>
      </c>
      <c r="AC44" s="89">
        <f t="shared" si="9"/>
        <v>-2162395.5186998062</v>
      </c>
      <c r="AD44" s="89">
        <f>Assumptions!$B$23*R44</f>
        <v>1091631.1181541244</v>
      </c>
      <c r="AE44" s="89">
        <f t="shared" si="11"/>
        <v>-1070764.4005456818</v>
      </c>
    </row>
    <row r="45" spans="1:31" x14ac:dyDescent="0.25">
      <c r="A45" s="44">
        <f t="shared" si="10"/>
        <v>40</v>
      </c>
      <c r="B45" s="45" t="s">
        <v>29</v>
      </c>
      <c r="C45" s="48">
        <f t="shared" si="12"/>
        <v>84</v>
      </c>
      <c r="D45" s="47">
        <f t="shared" si="1"/>
        <v>7</v>
      </c>
      <c r="E45" s="47">
        <f t="shared" si="4"/>
        <v>1</v>
      </c>
      <c r="F45" s="48">
        <f t="shared" si="5"/>
        <v>1</v>
      </c>
      <c r="G45" s="49">
        <f>(G44*($K44/$K43)-L44)*(1+Assumptions!$B$15)^$F45</f>
        <v>422971225.84119105</v>
      </c>
      <c r="H45" s="49">
        <f>$H$6/$G$6*G45*(1+Assumptions!$B$16)^INT((C45-1)/12)*IF(B45="Monthly",1,12)</f>
        <v>671202.17763153394</v>
      </c>
      <c r="I45" s="50">
        <f>Assumptions!$B$14</f>
        <v>0.15</v>
      </c>
      <c r="J45" s="50">
        <f t="shared" si="6"/>
        <v>0.15000000000000002</v>
      </c>
      <c r="K45" s="51">
        <f t="shared" si="7"/>
        <v>0.32057708828124981</v>
      </c>
      <c r="L45" s="52">
        <f>H45*Assumptions!$B$7</f>
        <v>335601.08881576697</v>
      </c>
      <c r="M45" s="49">
        <f>L45*Assumptions!$B$11</f>
        <v>67120.2177631534</v>
      </c>
      <c r="N45" s="49">
        <f>H45*Assumptions!$B$11</f>
        <v>134240.4355263068</v>
      </c>
      <c r="O45" s="49">
        <f>N45*Assumptions!$B$12</f>
        <v>13424.043552630681</v>
      </c>
      <c r="P45" s="49">
        <f>H45*Assumptions!$B$9</f>
        <v>53696.174210522717</v>
      </c>
      <c r="Q45" s="49">
        <f>H45*Assumptions!$B$8</f>
        <v>33560.1088815767</v>
      </c>
      <c r="R45" s="52">
        <f>(R46)/((1+Assumptions!$B$21)^$E46)+H46/IF(H$3="EOP",((1+Assumptions!$B$21)^$E46),1)</f>
        <v>6771497.075314194</v>
      </c>
      <c r="S45" s="49">
        <f>(S46)/((1+Assumptions!$B$21)^$E46)+L46/IF(L$3="EOP",((1+Assumptions!$B$21)^$E46),1)</f>
        <v>3303169.305031315</v>
      </c>
      <c r="T45" s="49">
        <f>(T46)/((1+Assumptions!$B$21)^$E46)+M46/IF(M$3="EOP",((1+Assumptions!$B$21)^$E46),1)</f>
        <v>660633.86100626283</v>
      </c>
      <c r="U45" s="49">
        <f>(U46)/((1+Assumptions!$B$21)^$E46)+N46/IF(N$3="EOP",((1+Assumptions!$B$21)^$E46),1)</f>
        <v>1354299.4150628392</v>
      </c>
      <c r="V45" s="49">
        <f>(V46)/((1+Assumptions!$B$21)^$E46)+O46/IF(O$3="EOP",((1+Assumptions!$B$21)^$E46),1)</f>
        <v>135429.94150628388</v>
      </c>
      <c r="W45" s="49">
        <f>(W46)/((1+Assumptions!$B$21)^$E46)+P46/IF(P$3="EOP",((1+Assumptions!$B$21)^$E46),1)</f>
        <v>541719.76602513553</v>
      </c>
      <c r="X45" s="49">
        <f>(X46)/((1+Assumptions!$B$21)^$E46)+Q46/IF(Q$3="EOP",((1+Assumptions!$B$21)^$E46),1)</f>
        <v>330316.93050313141</v>
      </c>
      <c r="Y45" s="53">
        <f t="shared" si="2"/>
        <v>-2038055.4612043197</v>
      </c>
      <c r="Z45" s="52">
        <f>H46*Assumptions!$B$7*Assumptions!$B$25/$E46/12</f>
        <v>32703.135756802556</v>
      </c>
      <c r="AA45" s="49">
        <f>Z45*Assumptions!$B$11</f>
        <v>6540.6271513605116</v>
      </c>
      <c r="AB45" s="54">
        <f t="shared" si="8"/>
        <v>26162.508605442046</v>
      </c>
      <c r="AC45" s="89">
        <f t="shared" si="9"/>
        <v>-2011892.9525988777</v>
      </c>
      <c r="AD45" s="89">
        <f>Assumptions!$B$23*R45</f>
        <v>1015724.561297129</v>
      </c>
      <c r="AE45" s="89">
        <f t="shared" si="11"/>
        <v>-996168.39130174869</v>
      </c>
    </row>
    <row r="46" spans="1:31" x14ac:dyDescent="0.25">
      <c r="A46" s="44">
        <f t="shared" si="10"/>
        <v>41</v>
      </c>
      <c r="B46" s="45" t="s">
        <v>29</v>
      </c>
      <c r="C46" s="48">
        <f t="shared" si="12"/>
        <v>96</v>
      </c>
      <c r="D46" s="47">
        <f t="shared" si="1"/>
        <v>8</v>
      </c>
      <c r="E46" s="47">
        <f t="shared" si="4"/>
        <v>1</v>
      </c>
      <c r="F46" s="48">
        <f t="shared" si="5"/>
        <v>1</v>
      </c>
      <c r="G46" s="49">
        <f>(G45*($K45/$K44)-L45)*(1+Assumptions!$B$15)^$F46</f>
        <v>366373739.69372052</v>
      </c>
      <c r="H46" s="49">
        <f>$H$6/$G$6*G46*(1+Assumptions!$B$16)^INT((C46-1)/12)*IF(B46="Monthly",1,12)</f>
        <v>627900.20653060905</v>
      </c>
      <c r="I46" s="50">
        <f>Assumptions!$B$14</f>
        <v>0.15</v>
      </c>
      <c r="J46" s="50">
        <f t="shared" si="6"/>
        <v>0.15000000000000002</v>
      </c>
      <c r="K46" s="51">
        <f t="shared" si="7"/>
        <v>0.27249052503906235</v>
      </c>
      <c r="L46" s="52">
        <f>H46*Assumptions!$B$7</f>
        <v>313950.10326530453</v>
      </c>
      <c r="M46" s="49">
        <f>L46*Assumptions!$B$11</f>
        <v>62790.020653060907</v>
      </c>
      <c r="N46" s="49">
        <f>H46*Assumptions!$B$11</f>
        <v>125580.04130612181</v>
      </c>
      <c r="O46" s="49">
        <f>N46*Assumptions!$B$12</f>
        <v>12558.004130612182</v>
      </c>
      <c r="P46" s="49">
        <f>H46*Assumptions!$B$9</f>
        <v>50232.016522448728</v>
      </c>
      <c r="Q46" s="49">
        <f>H46*Assumptions!$B$8</f>
        <v>31395.010326530453</v>
      </c>
      <c r="R46" s="52">
        <f>(R47)/((1+Assumptions!$B$21)^$E47)+H47/IF(H$3="EOP",((1+Assumptions!$B$21)^$E47),1)</f>
        <v>6297186.7905031741</v>
      </c>
      <c r="S46" s="49">
        <f>(S47)/((1+Assumptions!$B$21)^$E47)+L47/IF(L$3="EOP",((1+Assumptions!$B$21)^$E47),1)</f>
        <v>3071798.4343917929</v>
      </c>
      <c r="T46" s="49">
        <f>(T47)/((1+Assumptions!$B$21)^$E47)+M47/IF(M$3="EOP",((1+Assumptions!$B$21)^$E47),1)</f>
        <v>614359.68687835848</v>
      </c>
      <c r="U46" s="49">
        <f>(U47)/((1+Assumptions!$B$21)^$E47)+N47/IF(N$3="EOP",((1+Assumptions!$B$21)^$E47),1)</f>
        <v>1259437.3581006352</v>
      </c>
      <c r="V46" s="49">
        <f>(V47)/((1+Assumptions!$B$21)^$E47)+O47/IF(O$3="EOP",((1+Assumptions!$B$21)^$E47),1)</f>
        <v>125943.73581006347</v>
      </c>
      <c r="W46" s="49">
        <f>(W47)/((1+Assumptions!$B$21)^$E47)+P47/IF(P$3="EOP",((1+Assumptions!$B$21)^$E47),1)</f>
        <v>503774.9432402539</v>
      </c>
      <c r="X46" s="49">
        <f>(X47)/((1+Assumptions!$B$21)^$E47)+Q47/IF(Q$3="EOP",((1+Assumptions!$B$21)^$E47),1)</f>
        <v>307179.84343917924</v>
      </c>
      <c r="Y46" s="53">
        <f t="shared" si="2"/>
        <v>-1895299.6340197346</v>
      </c>
      <c r="Z46" s="52">
        <f>H47*Assumptions!$B$7*Assumptions!$B$25/$E47/12</f>
        <v>30591.037274048595</v>
      </c>
      <c r="AA46" s="49">
        <f>Z46*Assumptions!$B$11</f>
        <v>6118.2074548097189</v>
      </c>
      <c r="AB46" s="54">
        <f t="shared" si="8"/>
        <v>24472.829819238876</v>
      </c>
      <c r="AC46" s="89">
        <f t="shared" si="9"/>
        <v>-1870826.8042004956</v>
      </c>
      <c r="AD46" s="89">
        <f>Assumptions!$B$23*R46</f>
        <v>944578.01857547602</v>
      </c>
      <c r="AE46" s="89">
        <f t="shared" si="11"/>
        <v>-926248.78562501958</v>
      </c>
    </row>
    <row r="47" spans="1:31" x14ac:dyDescent="0.25">
      <c r="A47" s="44">
        <f t="shared" si="10"/>
        <v>42</v>
      </c>
      <c r="B47" s="45" t="s">
        <v>29</v>
      </c>
      <c r="C47" s="48">
        <f t="shared" si="12"/>
        <v>108</v>
      </c>
      <c r="D47" s="47">
        <f t="shared" si="1"/>
        <v>9</v>
      </c>
      <c r="E47" s="47">
        <f t="shared" si="4"/>
        <v>1</v>
      </c>
      <c r="F47" s="48">
        <f t="shared" si="5"/>
        <v>1</v>
      </c>
      <c r="G47" s="49">
        <f>(G46*($K46/$K45)-L46)*(1+Assumptions!$B$15)^$F47</f>
        <v>317325803.20912504</v>
      </c>
      <c r="H47" s="49">
        <f>$H$6/$G$6*G47*(1+Assumptions!$B$16)^INT((C47-1)/12)*IF(B47="Monthly",1,12)</f>
        <v>587347.91566173302</v>
      </c>
      <c r="I47" s="50">
        <f>Assumptions!$B$14</f>
        <v>0.15</v>
      </c>
      <c r="J47" s="50">
        <f t="shared" si="6"/>
        <v>0.15000000000000002</v>
      </c>
      <c r="K47" s="51">
        <f t="shared" si="7"/>
        <v>0.23161694628320298</v>
      </c>
      <c r="L47" s="52">
        <f>H47*Assumptions!$B$7</f>
        <v>293673.95783086651</v>
      </c>
      <c r="M47" s="49">
        <f>L47*Assumptions!$B$11</f>
        <v>58734.791566173306</v>
      </c>
      <c r="N47" s="49">
        <f>H47*Assumptions!$B$11</f>
        <v>117469.58313234661</v>
      </c>
      <c r="O47" s="49">
        <f>N47*Assumptions!$B$12</f>
        <v>11746.958313234662</v>
      </c>
      <c r="P47" s="49">
        <f>H47*Assumptions!$B$9</f>
        <v>46987.833252938639</v>
      </c>
      <c r="Q47" s="49">
        <f>H47*Assumptions!$B$8</f>
        <v>29367.395783086653</v>
      </c>
      <c r="R47" s="52">
        <f>(R48)/((1+Assumptions!$B$21)^$E48)+H48/IF(H$3="EOP",((1+Assumptions!$B$21)^$E48),1)</f>
        <v>5852584.8467124766</v>
      </c>
      <c r="S47" s="49">
        <f>(S48)/((1+Assumptions!$B$21)^$E48)+L48/IF(L$3="EOP",((1+Assumptions!$B$21)^$E48),1)</f>
        <v>2854919.4374207212</v>
      </c>
      <c r="T47" s="49">
        <f>(T48)/((1+Assumptions!$B$21)^$E48)+M48/IF(M$3="EOP",((1+Assumptions!$B$21)^$E48),1)</f>
        <v>570983.88748414407</v>
      </c>
      <c r="U47" s="49">
        <f>(U48)/((1+Assumptions!$B$21)^$E48)+N48/IF(N$3="EOP",((1+Assumptions!$B$21)^$E48),1)</f>
        <v>1170516.9693424958</v>
      </c>
      <c r="V47" s="49">
        <f>(V48)/((1+Assumptions!$B$21)^$E48)+O48/IF(O$3="EOP",((1+Assumptions!$B$21)^$E48),1)</f>
        <v>117051.69693424953</v>
      </c>
      <c r="W47" s="49">
        <f>(W48)/((1+Assumptions!$B$21)^$E48)+P48/IF(P$3="EOP",((1+Assumptions!$B$21)^$E48),1)</f>
        <v>468206.78773699811</v>
      </c>
      <c r="X47" s="49">
        <f>(X48)/((1+Assumptions!$B$21)^$E48)+Q48/IF(Q$3="EOP",((1+Assumptions!$B$21)^$E48),1)</f>
        <v>285491.94374207204</v>
      </c>
      <c r="Y47" s="53">
        <f t="shared" si="2"/>
        <v>-1761485.2928885831</v>
      </c>
      <c r="Z47" s="52">
        <f>H48*Assumptions!$B$7*Assumptions!$B$25/$E48/12</f>
        <v>28613.036333148182</v>
      </c>
      <c r="AA47" s="49">
        <f>Z47*Assumptions!$B$11</f>
        <v>5722.6072666296368</v>
      </c>
      <c r="AB47" s="54">
        <f t="shared" si="8"/>
        <v>22890.429066518547</v>
      </c>
      <c r="AC47" s="89">
        <f t="shared" si="9"/>
        <v>-1738594.8638220646</v>
      </c>
      <c r="AD47" s="89">
        <f>Assumptions!$B$23*R47</f>
        <v>877887.72700687149</v>
      </c>
      <c r="AE47" s="89">
        <f t="shared" si="11"/>
        <v>-860707.13681519311</v>
      </c>
    </row>
    <row r="48" spans="1:31" x14ac:dyDescent="0.25">
      <c r="A48" s="44">
        <f t="shared" si="10"/>
        <v>43</v>
      </c>
      <c r="B48" s="45" t="s">
        <v>29</v>
      </c>
      <c r="C48" s="48">
        <f t="shared" si="12"/>
        <v>120</v>
      </c>
      <c r="D48" s="47">
        <f t="shared" si="1"/>
        <v>10</v>
      </c>
      <c r="E48" s="47">
        <f t="shared" si="4"/>
        <v>1</v>
      </c>
      <c r="F48" s="48">
        <f t="shared" si="5"/>
        <v>1</v>
      </c>
      <c r="G48" s="49">
        <f>(G47*($K47/$K46)-L47)*(1+Assumptions!$B$15)^$F48</f>
        <v>274821923.94532394</v>
      </c>
      <c r="H48" s="49">
        <f>$H$6/$G$6*G48*(1+Assumptions!$B$16)^INT((C48-1)/12)*IF(B48="Monthly",1,12)</f>
        <v>549370.29759644507</v>
      </c>
      <c r="I48" s="50">
        <f>Assumptions!$B$14</f>
        <v>0.15</v>
      </c>
      <c r="J48" s="50">
        <f t="shared" si="6"/>
        <v>0.15000000000000002</v>
      </c>
      <c r="K48" s="51">
        <f t="shared" si="7"/>
        <v>0.19687440434072254</v>
      </c>
      <c r="L48" s="52">
        <f>H48*Assumptions!$B$7</f>
        <v>274685.14879822254</v>
      </c>
      <c r="M48" s="49">
        <f>L48*Assumptions!$B$11</f>
        <v>54937.029759644509</v>
      </c>
      <c r="N48" s="49">
        <f>H48*Assumptions!$B$11</f>
        <v>109874.05951928902</v>
      </c>
      <c r="O48" s="49">
        <f>N48*Assumptions!$B$12</f>
        <v>10987.405951928902</v>
      </c>
      <c r="P48" s="49">
        <f>H48*Assumptions!$B$9</f>
        <v>43949.623807715609</v>
      </c>
      <c r="Q48" s="49">
        <f>H48*Assumptions!$B$8</f>
        <v>27468.514879822254</v>
      </c>
      <c r="R48" s="52">
        <f>(R49)/((1+Assumptions!$B$21)^$E49)+H49/IF(H$3="EOP",((1+Assumptions!$B$21)^$E49),1)</f>
        <v>5435794.9128439315</v>
      </c>
      <c r="S48" s="49">
        <f>(S49)/((1+Assumptions!$B$21)^$E49)+L49/IF(L$3="EOP",((1+Assumptions!$B$21)^$E49),1)</f>
        <v>2651607.2745580166</v>
      </c>
      <c r="T48" s="49">
        <f>(T49)/((1+Assumptions!$B$21)^$E49)+M49/IF(M$3="EOP",((1+Assumptions!$B$21)^$E49),1)</f>
        <v>530321.45491160313</v>
      </c>
      <c r="U48" s="49">
        <f>(U49)/((1+Assumptions!$B$21)^$E49)+N49/IF(N$3="EOP",((1+Assumptions!$B$21)^$E49),1)</f>
        <v>1087158.9825687867</v>
      </c>
      <c r="V48" s="49">
        <f>(V49)/((1+Assumptions!$B$21)^$E49)+O49/IF(O$3="EOP",((1+Assumptions!$B$21)^$E49),1)</f>
        <v>108715.89825687863</v>
      </c>
      <c r="W48" s="49">
        <f>(W49)/((1+Assumptions!$B$21)^$E49)+P49/IF(P$3="EOP",((1+Assumptions!$B$21)^$E49),1)</f>
        <v>434863.59302751452</v>
      </c>
      <c r="X48" s="49">
        <f>(X49)/((1+Assumptions!$B$21)^$E49)+Q49/IF(Q$3="EOP",((1+Assumptions!$B$21)^$E49),1)</f>
        <v>265160.72745580156</v>
      </c>
      <c r="Y48" s="53">
        <f t="shared" si="2"/>
        <v>-1636041.6884022944</v>
      </c>
      <c r="Z48" s="52">
        <f>H49*Assumptions!$B$7*Assumptions!$B$25/$E49/12</f>
        <v>26760.598267219004</v>
      </c>
      <c r="AA48" s="49">
        <f>Z48*Assumptions!$B$11</f>
        <v>5352.1196534438013</v>
      </c>
      <c r="AB48" s="54">
        <f t="shared" si="8"/>
        <v>21408.478613775202</v>
      </c>
      <c r="AC48" s="89">
        <f t="shared" si="9"/>
        <v>-1614633.2097885192</v>
      </c>
      <c r="AD48" s="89">
        <f>Assumptions!$B$23*R48</f>
        <v>815369.23692658974</v>
      </c>
      <c r="AE48" s="89">
        <f t="shared" si="11"/>
        <v>-799263.97286192945</v>
      </c>
    </row>
    <row r="49" spans="1:31" x14ac:dyDescent="0.25">
      <c r="A49" s="44">
        <f t="shared" si="10"/>
        <v>44</v>
      </c>
      <c r="B49" s="45" t="s">
        <v>29</v>
      </c>
      <c r="C49" s="48">
        <f t="shared" si="12"/>
        <v>132</v>
      </c>
      <c r="D49" s="47">
        <f t="shared" si="1"/>
        <v>11</v>
      </c>
      <c r="E49" s="47">
        <f t="shared" si="4"/>
        <v>1</v>
      </c>
      <c r="F49" s="48">
        <f t="shared" si="5"/>
        <v>1</v>
      </c>
      <c r="G49" s="49">
        <f>(G48*($K48/$K47)-L48)*(1+Assumptions!$B$15)^$F49</f>
        <v>237990429.20882165</v>
      </c>
      <c r="H49" s="49">
        <f>$H$6/$G$6*G49*(1+Assumptions!$B$16)^INT((C49-1)/12)*IF(B49="Monthly",1,12)</f>
        <v>513803.4867306049</v>
      </c>
      <c r="I49" s="50">
        <f>Assumptions!$B$14</f>
        <v>0.15</v>
      </c>
      <c r="J49" s="50">
        <f t="shared" si="6"/>
        <v>0.15000000000000002</v>
      </c>
      <c r="K49" s="51">
        <f t="shared" si="7"/>
        <v>0.16734324368961415</v>
      </c>
      <c r="L49" s="52">
        <f>H49*Assumptions!$B$7</f>
        <v>256901.74336530245</v>
      </c>
      <c r="M49" s="49">
        <f>L49*Assumptions!$B$11</f>
        <v>51380.348673060493</v>
      </c>
      <c r="N49" s="49">
        <f>H49*Assumptions!$B$11</f>
        <v>102760.69734612099</v>
      </c>
      <c r="O49" s="49">
        <f>N49*Assumptions!$B$12</f>
        <v>10276.0697346121</v>
      </c>
      <c r="P49" s="49">
        <f>H49*Assumptions!$B$9</f>
        <v>41104.278938448391</v>
      </c>
      <c r="Q49" s="49">
        <f>H49*Assumptions!$B$8</f>
        <v>25690.174336530246</v>
      </c>
      <c r="R49" s="52">
        <f>(R50)/((1+Assumptions!$B$21)^$E50)+H50/IF(H$3="EOP",((1+Assumptions!$B$21)^$E50),1)</f>
        <v>5045041.2117661601</v>
      </c>
      <c r="S49" s="49">
        <f>(S50)/((1+Assumptions!$B$21)^$E50)+L50/IF(L$3="EOP",((1+Assumptions!$B$21)^$E50),1)</f>
        <v>2460995.713056664</v>
      </c>
      <c r="T49" s="49">
        <f>(T50)/((1+Assumptions!$B$21)^$E50)+M50/IF(M$3="EOP",((1+Assumptions!$B$21)^$E50),1)</f>
        <v>492199.14261133265</v>
      </c>
      <c r="U49" s="49">
        <f>(U50)/((1+Assumptions!$B$21)^$E50)+N50/IF(N$3="EOP",((1+Assumptions!$B$21)^$E50),1)</f>
        <v>1009008.2423532323</v>
      </c>
      <c r="V49" s="49">
        <f>(V50)/((1+Assumptions!$B$21)^$E50)+O50/IF(O$3="EOP",((1+Assumptions!$B$21)^$E50),1)</f>
        <v>100900.82423532318</v>
      </c>
      <c r="W49" s="49">
        <f>(W50)/((1+Assumptions!$B$21)^$E50)+P50/IF(P$3="EOP",((1+Assumptions!$B$21)^$E50),1)</f>
        <v>403603.29694129271</v>
      </c>
      <c r="X49" s="49">
        <f>(X50)/((1+Assumptions!$B$21)^$E50)+Q50/IF(Q$3="EOP",((1+Assumptions!$B$21)^$E50),1)</f>
        <v>246099.57130566632</v>
      </c>
      <c r="Y49" s="53">
        <f t="shared" si="2"/>
        <v>-1518434.3549559605</v>
      </c>
      <c r="Z49" s="52">
        <f>H50*Assumptions!$B$7*Assumptions!$B$25/$E50/12</f>
        <v>25025.731805695959</v>
      </c>
      <c r="AA49" s="49">
        <f>Z49*Assumptions!$B$11</f>
        <v>5005.1463611391919</v>
      </c>
      <c r="AB49" s="54">
        <f t="shared" si="8"/>
        <v>20020.585444556767</v>
      </c>
      <c r="AC49" s="89">
        <f t="shared" si="9"/>
        <v>-1498413.7695114037</v>
      </c>
      <c r="AD49" s="89">
        <f>Assumptions!$B$23*R49</f>
        <v>756756.18176492397</v>
      </c>
      <c r="AE49" s="89">
        <f t="shared" si="11"/>
        <v>-741657.58774647978</v>
      </c>
    </row>
    <row r="50" spans="1:31" x14ac:dyDescent="0.25">
      <c r="A50" s="44">
        <f t="shared" si="10"/>
        <v>45</v>
      </c>
      <c r="B50" s="45" t="s">
        <v>29</v>
      </c>
      <c r="C50" s="48">
        <f t="shared" si="12"/>
        <v>144</v>
      </c>
      <c r="D50" s="47">
        <f t="shared" si="1"/>
        <v>12</v>
      </c>
      <c r="E50" s="47">
        <f t="shared" si="4"/>
        <v>1</v>
      </c>
      <c r="F50" s="48">
        <f t="shared" si="5"/>
        <v>1</v>
      </c>
      <c r="G50" s="49">
        <f>(G49*($K49/$K48)-L49)*(1+Assumptions!$B$15)^$F50</f>
        <v>206075662.34581578</v>
      </c>
      <c r="H50" s="49">
        <f>$H$6/$G$6*G50*(1+Assumptions!$B$16)^INT((C50-1)/12)*IF(B50="Monthly",1,12)</f>
        <v>480494.05066936242</v>
      </c>
      <c r="I50" s="50">
        <f>Assumptions!$B$14</f>
        <v>0.15</v>
      </c>
      <c r="J50" s="50">
        <f t="shared" si="6"/>
        <v>0.15000000000000002</v>
      </c>
      <c r="K50" s="51">
        <f t="shared" si="7"/>
        <v>0.14224175713617201</v>
      </c>
      <c r="L50" s="52">
        <f>H50*Assumptions!$B$7</f>
        <v>240247.02533468121</v>
      </c>
      <c r="M50" s="49">
        <f>L50*Assumptions!$B$11</f>
        <v>48049.405066936248</v>
      </c>
      <c r="N50" s="49">
        <f>H50*Assumptions!$B$11</f>
        <v>96098.810133872495</v>
      </c>
      <c r="O50" s="49">
        <f>N50*Assumptions!$B$12</f>
        <v>9609.8810133872503</v>
      </c>
      <c r="P50" s="49">
        <f>H50*Assumptions!$B$9</f>
        <v>38439.524053548994</v>
      </c>
      <c r="Q50" s="49">
        <f>H50*Assumptions!$B$8</f>
        <v>24024.702533468124</v>
      </c>
      <c r="R50" s="52">
        <f>(R51)/((1+Assumptions!$B$21)^$E51)+H51/IF(H$3="EOP",((1+Assumptions!$B$21)^$E51),1)</f>
        <v>4678660.8401242169</v>
      </c>
      <c r="S50" s="49">
        <f>(S51)/((1+Assumptions!$B$21)^$E51)+L51/IF(L$3="EOP",((1+Assumptions!$B$21)^$E51),1)</f>
        <v>2282273.5805483991</v>
      </c>
      <c r="T50" s="49">
        <f>(T51)/((1+Assumptions!$B$21)^$E51)+M51/IF(M$3="EOP",((1+Assumptions!$B$21)^$E51),1)</f>
        <v>456454.71610967966</v>
      </c>
      <c r="U50" s="49">
        <f>(U51)/((1+Assumptions!$B$21)^$E51)+N51/IF(N$3="EOP",((1+Assumptions!$B$21)^$E51),1)</f>
        <v>935732.16802484368</v>
      </c>
      <c r="V50" s="49">
        <f>(V51)/((1+Assumptions!$B$21)^$E51)+O51/IF(O$3="EOP",((1+Assumptions!$B$21)^$E51),1)</f>
        <v>93573.216802484327</v>
      </c>
      <c r="W50" s="49">
        <f>(W51)/((1+Assumptions!$B$21)^$E51)+P51/IF(P$3="EOP",((1+Assumptions!$B$21)^$E51),1)</f>
        <v>374292.86720993731</v>
      </c>
      <c r="X50" s="49">
        <f>(X51)/((1+Assumptions!$B$21)^$E51)+Q51/IF(Q$3="EOP",((1+Assumptions!$B$21)^$E51),1)</f>
        <v>228227.35805483983</v>
      </c>
      <c r="Y50" s="53">
        <f t="shared" si="2"/>
        <v>-1408162.7991983609</v>
      </c>
      <c r="Z50" s="52">
        <f>H51*Assumptions!$B$7*Assumptions!$B$25/$E51/12</f>
        <v>23400.954518089315</v>
      </c>
      <c r="AA50" s="49">
        <f>Z50*Assumptions!$B$11</f>
        <v>4680.1909036178631</v>
      </c>
      <c r="AB50" s="54">
        <f t="shared" si="8"/>
        <v>18720.763614471452</v>
      </c>
      <c r="AC50" s="89">
        <f t="shared" si="9"/>
        <v>-1389442.0355838893</v>
      </c>
      <c r="AD50" s="89">
        <f>Assumptions!$B$23*R50</f>
        <v>701799.12601863255</v>
      </c>
      <c r="AE50" s="89">
        <f t="shared" si="11"/>
        <v>-687642.90956525679</v>
      </c>
    </row>
    <row r="51" spans="1:31" x14ac:dyDescent="0.25">
      <c r="A51" s="44">
        <f t="shared" si="10"/>
        <v>46</v>
      </c>
      <c r="B51" s="45" t="s">
        <v>29</v>
      </c>
      <c r="C51" s="48">
        <f t="shared" si="12"/>
        <v>156</v>
      </c>
      <c r="D51" s="47">
        <f t="shared" si="1"/>
        <v>13</v>
      </c>
      <c r="E51" s="47">
        <f t="shared" si="4"/>
        <v>1</v>
      </c>
      <c r="F51" s="48">
        <f t="shared" si="5"/>
        <v>1</v>
      </c>
      <c r="G51" s="49">
        <f>(G50*($K50/$K49)-L50)*(1+Assumptions!$B$15)^$F51</f>
        <v>178422547.28798088</v>
      </c>
      <c r="H51" s="49">
        <f>$H$6/$G$6*G51*(1+Assumptions!$B$16)^INT((C51-1)/12)*IF(B51="Monthly",1,12)</f>
        <v>449298.32674731477</v>
      </c>
      <c r="I51" s="50">
        <f>Assumptions!$B$14</f>
        <v>0.15</v>
      </c>
      <c r="J51" s="50">
        <f t="shared" si="6"/>
        <v>0.15000000000000002</v>
      </c>
      <c r="K51" s="51">
        <f t="shared" si="7"/>
        <v>0.1209054935657462</v>
      </c>
      <c r="L51" s="52">
        <f>H51*Assumptions!$B$7</f>
        <v>224649.16337365739</v>
      </c>
      <c r="M51" s="49">
        <f>L51*Assumptions!$B$11</f>
        <v>44929.832674731479</v>
      </c>
      <c r="N51" s="49">
        <f>H51*Assumptions!$B$11</f>
        <v>89859.665349462957</v>
      </c>
      <c r="O51" s="49">
        <f>N51*Assumptions!$B$12</f>
        <v>8985.9665349462957</v>
      </c>
      <c r="P51" s="49">
        <f>H51*Assumptions!$B$9</f>
        <v>35943.866139785183</v>
      </c>
      <c r="Q51" s="49">
        <f>H51*Assumptions!$B$8</f>
        <v>22464.916337365739</v>
      </c>
      <c r="R51" s="52">
        <f>(R52)/((1+Assumptions!$B$21)^$E52)+H52/IF(H$3="EOP",((1+Assumptions!$B$21)^$E52),1)</f>
        <v>4335096.576211324</v>
      </c>
      <c r="S51" s="49">
        <f>(S52)/((1+Assumptions!$B$21)^$E52)+L52/IF(L$3="EOP",((1+Assumptions!$B$21)^$E52),1)</f>
        <v>2114681.2566884514</v>
      </c>
      <c r="T51" s="49">
        <f>(T52)/((1+Assumptions!$B$21)^$E52)+M52/IF(M$3="EOP",((1+Assumptions!$B$21)^$E52),1)</f>
        <v>422936.25133769016</v>
      </c>
      <c r="U51" s="49">
        <f>(U52)/((1+Assumptions!$B$21)^$E52)+N52/IF(N$3="EOP",((1+Assumptions!$B$21)^$E52),1)</f>
        <v>867019.31524226512</v>
      </c>
      <c r="V51" s="49">
        <f>(V52)/((1+Assumptions!$B$21)^$E52)+O52/IF(O$3="EOP",((1+Assumptions!$B$21)^$E52),1)</f>
        <v>86701.931524226471</v>
      </c>
      <c r="W51" s="49">
        <f>(W52)/((1+Assumptions!$B$21)^$E52)+P52/IF(P$3="EOP",((1+Assumptions!$B$21)^$E52),1)</f>
        <v>346807.72609690588</v>
      </c>
      <c r="X51" s="49">
        <f>(X52)/((1+Assumptions!$B$21)^$E52)+Q52/IF(Q$3="EOP",((1+Assumptions!$B$21)^$E52),1)</f>
        <v>211468.12566884508</v>
      </c>
      <c r="Y51" s="53">
        <f t="shared" si="2"/>
        <v>-1304758.335376773</v>
      </c>
      <c r="Z51" s="52">
        <f>H52*Assumptions!$B$7*Assumptions!$B$25/$E52/12</f>
        <v>21879.260459085737</v>
      </c>
      <c r="AA51" s="49">
        <f>Z51*Assumptions!$B$11</f>
        <v>4375.852091817148</v>
      </c>
      <c r="AB51" s="54">
        <f t="shared" si="8"/>
        <v>17503.408367268588</v>
      </c>
      <c r="AC51" s="89">
        <f t="shared" si="9"/>
        <v>-1287254.9270095045</v>
      </c>
      <c r="AD51" s="89">
        <f>Assumptions!$B$23*R51</f>
        <v>650264.48643169855</v>
      </c>
      <c r="AE51" s="89">
        <f t="shared" si="11"/>
        <v>-636990.44057780597</v>
      </c>
    </row>
    <row r="52" spans="1:31" x14ac:dyDescent="0.25">
      <c r="A52" s="44">
        <f t="shared" si="10"/>
        <v>47</v>
      </c>
      <c r="B52" s="45" t="s">
        <v>29</v>
      </c>
      <c r="C52" s="48">
        <f t="shared" si="12"/>
        <v>168</v>
      </c>
      <c r="D52" s="47">
        <f t="shared" si="1"/>
        <v>14</v>
      </c>
      <c r="E52" s="47">
        <f t="shared" si="4"/>
        <v>1</v>
      </c>
      <c r="F52" s="48">
        <f t="shared" si="5"/>
        <v>1</v>
      </c>
      <c r="G52" s="49">
        <f>(G51*($K51/$K50)-L51)*(1+Assumptions!$B$15)^$F52</f>
        <v>154463206.35203829</v>
      </c>
      <c r="H52" s="49">
        <f>$H$6/$G$6*G52*(1+Assumptions!$B$16)^INT((C52-1)/12)*IF(B52="Monthly",1,12)</f>
        <v>420081.80081444612</v>
      </c>
      <c r="I52" s="50">
        <f>Assumptions!$B$14</f>
        <v>0.15</v>
      </c>
      <c r="J52" s="50">
        <f t="shared" si="6"/>
        <v>0.15000000000000002</v>
      </c>
      <c r="K52" s="51">
        <f t="shared" si="7"/>
        <v>0.10276966953088428</v>
      </c>
      <c r="L52" s="52">
        <f>H52*Assumptions!$B$7</f>
        <v>210040.90040722306</v>
      </c>
      <c r="M52" s="49">
        <f>L52*Assumptions!$B$11</f>
        <v>42008.180081444618</v>
      </c>
      <c r="N52" s="49">
        <f>H52*Assumptions!$B$11</f>
        <v>84016.360162889236</v>
      </c>
      <c r="O52" s="49">
        <f>N52*Assumptions!$B$12</f>
        <v>8401.6360162889232</v>
      </c>
      <c r="P52" s="49">
        <f>H52*Assumptions!$B$9</f>
        <v>33606.544065155693</v>
      </c>
      <c r="Q52" s="49">
        <f>H52*Assumptions!$B$8</f>
        <v>21004.090040722309</v>
      </c>
      <c r="R52" s="52">
        <f>(R53)/((1+Assumptions!$B$21)^$E53)+H53/IF(H$3="EOP",((1+Assumptions!$B$21)^$E53),1)</f>
        <v>4012890.1447817995</v>
      </c>
      <c r="S52" s="49">
        <f>(S53)/((1+Assumptions!$B$21)^$E53)+L53/IF(L$3="EOP",((1+Assumptions!$B$21)^$E53),1)</f>
        <v>1957507.3876984392</v>
      </c>
      <c r="T52" s="49">
        <f>(T53)/((1+Assumptions!$B$21)^$E53)+M53/IF(M$3="EOP",((1+Assumptions!$B$21)^$E53),1)</f>
        <v>391501.47753968777</v>
      </c>
      <c r="U52" s="49">
        <f>(U53)/((1+Assumptions!$B$21)^$E53)+N53/IF(N$3="EOP",((1+Assumptions!$B$21)^$E53),1)</f>
        <v>802578.02895636018</v>
      </c>
      <c r="V52" s="49">
        <f>(V53)/((1+Assumptions!$B$21)^$E53)+O53/IF(O$3="EOP",((1+Assumptions!$B$21)^$E53),1)</f>
        <v>80257.802895635992</v>
      </c>
      <c r="W52" s="49">
        <f>(W53)/((1+Assumptions!$B$21)^$E53)+P53/IF(P$3="EOP",((1+Assumptions!$B$21)^$E53),1)</f>
        <v>321031.21158254397</v>
      </c>
      <c r="X52" s="49">
        <f>(X53)/((1+Assumptions!$B$21)^$E53)+Q53/IF(Q$3="EOP",((1+Assumptions!$B$21)^$E53),1)</f>
        <v>195750.73876984388</v>
      </c>
      <c r="Y52" s="53">
        <f t="shared" si="2"/>
        <v>-1207782.0582099359</v>
      </c>
      <c r="Z52" s="52">
        <f>H53*Assumptions!$B$7*Assumptions!$B$25/$E53/12</f>
        <v>20454.089875064336</v>
      </c>
      <c r="AA52" s="49">
        <f>Z52*Assumptions!$B$11</f>
        <v>4090.8179750128675</v>
      </c>
      <c r="AB52" s="54">
        <f t="shared" si="8"/>
        <v>16363.271900051468</v>
      </c>
      <c r="AC52" s="89">
        <f t="shared" si="9"/>
        <v>-1191418.7863098844</v>
      </c>
      <c r="AD52" s="89">
        <f>Assumptions!$B$23*R52</f>
        <v>601933.5217172699</v>
      </c>
      <c r="AE52" s="89">
        <f t="shared" si="11"/>
        <v>-589485.26459261449</v>
      </c>
    </row>
    <row r="53" spans="1:31" x14ac:dyDescent="0.25">
      <c r="A53" s="44">
        <f t="shared" si="10"/>
        <v>48</v>
      </c>
      <c r="B53" s="45" t="s">
        <v>29</v>
      </c>
      <c r="C53" s="48">
        <f t="shared" si="12"/>
        <v>180</v>
      </c>
      <c r="D53" s="47">
        <f t="shared" si="1"/>
        <v>15</v>
      </c>
      <c r="E53" s="47">
        <f t="shared" si="4"/>
        <v>1</v>
      </c>
      <c r="F53" s="48">
        <f t="shared" si="5"/>
        <v>1</v>
      </c>
      <c r="G53" s="49">
        <f>(G52*($K52/$K51)-L52)*(1+Assumptions!$B$15)^$F53</f>
        <v>133705358.18880184</v>
      </c>
      <c r="H53" s="49">
        <f>$H$6/$G$6*G53*(1+Assumptions!$B$16)^INT((C53-1)/12)*IF(B53="Monthly",1,12)</f>
        <v>392718.52560123528</v>
      </c>
      <c r="I53" s="50">
        <f>Assumptions!$B$14</f>
        <v>0.15</v>
      </c>
      <c r="J53" s="50">
        <f t="shared" si="6"/>
        <v>0.15000000000000002</v>
      </c>
      <c r="K53" s="51">
        <f t="shared" si="7"/>
        <v>8.7354219101251629E-2</v>
      </c>
      <c r="L53" s="52">
        <f>H53*Assumptions!$B$7</f>
        <v>196359.26280061764</v>
      </c>
      <c r="M53" s="49">
        <f>L53*Assumptions!$B$11</f>
        <v>39271.852560123531</v>
      </c>
      <c r="N53" s="49">
        <f>H53*Assumptions!$B$11</f>
        <v>78543.705120247061</v>
      </c>
      <c r="O53" s="49">
        <f>N53*Assumptions!$B$12</f>
        <v>7854.3705120247068</v>
      </c>
      <c r="P53" s="49">
        <f>H53*Assumptions!$B$9</f>
        <v>31417.482048098824</v>
      </c>
      <c r="Q53" s="49">
        <f>H53*Assumptions!$B$8</f>
        <v>19635.926280061765</v>
      </c>
      <c r="R53" s="52">
        <f>(R54)/((1+Assumptions!$B$21)^$E54)+H54/IF(H$3="EOP",((1+Assumptions!$B$21)^$E54),1)</f>
        <v>3710675.9096600781</v>
      </c>
      <c r="S53" s="49">
        <f>(S54)/((1+Assumptions!$B$21)^$E54)+L54/IF(L$3="EOP",((1+Assumptions!$B$21)^$E54),1)</f>
        <v>1810085.8095902824</v>
      </c>
      <c r="T53" s="49">
        <f>(T54)/((1+Assumptions!$B$21)^$E54)+M54/IF(M$3="EOP",((1+Assumptions!$B$21)^$E54),1)</f>
        <v>362017.16191805643</v>
      </c>
      <c r="U53" s="49">
        <f>(U54)/((1+Assumptions!$B$21)^$E54)+N54/IF(N$3="EOP",((1+Assumptions!$B$21)^$E54),1)</f>
        <v>742135.18193201581</v>
      </c>
      <c r="V53" s="49">
        <f>(V54)/((1+Assumptions!$B$21)^$E54)+O54/IF(O$3="EOP",((1+Assumptions!$B$21)^$E54),1)</f>
        <v>74213.518193201569</v>
      </c>
      <c r="W53" s="49">
        <f>(W54)/((1+Assumptions!$B$21)^$E54)+P54/IF(P$3="EOP",((1+Assumptions!$B$21)^$E54),1)</f>
        <v>296854.07277280628</v>
      </c>
      <c r="X53" s="49">
        <f>(X54)/((1+Assumptions!$B$21)^$E54)+Q54/IF(Q$3="EOP",((1+Assumptions!$B$21)^$E54),1)</f>
        <v>181008.58095902822</v>
      </c>
      <c r="Y53" s="53">
        <f t="shared" si="2"/>
        <v>-1116822.9445172031</v>
      </c>
      <c r="Z53" s="52">
        <f>H54*Assumptions!$B$7*Assumptions!$B$25/$E54/12</f>
        <v>19119.300841013279</v>
      </c>
      <c r="AA53" s="49">
        <f>Z53*Assumptions!$B$11</f>
        <v>3823.860168202656</v>
      </c>
      <c r="AB53" s="54">
        <f t="shared" si="8"/>
        <v>15295.440672810622</v>
      </c>
      <c r="AC53" s="89">
        <f t="shared" si="9"/>
        <v>-1101527.5038443925</v>
      </c>
      <c r="AD53" s="89">
        <f>Assumptions!$B$23*R53</f>
        <v>556601.38644901174</v>
      </c>
      <c r="AE53" s="89">
        <f t="shared" si="11"/>
        <v>-544926.11739538074</v>
      </c>
    </row>
    <row r="54" spans="1:31" x14ac:dyDescent="0.25">
      <c r="A54" s="44">
        <f t="shared" si="10"/>
        <v>49</v>
      </c>
      <c r="B54" s="45" t="s">
        <v>29</v>
      </c>
      <c r="C54" s="48">
        <f t="shared" si="12"/>
        <v>192</v>
      </c>
      <c r="D54" s="47">
        <f t="shared" si="1"/>
        <v>16</v>
      </c>
      <c r="E54" s="47">
        <f t="shared" si="4"/>
        <v>1</v>
      </c>
      <c r="F54" s="48">
        <f t="shared" si="5"/>
        <v>1</v>
      </c>
      <c r="G54" s="49">
        <f>(G53*($K53/$K52)-L53)*(1+Assumptions!$B$15)^$F54</f>
        <v>115722259.10163456</v>
      </c>
      <c r="H54" s="49">
        <f>$H$6/$G$6*G54*(1+Assumptions!$B$16)^INT((C54-1)/12)*IF(B54="Monthly",1,12)</f>
        <v>367090.57614745497</v>
      </c>
      <c r="I54" s="50">
        <f>Assumptions!$B$14</f>
        <v>0.15</v>
      </c>
      <c r="J54" s="50">
        <f t="shared" si="6"/>
        <v>0.15000000000000002</v>
      </c>
      <c r="K54" s="51">
        <f t="shared" si="7"/>
        <v>7.4251086236063885E-2</v>
      </c>
      <c r="L54" s="52">
        <f>H54*Assumptions!$B$7</f>
        <v>183545.28807372748</v>
      </c>
      <c r="M54" s="49">
        <f>L54*Assumptions!$B$11</f>
        <v>36709.057614745499</v>
      </c>
      <c r="N54" s="49">
        <f>H54*Assumptions!$B$11</f>
        <v>73418.115229490999</v>
      </c>
      <c r="O54" s="49">
        <f>N54*Assumptions!$B$12</f>
        <v>7341.8115229491004</v>
      </c>
      <c r="P54" s="49">
        <f>H54*Assumptions!$B$9</f>
        <v>29367.246091796398</v>
      </c>
      <c r="Q54" s="49">
        <f>H54*Assumptions!$B$8</f>
        <v>18354.52880737275</v>
      </c>
      <c r="R54" s="52">
        <f>(R55)/((1+Assumptions!$B$21)^$E55)+H55/IF(H$3="EOP",((1+Assumptions!$B$21)^$E55),1)</f>
        <v>3427174.9668504386</v>
      </c>
      <c r="S54" s="49">
        <f>(S55)/((1+Assumptions!$B$21)^$E55)+L55/IF(L$3="EOP",((1+Assumptions!$B$21)^$E55),1)</f>
        <v>1671792.6667563119</v>
      </c>
      <c r="T54" s="49">
        <f>(T55)/((1+Assumptions!$B$21)^$E55)+M55/IF(M$3="EOP",((1+Assumptions!$B$21)^$E55),1)</f>
        <v>334358.53335126233</v>
      </c>
      <c r="U54" s="49">
        <f>(U55)/((1+Assumptions!$B$21)^$E55)+N55/IF(N$3="EOP",((1+Assumptions!$B$21)^$E55),1)</f>
        <v>685434.99337008782</v>
      </c>
      <c r="V54" s="49">
        <f>(V55)/((1+Assumptions!$B$21)^$E55)+O55/IF(O$3="EOP",((1+Assumptions!$B$21)^$E55),1)</f>
        <v>68543.499337008776</v>
      </c>
      <c r="W54" s="49">
        <f>(W55)/((1+Assumptions!$B$21)^$E55)+P55/IF(P$3="EOP",((1+Assumptions!$B$21)^$E55),1)</f>
        <v>274173.9973480351</v>
      </c>
      <c r="X54" s="49">
        <f>(X55)/((1+Assumptions!$B$21)^$E55)+Q55/IF(Q$3="EOP",((1+Assumptions!$B$21)^$E55),1)</f>
        <v>167179.26667563117</v>
      </c>
      <c r="Y54" s="53">
        <f t="shared" si="2"/>
        <v>-1031496.0753886438</v>
      </c>
      <c r="Z54" s="52">
        <f>H55*Assumptions!$B$7*Assumptions!$B$25/$E55/12</f>
        <v>17869.142705179594</v>
      </c>
      <c r="AA54" s="49">
        <f>Z54*Assumptions!$B$11</f>
        <v>3573.828541035919</v>
      </c>
      <c r="AB54" s="54">
        <f t="shared" si="8"/>
        <v>14295.314164143676</v>
      </c>
      <c r="AC54" s="89">
        <f t="shared" si="9"/>
        <v>-1017200.7612245001</v>
      </c>
      <c r="AD54" s="89">
        <f>Assumptions!$B$23*R54</f>
        <v>514076.24502756575</v>
      </c>
      <c r="AE54" s="89">
        <f t="shared" si="11"/>
        <v>-503124.51619693439</v>
      </c>
    </row>
    <row r="55" spans="1:31" x14ac:dyDescent="0.25">
      <c r="A55" s="44">
        <f t="shared" si="10"/>
        <v>50</v>
      </c>
      <c r="B55" s="45" t="s">
        <v>29</v>
      </c>
      <c r="C55" s="48">
        <f t="shared" si="12"/>
        <v>204</v>
      </c>
      <c r="D55" s="47">
        <f t="shared" si="1"/>
        <v>17</v>
      </c>
      <c r="E55" s="47">
        <f t="shared" si="4"/>
        <v>1</v>
      </c>
      <c r="F55" s="48">
        <f t="shared" si="5"/>
        <v>1</v>
      </c>
      <c r="G55" s="49">
        <f>(G54*($K54/$K53)-L54)*(1+Assumptions!$B$15)^$F55</f>
        <v>100143982.44728196</v>
      </c>
      <c r="H55" s="49">
        <f>$H$6/$G$6*G55*(1+Assumptions!$B$16)^INT((C55-1)/12)*IF(B55="Monthly",1,12)</f>
        <v>343087.53993944818</v>
      </c>
      <c r="I55" s="50">
        <f>Assumptions!$B$14</f>
        <v>0.15</v>
      </c>
      <c r="J55" s="50">
        <f t="shared" si="6"/>
        <v>0.15000000000000002</v>
      </c>
      <c r="K55" s="51">
        <f t="shared" si="7"/>
        <v>6.3113423300654295E-2</v>
      </c>
      <c r="L55" s="52">
        <f>H55*Assumptions!$B$7</f>
        <v>171543.76996972409</v>
      </c>
      <c r="M55" s="49">
        <f>L55*Assumptions!$B$11</f>
        <v>34308.753993944818</v>
      </c>
      <c r="N55" s="49">
        <f>H55*Assumptions!$B$11</f>
        <v>68617.507987889636</v>
      </c>
      <c r="O55" s="49">
        <f>N55*Assumptions!$B$12</f>
        <v>6861.7507987889639</v>
      </c>
      <c r="P55" s="49">
        <f>H55*Assumptions!$B$9</f>
        <v>27447.003195155856</v>
      </c>
      <c r="Q55" s="49">
        <f>H55*Assumptions!$B$8</f>
        <v>17154.376996972409</v>
      </c>
      <c r="R55" s="52">
        <f>(R56)/((1+Assumptions!$B$21)^$E56)+H56/IF(H$3="EOP",((1+Assumptions!$B$21)^$E56),1)</f>
        <v>3161189.6125837648</v>
      </c>
      <c r="S55" s="49">
        <f>(S56)/((1+Assumptions!$B$21)^$E56)+L56/IF(L$3="EOP",((1+Assumptions!$B$21)^$E56),1)</f>
        <v>1542043.7134554954</v>
      </c>
      <c r="T55" s="49">
        <f>(T56)/((1+Assumptions!$B$21)^$E56)+M56/IF(M$3="EOP",((1+Assumptions!$B$21)^$E56),1)</f>
        <v>308408.742691099</v>
      </c>
      <c r="U55" s="49">
        <f>(U56)/((1+Assumptions!$B$21)^$E56)+N56/IF(N$3="EOP",((1+Assumptions!$B$21)^$E56),1)</f>
        <v>632237.92251675297</v>
      </c>
      <c r="V55" s="49">
        <f>(V56)/((1+Assumptions!$B$21)^$E56)+O56/IF(O$3="EOP",((1+Assumptions!$B$21)^$E56),1)</f>
        <v>63223.792251675295</v>
      </c>
      <c r="W55" s="49">
        <f>(W56)/((1+Assumptions!$B$21)^$E56)+P56/IF(P$3="EOP",((1+Assumptions!$B$21)^$E56),1)</f>
        <v>252895.16900670118</v>
      </c>
      <c r="X55" s="49">
        <f>(X56)/((1+Assumptions!$B$21)^$E56)+Q56/IF(Q$3="EOP",((1+Assumptions!$B$21)^$E56),1)</f>
        <v>154204.3713455495</v>
      </c>
      <c r="Y55" s="53">
        <f t="shared" si="2"/>
        <v>-951440.97120204021</v>
      </c>
      <c r="Z55" s="52">
        <f>H56*Assumptions!$B$7*Assumptions!$B$25/$E56/12</f>
        <v>16698.231226599142</v>
      </c>
      <c r="AA55" s="49">
        <f>Z55*Assumptions!$B$11</f>
        <v>3339.6462453198287</v>
      </c>
      <c r="AB55" s="54">
        <f t="shared" si="8"/>
        <v>13358.584981279313</v>
      </c>
      <c r="AC55" s="89">
        <f t="shared" si="9"/>
        <v>-938082.38622076088</v>
      </c>
      <c r="AD55" s="89">
        <f>Assumptions!$B$23*R55</f>
        <v>474178.44188756472</v>
      </c>
      <c r="AE55" s="89">
        <f t="shared" si="11"/>
        <v>-463903.94433319615</v>
      </c>
    </row>
    <row r="56" spans="1:31" x14ac:dyDescent="0.25">
      <c r="A56" s="44">
        <f t="shared" si="10"/>
        <v>51</v>
      </c>
      <c r="B56" s="45" t="s">
        <v>29</v>
      </c>
      <c r="C56" s="48">
        <f t="shared" si="12"/>
        <v>216</v>
      </c>
      <c r="D56" s="47">
        <f t="shared" si="1"/>
        <v>18</v>
      </c>
      <c r="E56" s="47">
        <f t="shared" si="4"/>
        <v>1</v>
      </c>
      <c r="F56" s="48">
        <f t="shared" si="5"/>
        <v>1</v>
      </c>
      <c r="G56" s="49">
        <f>(G55*($K55/$K54)-L55)*(1+Assumptions!$B$15)^$F56</f>
        <v>86649858.136424333</v>
      </c>
      <c r="H56" s="49">
        <f>$H$6/$G$6*G56*(1+Assumptions!$B$16)^INT((C56-1)/12)*IF(B56="Monthly",1,12)</f>
        <v>320606.03955070354</v>
      </c>
      <c r="I56" s="50">
        <f>Assumptions!$B$14</f>
        <v>0.15</v>
      </c>
      <c r="J56" s="50">
        <f t="shared" si="6"/>
        <v>0.15000000000000002</v>
      </c>
      <c r="K56" s="51">
        <f t="shared" si="7"/>
        <v>5.3646409805556149E-2</v>
      </c>
      <c r="L56" s="52">
        <f>H56*Assumptions!$B$7</f>
        <v>160303.01977535177</v>
      </c>
      <c r="M56" s="49">
        <f>L56*Assumptions!$B$11</f>
        <v>32060.603955070357</v>
      </c>
      <c r="N56" s="49">
        <f>H56*Assumptions!$B$11</f>
        <v>64121.207910140714</v>
      </c>
      <c r="O56" s="49">
        <f>N56*Assumptions!$B$12</f>
        <v>6412.120791014072</v>
      </c>
      <c r="P56" s="49">
        <f>H56*Assumptions!$B$9</f>
        <v>25648.483164056284</v>
      </c>
      <c r="Q56" s="49">
        <f>H56*Assumptions!$B$8</f>
        <v>16030.301977535179</v>
      </c>
      <c r="R56" s="52">
        <f>(R57)/((1+Assumptions!$B$21)^$E57)+H57/IF(H$3="EOP",((1+Assumptions!$B$21)^$E57),1)</f>
        <v>2911598.1623588875</v>
      </c>
      <c r="S56" s="49">
        <f>(S57)/((1+Assumptions!$B$21)^$E57)+L57/IF(L$3="EOP",((1+Assumptions!$B$21)^$E57),1)</f>
        <v>1420291.7865165309</v>
      </c>
      <c r="T56" s="49">
        <f>(T57)/((1+Assumptions!$B$21)^$E57)+M57/IF(M$3="EOP",((1+Assumptions!$B$21)^$E57),1)</f>
        <v>284058.35730330611</v>
      </c>
      <c r="U56" s="49">
        <f>(U57)/((1+Assumptions!$B$21)^$E57)+N57/IF(N$3="EOP",((1+Assumptions!$B$21)^$E57),1)</f>
        <v>582319.6324717775</v>
      </c>
      <c r="V56" s="49">
        <f>(V57)/((1+Assumptions!$B$21)^$E57)+O57/IF(O$3="EOP",((1+Assumptions!$B$21)^$E57),1)</f>
        <v>58231.963247177751</v>
      </c>
      <c r="W56" s="49">
        <f>(W57)/((1+Assumptions!$B$21)^$E57)+P57/IF(P$3="EOP",((1+Assumptions!$B$21)^$E57),1)</f>
        <v>232927.85298871101</v>
      </c>
      <c r="X56" s="49">
        <f>(X57)/((1+Assumptions!$B$21)^$E57)+Q57/IF(Q$3="EOP",((1+Assumptions!$B$21)^$E57),1)</f>
        <v>142029.17865165306</v>
      </c>
      <c r="Y56" s="53">
        <f t="shared" si="2"/>
        <v>-876320.03228069865</v>
      </c>
      <c r="Z56" s="52">
        <f>H57*Assumptions!$B$7*Assumptions!$B$25/$E57/12</f>
        <v>15601.525297970848</v>
      </c>
      <c r="AA56" s="49">
        <f>Z56*Assumptions!$B$11</f>
        <v>3120.3050595941695</v>
      </c>
      <c r="AB56" s="54">
        <f t="shared" si="8"/>
        <v>12481.220238376678</v>
      </c>
      <c r="AC56" s="89">
        <f t="shared" si="9"/>
        <v>-863838.81204232201</v>
      </c>
      <c r="AD56" s="89">
        <f>Assumptions!$B$23*R56</f>
        <v>436739.72435383312</v>
      </c>
      <c r="AE56" s="89">
        <f t="shared" si="11"/>
        <v>-427099.08768848889</v>
      </c>
    </row>
    <row r="57" spans="1:31" x14ac:dyDescent="0.25">
      <c r="A57" s="44">
        <f t="shared" si="10"/>
        <v>52</v>
      </c>
      <c r="B57" s="45" t="s">
        <v>29</v>
      </c>
      <c r="C57" s="48">
        <f t="shared" si="12"/>
        <v>228</v>
      </c>
      <c r="D57" s="47">
        <f t="shared" si="1"/>
        <v>19</v>
      </c>
      <c r="E57" s="47">
        <f t="shared" si="4"/>
        <v>1</v>
      </c>
      <c r="F57" s="48">
        <f t="shared" si="5"/>
        <v>1</v>
      </c>
      <c r="G57" s="49">
        <f>(G56*($K56/$K55)-L56)*(1+Assumptions!$B$15)^$F57</f>
        <v>74961917.924109042</v>
      </c>
      <c r="H57" s="49">
        <f>$H$6/$G$6*G57*(1+Assumptions!$B$16)^INT((C57-1)/12)*IF(B57="Monthly",1,12)</f>
        <v>299549.28572104027</v>
      </c>
      <c r="I57" s="50">
        <f>Assumptions!$B$14</f>
        <v>0.15</v>
      </c>
      <c r="J57" s="50">
        <f t="shared" si="6"/>
        <v>0.15000000000000002</v>
      </c>
      <c r="K57" s="51">
        <f t="shared" si="7"/>
        <v>4.5599448334722723E-2</v>
      </c>
      <c r="L57" s="52">
        <f>H57*Assumptions!$B$7</f>
        <v>149774.64286052014</v>
      </c>
      <c r="M57" s="49">
        <f>L57*Assumptions!$B$11</f>
        <v>29954.928572104029</v>
      </c>
      <c r="N57" s="49">
        <f>H57*Assumptions!$B$11</f>
        <v>59909.857144208057</v>
      </c>
      <c r="O57" s="49">
        <f>N57*Assumptions!$B$12</f>
        <v>5990.9857144208063</v>
      </c>
      <c r="P57" s="49">
        <f>H57*Assumptions!$B$9</f>
        <v>23963.942857683222</v>
      </c>
      <c r="Q57" s="49">
        <f>H57*Assumptions!$B$8</f>
        <v>14977.464286052014</v>
      </c>
      <c r="R57" s="52">
        <f>(R58)/((1+Assumptions!$B$21)^$E58)+H58/IF(H$3="EOP",((1+Assumptions!$B$21)^$E58),1)</f>
        <v>2677350.098553793</v>
      </c>
      <c r="S57" s="49">
        <f>(S58)/((1+Assumptions!$B$21)^$E58)+L58/IF(L$3="EOP",((1+Assumptions!$B$21)^$E58),1)</f>
        <v>1306024.4383189238</v>
      </c>
      <c r="T57" s="49">
        <f>(T58)/((1+Assumptions!$B$21)^$E58)+M58/IF(M$3="EOP",((1+Assumptions!$B$21)^$E58),1)</f>
        <v>261204.88766378473</v>
      </c>
      <c r="U57" s="49">
        <f>(U58)/((1+Assumptions!$B$21)^$E58)+N58/IF(N$3="EOP",((1+Assumptions!$B$21)^$E58),1)</f>
        <v>535470.01971075858</v>
      </c>
      <c r="V57" s="49">
        <f>(V58)/((1+Assumptions!$B$21)^$E58)+O58/IF(O$3="EOP",((1+Assumptions!$B$21)^$E58),1)</f>
        <v>53547.001971075864</v>
      </c>
      <c r="W57" s="49">
        <f>(W58)/((1+Assumptions!$B$21)^$E58)+P58/IF(P$3="EOP",((1+Assumptions!$B$21)^$E58),1)</f>
        <v>214188.00788430346</v>
      </c>
      <c r="X57" s="49">
        <f>(X58)/((1+Assumptions!$B$21)^$E58)+Q58/IF(Q$3="EOP",((1+Assumptions!$B$21)^$E58),1)</f>
        <v>130602.44383189236</v>
      </c>
      <c r="Y57" s="53">
        <f t="shared" si="2"/>
        <v>-805817.07844277518</v>
      </c>
      <c r="Z57" s="52">
        <f>H58*Assumptions!$B$7*Assumptions!$B$25/$E58/12</f>
        <v>14574.305153189294</v>
      </c>
      <c r="AA57" s="49">
        <f>Z57*Assumptions!$B$11</f>
        <v>2914.8610306378591</v>
      </c>
      <c r="AB57" s="54">
        <f t="shared" si="8"/>
        <v>11659.444122551435</v>
      </c>
      <c r="AC57" s="89">
        <f t="shared" si="9"/>
        <v>-794157.6343202237</v>
      </c>
      <c r="AD57" s="89">
        <f>Assumptions!$B$23*R57</f>
        <v>401602.51478306897</v>
      </c>
      <c r="AE57" s="89">
        <f t="shared" si="11"/>
        <v>-392555.11953715474</v>
      </c>
    </row>
    <row r="58" spans="1:31" x14ac:dyDescent="0.25">
      <c r="A58" s="44">
        <f t="shared" si="10"/>
        <v>53</v>
      </c>
      <c r="B58" s="45" t="s">
        <v>29</v>
      </c>
      <c r="C58" s="48">
        <f t="shared" si="12"/>
        <v>240</v>
      </c>
      <c r="D58" s="47">
        <f t="shared" si="1"/>
        <v>20</v>
      </c>
      <c r="E58" s="47">
        <f t="shared" si="4"/>
        <v>1</v>
      </c>
      <c r="F58" s="48">
        <f t="shared" si="5"/>
        <v>1</v>
      </c>
      <c r="G58" s="49">
        <f>(G57*($K57/$K56)-L57)*(1+Assumptions!$B$15)^$F58</f>
        <v>64839212.704484813</v>
      </c>
      <c r="H58" s="49">
        <f>$H$6/$G$6*G58*(1+Assumptions!$B$16)^INT((C58-1)/12)*IF(B58="Monthly",1,12)</f>
        <v>279826.65894123446</v>
      </c>
      <c r="I58" s="50">
        <f>Assumptions!$B$14</f>
        <v>0.15</v>
      </c>
      <c r="J58" s="50">
        <f t="shared" si="6"/>
        <v>0.15000000000000002</v>
      </c>
      <c r="K58" s="51">
        <f t="shared" si="7"/>
        <v>3.8759531084514312E-2</v>
      </c>
      <c r="L58" s="52">
        <f>H58*Assumptions!$B$7</f>
        <v>139913.32947061723</v>
      </c>
      <c r="M58" s="49">
        <f>L58*Assumptions!$B$11</f>
        <v>27982.665894123449</v>
      </c>
      <c r="N58" s="49">
        <f>H58*Assumptions!$B$11</f>
        <v>55965.331788246898</v>
      </c>
      <c r="O58" s="49">
        <f>N58*Assumptions!$B$12</f>
        <v>5596.5331788246904</v>
      </c>
      <c r="P58" s="49">
        <f>H58*Assumptions!$B$9</f>
        <v>22386.132715298758</v>
      </c>
      <c r="Q58" s="49">
        <f>H58*Assumptions!$B$8</f>
        <v>13991.332947061725</v>
      </c>
      <c r="R58" s="52">
        <f>(R59)/((1+Assumptions!$B$21)^$E59)+H59/IF(H$3="EOP",((1+Assumptions!$B$21)^$E59),1)</f>
        <v>2457461.5256028725</v>
      </c>
      <c r="S58" s="49">
        <f>(S59)/((1+Assumptions!$B$21)^$E59)+L59/IF(L$3="EOP",((1+Assumptions!$B$21)^$E59),1)</f>
        <v>1198761.7198062795</v>
      </c>
      <c r="T58" s="49">
        <f>(T59)/((1+Assumptions!$B$21)^$E59)+M59/IF(M$3="EOP",((1+Assumptions!$B$21)^$E59),1)</f>
        <v>239752.34396125589</v>
      </c>
      <c r="U58" s="49">
        <f>(U59)/((1+Assumptions!$B$21)^$E59)+N59/IF(N$3="EOP",((1+Assumptions!$B$21)^$E59),1)</f>
        <v>491492.30512057449</v>
      </c>
      <c r="V58" s="49">
        <f>(V59)/((1+Assumptions!$B$21)^$E59)+O59/IF(O$3="EOP",((1+Assumptions!$B$21)^$E59),1)</f>
        <v>49149.230512057446</v>
      </c>
      <c r="W58" s="49">
        <f>(W59)/((1+Assumptions!$B$21)^$E59)+P59/IF(P$3="EOP",((1+Assumptions!$B$21)^$E59),1)</f>
        <v>196596.92204822978</v>
      </c>
      <c r="X58" s="49">
        <f>(X59)/((1+Assumptions!$B$21)^$E59)+Q59/IF(Q$3="EOP",((1+Assumptions!$B$21)^$E59),1)</f>
        <v>119876.17198062794</v>
      </c>
      <c r="Y58" s="53">
        <f t="shared" si="2"/>
        <v>-739635.98112047405</v>
      </c>
      <c r="Z58" s="52">
        <f>H59*Assumptions!$B$7*Assumptions!$B$25/$E59/12</f>
        <v>13612.151965262923</v>
      </c>
      <c r="AA58" s="49">
        <f>Z58*Assumptions!$B$11</f>
        <v>2722.4303930525848</v>
      </c>
      <c r="AB58" s="54">
        <f t="shared" si="8"/>
        <v>10889.721572210339</v>
      </c>
      <c r="AC58" s="89">
        <f t="shared" si="9"/>
        <v>-728746.25954826374</v>
      </c>
      <c r="AD58" s="89">
        <f>Assumptions!$B$23*R58</f>
        <v>368619.22884043085</v>
      </c>
      <c r="AE58" s="89">
        <f t="shared" si="11"/>
        <v>-360127.03070783289</v>
      </c>
    </row>
    <row r="59" spans="1:31" x14ac:dyDescent="0.25">
      <c r="A59" s="44">
        <f t="shared" si="10"/>
        <v>54</v>
      </c>
      <c r="B59" s="45" t="s">
        <v>29</v>
      </c>
      <c r="C59" s="48">
        <f t="shared" si="12"/>
        <v>252</v>
      </c>
      <c r="D59" s="47">
        <f t="shared" si="1"/>
        <v>21</v>
      </c>
      <c r="E59" s="47">
        <f t="shared" si="4"/>
        <v>1</v>
      </c>
      <c r="F59" s="48">
        <f t="shared" si="5"/>
        <v>1</v>
      </c>
      <c r="G59" s="49">
        <f>(G58*($K58/$K57)-L58)*(1+Assumptions!$B$15)^$F59</f>
        <v>56072885.818728305</v>
      </c>
      <c r="H59" s="49">
        <f>$H$6/$G$6*G59*(1+Assumptions!$B$16)^INT((C59-1)/12)*IF(B59="Monthly",1,12)</f>
        <v>261353.31773304814</v>
      </c>
      <c r="I59" s="50">
        <f>Assumptions!$B$14</f>
        <v>0.15</v>
      </c>
      <c r="J59" s="50">
        <f t="shared" si="6"/>
        <v>0.15000000000000002</v>
      </c>
      <c r="K59" s="51">
        <f t="shared" si="7"/>
        <v>3.2945601421837167E-2</v>
      </c>
      <c r="L59" s="52">
        <f>H59*Assumptions!$B$7</f>
        <v>130676.65886652407</v>
      </c>
      <c r="M59" s="49">
        <f>L59*Assumptions!$B$11</f>
        <v>26135.331773304817</v>
      </c>
      <c r="N59" s="49">
        <f>H59*Assumptions!$B$11</f>
        <v>52270.663546609634</v>
      </c>
      <c r="O59" s="49">
        <f>N59*Assumptions!$B$12</f>
        <v>5227.066354660964</v>
      </c>
      <c r="P59" s="49">
        <f>H59*Assumptions!$B$9</f>
        <v>20908.265418643852</v>
      </c>
      <c r="Q59" s="49">
        <f>H59*Assumptions!$B$8</f>
        <v>13067.665886652409</v>
      </c>
      <c r="R59" s="52">
        <f>(R60)/((1+Assumptions!$B$21)^$E60)+H60/IF(H$3="EOP",((1+Assumptions!$B$21)^$E60),1)</f>
        <v>2251010.9130665697</v>
      </c>
      <c r="S59" s="49">
        <f>(S60)/((1+Assumptions!$B$21)^$E60)+L60/IF(L$3="EOP",((1+Assumptions!$B$21)^$E60),1)</f>
        <v>1098054.1039349122</v>
      </c>
      <c r="T59" s="49">
        <f>(T60)/((1+Assumptions!$B$21)^$E60)+M60/IF(M$3="EOP",((1+Assumptions!$B$21)^$E60),1)</f>
        <v>219610.82078698243</v>
      </c>
      <c r="U59" s="49">
        <f>(U60)/((1+Assumptions!$B$21)^$E60)+N60/IF(N$3="EOP",((1+Assumptions!$B$21)^$E60),1)</f>
        <v>450202.18261331395</v>
      </c>
      <c r="V59" s="49">
        <f>(V60)/((1+Assumptions!$B$21)^$E60)+O60/IF(O$3="EOP",((1+Assumptions!$B$21)^$E60),1)</f>
        <v>45020.218261331393</v>
      </c>
      <c r="W59" s="49">
        <f>(W60)/((1+Assumptions!$B$21)^$E60)+P60/IF(P$3="EOP",((1+Assumptions!$B$21)^$E60),1)</f>
        <v>180080.87304532557</v>
      </c>
      <c r="X59" s="49">
        <f>(X60)/((1+Assumptions!$B$21)^$E60)+Q60/IF(Q$3="EOP",((1+Assumptions!$B$21)^$E60),1)</f>
        <v>109805.41039349121</v>
      </c>
      <c r="Y59" s="53">
        <f t="shared" si="2"/>
        <v>-677499.38212784077</v>
      </c>
      <c r="Z59" s="52">
        <f>H60*Assumptions!$B$7*Assumptions!$B$25/$E60/12</f>
        <v>12710.928746347927</v>
      </c>
      <c r="AA59" s="49">
        <f>Z59*Assumptions!$B$11</f>
        <v>2542.1857492695854</v>
      </c>
      <c r="AB59" s="54">
        <f t="shared" si="8"/>
        <v>10168.742997078341</v>
      </c>
      <c r="AC59" s="89">
        <f t="shared" si="9"/>
        <v>-667330.63913076243</v>
      </c>
      <c r="AD59" s="89">
        <f>Assumptions!$B$23*R59</f>
        <v>337651.63695998542</v>
      </c>
      <c r="AE59" s="89">
        <f t="shared" si="11"/>
        <v>-329679.00217077701</v>
      </c>
    </row>
    <row r="60" spans="1:31" x14ac:dyDescent="0.25">
      <c r="A60" s="44">
        <f t="shared" si="10"/>
        <v>55</v>
      </c>
      <c r="B60" s="45" t="s">
        <v>29</v>
      </c>
      <c r="C60" s="48">
        <f t="shared" si="12"/>
        <v>264</v>
      </c>
      <c r="D60" s="47">
        <f t="shared" si="1"/>
        <v>22</v>
      </c>
      <c r="E60" s="47">
        <f t="shared" si="4"/>
        <v>1</v>
      </c>
      <c r="F60" s="48">
        <f t="shared" si="5"/>
        <v>1</v>
      </c>
      <c r="G60" s="49">
        <f>(G59*($K59/$K58)-L59)*(1+Assumptions!$B$15)^$F60</f>
        <v>48481901.81279359</v>
      </c>
      <c r="H60" s="49">
        <f>$H$6/$G$6*G60*(1+Assumptions!$B$16)^INT((C60-1)/12)*IF(B60="Monthly",1,12)</f>
        <v>244049.83192988019</v>
      </c>
      <c r="I60" s="50">
        <f>Assumptions!$B$14</f>
        <v>0.15</v>
      </c>
      <c r="J60" s="50">
        <f t="shared" si="6"/>
        <v>0.15000000000000002</v>
      </c>
      <c r="K60" s="51">
        <f t="shared" si="7"/>
        <v>2.800376120856159E-2</v>
      </c>
      <c r="L60" s="52">
        <f>H60*Assumptions!$B$7</f>
        <v>122024.9159649401</v>
      </c>
      <c r="M60" s="49">
        <f>L60*Assumptions!$B$11</f>
        <v>24404.98319298802</v>
      </c>
      <c r="N60" s="49">
        <f>H60*Assumptions!$B$11</f>
        <v>48809.96638597604</v>
      </c>
      <c r="O60" s="49">
        <f>N60*Assumptions!$B$12</f>
        <v>4880.996638597604</v>
      </c>
      <c r="P60" s="49">
        <f>H60*Assumptions!$B$9</f>
        <v>19523.986554390416</v>
      </c>
      <c r="Q60" s="49">
        <f>H60*Assumptions!$B$8</f>
        <v>12202.49159649401</v>
      </c>
      <c r="R60" s="52">
        <f>(R61)/((1+Assumptions!$B$21)^$E61)+H61/IF(H$3="EOP",((1+Assumptions!$B$21)^$E61),1)</f>
        <v>2057135.1081651065</v>
      </c>
      <c r="S60" s="49">
        <f>(S61)/((1+Assumptions!$B$21)^$E61)+L61/IF(L$3="EOP",((1+Assumptions!$B$21)^$E61),1)</f>
        <v>1003480.5405683448</v>
      </c>
      <c r="T60" s="49">
        <f>(T61)/((1+Assumptions!$B$21)^$E61)+M61/IF(M$3="EOP",((1+Assumptions!$B$21)^$E61),1)</f>
        <v>200696.10811366895</v>
      </c>
      <c r="U60" s="49">
        <f>(U61)/((1+Assumptions!$B$21)^$E61)+N61/IF(N$3="EOP",((1+Assumptions!$B$21)^$E61),1)</f>
        <v>411427.0216330213</v>
      </c>
      <c r="V60" s="49">
        <f>(V61)/((1+Assumptions!$B$21)^$E61)+O61/IF(O$3="EOP",((1+Assumptions!$B$21)^$E61),1)</f>
        <v>41142.702163302129</v>
      </c>
      <c r="W60" s="49">
        <f>(W61)/((1+Assumptions!$B$21)^$E61)+P61/IF(P$3="EOP",((1+Assumptions!$B$21)^$E61),1)</f>
        <v>164570.80865320851</v>
      </c>
      <c r="X60" s="49">
        <f>(X61)/((1+Assumptions!$B$21)^$E61)+Q61/IF(Q$3="EOP",((1+Assumptions!$B$21)^$E61),1)</f>
        <v>100348.05405683447</v>
      </c>
      <c r="Y60" s="53">
        <f t="shared" si="2"/>
        <v>-619147.49353066843</v>
      </c>
      <c r="Z60" s="52">
        <f>H61*Assumptions!$B$7*Assumptions!$B$25/$E61/12</f>
        <v>11866.762467246726</v>
      </c>
      <c r="AA60" s="49">
        <f>Z60*Assumptions!$B$11</f>
        <v>2373.3524934493453</v>
      </c>
      <c r="AB60" s="54">
        <f t="shared" si="8"/>
        <v>9493.4099737973811</v>
      </c>
      <c r="AC60" s="89">
        <f t="shared" si="9"/>
        <v>-609654.08355687105</v>
      </c>
      <c r="AD60" s="89">
        <f>Assumptions!$B$23*R60</f>
        <v>308570.26622476598</v>
      </c>
      <c r="AE60" s="89">
        <f t="shared" si="11"/>
        <v>-301083.81733210507</v>
      </c>
    </row>
    <row r="61" spans="1:31" x14ac:dyDescent="0.25">
      <c r="A61" s="44">
        <f t="shared" si="10"/>
        <v>56</v>
      </c>
      <c r="B61" s="45" t="s">
        <v>29</v>
      </c>
      <c r="C61" s="48">
        <f t="shared" si="12"/>
        <v>276</v>
      </c>
      <c r="D61" s="47">
        <f t="shared" si="1"/>
        <v>23</v>
      </c>
      <c r="E61" s="47">
        <f t="shared" si="4"/>
        <v>1</v>
      </c>
      <c r="F61" s="48">
        <f t="shared" si="5"/>
        <v>1</v>
      </c>
      <c r="G61" s="49">
        <f>(G60*($K60/$K59)-L60)*(1+Assumptions!$B$15)^$F61</f>
        <v>41909343.457407802</v>
      </c>
      <c r="H61" s="49">
        <f>$H$6/$G$6*G61*(1+Assumptions!$B$16)^INT((C61-1)/12)*IF(B61="Monthly",1,12)</f>
        <v>227841.83937113715</v>
      </c>
      <c r="I61" s="50">
        <f>Assumptions!$B$14</f>
        <v>0.15</v>
      </c>
      <c r="J61" s="50">
        <f t="shared" si="6"/>
        <v>0.15000000000000002</v>
      </c>
      <c r="K61" s="51">
        <f t="shared" si="7"/>
        <v>2.3803197027277352E-2</v>
      </c>
      <c r="L61" s="52">
        <f>H61*Assumptions!$B$7</f>
        <v>113920.91968556857</v>
      </c>
      <c r="M61" s="49">
        <f>L61*Assumptions!$B$11</f>
        <v>22784.183937113718</v>
      </c>
      <c r="N61" s="49">
        <f>H61*Assumptions!$B$11</f>
        <v>45568.367874227435</v>
      </c>
      <c r="O61" s="49">
        <f>N61*Assumptions!$B$12</f>
        <v>4556.8367874227433</v>
      </c>
      <c r="P61" s="49">
        <f>H61*Assumptions!$B$9</f>
        <v>18227.347149690973</v>
      </c>
      <c r="Q61" s="49">
        <f>H61*Assumptions!$B$8</f>
        <v>11392.091968556859</v>
      </c>
      <c r="R61" s="52">
        <f>(R62)/((1+Assumptions!$B$21)^$E62)+H62/IF(H$3="EOP",((1+Assumptions!$B$21)^$E62),1)</f>
        <v>1875025.6005138184</v>
      </c>
      <c r="S61" s="49">
        <f>(S62)/((1+Assumptions!$B$21)^$E62)+L62/IF(L$3="EOP",((1+Assumptions!$B$21)^$E62),1)</f>
        <v>914646.63439698482</v>
      </c>
      <c r="T61" s="49">
        <f>(T62)/((1+Assumptions!$B$21)^$E62)+M62/IF(M$3="EOP",((1+Assumptions!$B$21)^$E62),1)</f>
        <v>182929.32687939695</v>
      </c>
      <c r="U61" s="49">
        <f>(U62)/((1+Assumptions!$B$21)^$E62)+N62/IF(N$3="EOP",((1+Assumptions!$B$21)^$E62),1)</f>
        <v>375005.12010276364</v>
      </c>
      <c r="V61" s="49">
        <f>(V62)/((1+Assumptions!$B$21)^$E62)+O62/IF(O$3="EOP",((1+Assumptions!$B$21)^$E62),1)</f>
        <v>37500.512010276369</v>
      </c>
      <c r="W61" s="49">
        <f>(W62)/((1+Assumptions!$B$21)^$E62)+P62/IF(P$3="EOP",((1+Assumptions!$B$21)^$E62),1)</f>
        <v>150002.04804110547</v>
      </c>
      <c r="X61" s="49">
        <f>(X62)/((1+Assumptions!$B$21)^$E62)+Q62/IF(Q$3="EOP",((1+Assumptions!$B$21)^$E62),1)</f>
        <v>91464.663439698474</v>
      </c>
      <c r="Y61" s="53">
        <f t="shared" si="2"/>
        <v>-564336.97342293919</v>
      </c>
      <c r="Z61" s="52">
        <f>H62*Assumptions!$B$7*Assumptions!$B$25/$E62/12</f>
        <v>11076.027318978313</v>
      </c>
      <c r="AA61" s="49">
        <f>Z61*Assumptions!$B$11</f>
        <v>2215.2054637956626</v>
      </c>
      <c r="AB61" s="54">
        <f t="shared" si="8"/>
        <v>8860.8218551826503</v>
      </c>
      <c r="AC61" s="89">
        <f t="shared" si="9"/>
        <v>-555476.15156775655</v>
      </c>
      <c r="AD61" s="89">
        <f>Assumptions!$B$23*R61</f>
        <v>281253.84007707273</v>
      </c>
      <c r="AE61" s="89">
        <f t="shared" si="11"/>
        <v>-274222.31149068382</v>
      </c>
    </row>
    <row r="62" spans="1:31" x14ac:dyDescent="0.25">
      <c r="A62" s="44">
        <f t="shared" si="10"/>
        <v>57</v>
      </c>
      <c r="B62" s="45" t="s">
        <v>29</v>
      </c>
      <c r="C62" s="48">
        <f t="shared" si="12"/>
        <v>288</v>
      </c>
      <c r="D62" s="47">
        <f t="shared" si="1"/>
        <v>24</v>
      </c>
      <c r="E62" s="47">
        <f t="shared" si="4"/>
        <v>1</v>
      </c>
      <c r="F62" s="48">
        <f t="shared" si="5"/>
        <v>1</v>
      </c>
      <c r="G62" s="49">
        <f>(G61*($K61/$K60)-L61)*(1+Assumptions!$B$15)^$F62</f>
        <v>36219201.439493291</v>
      </c>
      <c r="H62" s="49">
        <f>$H$6/$G$6*G62*(1+Assumptions!$B$16)^INT((C62-1)/12)*IF(B62="Monthly",1,12)</f>
        <v>212659.72452438361</v>
      </c>
      <c r="I62" s="50">
        <f>Assumptions!$B$14</f>
        <v>0.15</v>
      </c>
      <c r="J62" s="50">
        <f t="shared" si="6"/>
        <v>0.15000000000000002</v>
      </c>
      <c r="K62" s="51">
        <f t="shared" si="7"/>
        <v>2.0232717473185748E-2</v>
      </c>
      <c r="L62" s="52">
        <f>H62*Assumptions!$B$7</f>
        <v>106329.8622621918</v>
      </c>
      <c r="M62" s="49">
        <f>L62*Assumptions!$B$11</f>
        <v>21265.972452438364</v>
      </c>
      <c r="N62" s="49">
        <f>H62*Assumptions!$B$11</f>
        <v>42531.944904876727</v>
      </c>
      <c r="O62" s="49">
        <f>N62*Assumptions!$B$12</f>
        <v>4253.1944904876727</v>
      </c>
      <c r="P62" s="49">
        <f>H62*Assumptions!$B$9</f>
        <v>17012.777961950687</v>
      </c>
      <c r="Q62" s="49">
        <f>H62*Assumptions!$B$8</f>
        <v>10632.986226219182</v>
      </c>
      <c r="R62" s="52">
        <f>(R63)/((1+Assumptions!$B$21)^$E63)+H63/IF(H$3="EOP",((1+Assumptions!$B$21)^$E63),1)</f>
        <v>1703925.0228891706</v>
      </c>
      <c r="S62" s="49">
        <f>(S63)/((1+Assumptions!$B$21)^$E63)+L63/IF(L$3="EOP",((1+Assumptions!$B$21)^$E63),1)</f>
        <v>831182.9379947175</v>
      </c>
      <c r="T62" s="49">
        <f>(T63)/((1+Assumptions!$B$21)^$E63)+M63/IF(M$3="EOP",((1+Assumptions!$B$21)^$E63),1)</f>
        <v>166236.5875989435</v>
      </c>
      <c r="U62" s="49">
        <f>(U63)/((1+Assumptions!$B$21)^$E63)+N63/IF(N$3="EOP",((1+Assumptions!$B$21)^$E63),1)</f>
        <v>340785.0045778341</v>
      </c>
      <c r="V62" s="49">
        <f>(V63)/((1+Assumptions!$B$21)^$E63)+O63/IF(O$3="EOP",((1+Assumptions!$B$21)^$E63),1)</f>
        <v>34078.500457783412</v>
      </c>
      <c r="W62" s="49">
        <f>(W63)/((1+Assumptions!$B$21)^$E63)+P63/IF(P$3="EOP",((1+Assumptions!$B$21)^$E63),1)</f>
        <v>136314.00183113365</v>
      </c>
      <c r="X62" s="49">
        <f>(X63)/((1+Assumptions!$B$21)^$E63)+Q63/IF(Q$3="EOP",((1+Assumptions!$B$21)^$E63),1)</f>
        <v>83118.29379947175</v>
      </c>
      <c r="Y62" s="53">
        <f t="shared" si="2"/>
        <v>-512839.8727427405</v>
      </c>
      <c r="Z62" s="52">
        <f>H63*Assumptions!$B$7*Assumptions!$B$25/$E63/12</f>
        <v>10335.329043947606</v>
      </c>
      <c r="AA62" s="49">
        <f>Z62*Assumptions!$B$11</f>
        <v>2067.0658087895213</v>
      </c>
      <c r="AB62" s="54">
        <f t="shared" si="8"/>
        <v>8268.2632351580851</v>
      </c>
      <c r="AC62" s="89">
        <f t="shared" si="9"/>
        <v>-504571.60950758238</v>
      </c>
      <c r="AD62" s="89">
        <f>Assumptions!$B$23*R62</f>
        <v>255588.75343337556</v>
      </c>
      <c r="AE62" s="89">
        <f t="shared" si="11"/>
        <v>-248982.85607420682</v>
      </c>
    </row>
    <row r="63" spans="1:31" x14ac:dyDescent="0.25">
      <c r="A63" s="44">
        <f t="shared" si="10"/>
        <v>58</v>
      </c>
      <c r="B63" s="45" t="s">
        <v>29</v>
      </c>
      <c r="C63" s="48">
        <f t="shared" si="12"/>
        <v>300</v>
      </c>
      <c r="D63" s="47">
        <f t="shared" si="1"/>
        <v>25</v>
      </c>
      <c r="E63" s="47">
        <f t="shared" si="4"/>
        <v>1</v>
      </c>
      <c r="F63" s="48">
        <f t="shared" si="5"/>
        <v>1</v>
      </c>
      <c r="G63" s="49">
        <f>(G62*($K62/$K61)-L62)*(1+Assumptions!$B$15)^$F63</f>
        <v>31293591.188533247</v>
      </c>
      <c r="H63" s="49">
        <f>$H$6/$G$6*G63*(1+Assumptions!$B$16)^INT((C63-1)/12)*IF(B63="Monthly",1,12)</f>
        <v>198438.31764379406</v>
      </c>
      <c r="I63" s="50">
        <f>Assumptions!$B$14</f>
        <v>0.15</v>
      </c>
      <c r="J63" s="50">
        <f t="shared" si="6"/>
        <v>0.15000000000000002</v>
      </c>
      <c r="K63" s="51">
        <f t="shared" si="7"/>
        <v>1.7197809852207886E-2</v>
      </c>
      <c r="L63" s="52">
        <f>H63*Assumptions!$B$7</f>
        <v>99219.158821897028</v>
      </c>
      <c r="M63" s="49">
        <f>L63*Assumptions!$B$11</f>
        <v>19843.831764379407</v>
      </c>
      <c r="N63" s="49">
        <f>H63*Assumptions!$B$11</f>
        <v>39687.663528758814</v>
      </c>
      <c r="O63" s="49">
        <f>N63*Assumptions!$B$12</f>
        <v>3968.7663528758817</v>
      </c>
      <c r="P63" s="49">
        <f>H63*Assumptions!$B$9</f>
        <v>15875.065411503525</v>
      </c>
      <c r="Q63" s="49">
        <f>H63*Assumptions!$B$8</f>
        <v>9921.9158821897036</v>
      </c>
      <c r="R63" s="52">
        <f>(R64)/((1+Assumptions!$B$21)^$E64)+H64/IF(H$3="EOP",((1+Assumptions!$B$21)^$E64),1)</f>
        <v>1543123.872876511</v>
      </c>
      <c r="S63" s="49">
        <f>(S64)/((1+Assumptions!$B$21)^$E64)+L64/IF(L$3="EOP",((1+Assumptions!$B$21)^$E64),1)</f>
        <v>752743.3526226884</v>
      </c>
      <c r="T63" s="49">
        <f>(T64)/((1+Assumptions!$B$21)^$E64)+M64/IF(M$3="EOP",((1+Assumptions!$B$21)^$E64),1)</f>
        <v>150548.67052453768</v>
      </c>
      <c r="U63" s="49">
        <f>(U64)/((1+Assumptions!$B$21)^$E64)+N64/IF(N$3="EOP",((1+Assumptions!$B$21)^$E64),1)</f>
        <v>308624.77457530214</v>
      </c>
      <c r="V63" s="49">
        <f>(V64)/((1+Assumptions!$B$21)^$E64)+O64/IF(O$3="EOP",((1+Assumptions!$B$21)^$E64),1)</f>
        <v>30862.477457530218</v>
      </c>
      <c r="W63" s="49">
        <f>(W64)/((1+Assumptions!$B$21)^$E64)+P64/IF(P$3="EOP",((1+Assumptions!$B$21)^$E64),1)</f>
        <v>123449.90983012086</v>
      </c>
      <c r="X63" s="49">
        <f>(X64)/((1+Assumptions!$B$21)^$E64)+Q64/IF(Q$3="EOP",((1+Assumptions!$B$21)^$E64),1)</f>
        <v>75274.33526226884</v>
      </c>
      <c r="Y63" s="53">
        <f t="shared" si="2"/>
        <v>-464442.64856819861</v>
      </c>
      <c r="Z63" s="52">
        <f>H64*Assumptions!$B$7*Assumptions!$B$25/$E64/12</f>
        <v>9641.4902688436378</v>
      </c>
      <c r="AA63" s="49">
        <f>Z63*Assumptions!$B$11</f>
        <v>1928.2980537687276</v>
      </c>
      <c r="AB63" s="54">
        <f t="shared" si="8"/>
        <v>7713.1922150749106</v>
      </c>
      <c r="AC63" s="89">
        <f t="shared" si="9"/>
        <v>-456729.45635312371</v>
      </c>
      <c r="AD63" s="89">
        <f>Assumptions!$B$23*R63</f>
        <v>231468.58093147664</v>
      </c>
      <c r="AE63" s="89">
        <f t="shared" si="11"/>
        <v>-225260.87542164707</v>
      </c>
    </row>
    <row r="64" spans="1:31" x14ac:dyDescent="0.25">
      <c r="A64" s="44">
        <f t="shared" si="10"/>
        <v>59</v>
      </c>
      <c r="B64" s="45" t="s">
        <v>29</v>
      </c>
      <c r="C64" s="48">
        <f t="shared" si="12"/>
        <v>312</v>
      </c>
      <c r="D64" s="47">
        <f t="shared" si="1"/>
        <v>26</v>
      </c>
      <c r="E64" s="47">
        <f t="shared" si="4"/>
        <v>1</v>
      </c>
      <c r="F64" s="48">
        <f t="shared" si="5"/>
        <v>1</v>
      </c>
      <c r="G64" s="49">
        <f>(G63*($K63/$K62)-L63)*(1+Assumptions!$B$15)^$F64</f>
        <v>27030340.018459991</v>
      </c>
      <c r="H64" s="49">
        <f>$H$6/$G$6*G64*(1+Assumptions!$B$16)^INT((C64-1)/12)*IF(B64="Monthly",1,12)</f>
        <v>185116.61316179784</v>
      </c>
      <c r="I64" s="50">
        <f>Assumptions!$B$14</f>
        <v>0.15</v>
      </c>
      <c r="J64" s="50">
        <f t="shared" si="6"/>
        <v>0.15000000000000002</v>
      </c>
      <c r="K64" s="51">
        <f t="shared" si="7"/>
        <v>1.4618138374376703E-2</v>
      </c>
      <c r="L64" s="52">
        <f>H64*Assumptions!$B$7</f>
        <v>92558.306580898919</v>
      </c>
      <c r="M64" s="49">
        <f>L64*Assumptions!$B$11</f>
        <v>18511.661316179783</v>
      </c>
      <c r="N64" s="49">
        <f>H64*Assumptions!$B$11</f>
        <v>37023.322632359566</v>
      </c>
      <c r="O64" s="49">
        <f>N64*Assumptions!$B$12</f>
        <v>3702.3322632359568</v>
      </c>
      <c r="P64" s="49">
        <f>H64*Assumptions!$B$9</f>
        <v>14809.329052943827</v>
      </c>
      <c r="Q64" s="49">
        <f>H64*Assumptions!$B$8</f>
        <v>9255.8306580898916</v>
      </c>
      <c r="R64" s="52">
        <f>(R65)/((1+Assumptions!$B$21)^$E65)+H65/IF(H$3="EOP",((1+Assumptions!$B$21)^$E65),1)</f>
        <v>1391957.4412075807</v>
      </c>
      <c r="S64" s="49">
        <f>(S65)/((1+Assumptions!$B$21)^$E65)+L65/IF(L$3="EOP",((1+Assumptions!$B$21)^$E65),1)</f>
        <v>679003.62985735666</v>
      </c>
      <c r="T64" s="49">
        <f>(T65)/((1+Assumptions!$B$21)^$E65)+M65/IF(M$3="EOP",((1+Assumptions!$B$21)^$E65),1)</f>
        <v>135800.72597147131</v>
      </c>
      <c r="U64" s="49">
        <f>(U65)/((1+Assumptions!$B$21)^$E65)+N65/IF(N$3="EOP",((1+Assumptions!$B$21)^$E65),1)</f>
        <v>278391.48824151611</v>
      </c>
      <c r="V64" s="49">
        <f>(V65)/((1+Assumptions!$B$21)^$E65)+O65/IF(O$3="EOP",((1+Assumptions!$B$21)^$E65),1)</f>
        <v>27839.148824151616</v>
      </c>
      <c r="W64" s="49">
        <f>(W65)/((1+Assumptions!$B$21)^$E65)+P65/IF(P$3="EOP",((1+Assumptions!$B$21)^$E65),1)</f>
        <v>111356.59529660645</v>
      </c>
      <c r="X64" s="49">
        <f>(X65)/((1+Assumptions!$B$21)^$E65)+Q65/IF(Q$3="EOP",((1+Assumptions!$B$21)^$E65),1)</f>
        <v>67900.362985735657</v>
      </c>
      <c r="Y64" s="53">
        <f t="shared" si="2"/>
        <v>-418945.23962198885</v>
      </c>
      <c r="Z64" s="52">
        <f>H65*Assumptions!$B$7*Assumptions!$B$25/$E65/12</f>
        <v>8991.5367757004406</v>
      </c>
      <c r="AA64" s="49">
        <f>Z64*Assumptions!$B$11</f>
        <v>1798.3073551400882</v>
      </c>
      <c r="AB64" s="54">
        <f t="shared" si="8"/>
        <v>7193.2294205603521</v>
      </c>
      <c r="AC64" s="89">
        <f t="shared" si="9"/>
        <v>-411752.01020142849</v>
      </c>
      <c r="AD64" s="89">
        <f>Assumptions!$B$23*R64</f>
        <v>208793.6161811371</v>
      </c>
      <c r="AE64" s="89">
        <f t="shared" si="11"/>
        <v>-202958.39402029139</v>
      </c>
    </row>
    <row r="65" spans="1:31" x14ac:dyDescent="0.25">
      <c r="A65" s="44">
        <f t="shared" si="10"/>
        <v>60</v>
      </c>
      <c r="B65" s="45" t="s">
        <v>29</v>
      </c>
      <c r="C65" s="48">
        <f t="shared" si="12"/>
        <v>324</v>
      </c>
      <c r="D65" s="47">
        <f t="shared" si="1"/>
        <v>27</v>
      </c>
      <c r="E65" s="47">
        <f t="shared" si="4"/>
        <v>1</v>
      </c>
      <c r="F65" s="48">
        <f t="shared" si="5"/>
        <v>1</v>
      </c>
      <c r="G65" s="49">
        <f>(G64*($K64/$K63)-L64)*(1+Assumptions!$B$15)^$F65</f>
        <v>23340895.323292296</v>
      </c>
      <c r="H65" s="49">
        <f>$H$6/$G$6*G65*(1+Assumptions!$B$16)^INT((C65-1)/12)*IF(B65="Monthly",1,12)</f>
        <v>172637.50609344844</v>
      </c>
      <c r="I65" s="50">
        <f>Assumptions!$B$14</f>
        <v>0.15</v>
      </c>
      <c r="J65" s="50">
        <f t="shared" si="6"/>
        <v>0.15000000000000002</v>
      </c>
      <c r="K65" s="51">
        <f t="shared" si="7"/>
        <v>1.2425417618220197E-2</v>
      </c>
      <c r="L65" s="52">
        <f>H65*Assumptions!$B$7</f>
        <v>86318.753046724218</v>
      </c>
      <c r="M65" s="49">
        <f>L65*Assumptions!$B$11</f>
        <v>17263.750609344843</v>
      </c>
      <c r="N65" s="49">
        <f>H65*Assumptions!$B$11</f>
        <v>34527.501218689686</v>
      </c>
      <c r="O65" s="49">
        <f>N65*Assumptions!$B$12</f>
        <v>3452.7501218689686</v>
      </c>
      <c r="P65" s="49">
        <f>H65*Assumptions!$B$9</f>
        <v>13811.000487475874</v>
      </c>
      <c r="Q65" s="49">
        <f>H65*Assumptions!$B$8</f>
        <v>8631.8753046724214</v>
      </c>
      <c r="R65" s="52">
        <f>(R66)/((1+Assumptions!$B$21)^$E66)+H66/IF(H$3="EOP",((1+Assumptions!$B$21)^$E66),1)</f>
        <v>1249802.9334919855</v>
      </c>
      <c r="S65" s="49">
        <f>(S66)/((1+Assumptions!$B$21)^$E66)+L66/IF(L$3="EOP",((1+Assumptions!$B$21)^$E66),1)</f>
        <v>609659.96755706624</v>
      </c>
      <c r="T65" s="49">
        <f>(T66)/((1+Assumptions!$B$21)^$E66)+M66/IF(M$3="EOP",((1+Assumptions!$B$21)^$E66),1)</f>
        <v>121931.99351141324</v>
      </c>
      <c r="U65" s="49">
        <f>(U66)/((1+Assumptions!$B$21)^$E66)+N66/IF(N$3="EOP",((1+Assumptions!$B$21)^$E66),1)</f>
        <v>249960.58669839709</v>
      </c>
      <c r="V65" s="49">
        <f>(V66)/((1+Assumptions!$B$21)^$E66)+O66/IF(O$3="EOP",((1+Assumptions!$B$21)^$E66),1)</f>
        <v>24996.058669839713</v>
      </c>
      <c r="W65" s="49">
        <f>(W66)/((1+Assumptions!$B$21)^$E66)+P66/IF(P$3="EOP",((1+Assumptions!$B$21)^$E66),1)</f>
        <v>99984.234679358837</v>
      </c>
      <c r="X65" s="49">
        <f>(X66)/((1+Assumptions!$B$21)^$E66)+Q66/IF(Q$3="EOP",((1+Assumptions!$B$21)^$E66),1)</f>
        <v>60965.996755706619</v>
      </c>
      <c r="Y65" s="53">
        <f t="shared" si="2"/>
        <v>-376160.19998270978</v>
      </c>
      <c r="Z65" s="52">
        <f>H66*Assumptions!$B$7*Assumptions!$B$25/$E66/12</f>
        <v>8382.6846515782727</v>
      </c>
      <c r="AA65" s="49">
        <f>Z65*Assumptions!$B$11</f>
        <v>1676.5369303156547</v>
      </c>
      <c r="AB65" s="54">
        <f t="shared" si="8"/>
        <v>6706.1477212626178</v>
      </c>
      <c r="AC65" s="89">
        <f t="shared" si="9"/>
        <v>-369454.05226144718</v>
      </c>
      <c r="AD65" s="89">
        <f>Assumptions!$B$23*R65</f>
        <v>187470.44002379783</v>
      </c>
      <c r="AE65" s="89">
        <f t="shared" si="11"/>
        <v>-181983.61223764936</v>
      </c>
    </row>
    <row r="66" spans="1:31" x14ac:dyDescent="0.25">
      <c r="A66" s="44">
        <f t="shared" si="10"/>
        <v>61</v>
      </c>
      <c r="B66" s="45" t="s">
        <v>29</v>
      </c>
      <c r="C66" s="48">
        <f t="shared" si="12"/>
        <v>336</v>
      </c>
      <c r="D66" s="47">
        <f t="shared" si="1"/>
        <v>28</v>
      </c>
      <c r="E66" s="47">
        <f t="shared" si="4"/>
        <v>1</v>
      </c>
      <c r="F66" s="48">
        <f t="shared" si="5"/>
        <v>1</v>
      </c>
      <c r="G66" s="49">
        <f>(G65*($K65/$K64)-L65)*(1+Assumptions!$B$15)^$F66</f>
        <v>20148511.117186762</v>
      </c>
      <c r="H66" s="49">
        <f>$H$6/$G$6*G66*(1+Assumptions!$B$16)^INT((C66-1)/12)*IF(B66="Monthly",1,12)</f>
        <v>160947.54531030281</v>
      </c>
      <c r="I66" s="50">
        <f>Assumptions!$B$14</f>
        <v>0.15</v>
      </c>
      <c r="J66" s="50">
        <f t="shared" si="6"/>
        <v>0.15000000000000002</v>
      </c>
      <c r="K66" s="51">
        <f t="shared" si="7"/>
        <v>1.0561604975487167E-2</v>
      </c>
      <c r="L66" s="52">
        <f>H66*Assumptions!$B$7</f>
        <v>80473.772655151406</v>
      </c>
      <c r="M66" s="49">
        <f>L66*Assumptions!$B$11</f>
        <v>16094.754531030281</v>
      </c>
      <c r="N66" s="49">
        <f>H66*Assumptions!$B$11</f>
        <v>32189.509062060562</v>
      </c>
      <c r="O66" s="49">
        <f>N66*Assumptions!$B$12</f>
        <v>3218.9509062060565</v>
      </c>
      <c r="P66" s="49">
        <f>H66*Assumptions!$B$9</f>
        <v>12875.803624824226</v>
      </c>
      <c r="Q66" s="49">
        <f>H66*Assumptions!$B$8</f>
        <v>8047.3772655151406</v>
      </c>
      <c r="R66" s="52">
        <f>(R67)/((1+Assumptions!$B$21)^$E67)+H67/IF(H$3="EOP",((1+Assumptions!$B$21)^$E67),1)</f>
        <v>1116076.7728862246</v>
      </c>
      <c r="S66" s="49">
        <f>(S67)/((1+Assumptions!$B$21)^$E67)+L67/IF(L$3="EOP",((1+Assumptions!$B$21)^$E67),1)</f>
        <v>544427.69409084134</v>
      </c>
      <c r="T66" s="49">
        <f>(T67)/((1+Assumptions!$B$21)^$E67)+M67/IF(M$3="EOP",((1+Assumptions!$B$21)^$E67),1)</f>
        <v>108885.53881816826</v>
      </c>
      <c r="U66" s="49">
        <f>(U67)/((1+Assumptions!$B$21)^$E67)+N67/IF(N$3="EOP",((1+Assumptions!$B$21)^$E67),1)</f>
        <v>223215.35457724493</v>
      </c>
      <c r="V66" s="49">
        <f>(V67)/((1+Assumptions!$B$21)^$E67)+O67/IF(O$3="EOP",((1+Assumptions!$B$21)^$E67),1)</f>
        <v>22321.535457724494</v>
      </c>
      <c r="W66" s="49">
        <f>(W67)/((1+Assumptions!$B$21)^$E67)+P67/IF(P$3="EOP",((1+Assumptions!$B$21)^$E67),1)</f>
        <v>89286.141830897963</v>
      </c>
      <c r="X66" s="49">
        <f>(X67)/((1+Assumptions!$B$21)^$E67)+Q67/IF(Q$3="EOP",((1+Assumptions!$B$21)^$E67),1)</f>
        <v>54442.769409084132</v>
      </c>
      <c r="Y66" s="53">
        <f t="shared" si="2"/>
        <v>-335911.8872540489</v>
      </c>
      <c r="Z66" s="52">
        <f>H67*Assumptions!$B$7*Assumptions!$B$25/$E67/12</f>
        <v>7812.3282610825845</v>
      </c>
      <c r="AA66" s="49">
        <f>Z66*Assumptions!$B$11</f>
        <v>1562.4656522165169</v>
      </c>
      <c r="AB66" s="54">
        <f t="shared" si="8"/>
        <v>6249.8626088660676</v>
      </c>
      <c r="AC66" s="89">
        <f t="shared" si="9"/>
        <v>-329662.02464518283</v>
      </c>
      <c r="AD66" s="89">
        <f>Assumptions!$B$23*R66</f>
        <v>167411.51593293369</v>
      </c>
      <c r="AE66" s="89">
        <f t="shared" si="11"/>
        <v>-162250.50871224914</v>
      </c>
    </row>
    <row r="67" spans="1:31" x14ac:dyDescent="0.25">
      <c r="A67" s="44">
        <f t="shared" si="10"/>
        <v>62</v>
      </c>
      <c r="B67" s="45" t="s">
        <v>29</v>
      </c>
      <c r="C67" s="48">
        <f t="shared" si="12"/>
        <v>348</v>
      </c>
      <c r="D67" s="47">
        <f t="shared" si="1"/>
        <v>29</v>
      </c>
      <c r="E67" s="47">
        <f t="shared" si="4"/>
        <v>1</v>
      </c>
      <c r="F67" s="48">
        <f t="shared" si="5"/>
        <v>1</v>
      </c>
      <c r="G67" s="49">
        <f>(G66*($K66/$K65)-L66)*(1+Assumptions!$B$15)^$F67</f>
        <v>17386675.890492667</v>
      </c>
      <c r="H67" s="49">
        <f>$H$6/$G$6*G67*(1+Assumptions!$B$16)^INT((C67-1)/12)*IF(B67="Monthly",1,12)</f>
        <v>149996.70261278562</v>
      </c>
      <c r="I67" s="50">
        <f>Assumptions!$B$14</f>
        <v>0.15</v>
      </c>
      <c r="J67" s="50">
        <f t="shared" si="6"/>
        <v>0.15000000000000002</v>
      </c>
      <c r="K67" s="51">
        <f t="shared" si="7"/>
        <v>8.977364229164092E-3</v>
      </c>
      <c r="L67" s="52">
        <f>H67*Assumptions!$B$7</f>
        <v>74998.351306392811</v>
      </c>
      <c r="M67" s="49">
        <f>L67*Assumptions!$B$11</f>
        <v>14999.670261278563</v>
      </c>
      <c r="N67" s="49">
        <f>H67*Assumptions!$B$11</f>
        <v>29999.340522557126</v>
      </c>
      <c r="O67" s="49">
        <f>N67*Assumptions!$B$12</f>
        <v>2999.9340522557127</v>
      </c>
      <c r="P67" s="49">
        <f>H67*Assumptions!$B$9</f>
        <v>11999.736209022851</v>
      </c>
      <c r="Q67" s="49">
        <f>H67*Assumptions!$B$8</f>
        <v>7499.8351306392815</v>
      </c>
      <c r="R67" s="52">
        <f>(R68)/((1+Assumptions!$B$21)^$E68)+H68/IF(H$3="EOP",((1+Assumptions!$B$21)^$E68),1)</f>
        <v>990232.07203027466</v>
      </c>
      <c r="S67" s="49">
        <f>(S68)/((1+Assumptions!$B$21)^$E68)+L68/IF(L$3="EOP",((1+Assumptions!$B$21)^$E68),1)</f>
        <v>483040.03513671947</v>
      </c>
      <c r="T67" s="49">
        <f>(T68)/((1+Assumptions!$B$21)^$E68)+M68/IF(M$3="EOP",((1+Assumptions!$B$21)^$E68),1)</f>
        <v>96608.007027343905</v>
      </c>
      <c r="U67" s="49">
        <f>(U68)/((1+Assumptions!$B$21)^$E68)+N68/IF(N$3="EOP",((1+Assumptions!$B$21)^$E68),1)</f>
        <v>198046.414406055</v>
      </c>
      <c r="V67" s="49">
        <f>(V68)/((1+Assumptions!$B$21)^$E68)+O68/IF(O$3="EOP",((1+Assumptions!$B$21)^$E68),1)</f>
        <v>19804.641440605497</v>
      </c>
      <c r="W67" s="49">
        <f>(W68)/((1+Assumptions!$B$21)^$E68)+P68/IF(P$3="EOP",((1+Assumptions!$B$21)^$E68),1)</f>
        <v>79218.565762421975</v>
      </c>
      <c r="X67" s="49">
        <f>(X68)/((1+Assumptions!$B$21)^$E68)+Q68/IF(Q$3="EOP",((1+Assumptions!$B$21)^$E68),1)</f>
        <v>48304.003513671953</v>
      </c>
      <c r="Y67" s="53">
        <f t="shared" si="2"/>
        <v>-298035.70167935558</v>
      </c>
      <c r="Z67" s="52">
        <f>H68*Assumptions!$B$7*Assumptions!$B$25/$E68/12</f>
        <v>7278.0289894491361</v>
      </c>
      <c r="AA67" s="49">
        <f>Z67*Assumptions!$B$11</f>
        <v>1455.6057978898273</v>
      </c>
      <c r="AB67" s="54">
        <f t="shared" si="8"/>
        <v>5822.4231915593091</v>
      </c>
      <c r="AC67" s="89">
        <f t="shared" si="9"/>
        <v>-292213.27848779625</v>
      </c>
      <c r="AD67" s="89">
        <f>Assumptions!$B$23*R67</f>
        <v>148534.81080454119</v>
      </c>
      <c r="AE67" s="89">
        <f t="shared" si="11"/>
        <v>-143678.46768325506</v>
      </c>
    </row>
    <row r="68" spans="1:31" x14ac:dyDescent="0.25">
      <c r="A68" s="44">
        <f t="shared" si="10"/>
        <v>63</v>
      </c>
      <c r="B68" s="45" t="s">
        <v>29</v>
      </c>
      <c r="C68" s="48">
        <f t="shared" si="12"/>
        <v>360</v>
      </c>
      <c r="D68" s="47">
        <f t="shared" si="1"/>
        <v>30</v>
      </c>
      <c r="E68" s="47">
        <f t="shared" si="4"/>
        <v>1</v>
      </c>
      <c r="F68" s="48">
        <f t="shared" si="5"/>
        <v>1</v>
      </c>
      <c r="G68" s="49">
        <f>(G67*($K67/$K66)-L67)*(1+Assumptions!$B$15)^$F68</f>
        <v>14997749.67872462</v>
      </c>
      <c r="H68" s="49">
        <f>$H$6/$G$6*G68*(1+Assumptions!$B$16)^INT((C68-1)/12)*IF(B68="Monthly",1,12)</f>
        <v>139738.15659742343</v>
      </c>
      <c r="I68" s="50">
        <f>Assumptions!$B$14</f>
        <v>0.15</v>
      </c>
      <c r="J68" s="50">
        <f t="shared" si="6"/>
        <v>0.15000000000000002</v>
      </c>
      <c r="K68" s="51">
        <f t="shared" si="7"/>
        <v>7.6307595947894781E-3</v>
      </c>
      <c r="L68" s="52">
        <f>H68*Assumptions!$B$7</f>
        <v>69869.078298711713</v>
      </c>
      <c r="M68" s="49">
        <f>L68*Assumptions!$B$11</f>
        <v>13973.815659742344</v>
      </c>
      <c r="N68" s="49">
        <f>H68*Assumptions!$B$11</f>
        <v>27947.631319484688</v>
      </c>
      <c r="O68" s="49">
        <f>N68*Assumptions!$B$12</f>
        <v>2794.763131948469</v>
      </c>
      <c r="P68" s="49">
        <f>H68*Assumptions!$B$9</f>
        <v>11179.052527793874</v>
      </c>
      <c r="Q68" s="49">
        <f>H68*Assumptions!$B$8</f>
        <v>6986.907829871172</v>
      </c>
      <c r="R68" s="52">
        <f>(R69)/((1+Assumptions!$B$21)^$E69)+H69/IF(H$3="EOP",((1+Assumptions!$B$21)^$E69),1)</f>
        <v>871756.26331867254</v>
      </c>
      <c r="S68" s="49">
        <f>(S69)/((1+Assumptions!$B$21)^$E69)+L69/IF(L$3="EOP",((1+Assumptions!$B$21)^$E69),1)</f>
        <v>425246.95771642565</v>
      </c>
      <c r="T68" s="49">
        <f>(T69)/((1+Assumptions!$B$21)^$E69)+M69/IF(M$3="EOP",((1+Assumptions!$B$21)^$E69),1)</f>
        <v>85049.39154328515</v>
      </c>
      <c r="U68" s="49">
        <f>(U69)/((1+Assumptions!$B$21)^$E69)+N69/IF(N$3="EOP",((1+Assumptions!$B$21)^$E69),1)</f>
        <v>174351.25266373454</v>
      </c>
      <c r="V68" s="49">
        <f>(V69)/((1+Assumptions!$B$21)^$E69)+O69/IF(O$3="EOP",((1+Assumptions!$B$21)^$E69),1)</f>
        <v>17435.125266373452</v>
      </c>
      <c r="W68" s="49">
        <f>(W69)/((1+Assumptions!$B$21)^$E69)+P69/IF(P$3="EOP",((1+Assumptions!$B$21)^$E69),1)</f>
        <v>69740.501065493794</v>
      </c>
      <c r="X68" s="49">
        <f>(X69)/((1+Assumptions!$B$21)^$E69)+Q69/IF(Q$3="EOP",((1+Assumptions!$B$21)^$E69),1)</f>
        <v>42524.695771642575</v>
      </c>
      <c r="Y68" s="53">
        <f t="shared" si="2"/>
        <v>-262377.37291103456</v>
      </c>
      <c r="Z68" s="52">
        <f>H69*Assumptions!$B$7*Assumptions!$B$25/$E69/12</f>
        <v>6777.5047072003217</v>
      </c>
      <c r="AA68" s="49">
        <f>Z68*Assumptions!$B$11</f>
        <v>1355.5009414400645</v>
      </c>
      <c r="AB68" s="54">
        <f t="shared" si="8"/>
        <v>5422.003765760257</v>
      </c>
      <c r="AC68" s="89">
        <f t="shared" si="9"/>
        <v>-256955.36914527431</v>
      </c>
      <c r="AD68" s="89">
        <f>Assumptions!$B$23*R68</f>
        <v>130763.43949780088</v>
      </c>
      <c r="AE68" s="89">
        <f t="shared" si="11"/>
        <v>-126191.92964747343</v>
      </c>
    </row>
    <row r="69" spans="1:31" x14ac:dyDescent="0.25">
      <c r="A69" s="44">
        <f t="shared" si="10"/>
        <v>64</v>
      </c>
      <c r="B69" s="45" t="s">
        <v>29</v>
      </c>
      <c r="C69" s="48">
        <f t="shared" si="12"/>
        <v>372</v>
      </c>
      <c r="D69" s="47">
        <f t="shared" si="1"/>
        <v>31</v>
      </c>
      <c r="E69" s="47">
        <f t="shared" si="4"/>
        <v>1</v>
      </c>
      <c r="F69" s="48">
        <f t="shared" si="5"/>
        <v>1</v>
      </c>
      <c r="G69" s="49">
        <f>(G68*($K68/$K67)-L68)*(1+Assumptions!$B$15)^$F69</f>
        <v>12931782.511589561</v>
      </c>
      <c r="H69" s="49">
        <f>$H$6/$G$6*G69*(1+Assumptions!$B$16)^INT((C69-1)/12)*IF(B69="Monthly",1,12)</f>
        <v>130128.09037824618</v>
      </c>
      <c r="I69" s="50">
        <f>Assumptions!$B$14</f>
        <v>0.15</v>
      </c>
      <c r="J69" s="50">
        <f t="shared" si="6"/>
        <v>0.15000000000000002</v>
      </c>
      <c r="K69" s="51">
        <f t="shared" si="7"/>
        <v>6.4861456555710562E-3</v>
      </c>
      <c r="L69" s="52">
        <f>H69*Assumptions!$B$7</f>
        <v>65064.045189123091</v>
      </c>
      <c r="M69" s="49">
        <f>L69*Assumptions!$B$11</f>
        <v>13012.80903782462</v>
      </c>
      <c r="N69" s="49">
        <f>H69*Assumptions!$B$11</f>
        <v>26025.618075649239</v>
      </c>
      <c r="O69" s="49">
        <f>N69*Assumptions!$B$12</f>
        <v>2602.561807564924</v>
      </c>
      <c r="P69" s="49">
        <f>H69*Assumptions!$B$9</f>
        <v>10410.247230259694</v>
      </c>
      <c r="Q69" s="49">
        <f>H69*Assumptions!$B$8</f>
        <v>6506.4045189123099</v>
      </c>
      <c r="R69" s="52">
        <f>(R70)/((1+Assumptions!$B$21)^$E70)+H70/IF(H$3="EOP",((1+Assumptions!$B$21)^$E70),1)</f>
        <v>760168.87726393703</v>
      </c>
      <c r="S69" s="49">
        <f>(S70)/((1+Assumptions!$B$21)^$E70)+L70/IF(L$3="EOP",((1+Assumptions!$B$21)^$E70),1)</f>
        <v>370814.08647021314</v>
      </c>
      <c r="T69" s="49">
        <f>(T70)/((1+Assumptions!$B$21)^$E70)+M70/IF(M$3="EOP",((1+Assumptions!$B$21)^$E70),1)</f>
        <v>74162.817294042645</v>
      </c>
      <c r="U69" s="49">
        <f>(U70)/((1+Assumptions!$B$21)^$E70)+N70/IF(N$3="EOP",((1+Assumptions!$B$21)^$E70),1)</f>
        <v>152033.77545278741</v>
      </c>
      <c r="V69" s="49">
        <f>(V70)/((1+Assumptions!$B$21)^$E70)+O70/IF(O$3="EOP",((1+Assumptions!$B$21)^$E70),1)</f>
        <v>15203.377545278739</v>
      </c>
      <c r="W69" s="49">
        <f>(W70)/((1+Assumptions!$B$21)^$E70)+P70/IF(P$3="EOP",((1+Assumptions!$B$21)^$E70),1)</f>
        <v>60813.510181114958</v>
      </c>
      <c r="X69" s="49">
        <f>(X70)/((1+Assumptions!$B$21)^$E70)+Q70/IF(Q$3="EOP",((1+Assumptions!$B$21)^$E70),1)</f>
        <v>37081.408647021322</v>
      </c>
      <c r="Y69" s="53">
        <f t="shared" si="2"/>
        <v>-228792.29135212163</v>
      </c>
      <c r="Z69" s="52">
        <f>H70*Assumptions!$B$7*Assumptions!$B$25/$E70/12</f>
        <v>6308.619910432597</v>
      </c>
      <c r="AA69" s="49">
        <f>Z69*Assumptions!$B$11</f>
        <v>1261.7239820865195</v>
      </c>
      <c r="AB69" s="54">
        <f t="shared" si="8"/>
        <v>5046.8959283460772</v>
      </c>
      <c r="AC69" s="89">
        <f t="shared" si="9"/>
        <v>-223745.39542377554</v>
      </c>
      <c r="AD69" s="89">
        <f>Assumptions!$B$23*R69</f>
        <v>114025.33158959055</v>
      </c>
      <c r="AE69" s="89">
        <f t="shared" si="11"/>
        <v>-109720.06383418498</v>
      </c>
    </row>
    <row r="70" spans="1:31" x14ac:dyDescent="0.25">
      <c r="A70" s="44">
        <f t="shared" si="10"/>
        <v>65</v>
      </c>
      <c r="B70" s="45" t="s">
        <v>29</v>
      </c>
      <c r="C70" s="48">
        <f t="shared" si="12"/>
        <v>384</v>
      </c>
      <c r="D70" s="47">
        <f t="shared" ref="D70:D78" si="13">C70/12</f>
        <v>32</v>
      </c>
      <c r="E70" s="47">
        <f t="shared" si="4"/>
        <v>1</v>
      </c>
      <c r="F70" s="48">
        <f t="shared" si="5"/>
        <v>1</v>
      </c>
      <c r="G70" s="49">
        <f>(G69*($K69/$K68)-L69)*(1+Assumptions!$B$15)^$F70</f>
        <v>11145490.111455243</v>
      </c>
      <c r="H70" s="49">
        <f>$H$6/$G$6*G70*(1+Assumptions!$B$16)^INT((C70-1)/12)*IF(B70="Monthly",1,12)</f>
        <v>121125.50228030587</v>
      </c>
      <c r="I70" s="50">
        <f>Assumptions!$B$14</f>
        <v>0.15</v>
      </c>
      <c r="J70" s="50">
        <f t="shared" si="6"/>
        <v>0.15000000000000002</v>
      </c>
      <c r="K70" s="51">
        <f t="shared" si="7"/>
        <v>5.5132238072353977E-3</v>
      </c>
      <c r="L70" s="52">
        <f>H70*Assumptions!$B$7</f>
        <v>60562.751140152934</v>
      </c>
      <c r="M70" s="49">
        <f>L70*Assumptions!$B$11</f>
        <v>12112.550228030588</v>
      </c>
      <c r="N70" s="49">
        <f>H70*Assumptions!$B$11</f>
        <v>24225.100456061176</v>
      </c>
      <c r="O70" s="49">
        <f>N70*Assumptions!$B$12</f>
        <v>2422.5100456061177</v>
      </c>
      <c r="P70" s="49">
        <f>H70*Assumptions!$B$9</f>
        <v>9690.0401824244691</v>
      </c>
      <c r="Q70" s="49">
        <f>H70*Assumptions!$B$8</f>
        <v>6056.2751140152941</v>
      </c>
      <c r="R70" s="52">
        <f>(R71)/((1+Assumptions!$B$21)^$E71)+H71/IF(H$3="EOP",((1+Assumptions!$B$21)^$E71),1)</f>
        <v>655019.45935822197</v>
      </c>
      <c r="S70" s="49">
        <f>(S71)/((1+Assumptions!$B$21)^$E71)+L71/IF(L$3="EOP",((1+Assumptions!$B$21)^$E71),1)</f>
        <v>319521.68749181554</v>
      </c>
      <c r="T70" s="49">
        <f>(T71)/((1+Assumptions!$B$21)^$E71)+M71/IF(M$3="EOP",((1+Assumptions!$B$21)^$E71),1)</f>
        <v>63904.337498363115</v>
      </c>
      <c r="U70" s="49">
        <f>(U71)/((1+Assumptions!$B$21)^$E71)+N71/IF(N$3="EOP",((1+Assumptions!$B$21)^$E71),1)</f>
        <v>131003.89187164436</v>
      </c>
      <c r="V70" s="49">
        <f>(V71)/((1+Assumptions!$B$21)^$E71)+O71/IF(O$3="EOP",((1+Assumptions!$B$21)^$E71),1)</f>
        <v>13100.389187164437</v>
      </c>
      <c r="W70" s="49">
        <f>(W71)/((1+Assumptions!$B$21)^$E71)+P71/IF(P$3="EOP",((1+Assumptions!$B$21)^$E71),1)</f>
        <v>52401.556748657749</v>
      </c>
      <c r="X70" s="49">
        <f>(X71)/((1+Assumptions!$B$21)^$E71)+Q71/IF(Q$3="EOP",((1+Assumptions!$B$21)^$E71),1)</f>
        <v>31952.168749181557</v>
      </c>
      <c r="Y70" s="53">
        <f t="shared" ref="Y70:Y78" si="14">-R70+S70-T70+U70-V70+W70+X70</f>
        <v>-197144.88118245031</v>
      </c>
      <c r="Z70" s="52">
        <f>H71*Assumptions!$B$7*Assumptions!$B$25/$E71/12</f>
        <v>5869.3764936402767</v>
      </c>
      <c r="AA70" s="49">
        <f>Z70*Assumptions!$B$11</f>
        <v>1173.8752987280554</v>
      </c>
      <c r="AB70" s="54">
        <f t="shared" si="8"/>
        <v>4695.5011949122218</v>
      </c>
      <c r="AC70" s="89">
        <f t="shared" si="9"/>
        <v>-192449.37998753809</v>
      </c>
      <c r="AD70" s="89">
        <f>Assumptions!$B$23*R70</f>
        <v>98252.918903733298</v>
      </c>
      <c r="AE70" s="89">
        <f t="shared" si="11"/>
        <v>-94196.461083804796</v>
      </c>
    </row>
    <row r="71" spans="1:31" x14ac:dyDescent="0.25">
      <c r="A71" s="44">
        <f t="shared" si="10"/>
        <v>66</v>
      </c>
      <c r="B71" s="45" t="s">
        <v>29</v>
      </c>
      <c r="C71" s="48">
        <f t="shared" si="12"/>
        <v>396</v>
      </c>
      <c r="D71" s="47">
        <f t="shared" si="13"/>
        <v>33</v>
      </c>
      <c r="E71" s="47">
        <f t="shared" ref="E71:E78" si="15">D71-D70</f>
        <v>1</v>
      </c>
      <c r="F71" s="48">
        <f t="shared" ref="F71:F78" si="16">IF(E71&lt;1,IF(MOD(C71-1,12)=0,1,0),1)</f>
        <v>1</v>
      </c>
      <c r="G71" s="49">
        <f>(G70*($K70/$K69)-L70)*(1+Assumptions!$B$15)^$F71</f>
        <v>9601365.9204687402</v>
      </c>
      <c r="H71" s="49">
        <f>$H$6/$G$6*G71*(1+Assumptions!$B$16)^INT((C71-1)/12)*IF(B71="Monthly",1,12)</f>
        <v>112692.02867789331</v>
      </c>
      <c r="I71" s="50">
        <f>Assumptions!$B$14</f>
        <v>0.15</v>
      </c>
      <c r="J71" s="50">
        <f t="shared" ref="J71:J78" si="17">1-(1-I71)^$E71</f>
        <v>0.15000000000000002</v>
      </c>
      <c r="K71" s="51">
        <f t="shared" ref="K71:K77" si="18">K70*(1-J71)</f>
        <v>4.6862402361500877E-3</v>
      </c>
      <c r="L71" s="52">
        <f>H71*Assumptions!$B$7</f>
        <v>56346.014338946654</v>
      </c>
      <c r="M71" s="49">
        <f>L71*Assumptions!$B$11</f>
        <v>11269.202867789332</v>
      </c>
      <c r="N71" s="49">
        <f>H71*Assumptions!$B$11</f>
        <v>22538.405735578664</v>
      </c>
      <c r="O71" s="49">
        <f>N71*Assumptions!$B$12</f>
        <v>2253.8405735578667</v>
      </c>
      <c r="P71" s="49">
        <f>H71*Assumptions!$B$9</f>
        <v>9015.3622942314651</v>
      </c>
      <c r="Q71" s="49">
        <f>H71*Assumptions!$B$8</f>
        <v>5634.6014338946661</v>
      </c>
      <c r="R71" s="52">
        <f>(R72)/((1+Assumptions!$B$21)^$E72)+H72/IF(H$3="EOP",((1+Assumptions!$B$21)^$E72),1)</f>
        <v>555885.61644733674</v>
      </c>
      <c r="S71" s="49">
        <f>(S72)/((1+Assumptions!$B$21)^$E72)+L72/IF(L$3="EOP",((1+Assumptions!$B$21)^$E72),1)</f>
        <v>271163.71534016426</v>
      </c>
      <c r="T71" s="49">
        <f>(T72)/((1+Assumptions!$B$21)^$E72)+M72/IF(M$3="EOP",((1+Assumptions!$B$21)^$E72),1)</f>
        <v>54232.743068032854</v>
      </c>
      <c r="U71" s="49">
        <f>(U72)/((1+Assumptions!$B$21)^$E72)+N72/IF(N$3="EOP",((1+Assumptions!$B$21)^$E72),1)</f>
        <v>111177.12328946733</v>
      </c>
      <c r="V71" s="49">
        <f>(V72)/((1+Assumptions!$B$21)^$E72)+O72/IF(O$3="EOP",((1+Assumptions!$B$21)^$E72),1)</f>
        <v>11117.712328946733</v>
      </c>
      <c r="W71" s="49">
        <f>(W72)/((1+Assumptions!$B$21)^$E72)+P72/IF(P$3="EOP",((1+Assumptions!$B$21)^$E72),1)</f>
        <v>44470.849315786931</v>
      </c>
      <c r="X71" s="49">
        <f>(X72)/((1+Assumptions!$B$21)^$E72)+Q72/IF(Q$3="EOP",((1+Assumptions!$B$21)^$E72),1)</f>
        <v>27116.371534016427</v>
      </c>
      <c r="Y71" s="53">
        <f t="shared" si="14"/>
        <v>-167308.01236488138</v>
      </c>
      <c r="Z71" s="52">
        <f>H72*Assumptions!$B$7*Assumptions!$B$25/$E72/12</f>
        <v>5457.9051146273223</v>
      </c>
      <c r="AA71" s="49">
        <f>Z71*Assumptions!$B$11</f>
        <v>1091.5810229254646</v>
      </c>
      <c r="AB71" s="54">
        <f t="shared" ref="AB71:AB77" si="19">Z71-AA71</f>
        <v>4366.3240917018575</v>
      </c>
      <c r="AC71" s="89">
        <f t="shared" ref="AC71:AC78" si="20">Y71+AB71</f>
        <v>-162941.68827317952</v>
      </c>
      <c r="AD71" s="89">
        <f>Assumptions!$B$23*R71</f>
        <v>83382.842467100505</v>
      </c>
      <c r="AE71" s="89">
        <f t="shared" si="11"/>
        <v>-79558.845806079014</v>
      </c>
    </row>
    <row r="72" spans="1:31" x14ac:dyDescent="0.25">
      <c r="A72" s="44">
        <f t="shared" ref="A72:A78" si="21">A71+1</f>
        <v>67</v>
      </c>
      <c r="B72" s="45" t="s">
        <v>29</v>
      </c>
      <c r="C72" s="48">
        <f t="shared" si="12"/>
        <v>408</v>
      </c>
      <c r="D72" s="47">
        <f t="shared" si="13"/>
        <v>34</v>
      </c>
      <c r="E72" s="47">
        <f t="shared" si="15"/>
        <v>1</v>
      </c>
      <c r="F72" s="48">
        <f t="shared" si="16"/>
        <v>1</v>
      </c>
      <c r="G72" s="49">
        <f>(G71*($K71/$K70)-L71)*(1+Assumptions!$B$15)^$F72</f>
        <v>8266911.3184206719</v>
      </c>
      <c r="H72" s="49">
        <f>$H$6/$G$6*G72*(1+Assumptions!$B$16)^INT((C72-1)/12)*IF(B72="Monthly",1,12)</f>
        <v>104791.77820084458</v>
      </c>
      <c r="I72" s="50">
        <f>Assumptions!$B$14</f>
        <v>0.15</v>
      </c>
      <c r="J72" s="50">
        <f t="shared" si="17"/>
        <v>0.15000000000000002</v>
      </c>
      <c r="K72" s="51">
        <f t="shared" si="18"/>
        <v>3.9833042007275743E-3</v>
      </c>
      <c r="L72" s="52">
        <f>H72*Assumptions!$B$7</f>
        <v>52395.88910042229</v>
      </c>
      <c r="M72" s="49">
        <f>L72*Assumptions!$B$11</f>
        <v>10479.177820084458</v>
      </c>
      <c r="N72" s="49">
        <f>H72*Assumptions!$B$11</f>
        <v>20958.355640168917</v>
      </c>
      <c r="O72" s="49">
        <f>N72*Assumptions!$B$12</f>
        <v>2095.8355640168916</v>
      </c>
      <c r="P72" s="49">
        <f>H72*Assumptions!$B$9</f>
        <v>8383.3422560675663</v>
      </c>
      <c r="Q72" s="49">
        <f>H72*Assumptions!$B$8</f>
        <v>5239.5889100422291</v>
      </c>
      <c r="R72" s="52">
        <f>(R73)/((1+Assumptions!$B$21)^$E73)+H73/IF(H$3="EOP",((1+Assumptions!$B$21)^$E73),1)</f>
        <v>462371.1842026544</v>
      </c>
      <c r="S72" s="49">
        <f>(S73)/((1+Assumptions!$B$21)^$E73)+L73/IF(L$3="EOP",((1+Assumptions!$B$21)^$E73),1)</f>
        <v>225546.91912324604</v>
      </c>
      <c r="T72" s="49">
        <f>(T73)/((1+Assumptions!$B$21)^$E73)+M73/IF(M$3="EOP",((1+Assumptions!$B$21)^$E73),1)</f>
        <v>45109.383824649209</v>
      </c>
      <c r="U72" s="49">
        <f>(U73)/((1+Assumptions!$B$21)^$E73)+N73/IF(N$3="EOP",((1+Assumptions!$B$21)^$E73),1)</f>
        <v>92474.236840530866</v>
      </c>
      <c r="V72" s="49">
        <f>(V73)/((1+Assumptions!$B$21)^$E73)+O73/IF(O$3="EOP",((1+Assumptions!$B$21)^$E73),1)</f>
        <v>9247.4236840530866</v>
      </c>
      <c r="W72" s="49">
        <f>(W73)/((1+Assumptions!$B$21)^$E73)+P73/IF(P$3="EOP",((1+Assumptions!$B$21)^$E73),1)</f>
        <v>36989.694736212346</v>
      </c>
      <c r="X72" s="49">
        <f>(X73)/((1+Assumptions!$B$21)^$E73)+Q73/IF(Q$3="EOP",((1+Assumptions!$B$21)^$E73),1)</f>
        <v>22554.691912324604</v>
      </c>
      <c r="Y72" s="53">
        <f t="shared" si="14"/>
        <v>-139162.44909904283</v>
      </c>
      <c r="Z72" s="52">
        <f>H73*Assumptions!$B$7*Assumptions!$B$25/$E73/12</f>
        <v>5072.4571135165097</v>
      </c>
      <c r="AA72" s="49">
        <f>Z72*Assumptions!$B$11</f>
        <v>1014.491422703302</v>
      </c>
      <c r="AB72" s="54">
        <f t="shared" si="19"/>
        <v>4057.9656908132079</v>
      </c>
      <c r="AC72" s="89">
        <f t="shared" si="20"/>
        <v>-135104.48340822963</v>
      </c>
      <c r="AD72" s="89">
        <f>Assumptions!$B$23*R72</f>
        <v>69355.677630398161</v>
      </c>
      <c r="AE72" s="89">
        <f t="shared" ref="AE72:AE78" si="22">AC72+AD72</f>
        <v>-65748.805777831469</v>
      </c>
    </row>
    <row r="73" spans="1:31" x14ac:dyDescent="0.25">
      <c r="A73" s="44">
        <f t="shared" si="21"/>
        <v>68</v>
      </c>
      <c r="B73" s="45" t="s">
        <v>29</v>
      </c>
      <c r="C73" s="48">
        <f t="shared" si="12"/>
        <v>420</v>
      </c>
      <c r="D73" s="47">
        <f t="shared" si="13"/>
        <v>35</v>
      </c>
      <c r="E73" s="47">
        <f t="shared" si="15"/>
        <v>1</v>
      </c>
      <c r="F73" s="48">
        <f t="shared" si="16"/>
        <v>1</v>
      </c>
      <c r="G73" s="49">
        <f>(G72*($K72/$K71)-L72)*(1+Assumptions!$B$15)^$F73</f>
        <v>7113968.3061882919</v>
      </c>
      <c r="H73" s="49">
        <f>$H$6/$G$6*G73*(1+Assumptions!$B$16)^INT((C73-1)/12)*IF(B73="Monthly",1,12)</f>
        <v>97391.176579516992</v>
      </c>
      <c r="I73" s="50">
        <f>Assumptions!$B$14</f>
        <v>0.15</v>
      </c>
      <c r="J73" s="50">
        <f t="shared" si="17"/>
        <v>0.15000000000000002</v>
      </c>
      <c r="K73" s="51">
        <f t="shared" si="18"/>
        <v>3.3858085706184381E-3</v>
      </c>
      <c r="L73" s="52">
        <f>H73*Assumptions!$B$7</f>
        <v>48695.588289758496</v>
      </c>
      <c r="M73" s="49">
        <f>L73*Assumptions!$B$11</f>
        <v>9739.1176579516996</v>
      </c>
      <c r="N73" s="49">
        <f>H73*Assumptions!$B$11</f>
        <v>19478.235315903399</v>
      </c>
      <c r="O73" s="49">
        <f>N73*Assumptions!$B$12</f>
        <v>1947.8235315903401</v>
      </c>
      <c r="P73" s="49">
        <f>H73*Assumptions!$B$9</f>
        <v>7791.2941263613593</v>
      </c>
      <c r="Q73" s="49">
        <f>H73*Assumptions!$B$8</f>
        <v>4869.5588289758498</v>
      </c>
      <c r="R73" s="52">
        <f>(R74)/((1+Assumptions!$B$21)^$E74)+H74/IF(H$3="EOP",((1+Assumptions!$B$21)^$E74),1)</f>
        <v>374104.50781371578</v>
      </c>
      <c r="S73" s="49">
        <f>(S74)/((1+Assumptions!$B$21)^$E74)+L74/IF(L$3="EOP",((1+Assumptions!$B$21)^$E74),1)</f>
        <v>182490.00381156866</v>
      </c>
      <c r="T73" s="49">
        <f>(T74)/((1+Assumptions!$B$21)^$E74)+M74/IF(M$3="EOP",((1+Assumptions!$B$21)^$E74),1)</f>
        <v>36498.000762313735</v>
      </c>
      <c r="U73" s="49">
        <f>(U74)/((1+Assumptions!$B$21)^$E74)+N74/IF(N$3="EOP",((1+Assumptions!$B$21)^$E74),1)</f>
        <v>74820.901562743151</v>
      </c>
      <c r="V73" s="49">
        <f>(V74)/((1+Assumptions!$B$21)^$E74)+O74/IF(O$3="EOP",((1+Assumptions!$B$21)^$E74),1)</f>
        <v>7482.0901562743147</v>
      </c>
      <c r="W73" s="49">
        <f>(W74)/((1+Assumptions!$B$21)^$E74)+P74/IF(P$3="EOP",((1+Assumptions!$B$21)^$E74),1)</f>
        <v>29928.360625097259</v>
      </c>
      <c r="X73" s="49">
        <f>(X74)/((1+Assumptions!$B$21)^$E74)+Q74/IF(Q$3="EOP",((1+Assumptions!$B$21)^$E74),1)</f>
        <v>18249.000381156868</v>
      </c>
      <c r="Y73" s="53">
        <f t="shared" si="14"/>
        <v>-112596.33235173789</v>
      </c>
      <c r="Z73" s="52">
        <f>H74*Assumptions!$B$7*Assumptions!$B$25/$E74/12</f>
        <v>4711.3969501431466</v>
      </c>
      <c r="AA73" s="49">
        <f>Z73*Assumptions!$B$11</f>
        <v>942.27939002862934</v>
      </c>
      <c r="AB73" s="54">
        <f t="shared" si="19"/>
        <v>3769.1175601145173</v>
      </c>
      <c r="AC73" s="89">
        <f t="shared" si="20"/>
        <v>-108827.21479162337</v>
      </c>
      <c r="AD73" s="89">
        <f>Assumptions!$B$23*R73</f>
        <v>56115.676172057363</v>
      </c>
      <c r="AE73" s="89">
        <f t="shared" si="22"/>
        <v>-52711.538619566003</v>
      </c>
    </row>
    <row r="74" spans="1:31" x14ac:dyDescent="0.25">
      <c r="A74" s="44">
        <f t="shared" si="21"/>
        <v>69</v>
      </c>
      <c r="B74" s="45" t="s">
        <v>29</v>
      </c>
      <c r="C74" s="48">
        <f t="shared" si="12"/>
        <v>432</v>
      </c>
      <c r="D74" s="47">
        <f t="shared" si="13"/>
        <v>36</v>
      </c>
      <c r="E74" s="47">
        <f t="shared" si="15"/>
        <v>1</v>
      </c>
      <c r="F74" s="48">
        <f t="shared" si="16"/>
        <v>1</v>
      </c>
      <c r="G74" s="49">
        <f>(G73*($K73/$K72)-L73)*(1+Assumptions!$B$15)^$F74</f>
        <v>6118141.021409696</v>
      </c>
      <c r="H74" s="49">
        <f>$H$6/$G$6*G74*(1+Assumptions!$B$16)^INT((C74-1)/12)*IF(B74="Monthly",1,12)</f>
        <v>90458.821442748405</v>
      </c>
      <c r="I74" s="50">
        <f>Assumptions!$B$14</f>
        <v>0.15</v>
      </c>
      <c r="J74" s="50">
        <f t="shared" si="17"/>
        <v>0.15000000000000002</v>
      </c>
      <c r="K74" s="51">
        <f t="shared" si="18"/>
        <v>2.8779372850256725E-3</v>
      </c>
      <c r="L74" s="52">
        <f>H74*Assumptions!$B$7</f>
        <v>45229.410721374203</v>
      </c>
      <c r="M74" s="49">
        <f>L74*Assumptions!$B$11</f>
        <v>9045.8821442748413</v>
      </c>
      <c r="N74" s="49">
        <f>H74*Assumptions!$B$11</f>
        <v>18091.764288549683</v>
      </c>
      <c r="O74" s="49">
        <f>N74*Assumptions!$B$12</f>
        <v>1809.1764288549684</v>
      </c>
      <c r="P74" s="49">
        <f>H74*Assumptions!$B$9</f>
        <v>7236.7057154198728</v>
      </c>
      <c r="Q74" s="49">
        <f>H74*Assumptions!$B$8</f>
        <v>4522.9410721374206</v>
      </c>
      <c r="R74" s="52">
        <f>(R75)/((1+Assumptions!$B$21)^$E75)+H75/IF(H$3="EOP",((1+Assumptions!$B$21)^$E75),1)</f>
        <v>290736.8285302415</v>
      </c>
      <c r="S74" s="49">
        <f>(S75)/((1+Assumptions!$B$21)^$E75)+L75/IF(L$3="EOP",((1+Assumptions!$B$21)^$E75),1)</f>
        <v>141822.84318548365</v>
      </c>
      <c r="T74" s="49">
        <f>(T75)/((1+Assumptions!$B$21)^$E75)+M75/IF(M$3="EOP",((1+Assumptions!$B$21)^$E75),1)</f>
        <v>28364.568637096731</v>
      </c>
      <c r="U74" s="49">
        <f>(U75)/((1+Assumptions!$B$21)^$E75)+N75/IF(N$3="EOP",((1+Assumptions!$B$21)^$E75),1)</f>
        <v>58147.365706048295</v>
      </c>
      <c r="V74" s="49">
        <f>(V75)/((1+Assumptions!$B$21)^$E75)+O75/IF(O$3="EOP",((1+Assumptions!$B$21)^$E75),1)</f>
        <v>5814.7365706048295</v>
      </c>
      <c r="W74" s="49">
        <f>(W75)/((1+Assumptions!$B$21)^$E75)+P75/IF(P$3="EOP",((1+Assumptions!$B$21)^$E75),1)</f>
        <v>23258.946282419318</v>
      </c>
      <c r="X74" s="49">
        <f>(X75)/((1+Assumptions!$B$21)^$E75)+Q75/IF(Q$3="EOP",((1+Assumptions!$B$21)^$E75),1)</f>
        <v>14182.284318548365</v>
      </c>
      <c r="Y74" s="53">
        <f t="shared" si="14"/>
        <v>-87504.694245443432</v>
      </c>
      <c r="Z74" s="52">
        <f>H75*Assumptions!$B$7*Assumptions!$B$25/$E75/12</f>
        <v>4373.1951262269313</v>
      </c>
      <c r="AA74" s="49">
        <f>Z74*Assumptions!$B$11</f>
        <v>874.63902524538628</v>
      </c>
      <c r="AB74" s="54">
        <f t="shared" si="19"/>
        <v>3498.5561009815451</v>
      </c>
      <c r="AC74" s="89">
        <f t="shared" si="20"/>
        <v>-84006.138144461889</v>
      </c>
      <c r="AD74" s="89">
        <f>Assumptions!$B$23*R74</f>
        <v>43610.524279536221</v>
      </c>
      <c r="AE74" s="89">
        <f t="shared" si="22"/>
        <v>-40395.613864925668</v>
      </c>
    </row>
    <row r="75" spans="1:31" x14ac:dyDescent="0.25">
      <c r="A75" s="44">
        <f t="shared" si="21"/>
        <v>70</v>
      </c>
      <c r="B75" s="45" t="s">
        <v>29</v>
      </c>
      <c r="C75" s="48">
        <f t="shared" si="12"/>
        <v>444</v>
      </c>
      <c r="D75" s="47">
        <f t="shared" si="13"/>
        <v>37</v>
      </c>
      <c r="E75" s="47">
        <f t="shared" si="15"/>
        <v>1</v>
      </c>
      <c r="F75" s="48">
        <f t="shared" si="16"/>
        <v>1</v>
      </c>
      <c r="G75" s="49">
        <f>(G74*($K74/$K73)-L74)*(1+Assumptions!$B$15)^$F75</f>
        <v>5258294.2666264046</v>
      </c>
      <c r="H75" s="49">
        <f>$H$6/$G$6*G75*(1+Assumptions!$B$16)^INT((C75-1)/12)*IF(B75="Monthly",1,12)</f>
        <v>83965.346423557086</v>
      </c>
      <c r="I75" s="50">
        <f>Assumptions!$B$14</f>
        <v>0.15</v>
      </c>
      <c r="J75" s="50">
        <f t="shared" si="17"/>
        <v>0.15000000000000002</v>
      </c>
      <c r="K75" s="51">
        <f t="shared" si="18"/>
        <v>2.4462466922718215E-3</v>
      </c>
      <c r="L75" s="52">
        <f>H75*Assumptions!$B$7</f>
        <v>41982.673211778543</v>
      </c>
      <c r="M75" s="49">
        <f>L75*Assumptions!$B$11</f>
        <v>8396.5346423557094</v>
      </c>
      <c r="N75" s="49">
        <f>H75*Assumptions!$B$11</f>
        <v>16793.069284711419</v>
      </c>
      <c r="O75" s="49">
        <f>N75*Assumptions!$B$12</f>
        <v>1679.3069284711419</v>
      </c>
      <c r="P75" s="49">
        <f>H75*Assumptions!$B$9</f>
        <v>6717.2277138845675</v>
      </c>
      <c r="Q75" s="49">
        <f>H75*Assumptions!$B$8</f>
        <v>4198.2673211778547</v>
      </c>
      <c r="R75" s="52">
        <f>(R76)/((1+Assumptions!$B$21)^$E76)+H76/IF(H$3="EOP",((1+Assumptions!$B$21)^$E76),1)</f>
        <v>211940.76915935148</v>
      </c>
      <c r="S75" s="49">
        <f>(S76)/((1+Assumptions!$B$21)^$E76)+L76/IF(L$3="EOP",((1+Assumptions!$B$21)^$E76),1)</f>
        <v>103385.74105334218</v>
      </c>
      <c r="T75" s="49">
        <f>(T76)/((1+Assumptions!$B$21)^$E76)+M76/IF(M$3="EOP",((1+Assumptions!$B$21)^$E76),1)</f>
        <v>20677.148210668438</v>
      </c>
      <c r="U75" s="49">
        <f>(U76)/((1+Assumptions!$B$21)^$E76)+N76/IF(N$3="EOP",((1+Assumptions!$B$21)^$E76),1)</f>
        <v>42388.153831870295</v>
      </c>
      <c r="V75" s="49">
        <f>(V76)/((1+Assumptions!$B$21)^$E76)+O76/IF(O$3="EOP",((1+Assumptions!$B$21)^$E76),1)</f>
        <v>4238.8153831870295</v>
      </c>
      <c r="W75" s="49">
        <f>(W76)/((1+Assumptions!$B$21)^$E76)+P76/IF(P$3="EOP",((1+Assumptions!$B$21)^$E76),1)</f>
        <v>16955.261532748118</v>
      </c>
      <c r="X75" s="49">
        <f>(X76)/((1+Assumptions!$B$21)^$E76)+Q76/IF(Q$3="EOP",((1+Assumptions!$B$21)^$E76),1)</f>
        <v>10338.574105334219</v>
      </c>
      <c r="Y75" s="53">
        <f t="shared" si="14"/>
        <v>-63789.002229912134</v>
      </c>
      <c r="Z75" s="52">
        <f>H76*Assumptions!$B$7*Assumptions!$B$25/$E76/12</f>
        <v>4056.4215606579842</v>
      </c>
      <c r="AA75" s="49">
        <f>Z75*Assumptions!$B$11</f>
        <v>811.28431213159683</v>
      </c>
      <c r="AB75" s="54">
        <f t="shared" si="19"/>
        <v>3245.1372485263873</v>
      </c>
      <c r="AC75" s="89">
        <f t="shared" si="20"/>
        <v>-60543.864981385748</v>
      </c>
      <c r="AD75" s="89">
        <f>Assumptions!$B$23*R75</f>
        <v>31791.115373902721</v>
      </c>
      <c r="AE75" s="89">
        <f t="shared" si="22"/>
        <v>-28752.749607483027</v>
      </c>
    </row>
    <row r="76" spans="1:31" x14ac:dyDescent="0.25">
      <c r="A76" s="44">
        <f t="shared" si="21"/>
        <v>71</v>
      </c>
      <c r="B76" s="45" t="s">
        <v>29</v>
      </c>
      <c r="C76" s="48">
        <f t="shared" si="12"/>
        <v>456</v>
      </c>
      <c r="D76" s="47">
        <f t="shared" si="13"/>
        <v>38</v>
      </c>
      <c r="E76" s="47">
        <f t="shared" si="15"/>
        <v>1</v>
      </c>
      <c r="F76" s="48">
        <f t="shared" si="16"/>
        <v>1</v>
      </c>
      <c r="G76" s="49">
        <f>(G75*($K75/$K74)-L75)*(1+Assumptions!$B$15)^$F76</f>
        <v>4516118.8024890786</v>
      </c>
      <c r="H76" s="49">
        <f>$H$6/$G$6*G76*(1+Assumptions!$B$16)^INT((C76-1)/12)*IF(B76="Monthly",1,12)</f>
        <v>77883.293964633296</v>
      </c>
      <c r="I76" s="50">
        <f>Assumptions!$B$14</f>
        <v>0.15</v>
      </c>
      <c r="J76" s="50">
        <f t="shared" si="17"/>
        <v>0.15000000000000002</v>
      </c>
      <c r="K76" s="51">
        <f t="shared" si="18"/>
        <v>2.0793096884310484E-3</v>
      </c>
      <c r="L76" s="52">
        <f>H76*Assumptions!$B$7</f>
        <v>38941.646982316648</v>
      </c>
      <c r="M76" s="49">
        <f>L76*Assumptions!$B$11</f>
        <v>7788.3293964633303</v>
      </c>
      <c r="N76" s="49">
        <f>H76*Assumptions!$B$11</f>
        <v>15576.658792926661</v>
      </c>
      <c r="O76" s="49">
        <f>N76*Assumptions!$B$12</f>
        <v>1557.6658792926662</v>
      </c>
      <c r="P76" s="49">
        <f>H76*Assumptions!$B$9</f>
        <v>6230.6635171706639</v>
      </c>
      <c r="Q76" s="49">
        <f>H76*Assumptions!$B$8</f>
        <v>3894.1646982316652</v>
      </c>
      <c r="R76" s="52">
        <f>(R77)/((1+Assumptions!$B$21)^$E77)+H77/IF(H$3="EOP",((1+Assumptions!$B$21)^$E77),1)</f>
        <v>137408.91207458611</v>
      </c>
      <c r="S76" s="49">
        <f>(S77)/((1+Assumptions!$B$21)^$E77)+L77/IF(L$3="EOP",((1+Assumptions!$B$21)^$E77),1)</f>
        <v>67028.737597359082</v>
      </c>
      <c r="T76" s="49">
        <f>(T77)/((1+Assumptions!$B$21)^$E77)+M77/IF(M$3="EOP",((1+Assumptions!$B$21)^$E77),1)</f>
        <v>13405.747519471817</v>
      </c>
      <c r="U76" s="49">
        <f>(U77)/((1+Assumptions!$B$21)^$E77)+N77/IF(N$3="EOP",((1+Assumptions!$B$21)^$E77),1)</f>
        <v>27481.782414917223</v>
      </c>
      <c r="V76" s="49">
        <f>(V77)/((1+Assumptions!$B$21)^$E77)+O77/IF(O$3="EOP",((1+Assumptions!$B$21)^$E77),1)</f>
        <v>2748.1782414917225</v>
      </c>
      <c r="W76" s="49">
        <f>(W77)/((1+Assumptions!$B$21)^$E77)+P77/IF(P$3="EOP",((1+Assumptions!$B$21)^$E77),1)</f>
        <v>10992.71296596689</v>
      </c>
      <c r="X76" s="49">
        <f>(X77)/((1+Assumptions!$B$21)^$E77)+Q77/IF(Q$3="EOP",((1+Assumptions!$B$21)^$E77),1)</f>
        <v>6702.8737597359086</v>
      </c>
      <c r="Y76" s="53">
        <f t="shared" si="14"/>
        <v>-41356.731097570555</v>
      </c>
      <c r="Z76" s="52">
        <f>H77*Assumptions!$B$7*Assumptions!$B$25/$E77/12</f>
        <v>3759.7393880184682</v>
      </c>
      <c r="AA76" s="49">
        <f>Z76*Assumptions!$B$11</f>
        <v>751.94787760369366</v>
      </c>
      <c r="AB76" s="54">
        <f t="shared" si="19"/>
        <v>3007.7915104147746</v>
      </c>
      <c r="AC76" s="89">
        <f t="shared" si="20"/>
        <v>-38348.939587155779</v>
      </c>
      <c r="AD76" s="89">
        <f>Assumptions!$B$23*R76</f>
        <v>20611.336811187917</v>
      </c>
      <c r="AE76" s="89">
        <f t="shared" si="22"/>
        <v>-17737.602775967862</v>
      </c>
    </row>
    <row r="77" spans="1:31" x14ac:dyDescent="0.25">
      <c r="A77" s="44">
        <f t="shared" si="21"/>
        <v>72</v>
      </c>
      <c r="B77" s="45" t="s">
        <v>29</v>
      </c>
      <c r="C77" s="48">
        <f t="shared" si="12"/>
        <v>468</v>
      </c>
      <c r="D77" s="47">
        <f t="shared" si="13"/>
        <v>39</v>
      </c>
      <c r="E77" s="47">
        <f t="shared" si="15"/>
        <v>1</v>
      </c>
      <c r="F77" s="48">
        <f t="shared" si="16"/>
        <v>1</v>
      </c>
      <c r="G77" s="49">
        <f>(G76*($K76/$K75)-L76)*(1+Assumptions!$B$15)^$F77</f>
        <v>3875754.5218360685</v>
      </c>
      <c r="H77" s="49">
        <f>$H$6/$G$6*G77*(1+Assumptions!$B$16)^INT((C77-1)/12)*IF(B77="Monthly",1,12)</f>
        <v>72186.996249954595</v>
      </c>
      <c r="I77" s="50">
        <f>Assumptions!$B$14</f>
        <v>0.15</v>
      </c>
      <c r="J77" s="50">
        <f t="shared" si="17"/>
        <v>0.15000000000000002</v>
      </c>
      <c r="K77" s="51">
        <f t="shared" si="18"/>
        <v>1.7674132351663911E-3</v>
      </c>
      <c r="L77" s="52">
        <f>H77*Assumptions!$B$7</f>
        <v>36093.498124977297</v>
      </c>
      <c r="M77" s="49">
        <f>L77*Assumptions!$B$11</f>
        <v>7218.69962499546</v>
      </c>
      <c r="N77" s="49">
        <f>H77*Assumptions!$B$11</f>
        <v>14437.39924999092</v>
      </c>
      <c r="O77" s="49">
        <f>N77*Assumptions!$B$12</f>
        <v>1443.7399249990922</v>
      </c>
      <c r="P77" s="49">
        <f>H77*Assumptions!$B$9</f>
        <v>5774.9596999963678</v>
      </c>
      <c r="Q77" s="49">
        <f>H77*Assumptions!$B$8</f>
        <v>3609.34981249773</v>
      </c>
      <c r="R77" s="52">
        <f>(R78)/((1+Assumptions!$B$21)^$E78)+H78/IF(H$3="EOP",((1+Assumptions!$B$21)^$E78),1)</f>
        <v>66852.463720247295</v>
      </c>
      <c r="S77" s="49">
        <f>(S78)/((1+Assumptions!$B$21)^$E78)+L78/IF(L$3="EOP",((1+Assumptions!$B$21)^$E78),1)</f>
        <v>32610.957912315756</v>
      </c>
      <c r="T77" s="49">
        <f>(T78)/((1+Assumptions!$B$21)^$E78)+M78/IF(M$3="EOP",((1+Assumptions!$B$21)^$E78),1)</f>
        <v>6522.1915824631515</v>
      </c>
      <c r="U77" s="49">
        <f>(U78)/((1+Assumptions!$B$21)^$E78)+N78/IF(N$3="EOP",((1+Assumptions!$B$21)^$E78),1)</f>
        <v>13370.492744049459</v>
      </c>
      <c r="V77" s="49">
        <f>(V78)/((1+Assumptions!$B$21)^$E78)+O78/IF(O$3="EOP",((1+Assumptions!$B$21)^$E78),1)</f>
        <v>1337.0492744049461</v>
      </c>
      <c r="W77" s="49">
        <f>(W78)/((1+Assumptions!$B$21)^$E78)+P78/IF(P$3="EOP",((1+Assumptions!$B$21)^$E78),1)</f>
        <v>5348.1970976197836</v>
      </c>
      <c r="X77" s="49">
        <f>(X78)/((1+Assumptions!$B$21)^$E78)+Q78/IF(Q$3="EOP",((1+Assumptions!$B$21)^$E78),1)</f>
        <v>3261.0957912315757</v>
      </c>
      <c r="Y77" s="53">
        <f t="shared" si="14"/>
        <v>-20120.961031898816</v>
      </c>
      <c r="Z77" s="52">
        <f>H78*Assumptions!$B$7*Assumptions!$B$25/$E78/12</f>
        <v>3481.8991520962131</v>
      </c>
      <c r="AA77" s="49">
        <f>Z77*Assumptions!$B$11</f>
        <v>696.37983041924269</v>
      </c>
      <c r="AB77" s="54">
        <f t="shared" si="19"/>
        <v>2785.5193216769703</v>
      </c>
      <c r="AC77" s="89">
        <f t="shared" si="20"/>
        <v>-17335.441710221847</v>
      </c>
      <c r="AD77" s="89">
        <f>Assumptions!$B$23*R77</f>
        <v>10027.869558037093</v>
      </c>
      <c r="AE77" s="89">
        <f t="shared" si="22"/>
        <v>-7307.5721521847536</v>
      </c>
    </row>
    <row r="78" spans="1:31" x14ac:dyDescent="0.25">
      <c r="A78" s="44">
        <f t="shared" si="21"/>
        <v>73</v>
      </c>
      <c r="B78" s="45" t="s">
        <v>29</v>
      </c>
      <c r="C78" s="48">
        <f t="shared" si="12"/>
        <v>480</v>
      </c>
      <c r="D78" s="47">
        <f t="shared" si="13"/>
        <v>40</v>
      </c>
      <c r="E78" s="47">
        <f t="shared" si="15"/>
        <v>1</v>
      </c>
      <c r="F78" s="48">
        <f t="shared" si="16"/>
        <v>1</v>
      </c>
      <c r="G78" s="49">
        <f>(G77*($K77/$K76)-L77)*(1+Assumptions!$B$15)^$F78</f>
        <v>3323463.8023443944</v>
      </c>
      <c r="H78" s="49">
        <f>$H$6/$G$6*G78*(1+Assumptions!$B$16)^INT((C78-1)/12)*IF(B78="Monthly",1,12)</f>
        <v>66852.463720247295</v>
      </c>
      <c r="I78" s="50">
        <f>Assumptions!$B$14</f>
        <v>0.15</v>
      </c>
      <c r="J78" s="50">
        <f t="shared" si="17"/>
        <v>0.15000000000000002</v>
      </c>
      <c r="K78" s="55">
        <v>0</v>
      </c>
      <c r="L78" s="52">
        <f>H78*Assumptions!$B$7</f>
        <v>33426.231860123647</v>
      </c>
      <c r="M78" s="49">
        <f>L78*Assumptions!$B$11</f>
        <v>6685.2463720247297</v>
      </c>
      <c r="N78" s="49">
        <f>H78*Assumptions!$B$11</f>
        <v>13370.492744049459</v>
      </c>
      <c r="O78" s="49">
        <f>N78*Assumptions!$B$12</f>
        <v>1337.0492744049461</v>
      </c>
      <c r="P78" s="49">
        <f>H78*Assumptions!$B$9</f>
        <v>5348.1970976197836</v>
      </c>
      <c r="Q78" s="49">
        <f>H78*Assumptions!$B$8</f>
        <v>3342.6231860123648</v>
      </c>
      <c r="R78" s="56">
        <v>0</v>
      </c>
      <c r="S78" s="57">
        <v>0</v>
      </c>
      <c r="T78" s="57">
        <v>0</v>
      </c>
      <c r="U78" s="57">
        <v>0</v>
      </c>
      <c r="V78" s="57">
        <v>0</v>
      </c>
      <c r="W78" s="57">
        <v>0</v>
      </c>
      <c r="X78" s="57">
        <v>0</v>
      </c>
      <c r="Y78" s="53">
        <f t="shared" si="14"/>
        <v>0</v>
      </c>
      <c r="Z78" s="56">
        <v>0</v>
      </c>
      <c r="AA78" s="57">
        <v>0</v>
      </c>
      <c r="AB78" s="58">
        <v>0</v>
      </c>
      <c r="AC78" s="89">
        <f t="shared" si="20"/>
        <v>0</v>
      </c>
      <c r="AD78" s="89">
        <f>Assumptions!$B$23*R78</f>
        <v>0</v>
      </c>
      <c r="AE78" s="89">
        <f t="shared" si="22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G78"/>
  <sheetViews>
    <sheetView showGridLines="0" zoomScale="85" zoomScaleNormal="8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defaultColWidth="9.33203125" defaultRowHeight="13.5" x14ac:dyDescent="0.25"/>
  <cols>
    <col min="1" max="2" width="11.83203125" style="1" customWidth="1"/>
    <col min="3" max="4" width="12.33203125" style="1" customWidth="1"/>
    <col min="5" max="5" width="11.83203125" style="1" customWidth="1"/>
    <col min="6" max="6" width="13.83203125" style="1" customWidth="1"/>
    <col min="7" max="7" width="14.6640625" style="1" customWidth="1"/>
    <col min="8" max="10" width="13.5" style="1" customWidth="1"/>
    <col min="11" max="11" width="13.83203125" style="1" customWidth="1"/>
    <col min="12" max="12" width="13.6640625" style="1" bestFit="1" customWidth="1"/>
    <col min="13" max="13" width="15.1640625" style="1" customWidth="1"/>
    <col min="14" max="16" width="14.83203125" style="1" customWidth="1"/>
    <col min="17" max="17" width="15.6640625" style="1" customWidth="1"/>
    <col min="18" max="24" width="14.33203125" style="1" customWidth="1"/>
    <col min="25" max="25" width="14.5" style="1" customWidth="1"/>
    <col min="26" max="28" width="9.6640625" style="1" customWidth="1"/>
    <col min="29" max="31" width="14.6640625" style="1" bestFit="1" customWidth="1"/>
    <col min="32" max="32" width="12.6640625" style="1" bestFit="1" customWidth="1"/>
    <col min="33" max="33" width="10.83203125" style="1" bestFit="1" customWidth="1"/>
    <col min="34" max="16384" width="9.33203125" style="1"/>
  </cols>
  <sheetData>
    <row r="1" spans="1:33" x14ac:dyDescent="0.25">
      <c r="H1" s="2"/>
      <c r="I1" s="2"/>
      <c r="J1" s="2"/>
      <c r="L1" s="3"/>
      <c r="R1" s="3"/>
      <c r="Y1" s="4"/>
      <c r="AB1" s="5"/>
      <c r="AC1" s="88"/>
      <c r="AD1" s="4"/>
      <c r="AE1" s="4"/>
    </row>
    <row r="2" spans="1:33" x14ac:dyDescent="0.25">
      <c r="G2" s="6"/>
      <c r="H2" s="2"/>
      <c r="I2" s="2"/>
      <c r="J2" s="2"/>
      <c r="L2" s="3"/>
      <c r="R2" s="3"/>
      <c r="Y2" s="4"/>
      <c r="AB2" s="5"/>
      <c r="AC2" s="4"/>
      <c r="AD2" s="4"/>
      <c r="AE2" s="4"/>
    </row>
    <row r="3" spans="1:33" s="15" customFormat="1" x14ac:dyDescent="0.25">
      <c r="A3" s="7" t="s">
        <v>43</v>
      </c>
      <c r="B3" s="8"/>
      <c r="C3" s="8"/>
      <c r="D3" s="8"/>
      <c r="E3" s="8"/>
      <c r="F3" s="9" t="s">
        <v>25</v>
      </c>
      <c r="G3" s="9" t="s">
        <v>25</v>
      </c>
      <c r="H3" s="9" t="s">
        <v>25</v>
      </c>
      <c r="I3" s="10"/>
      <c r="J3" s="10"/>
      <c r="K3" s="11" t="s">
        <v>26</v>
      </c>
      <c r="L3" s="12" t="s">
        <v>26</v>
      </c>
      <c r="M3" s="11" t="s">
        <v>26</v>
      </c>
      <c r="N3" s="9" t="s">
        <v>25</v>
      </c>
      <c r="O3" s="9" t="s">
        <v>25</v>
      </c>
      <c r="P3" s="9" t="s">
        <v>25</v>
      </c>
      <c r="Q3" s="11" t="s">
        <v>26</v>
      </c>
      <c r="R3" s="12" t="s">
        <v>26</v>
      </c>
      <c r="S3" s="11" t="s">
        <v>26</v>
      </c>
      <c r="T3" s="11" t="s">
        <v>26</v>
      </c>
      <c r="U3" s="11" t="s">
        <v>26</v>
      </c>
      <c r="V3" s="11" t="s">
        <v>26</v>
      </c>
      <c r="W3" s="11" t="s">
        <v>26</v>
      </c>
      <c r="X3" s="11" t="s">
        <v>26</v>
      </c>
      <c r="Y3" s="13" t="s">
        <v>26</v>
      </c>
      <c r="Z3" s="12" t="s">
        <v>26</v>
      </c>
      <c r="AA3" s="11" t="s">
        <v>26</v>
      </c>
      <c r="AB3" s="14" t="s">
        <v>26</v>
      </c>
      <c r="AC3" s="13" t="s">
        <v>26</v>
      </c>
      <c r="AD3" s="13" t="s">
        <v>26</v>
      </c>
      <c r="AE3" s="13" t="s">
        <v>26</v>
      </c>
    </row>
    <row r="4" spans="1:33" s="20" customFormat="1" ht="76.5" customHeight="1" x14ac:dyDescent="0.25">
      <c r="A4" s="16" t="s">
        <v>23</v>
      </c>
      <c r="B4" s="16" t="s">
        <v>27</v>
      </c>
      <c r="C4" s="16" t="s">
        <v>21</v>
      </c>
      <c r="D4" s="16" t="s">
        <v>22</v>
      </c>
      <c r="E4" s="16" t="s">
        <v>20</v>
      </c>
      <c r="F4" s="16" t="s">
        <v>24</v>
      </c>
      <c r="G4" s="16" t="s">
        <v>53</v>
      </c>
      <c r="H4" s="16" t="s">
        <v>54</v>
      </c>
      <c r="I4" s="16" t="s">
        <v>48</v>
      </c>
      <c r="J4" s="16" t="s">
        <v>49</v>
      </c>
      <c r="K4" s="16" t="s">
        <v>50</v>
      </c>
      <c r="L4" s="17" t="s">
        <v>55</v>
      </c>
      <c r="M4" s="16" t="s">
        <v>56</v>
      </c>
      <c r="N4" s="16" t="s">
        <v>57</v>
      </c>
      <c r="O4" s="16" t="s">
        <v>58</v>
      </c>
      <c r="P4" s="16" t="s">
        <v>59</v>
      </c>
      <c r="Q4" s="16" t="s">
        <v>70</v>
      </c>
      <c r="R4" s="17" t="str">
        <f>"PV of Modelled "&amp;H4</f>
        <v>PV of Modelled Office Premium
$</v>
      </c>
      <c r="S4" s="16" t="str">
        <f t="shared" ref="S4:X4" si="0">"PV of Modelled "&amp;L4</f>
        <v>PV of Modelled Gross Claim Incurred
$</v>
      </c>
      <c r="T4" s="16" t="str">
        <f t="shared" si="0"/>
        <v>PV of Modelled Reinsurance Recovery Incurred
$</v>
      </c>
      <c r="U4" s="16" t="str">
        <f t="shared" si="0"/>
        <v>PV of Modelled Gross Reinsurance Premium
$</v>
      </c>
      <c r="V4" s="16" t="str">
        <f t="shared" si="0"/>
        <v>PV of Modelled Reinsurance Commission
$</v>
      </c>
      <c r="W4" s="16" t="str">
        <f t="shared" si="0"/>
        <v>PV of Modelled Advisor Commission
$</v>
      </c>
      <c r="X4" s="16" t="str">
        <f t="shared" si="0"/>
        <v>PV of Modelled Maintenance Expenses
$</v>
      </c>
      <c r="Y4" s="17" t="s">
        <v>71</v>
      </c>
      <c r="Z4" s="17" t="s">
        <v>60</v>
      </c>
      <c r="AA4" s="16" t="s">
        <v>61</v>
      </c>
      <c r="AB4" s="19" t="s">
        <v>62</v>
      </c>
      <c r="AC4" s="18" t="s">
        <v>72</v>
      </c>
      <c r="AD4" s="18" t="s">
        <v>74</v>
      </c>
      <c r="AE4" s="18" t="s">
        <v>73</v>
      </c>
    </row>
    <row r="5" spans="1:33" s="21" customFormat="1" x14ac:dyDescent="0.25">
      <c r="C5" s="91">
        <v>0</v>
      </c>
      <c r="D5" s="22">
        <f>C5/12</f>
        <v>0</v>
      </c>
      <c r="E5" s="23"/>
      <c r="G5" s="24"/>
      <c r="H5" s="24"/>
      <c r="I5" s="24"/>
      <c r="J5" s="24"/>
      <c r="K5" s="25">
        <v>1</v>
      </c>
      <c r="L5" s="26"/>
      <c r="M5" s="24"/>
      <c r="N5" s="24"/>
      <c r="O5" s="24"/>
      <c r="P5" s="24"/>
      <c r="Q5" s="24"/>
      <c r="R5" s="26">
        <f>(R6)/((1+Assumptions!$B$21)^$E6)+H6/IF(H$3="EOP",((1+Assumptions!$B$21)^$E6),1)</f>
        <v>10883737.126856305</v>
      </c>
      <c r="S5" s="27">
        <f>(S6)/((1+Assumptions!$B$21)^$E6)+L6/IF(L$3="EOP",((1+Assumptions!$B$21)^$E6),1)</f>
        <v>5840911.4474988515</v>
      </c>
      <c r="T5" s="27">
        <f>(T6)/((1+Assumptions!$B$21)^$E6)+M6/IF(M$3="EOP",((1+Assumptions!$B$21)^$E6),1)</f>
        <v>1168182.2894997706</v>
      </c>
      <c r="U5" s="27">
        <f>(U6)/((1+Assumptions!$B$21)^$E6)+N6/IF(N$3="EOP",((1+Assumptions!$B$21)^$E6),1)</f>
        <v>2176747.425371259</v>
      </c>
      <c r="V5" s="27">
        <f>(V6)/((1+Assumptions!$B$21)^$E6)+O6/IF(O$3="EOP",((1+Assumptions!$B$21)^$E6),1)</f>
        <v>217674.7425371258</v>
      </c>
      <c r="W5" s="27">
        <f>(W6)/((1+Assumptions!$B$21)^$E6)+P6/IF(P$3="EOP",((1+Assumptions!$B$21)^$E6),1)</f>
        <v>870698.9701485032</v>
      </c>
      <c r="X5" s="27">
        <f>(X6)/((1+Assumptions!$B$21)^$E6)+Q6/IF(Q$3="EOP",((1+Assumptions!$B$21)^$E6),1)</f>
        <v>533731.69871817855</v>
      </c>
      <c r="Y5" s="28">
        <f>-R5+S5-T5+U5-V5+W5+X5</f>
        <v>-2847504.6171564087</v>
      </c>
      <c r="Z5" s="94">
        <f>H6*Assumptions!$B$7*Assumptions!$B$25/$E6/12*(1+Assumptions!$K$8)</f>
        <v>72916.666666666672</v>
      </c>
      <c r="AA5" s="27">
        <f>Z5*Assumptions!$B$11</f>
        <v>14583.333333333336</v>
      </c>
      <c r="AB5" s="29">
        <f>Z5-AA5</f>
        <v>58333.333333333336</v>
      </c>
      <c r="AC5" s="87">
        <f>Y5+AB5</f>
        <v>-2789171.2838230752</v>
      </c>
      <c r="AD5" s="87">
        <f>Assumptions!$B$23*R5</f>
        <v>1632560.5690284458</v>
      </c>
      <c r="AE5" s="87">
        <f>AC5+AD5</f>
        <v>-1156610.7147946295</v>
      </c>
      <c r="AG5" s="24"/>
    </row>
    <row r="6" spans="1:33" x14ac:dyDescent="0.25">
      <c r="A6" s="1">
        <v>1</v>
      </c>
      <c r="B6" s="30" t="s">
        <v>28</v>
      </c>
      <c r="C6" s="31">
        <f>C5+1</f>
        <v>1</v>
      </c>
      <c r="D6" s="32">
        <f t="shared" ref="D6:D69" si="1">C6/12</f>
        <v>8.3333333333333329E-2</v>
      </c>
      <c r="E6" s="32">
        <f>D6-D5</f>
        <v>8.3333333333333329E-2</v>
      </c>
      <c r="F6" s="31">
        <f>IF(E6&lt;1,IF(MOD(C6-1,12)=0,1,0),1)</f>
        <v>1</v>
      </c>
      <c r="G6" s="33">
        <f>Assumptions!$B$19</f>
        <v>1000000000</v>
      </c>
      <c r="H6" s="33">
        <f>Assumptions!$B$18*$E6</f>
        <v>83333.333333333328</v>
      </c>
      <c r="I6" s="34">
        <f>Assumptions!$B$14</f>
        <v>0.15</v>
      </c>
      <c r="J6" s="34">
        <f>1-(1-I6)^$E6</f>
        <v>1.3451947011868914E-2</v>
      </c>
      <c r="K6" s="35">
        <f>K5*(1-J6)</f>
        <v>0.98654805298813109</v>
      </c>
      <c r="L6" s="93">
        <f>H6*Assumptions!$B$7*(1+Assumptions!$K$8)</f>
        <v>58333.333333333328</v>
      </c>
      <c r="M6" s="36">
        <f>L6*Assumptions!$B$11</f>
        <v>11666.666666666666</v>
      </c>
      <c r="N6" s="36">
        <f>H6*Assumptions!$B$11</f>
        <v>16666.666666666668</v>
      </c>
      <c r="O6" s="36">
        <f>N6*Assumptions!$B$12</f>
        <v>1666.666666666667</v>
      </c>
      <c r="P6" s="36">
        <f>H6*Assumptions!$B$9</f>
        <v>6666.6666666666661</v>
      </c>
      <c r="Q6" s="36">
        <f>H6*Assumptions!$B$8</f>
        <v>4166.666666666667</v>
      </c>
      <c r="R6" s="37">
        <f>(R7)/((1+Assumptions!$B$21)^$E7)+H7/IF(H$3="EOP",((1+Assumptions!$B$21)^$E7),1)</f>
        <v>10822650.856985817</v>
      </c>
      <c r="S6" s="36">
        <f>(S7)/((1+Assumptions!$B$21)^$E7)+L7/IF(L$3="EOP",((1+Assumptions!$B$21)^$E7),1)</f>
        <v>5794609.4354140162</v>
      </c>
      <c r="T6" s="36">
        <f>(T7)/((1+Assumptions!$B$21)^$E7)+M7/IF(M$3="EOP",((1+Assumptions!$B$21)^$E7),1)</f>
        <v>1158921.8870828035</v>
      </c>
      <c r="U6" s="36">
        <f>(U7)/((1+Assumptions!$B$21)^$E7)+N7/IF(N$3="EOP",((1+Assumptions!$B$21)^$E7),1)</f>
        <v>2164530.1713971617</v>
      </c>
      <c r="V6" s="36">
        <f>(V7)/((1+Assumptions!$B$21)^$E7)+O7/IF(O$3="EOP",((1+Assumptions!$B$21)^$E7),1)</f>
        <v>216453.01713971604</v>
      </c>
      <c r="W6" s="36">
        <f>(W7)/((1+Assumptions!$B$21)^$E7)+P7/IF(P$3="EOP",((1+Assumptions!$B$21)^$E7),1)</f>
        <v>865812.06855886418</v>
      </c>
      <c r="X6" s="36">
        <f>(X7)/((1+Assumptions!$B$21)^$E7)+Q7/IF(Q$3="EOP",((1+Assumptions!$B$21)^$E7),1)</f>
        <v>530664.43196289637</v>
      </c>
      <c r="Y6" s="38">
        <f t="shared" ref="Y6:Y69" si="2">-R6+S6-T6+U6-V6+W6+X6</f>
        <v>-2842409.6538753984</v>
      </c>
      <c r="Z6" s="93">
        <f>H7*Assumptions!$B$7*Assumptions!$B$25/$E7/12*(1+Assumptions!$K$8)</f>
        <v>71931.542058162333</v>
      </c>
      <c r="AA6" s="36">
        <f>Z6*Assumptions!$B$11</f>
        <v>14386.308411632468</v>
      </c>
      <c r="AB6" s="39">
        <f>Z6-AA6</f>
        <v>57545.233646529865</v>
      </c>
      <c r="AC6" s="88">
        <f>Y6+AB6</f>
        <v>-2784864.4202288687</v>
      </c>
      <c r="AD6" s="88">
        <f>Assumptions!$B$23*R6</f>
        <v>1623397.6285478724</v>
      </c>
      <c r="AE6" s="88">
        <f>AC6+AD6</f>
        <v>-1161466.7916809963</v>
      </c>
    </row>
    <row r="7" spans="1:33" x14ac:dyDescent="0.25">
      <c r="A7" s="1">
        <f>A6+1</f>
        <v>2</v>
      </c>
      <c r="B7" s="30" t="s">
        <v>28</v>
      </c>
      <c r="C7" s="31">
        <f t="shared" ref="C7:C41" si="3">C6+1</f>
        <v>2</v>
      </c>
      <c r="D7" s="32">
        <f t="shared" si="1"/>
        <v>0.16666666666666666</v>
      </c>
      <c r="E7" s="32">
        <f t="shared" ref="E7:E70" si="4">D7-D6</f>
        <v>8.3333333333333329E-2</v>
      </c>
      <c r="F7" s="31">
        <f t="shared" ref="F7:F70" si="5">IF(E7&lt;1,IF(MOD(C7-1,12)=0,1,0),1)</f>
        <v>0</v>
      </c>
      <c r="G7" s="36">
        <f>(G6*($K6/$K5)-L6)*(1+Assumptions!$B$15)^$F7</f>
        <v>986489719.65479767</v>
      </c>
      <c r="H7" s="36">
        <f>$H$6/$G$6*G7*(1+Assumptions!$B$16)^INT((C7-1)/12)*IF(B7="Monthly",1,12)</f>
        <v>82207.476637899803</v>
      </c>
      <c r="I7" s="40">
        <f>Assumptions!$B$14</f>
        <v>0.15</v>
      </c>
      <c r="J7" s="40">
        <f t="shared" ref="J7:J70" si="6">1-(1-I7)^$E7</f>
        <v>1.3451947011868914E-2</v>
      </c>
      <c r="K7" s="35">
        <f t="shared" ref="K7:K70" si="7">K6*(1-J7)</f>
        <v>0.97327706085467225</v>
      </c>
      <c r="L7" s="93">
        <f>H7*Assumptions!$B$7*(1+Assumptions!$K$8)</f>
        <v>57545.233646529858</v>
      </c>
      <c r="M7" s="36">
        <f>L7*Assumptions!$B$11</f>
        <v>11509.046729305972</v>
      </c>
      <c r="N7" s="36">
        <f>H7*Assumptions!$B$11</f>
        <v>16441.49532757996</v>
      </c>
      <c r="O7" s="36">
        <f>N7*Assumptions!$B$12</f>
        <v>1644.149532757996</v>
      </c>
      <c r="P7" s="36">
        <f>H7*Assumptions!$B$9</f>
        <v>6576.5981310319839</v>
      </c>
      <c r="Q7" s="36">
        <f>H7*Assumptions!$B$8</f>
        <v>4110.37383189499</v>
      </c>
      <c r="R7" s="37">
        <f>(R8)/((1+Assumptions!$B$21)^$E8)+H8/IF(H$3="EOP",((1+Assumptions!$B$21)^$E8),1)</f>
        <v>10762566.93517695</v>
      </c>
      <c r="S7" s="36">
        <f>(S8)/((1+Assumptions!$B$21)^$E8)+L8/IF(L$3="EOP",((1+Assumptions!$B$21)^$E8),1)</f>
        <v>5749000.1484521255</v>
      </c>
      <c r="T7" s="36">
        <f>(T8)/((1+Assumptions!$B$21)^$E8)+M8/IF(M$3="EOP",((1+Assumptions!$B$21)^$E8),1)</f>
        <v>1149800.0296904254</v>
      </c>
      <c r="U7" s="36">
        <f>(U8)/((1+Assumptions!$B$21)^$E8)+N8/IF(N$3="EOP",((1+Assumptions!$B$21)^$E8),1)</f>
        <v>2152513.3870353885</v>
      </c>
      <c r="V7" s="36">
        <f>(V8)/((1+Assumptions!$B$21)^$E8)+O8/IF(O$3="EOP",((1+Assumptions!$B$21)^$E8),1)</f>
        <v>215251.33870353873</v>
      </c>
      <c r="W7" s="36">
        <f>(W8)/((1+Assumptions!$B$21)^$E8)+P8/IF(P$3="EOP",((1+Assumptions!$B$21)^$E8),1)</f>
        <v>861005.35481415491</v>
      </c>
      <c r="X7" s="36">
        <f>(X8)/((1+Assumptions!$B$21)^$E8)+Q8/IF(Q$3="EOP",((1+Assumptions!$B$21)^$E8),1)</f>
        <v>527647.1399750741</v>
      </c>
      <c r="Y7" s="38">
        <f t="shared" si="2"/>
        <v>-2837452.2732941709</v>
      </c>
      <c r="Z7" s="93">
        <f>H8*Assumptions!$B$7*Assumptions!$B$25/$E8/12*(1+Assumptions!$K$8)</f>
        <v>70959.726759293844</v>
      </c>
      <c r="AA7" s="36">
        <f>Z7*Assumptions!$B$11</f>
        <v>14191.945351858769</v>
      </c>
      <c r="AB7" s="39">
        <f t="shared" ref="AB7:AB70" si="8">Z7-AA7</f>
        <v>56767.781407435075</v>
      </c>
      <c r="AC7" s="88">
        <f t="shared" ref="AC7:AC70" si="9">Y7+AB7</f>
        <v>-2780684.4918867359</v>
      </c>
      <c r="AD7" s="88">
        <f>Assumptions!$B$23*R7</f>
        <v>1614385.0402765425</v>
      </c>
      <c r="AE7" s="88">
        <f>AC7+AD7</f>
        <v>-1166299.4516101934</v>
      </c>
      <c r="AG7" s="92"/>
    </row>
    <row r="8" spans="1:33" x14ac:dyDescent="0.25">
      <c r="A8" s="1">
        <f t="shared" ref="A8:A71" si="10">A7+1</f>
        <v>3</v>
      </c>
      <c r="B8" s="30" t="s">
        <v>28</v>
      </c>
      <c r="C8" s="31">
        <f t="shared" si="3"/>
        <v>3</v>
      </c>
      <c r="D8" s="32">
        <f t="shared" si="1"/>
        <v>0.25</v>
      </c>
      <c r="E8" s="32">
        <f t="shared" si="4"/>
        <v>8.3333333333333343E-2</v>
      </c>
      <c r="F8" s="31">
        <f t="shared" si="5"/>
        <v>0</v>
      </c>
      <c r="G8" s="36">
        <f>(G7*($K7/$K6)-L7)*(1+Assumptions!$B$15)^$F8</f>
        <v>973161966.98460138</v>
      </c>
      <c r="H8" s="36">
        <f>$H$6/$G$6*G8*(1+Assumptions!$B$16)^INT((C8-1)/12)*IF(B8="Monthly",1,12)</f>
        <v>81096.830582050112</v>
      </c>
      <c r="I8" s="40">
        <f>Assumptions!$B$14</f>
        <v>0.15</v>
      </c>
      <c r="J8" s="40">
        <f t="shared" si="6"/>
        <v>1.3451947011868914E-2</v>
      </c>
      <c r="K8" s="35">
        <f t="shared" si="7"/>
        <v>0.96018458940418772</v>
      </c>
      <c r="L8" s="93">
        <f>H8*Assumptions!$B$7*(1+Assumptions!$K$8)</f>
        <v>56767.781407435075</v>
      </c>
      <c r="M8" s="36">
        <f>L8*Assumptions!$B$11</f>
        <v>11353.556281487015</v>
      </c>
      <c r="N8" s="36">
        <f>H8*Assumptions!$B$11</f>
        <v>16219.366116410023</v>
      </c>
      <c r="O8" s="36">
        <f>N8*Assumptions!$B$12</f>
        <v>1621.9366116410024</v>
      </c>
      <c r="P8" s="36">
        <f>H8*Assumptions!$B$9</f>
        <v>6487.7464465640087</v>
      </c>
      <c r="Q8" s="36">
        <f>H8*Assumptions!$B$8</f>
        <v>4054.8415291025058</v>
      </c>
      <c r="R8" s="37">
        <f>(R9)/((1+Assumptions!$B$21)^$E9)+H9/IF(H$3="EOP",((1+Assumptions!$B$21)^$E9),1)</f>
        <v>10703472.184131585</v>
      </c>
      <c r="S8" s="36">
        <f>(S9)/((1+Assumptions!$B$21)^$E9)+L9/IF(L$3="EOP",((1+Assumptions!$B$21)^$E9),1)</f>
        <v>5704074.366065803</v>
      </c>
      <c r="T8" s="36">
        <f>(T9)/((1+Assumptions!$B$21)^$E9)+M9/IF(M$3="EOP",((1+Assumptions!$B$21)^$E9),1)</f>
        <v>1140814.873213161</v>
      </c>
      <c r="U8" s="36">
        <f>(U9)/((1+Assumptions!$B$21)^$E9)+N9/IF(N$3="EOP",((1+Assumptions!$B$21)^$E9),1)</f>
        <v>2140694.4368263157</v>
      </c>
      <c r="V8" s="36">
        <f>(V9)/((1+Assumptions!$B$21)^$E9)+O9/IF(O$3="EOP",((1+Assumptions!$B$21)^$E9),1)</f>
        <v>214069.44368263145</v>
      </c>
      <c r="W8" s="36">
        <f>(W9)/((1+Assumptions!$B$21)^$E9)+P9/IF(P$3="EOP",((1+Assumptions!$B$21)^$E9),1)</f>
        <v>856277.77473052579</v>
      </c>
      <c r="X8" s="36">
        <f>(X9)/((1+Assumptions!$B$21)^$E9)+Q9/IF(Q$3="EOP",((1+Assumptions!$B$21)^$E9),1)</f>
        <v>524679.16516257101</v>
      </c>
      <c r="Y8" s="38">
        <f t="shared" si="2"/>
        <v>-2832630.7582421619</v>
      </c>
      <c r="Z8" s="93">
        <f>H9*Assumptions!$B$7*Assumptions!$B$25/$E9/12*(1+Assumptions!$K$8)</f>
        <v>70001.040957556834</v>
      </c>
      <c r="AA8" s="36">
        <f>Z8*Assumptions!$B$11</f>
        <v>14000.208191511367</v>
      </c>
      <c r="AB8" s="39">
        <f t="shared" si="8"/>
        <v>56000.832766045467</v>
      </c>
      <c r="AC8" s="88">
        <f t="shared" si="9"/>
        <v>-2776629.9254761166</v>
      </c>
      <c r="AD8" s="88">
        <f>Assumptions!$B$23*R8</f>
        <v>1605520.8276197377</v>
      </c>
      <c r="AE8" s="88">
        <f t="shared" ref="AE8:AE71" si="11">AC8+AD8</f>
        <v>-1171109.0978563789</v>
      </c>
    </row>
    <row r="9" spans="1:33" x14ac:dyDescent="0.25">
      <c r="A9" s="1">
        <f t="shared" si="10"/>
        <v>4</v>
      </c>
      <c r="B9" s="30" t="s">
        <v>28</v>
      </c>
      <c r="C9" s="31">
        <f t="shared" si="3"/>
        <v>4</v>
      </c>
      <c r="D9" s="32">
        <f t="shared" si="1"/>
        <v>0.33333333333333331</v>
      </c>
      <c r="E9" s="32">
        <f t="shared" si="4"/>
        <v>8.3333333333333315E-2</v>
      </c>
      <c r="F9" s="31">
        <f t="shared" si="5"/>
        <v>0</v>
      </c>
      <c r="G9" s="36">
        <f>(G8*($K8/$K7)-L8)*(1+Assumptions!$B$15)^$F9</f>
        <v>960014275.98935091</v>
      </c>
      <c r="H9" s="36">
        <f>$H$6/$G$6*G9*(1+Assumptions!$B$16)^INT((C9-1)/12)*IF(B9="Monthly",1,12)</f>
        <v>80001.189665779239</v>
      </c>
      <c r="I9" s="40">
        <f>Assumptions!$B$14</f>
        <v>0.15</v>
      </c>
      <c r="J9" s="40">
        <f t="shared" si="6"/>
        <v>1.3451947011868914E-2</v>
      </c>
      <c r="K9" s="35">
        <f t="shared" si="7"/>
        <v>0.94726823718590947</v>
      </c>
      <c r="L9" s="93">
        <f>H9*Assumptions!$B$7*(1+Assumptions!$K$8)</f>
        <v>56000.832766045467</v>
      </c>
      <c r="M9" s="36">
        <f>L9*Assumptions!$B$11</f>
        <v>11200.166553209094</v>
      </c>
      <c r="N9" s="36">
        <f>H9*Assumptions!$B$11</f>
        <v>16000.237933155848</v>
      </c>
      <c r="O9" s="36">
        <f>N9*Assumptions!$B$12</f>
        <v>1600.023793315585</v>
      </c>
      <c r="P9" s="36">
        <f>H9*Assumptions!$B$9</f>
        <v>6400.0951732623389</v>
      </c>
      <c r="Q9" s="36">
        <f>H9*Assumptions!$B$8</f>
        <v>4000.0594832889619</v>
      </c>
      <c r="R9" s="37">
        <f>(R10)/((1+Assumptions!$B$21)^$E10)+H10/IF(H$3="EOP",((1+Assumptions!$B$21)^$E10),1)</f>
        <v>10645353.605331829</v>
      </c>
      <c r="S9" s="36">
        <f>(S10)/((1+Assumptions!$B$21)^$E10)+L10/IF(L$3="EOP",((1+Assumptions!$B$21)^$E10),1)</f>
        <v>5659822.9925648607</v>
      </c>
      <c r="T9" s="36">
        <f>(T10)/((1+Assumptions!$B$21)^$E10)+M10/IF(M$3="EOP",((1+Assumptions!$B$21)^$E10),1)</f>
        <v>1131964.5985129725</v>
      </c>
      <c r="U9" s="36">
        <f>(U10)/((1+Assumptions!$B$21)^$E10)+N10/IF(N$3="EOP",((1+Assumptions!$B$21)^$E10),1)</f>
        <v>2129070.7210663641</v>
      </c>
      <c r="V9" s="36">
        <f>(V10)/((1+Assumptions!$B$21)^$E10)+O10/IF(O$3="EOP",((1+Assumptions!$B$21)^$E10),1)</f>
        <v>212907.07210663633</v>
      </c>
      <c r="W9" s="36">
        <f>(W10)/((1+Assumptions!$B$21)^$E10)+P10/IF(P$3="EOP",((1+Assumptions!$B$21)^$E10),1)</f>
        <v>851628.28842654533</v>
      </c>
      <c r="X9" s="36">
        <f>(X10)/((1+Assumptions!$B$21)^$E10)+Q10/IF(Q$3="EOP",((1+Assumptions!$B$21)^$E10),1)</f>
        <v>521759.85885371472</v>
      </c>
      <c r="Y9" s="38">
        <f t="shared" si="2"/>
        <v>-2827943.4150399528</v>
      </c>
      <c r="Z9" s="93">
        <f>H10*Assumptions!$B$7*Assumptions!$B$25/$E10/12*(1+Assumptions!$K$8)</f>
        <v>69055.30726976422</v>
      </c>
      <c r="AA9" s="36">
        <f>Z9*Assumptions!$B$11</f>
        <v>13811.061453952845</v>
      </c>
      <c r="AB9" s="39">
        <f t="shared" si="8"/>
        <v>55244.245815811373</v>
      </c>
      <c r="AC9" s="88">
        <f t="shared" si="9"/>
        <v>-2772699.1692241416</v>
      </c>
      <c r="AD9" s="88">
        <f>Assumptions!$B$23*R9</f>
        <v>1596803.0407997742</v>
      </c>
      <c r="AE9" s="88">
        <f t="shared" si="11"/>
        <v>-1175896.1284243674</v>
      </c>
    </row>
    <row r="10" spans="1:33" x14ac:dyDescent="0.25">
      <c r="A10" s="1">
        <f t="shared" si="10"/>
        <v>5</v>
      </c>
      <c r="B10" s="30" t="s">
        <v>28</v>
      </c>
      <c r="C10" s="31">
        <f t="shared" si="3"/>
        <v>5</v>
      </c>
      <c r="D10" s="32">
        <f t="shared" si="1"/>
        <v>0.41666666666666669</v>
      </c>
      <c r="E10" s="32">
        <f t="shared" si="4"/>
        <v>8.333333333333337E-2</v>
      </c>
      <c r="F10" s="31">
        <f t="shared" si="5"/>
        <v>0</v>
      </c>
      <c r="G10" s="36">
        <f>(G9*($K9/$K8)-L9)*(1+Assumptions!$B$15)^$F10</f>
        <v>947044213.98533845</v>
      </c>
      <c r="H10" s="36">
        <f>$H$6/$G$6*G10*(1+Assumptions!$B$16)^INT((C10-1)/12)*IF(B10="Monthly",1,12)</f>
        <v>78920.351165444867</v>
      </c>
      <c r="I10" s="40">
        <f>Assumptions!$B$14</f>
        <v>0.15</v>
      </c>
      <c r="J10" s="40">
        <f t="shared" si="6"/>
        <v>1.3451947011868914E-2</v>
      </c>
      <c r="K10" s="35">
        <f t="shared" si="7"/>
        <v>0.93452563505325814</v>
      </c>
      <c r="L10" s="93">
        <f>H10*Assumptions!$B$7*(1+Assumptions!$K$8)</f>
        <v>55244.245815811402</v>
      </c>
      <c r="M10" s="36">
        <f>L10*Assumptions!$B$11</f>
        <v>11048.849163162282</v>
      </c>
      <c r="N10" s="36">
        <f>H10*Assumptions!$B$11</f>
        <v>15784.070233088974</v>
      </c>
      <c r="O10" s="36">
        <f>N10*Assumptions!$B$12</f>
        <v>1578.4070233088976</v>
      </c>
      <c r="P10" s="36">
        <f>H10*Assumptions!$B$9</f>
        <v>6313.6280932355894</v>
      </c>
      <c r="Q10" s="36">
        <f>H10*Assumptions!$B$8</f>
        <v>3946.0175582722436</v>
      </c>
      <c r="R10" s="37">
        <f>(R11)/((1+Assumptions!$B$21)^$E11)+H11/IF(H$3="EOP",((1+Assumptions!$B$21)^$E11),1)</f>
        <v>10588198.376626188</v>
      </c>
      <c r="S10" s="36">
        <f>(S11)/((1+Assumptions!$B$21)^$E11)+L11/IF(L$3="EOP",((1+Assumptions!$B$21)^$E11),1)</f>
        <v>5616237.0554300239</v>
      </c>
      <c r="T10" s="36">
        <f>(T11)/((1+Assumptions!$B$21)^$E11)+M11/IF(M$3="EOP",((1+Assumptions!$B$21)^$E11),1)</f>
        <v>1123247.4110860052</v>
      </c>
      <c r="U10" s="36">
        <f>(U11)/((1+Assumptions!$B$21)^$E11)+N11/IF(N$3="EOP",((1+Assumptions!$B$21)^$E11),1)</f>
        <v>2117639.6753252358</v>
      </c>
      <c r="V10" s="36">
        <f>(V11)/((1+Assumptions!$B$21)^$E11)+O11/IF(O$3="EOP",((1+Assumptions!$B$21)^$E11),1)</f>
        <v>211763.96753252353</v>
      </c>
      <c r="W10" s="36">
        <f>(W11)/((1+Assumptions!$B$21)^$E11)+P11/IF(P$3="EOP",((1+Assumptions!$B$21)^$E11),1)</f>
        <v>847055.87013009412</v>
      </c>
      <c r="X10" s="36">
        <f>(X11)/((1+Assumptions!$B$21)^$E11)+Q11/IF(Q$3="EOP",((1+Assumptions!$B$21)^$E11),1)</f>
        <v>518888.58117685741</v>
      </c>
      <c r="Y10" s="38">
        <f t="shared" si="2"/>
        <v>-2823388.5731825051</v>
      </c>
      <c r="Z10" s="93">
        <f>H11*Assumptions!$B$7*Assumptions!$B$25/$E11/12*(1+Assumptions!$K$8)</f>
        <v>68122.350709225662</v>
      </c>
      <c r="AA10" s="36">
        <f>Z10*Assumptions!$B$11</f>
        <v>13624.470141845133</v>
      </c>
      <c r="AB10" s="39">
        <f t="shared" si="8"/>
        <v>54497.880567380533</v>
      </c>
      <c r="AC10" s="88">
        <f t="shared" si="9"/>
        <v>-2768890.6926151244</v>
      </c>
      <c r="AD10" s="88">
        <f>Assumptions!$B$23*R10</f>
        <v>1588229.7564939281</v>
      </c>
      <c r="AE10" s="88">
        <f t="shared" si="11"/>
        <v>-1180660.9361211963</v>
      </c>
    </row>
    <row r="11" spans="1:33" x14ac:dyDescent="0.25">
      <c r="A11" s="1">
        <f t="shared" si="10"/>
        <v>6</v>
      </c>
      <c r="B11" s="30" t="s">
        <v>28</v>
      </c>
      <c r="C11" s="31">
        <f t="shared" si="3"/>
        <v>6</v>
      </c>
      <c r="D11" s="32">
        <f t="shared" si="1"/>
        <v>0.5</v>
      </c>
      <c r="E11" s="32">
        <f t="shared" si="4"/>
        <v>8.3333333333333315E-2</v>
      </c>
      <c r="F11" s="31">
        <f t="shared" si="5"/>
        <v>0</v>
      </c>
      <c r="G11" s="36">
        <f>(G10*($K10/$K9)-L10)*(1+Assumptions!$B$15)^$F11</f>
        <v>934249381.15509486</v>
      </c>
      <c r="H11" s="36">
        <f>$H$6/$G$6*G11*(1+Assumptions!$B$16)^INT((C11-1)/12)*IF(B11="Monthly",1,12)</f>
        <v>77854.115096257898</v>
      </c>
      <c r="I11" s="40">
        <f>Assumptions!$B$14</f>
        <v>0.15</v>
      </c>
      <c r="J11" s="40">
        <f t="shared" si="6"/>
        <v>1.3451947011868914E-2</v>
      </c>
      <c r="K11" s="35">
        <f t="shared" si="7"/>
        <v>0.92195444572928853</v>
      </c>
      <c r="L11" s="93">
        <f>H11*Assumptions!$B$7*(1+Assumptions!$K$8)</f>
        <v>54497.880567380525</v>
      </c>
      <c r="M11" s="36">
        <f>L11*Assumptions!$B$11</f>
        <v>10899.576113476105</v>
      </c>
      <c r="N11" s="36">
        <f>H11*Assumptions!$B$11</f>
        <v>15570.82301925158</v>
      </c>
      <c r="O11" s="36">
        <f>N11*Assumptions!$B$12</f>
        <v>1557.0823019251582</v>
      </c>
      <c r="P11" s="36">
        <f>H11*Assumptions!$B$9</f>
        <v>6228.3292077006317</v>
      </c>
      <c r="Q11" s="36">
        <f>H11*Assumptions!$B$8</f>
        <v>3892.7057548128951</v>
      </c>
      <c r="R11" s="37">
        <f>(R12)/((1+Assumptions!$B$21)^$E12)+H12/IF(H$3="EOP",((1+Assumptions!$B$21)^$E12),1)</f>
        <v>10531993.849848364</v>
      </c>
      <c r="S11" s="36">
        <f>(S12)/((1+Assumptions!$B$21)^$E12)+L12/IF(L$3="EOP",((1+Assumptions!$B$21)^$E12),1)</f>
        <v>5573307.7036494529</v>
      </c>
      <c r="T11" s="36">
        <f>(T12)/((1+Assumptions!$B$21)^$E12)+M12/IF(M$3="EOP",((1+Assumptions!$B$21)^$E12),1)</f>
        <v>1114661.540729891</v>
      </c>
      <c r="U11" s="36">
        <f>(U12)/((1+Assumptions!$B$21)^$E12)+N12/IF(N$3="EOP",((1+Assumptions!$B$21)^$E12),1)</f>
        <v>2106398.7699696706</v>
      </c>
      <c r="V11" s="36">
        <f>(V12)/((1+Assumptions!$B$21)^$E12)+O12/IF(O$3="EOP",((1+Assumptions!$B$21)^$E12),1)</f>
        <v>210639.87699696701</v>
      </c>
      <c r="W11" s="36">
        <f>(W12)/((1+Assumptions!$B$21)^$E12)+P12/IF(P$3="EOP",((1+Assumptions!$B$21)^$E12),1)</f>
        <v>842559.50798786804</v>
      </c>
      <c r="X11" s="36">
        <f>(X12)/((1+Assumptions!$B$21)^$E12)+Q12/IF(Q$3="EOP",((1+Assumptions!$B$21)^$E12),1)</f>
        <v>516064.7009415598</v>
      </c>
      <c r="Y11" s="38">
        <f t="shared" si="2"/>
        <v>-2818964.5850266698</v>
      </c>
      <c r="Z11" s="93">
        <f>H12*Assumptions!$B$7*Assumptions!$B$25/$E12/12*(1+Assumptions!$K$8)</f>
        <v>67201.998653369796</v>
      </c>
      <c r="AA11" s="36">
        <f>Z11*Assumptions!$B$11</f>
        <v>13440.39973067396</v>
      </c>
      <c r="AB11" s="39">
        <f t="shared" si="8"/>
        <v>53761.598922695834</v>
      </c>
      <c r="AC11" s="88">
        <f t="shared" si="9"/>
        <v>-2765202.9861039738</v>
      </c>
      <c r="AD11" s="88">
        <f>Assumptions!$B$23*R11</f>
        <v>1579799.0774772544</v>
      </c>
      <c r="AE11" s="88">
        <f t="shared" si="11"/>
        <v>-1185403.9086267194</v>
      </c>
    </row>
    <row r="12" spans="1:33" x14ac:dyDescent="0.25">
      <c r="A12" s="1">
        <f t="shared" si="10"/>
        <v>7</v>
      </c>
      <c r="B12" s="30" t="s">
        <v>28</v>
      </c>
      <c r="C12" s="31">
        <f t="shared" si="3"/>
        <v>7</v>
      </c>
      <c r="D12" s="32">
        <f t="shared" si="1"/>
        <v>0.58333333333333337</v>
      </c>
      <c r="E12" s="32">
        <f t="shared" si="4"/>
        <v>8.333333333333337E-2</v>
      </c>
      <c r="F12" s="31">
        <f t="shared" si="5"/>
        <v>0</v>
      </c>
      <c r="G12" s="36">
        <f>(G11*($K11/$K10)-L11)*(1+Assumptions!$B$15)^$F12</f>
        <v>921627410.10335779</v>
      </c>
      <c r="H12" s="36">
        <f>$H$6/$G$6*G12*(1+Assumptions!$B$16)^INT((C12-1)/12)*IF(B12="Monthly",1,12)</f>
        <v>76802.284175279812</v>
      </c>
      <c r="I12" s="40">
        <f>Assumptions!$B$14</f>
        <v>0.15</v>
      </c>
      <c r="J12" s="40">
        <f t="shared" si="6"/>
        <v>1.3451947011868914E-2</v>
      </c>
      <c r="K12" s="35">
        <f t="shared" si="7"/>
        <v>0.90955236337798118</v>
      </c>
      <c r="L12" s="93">
        <f>H12*Assumptions!$B$7*(1+Assumptions!$K$8)</f>
        <v>53761.598922695863</v>
      </c>
      <c r="M12" s="36">
        <f>L12*Assumptions!$B$11</f>
        <v>10752.319784539173</v>
      </c>
      <c r="N12" s="36">
        <f>H12*Assumptions!$B$11</f>
        <v>15360.456835055964</v>
      </c>
      <c r="O12" s="36">
        <f>N12*Assumptions!$B$12</f>
        <v>1536.0456835055966</v>
      </c>
      <c r="P12" s="36">
        <f>H12*Assumptions!$B$9</f>
        <v>6144.1827340223854</v>
      </c>
      <c r="Q12" s="36">
        <f>H12*Assumptions!$B$8</f>
        <v>3840.114208763991</v>
      </c>
      <c r="R12" s="37">
        <f>(R13)/((1+Assumptions!$B$21)^$E13)+H13/IF(H$3="EOP",((1+Assumptions!$B$21)^$E13),1)</f>
        <v>10476727.54846821</v>
      </c>
      <c r="S12" s="36">
        <f>(S13)/((1+Assumptions!$B$21)^$E13)+L13/IF(L$3="EOP",((1+Assumptions!$B$21)^$E13),1)</f>
        <v>5531026.2060777284</v>
      </c>
      <c r="T12" s="36">
        <f>(T13)/((1+Assumptions!$B$21)^$E13)+M13/IF(M$3="EOP",((1+Assumptions!$B$21)^$E13),1)</f>
        <v>1106205.2412155459</v>
      </c>
      <c r="U12" s="36">
        <f>(U13)/((1+Assumptions!$B$21)^$E13)+N13/IF(N$3="EOP",((1+Assumptions!$B$21)^$E13),1)</f>
        <v>2095345.5096936398</v>
      </c>
      <c r="V12" s="36">
        <f>(V13)/((1+Assumptions!$B$21)^$E13)+O13/IF(O$3="EOP",((1+Assumptions!$B$21)^$E13),1)</f>
        <v>209534.55096936395</v>
      </c>
      <c r="W12" s="36">
        <f>(W13)/((1+Assumptions!$B$21)^$E13)+P13/IF(P$3="EOP",((1+Assumptions!$B$21)^$E13),1)</f>
        <v>838138.20387745579</v>
      </c>
      <c r="X12" s="36">
        <f>(X13)/((1+Assumptions!$B$21)^$E13)+Q13/IF(Q$3="EOP",((1+Assumptions!$B$21)^$E13),1)</f>
        <v>513287.59552138078</v>
      </c>
      <c r="Y12" s="38">
        <f t="shared" si="2"/>
        <v>-2814669.8254829147</v>
      </c>
      <c r="Z12" s="93">
        <f>H13*Assumptions!$B$7*Assumptions!$B$25/$E13/12*(1+Assumptions!$K$8)</f>
        <v>66294.080811804961</v>
      </c>
      <c r="AA12" s="36">
        <f>Z12*Assumptions!$B$11</f>
        <v>13258.816162360992</v>
      </c>
      <c r="AB12" s="39">
        <f t="shared" si="8"/>
        <v>53035.264649443969</v>
      </c>
      <c r="AC12" s="88">
        <f t="shared" si="9"/>
        <v>-2761634.5608334709</v>
      </c>
      <c r="AD12" s="88">
        <f>Assumptions!$B$23*R12</f>
        <v>1571509.1322702314</v>
      </c>
      <c r="AE12" s="88">
        <f t="shared" si="11"/>
        <v>-1190125.4285632395</v>
      </c>
    </row>
    <row r="13" spans="1:33" x14ac:dyDescent="0.25">
      <c r="A13" s="1">
        <f t="shared" si="10"/>
        <v>8</v>
      </c>
      <c r="B13" s="30" t="s">
        <v>28</v>
      </c>
      <c r="C13" s="31">
        <f t="shared" si="3"/>
        <v>8</v>
      </c>
      <c r="D13" s="32">
        <f t="shared" si="1"/>
        <v>0.66666666666666663</v>
      </c>
      <c r="E13" s="32">
        <f t="shared" si="4"/>
        <v>8.3333333333333259E-2</v>
      </c>
      <c r="F13" s="31">
        <f t="shared" si="5"/>
        <v>0</v>
      </c>
      <c r="G13" s="36">
        <f>(G12*($K12/$K11)-L12)*(1+Assumptions!$B$15)^$F13</f>
        <v>909175965.41903865</v>
      </c>
      <c r="H13" s="36">
        <f>$H$6/$G$6*G13*(1+Assumptions!$B$16)^INT((C13-1)/12)*IF(B13="Monthly",1,12)</f>
        <v>75764.663784919889</v>
      </c>
      <c r="I13" s="40">
        <f>Assumptions!$B$14</f>
        <v>0.15</v>
      </c>
      <c r="J13" s="40">
        <f t="shared" si="6"/>
        <v>1.3451947011868914E-2</v>
      </c>
      <c r="K13" s="35">
        <f t="shared" si="7"/>
        <v>0.89731711318130047</v>
      </c>
      <c r="L13" s="93">
        <f>H13*Assumptions!$B$7*(1+Assumptions!$K$8)</f>
        <v>53035.264649443918</v>
      </c>
      <c r="M13" s="36">
        <f>L13*Assumptions!$B$11</f>
        <v>10607.052929888785</v>
      </c>
      <c r="N13" s="36">
        <f>H13*Assumptions!$B$11</f>
        <v>15152.932756983979</v>
      </c>
      <c r="O13" s="36">
        <f>N13*Assumptions!$B$12</f>
        <v>1515.293275698398</v>
      </c>
      <c r="P13" s="36">
        <f>H13*Assumptions!$B$9</f>
        <v>6061.1731027935912</v>
      </c>
      <c r="Q13" s="36">
        <f>H13*Assumptions!$B$8</f>
        <v>3788.2331892459947</v>
      </c>
      <c r="R13" s="37">
        <f>(R14)/((1+Assumptions!$B$21)^$E14)+H14/IF(H$3="EOP",((1+Assumptions!$B$21)^$E14),1)</f>
        <v>10422387.165274449</v>
      </c>
      <c r="S13" s="36">
        <f>(S14)/((1+Assumptions!$B$21)^$E14)+L14/IF(L$3="EOP",((1+Assumptions!$B$21)^$E14),1)</f>
        <v>5489383.9498170139</v>
      </c>
      <c r="T13" s="36">
        <f>(T14)/((1+Assumptions!$B$21)^$E14)+M14/IF(M$3="EOP",((1+Assumptions!$B$21)^$E14),1)</f>
        <v>1097876.789963403</v>
      </c>
      <c r="U13" s="36">
        <f>(U14)/((1+Assumptions!$B$21)^$E14)+N14/IF(N$3="EOP",((1+Assumptions!$B$21)^$E14),1)</f>
        <v>2084477.4330548877</v>
      </c>
      <c r="V13" s="36">
        <f>(V14)/((1+Assumptions!$B$21)^$E14)+O14/IF(O$3="EOP",((1+Assumptions!$B$21)^$E14),1)</f>
        <v>208447.74330548872</v>
      </c>
      <c r="W13" s="36">
        <f>(W14)/((1+Assumptions!$B$21)^$E14)+P14/IF(P$3="EOP",((1+Assumptions!$B$21)^$E14),1)</f>
        <v>833790.97322195489</v>
      </c>
      <c r="X13" s="36">
        <f>(X14)/((1+Assumptions!$B$21)^$E14)+Q14/IF(Q$3="EOP",((1+Assumptions!$B$21)^$E14),1)</f>
        <v>510556.65073825011</v>
      </c>
      <c r="Y13" s="38">
        <f t="shared" si="2"/>
        <v>-2810502.6917112335</v>
      </c>
      <c r="Z13" s="93">
        <f>H14*Assumptions!$B$7*Assumptions!$B$25/$E14/12*(1+Assumptions!$K$8)</f>
        <v>65398.429194809891</v>
      </c>
      <c r="AA13" s="36">
        <f>Z13*Assumptions!$B$11</f>
        <v>13079.685838961979</v>
      </c>
      <c r="AB13" s="39">
        <f t="shared" si="8"/>
        <v>52318.74335584791</v>
      </c>
      <c r="AC13" s="88">
        <f t="shared" si="9"/>
        <v>-2758183.9483553856</v>
      </c>
      <c r="AD13" s="88">
        <f>Assumptions!$B$23*R13</f>
        <v>1563358.0747911672</v>
      </c>
      <c r="AE13" s="88">
        <f t="shared" si="11"/>
        <v>-1194825.8735642184</v>
      </c>
    </row>
    <row r="14" spans="1:33" x14ac:dyDescent="0.25">
      <c r="A14" s="1">
        <f t="shared" si="10"/>
        <v>9</v>
      </c>
      <c r="B14" s="30" t="s">
        <v>28</v>
      </c>
      <c r="C14" s="31">
        <f t="shared" si="3"/>
        <v>9</v>
      </c>
      <c r="D14" s="32">
        <f t="shared" si="1"/>
        <v>0.75</v>
      </c>
      <c r="E14" s="32">
        <f t="shared" si="4"/>
        <v>8.333333333333337E-2</v>
      </c>
      <c r="F14" s="31">
        <f t="shared" si="5"/>
        <v>0</v>
      </c>
      <c r="G14" s="36">
        <f>(G13*($K13/$K12)-L13)*(1+Assumptions!$B$15)^$F14</f>
        <v>896892743.24310756</v>
      </c>
      <c r="H14" s="36">
        <f>$H$6/$G$6*G14*(1+Assumptions!$B$16)^INT((C14-1)/12)*IF(B14="Monthly",1,12)</f>
        <v>74741.061936925631</v>
      </c>
      <c r="I14" s="40">
        <f>Assumptions!$B$14</f>
        <v>0.15</v>
      </c>
      <c r="J14" s="40">
        <f t="shared" si="6"/>
        <v>1.3451947011868914E-2</v>
      </c>
      <c r="K14" s="35">
        <f t="shared" si="7"/>
        <v>0.88524645092194243</v>
      </c>
      <c r="L14" s="93">
        <f>H14*Assumptions!$B$7*(1+Assumptions!$K$8)</f>
        <v>52318.743355847939</v>
      </c>
      <c r="M14" s="36">
        <f>L14*Assumptions!$B$11</f>
        <v>10463.748671169589</v>
      </c>
      <c r="N14" s="36">
        <f>H14*Assumptions!$B$11</f>
        <v>14948.212387385127</v>
      </c>
      <c r="O14" s="36">
        <f>N14*Assumptions!$B$12</f>
        <v>1494.8212387385129</v>
      </c>
      <c r="P14" s="36">
        <f>H14*Assumptions!$B$9</f>
        <v>5979.2849549540506</v>
      </c>
      <c r="Q14" s="36">
        <f>H14*Assumptions!$B$8</f>
        <v>3737.0530968462817</v>
      </c>
      <c r="R14" s="37">
        <f>(R15)/((1+Assumptions!$B$21)^$E15)+H15/IF(H$3="EOP",((1+Assumptions!$B$21)^$E15),1)</f>
        <v>10368960.560088674</v>
      </c>
      <c r="S14" s="36">
        <f>(S15)/((1+Assumptions!$B$21)^$E15)+L15/IF(L$3="EOP",((1+Assumptions!$B$21)^$E15),1)</f>
        <v>5448372.4386200923</v>
      </c>
      <c r="T14" s="36">
        <f>(T15)/((1+Assumptions!$B$21)^$E15)+M15/IF(M$3="EOP",((1+Assumptions!$B$21)^$E15),1)</f>
        <v>1089674.4877240185</v>
      </c>
      <c r="U14" s="36">
        <f>(U15)/((1+Assumptions!$B$21)^$E15)+N15/IF(N$3="EOP",((1+Assumptions!$B$21)^$E15),1)</f>
        <v>2073792.1120177328</v>
      </c>
      <c r="V14" s="36">
        <f>(V15)/((1+Assumptions!$B$21)^$E15)+O15/IF(O$3="EOP",((1+Assumptions!$B$21)^$E15),1)</f>
        <v>207379.21120177323</v>
      </c>
      <c r="W14" s="36">
        <f>(W15)/((1+Assumptions!$B$21)^$E15)+P15/IF(P$3="EOP",((1+Assumptions!$B$21)^$E15),1)</f>
        <v>829516.84480709292</v>
      </c>
      <c r="X14" s="36">
        <f>(X15)/((1+Assumptions!$B$21)^$E15)+Q15/IF(Q$3="EOP",((1+Assumptions!$B$21)^$E15),1)</f>
        <v>507871.2607484039</v>
      </c>
      <c r="Y14" s="38">
        <f t="shared" si="2"/>
        <v>-2806461.6028211424</v>
      </c>
      <c r="Z14" s="93">
        <f>H15*Assumptions!$B$7*Assumptions!$B$25/$E15/12*(1+Assumptions!$K$8)</f>
        <v>64514.878082252151</v>
      </c>
      <c r="AA14" s="36">
        <f>Z14*Assumptions!$B$11</f>
        <v>12902.975616450431</v>
      </c>
      <c r="AB14" s="39">
        <f t="shared" si="8"/>
        <v>51611.902465801722</v>
      </c>
      <c r="AC14" s="88">
        <f t="shared" si="9"/>
        <v>-2754849.7003553407</v>
      </c>
      <c r="AD14" s="88">
        <f>Assumptions!$B$23*R14</f>
        <v>1555344.0840133009</v>
      </c>
      <c r="AE14" s="88">
        <f t="shared" si="11"/>
        <v>-1199505.6163420398</v>
      </c>
    </row>
    <row r="15" spans="1:33" x14ac:dyDescent="0.25">
      <c r="A15" s="1">
        <f t="shared" si="10"/>
        <v>10</v>
      </c>
      <c r="B15" s="30" t="s">
        <v>28</v>
      </c>
      <c r="C15" s="31">
        <f t="shared" si="3"/>
        <v>10</v>
      </c>
      <c r="D15" s="32">
        <f t="shared" si="1"/>
        <v>0.83333333333333337</v>
      </c>
      <c r="E15" s="32">
        <f t="shared" si="4"/>
        <v>8.333333333333337E-2</v>
      </c>
      <c r="F15" s="31">
        <f t="shared" si="5"/>
        <v>0</v>
      </c>
      <c r="G15" s="36">
        <f>(G14*($K14/$K13)-L14)*(1+Assumptions!$B$15)^$F15</f>
        <v>884775470.84231567</v>
      </c>
      <c r="H15" s="36">
        <f>$H$6/$G$6*G15*(1+Assumptions!$B$16)^INT((C15-1)/12)*IF(B15="Monthly",1,12)</f>
        <v>73731.289236859637</v>
      </c>
      <c r="I15" s="40">
        <f>Assumptions!$B$14</f>
        <v>0.15</v>
      </c>
      <c r="J15" s="40">
        <f t="shared" si="6"/>
        <v>1.3451947011868914E-2</v>
      </c>
      <c r="K15" s="35">
        <f t="shared" si="7"/>
        <v>0.8733381625716955</v>
      </c>
      <c r="L15" s="93">
        <f>H15*Assumptions!$B$7*(1+Assumptions!$K$8)</f>
        <v>51611.902465801744</v>
      </c>
      <c r="M15" s="36">
        <f>L15*Assumptions!$B$11</f>
        <v>10322.38049316035</v>
      </c>
      <c r="N15" s="36">
        <f>H15*Assumptions!$B$11</f>
        <v>14746.257847371928</v>
      </c>
      <c r="O15" s="36">
        <f>N15*Assumptions!$B$12</f>
        <v>1474.6257847371928</v>
      </c>
      <c r="P15" s="36">
        <f>H15*Assumptions!$B$9</f>
        <v>5898.5031389487713</v>
      </c>
      <c r="Q15" s="36">
        <f>H15*Assumptions!$B$8</f>
        <v>3686.5644618429819</v>
      </c>
      <c r="R15" s="37">
        <f>(R16)/((1+Assumptions!$B$21)^$E16)+H16/IF(H$3="EOP",((1+Assumptions!$B$21)^$E16),1)</f>
        <v>10316435.75751026</v>
      </c>
      <c r="S15" s="36">
        <f>(S16)/((1+Assumptions!$B$21)^$E16)+L16/IF(L$3="EOP",((1+Assumptions!$B$21)^$E16),1)</f>
        <v>5407983.2913149716</v>
      </c>
      <c r="T15" s="36">
        <f>(T16)/((1+Assumptions!$B$21)^$E16)+M16/IF(M$3="EOP",((1+Assumptions!$B$21)^$E16),1)</f>
        <v>1081596.6582629944</v>
      </c>
      <c r="U15" s="36">
        <f>(U16)/((1+Assumptions!$B$21)^$E16)+N16/IF(N$3="EOP",((1+Assumptions!$B$21)^$E16),1)</f>
        <v>2063287.1515020502</v>
      </c>
      <c r="V15" s="36">
        <f>(V16)/((1+Assumptions!$B$21)^$E16)+O16/IF(O$3="EOP",((1+Assumptions!$B$21)^$E16),1)</f>
        <v>206328.71515020498</v>
      </c>
      <c r="W15" s="36">
        <f>(W16)/((1+Assumptions!$B$21)^$E16)+P16/IF(P$3="EOP",((1+Assumptions!$B$21)^$E16),1)</f>
        <v>825314.86060081993</v>
      </c>
      <c r="X15" s="36">
        <f>(X16)/((1+Assumptions!$B$21)^$E16)+Q16/IF(Q$3="EOP",((1+Assumptions!$B$21)^$E16),1)</f>
        <v>505230.82792986126</v>
      </c>
      <c r="Y15" s="38">
        <f t="shared" si="2"/>
        <v>-2802544.9995757556</v>
      </c>
      <c r="Z15" s="93">
        <f>H16*Assumptions!$B$7*Assumptions!$B$25/$E16/12*(1+Assumptions!$K$8)</f>
        <v>63643.263992924461</v>
      </c>
      <c r="AA15" s="36">
        <f>Z15*Assumptions!$B$11</f>
        <v>12728.652798584893</v>
      </c>
      <c r="AB15" s="39">
        <f t="shared" si="8"/>
        <v>50914.611194339566</v>
      </c>
      <c r="AC15" s="88">
        <f t="shared" si="9"/>
        <v>-2751630.388381416</v>
      </c>
      <c r="AD15" s="88">
        <f>Assumptions!$B$23*R15</f>
        <v>1547465.363626539</v>
      </c>
      <c r="AE15" s="88">
        <f t="shared" si="11"/>
        <v>-1204165.024754877</v>
      </c>
    </row>
    <row r="16" spans="1:33" x14ac:dyDescent="0.25">
      <c r="A16" s="1">
        <f t="shared" si="10"/>
        <v>11</v>
      </c>
      <c r="B16" s="30" t="s">
        <v>28</v>
      </c>
      <c r="C16" s="31">
        <f t="shared" si="3"/>
        <v>11</v>
      </c>
      <c r="D16" s="32">
        <f t="shared" si="1"/>
        <v>0.91666666666666663</v>
      </c>
      <c r="E16" s="32">
        <f t="shared" si="4"/>
        <v>8.3333333333333259E-2</v>
      </c>
      <c r="F16" s="31">
        <f t="shared" si="5"/>
        <v>0</v>
      </c>
      <c r="G16" s="36">
        <f>(G15*($K15/$K14)-L15)*(1+Assumptions!$B$15)^$F16</f>
        <v>872821906.18867779</v>
      </c>
      <c r="H16" s="36">
        <f>$H$6/$G$6*G16*(1+Assumptions!$B$16)^INT((C16-1)/12)*IF(B16="Monthly",1,12)</f>
        <v>72735.158849056475</v>
      </c>
      <c r="I16" s="40">
        <f>Assumptions!$B$14</f>
        <v>0.15</v>
      </c>
      <c r="J16" s="40">
        <f t="shared" si="6"/>
        <v>1.3451947011868914E-2</v>
      </c>
      <c r="K16" s="35">
        <f t="shared" si="7"/>
        <v>0.8615900638853381</v>
      </c>
      <c r="L16" s="93">
        <f>H16*Assumptions!$B$7*(1+Assumptions!$K$8)</f>
        <v>50914.61119433953</v>
      </c>
      <c r="M16" s="36">
        <f>L16*Assumptions!$B$11</f>
        <v>10182.922238867906</v>
      </c>
      <c r="N16" s="36">
        <f>H16*Assumptions!$B$11</f>
        <v>14547.031769811296</v>
      </c>
      <c r="O16" s="36">
        <f>N16*Assumptions!$B$12</f>
        <v>1454.7031769811297</v>
      </c>
      <c r="P16" s="36">
        <f>H16*Assumptions!$B$9</f>
        <v>5818.8127079245178</v>
      </c>
      <c r="Q16" s="36">
        <f>H16*Assumptions!$B$8</f>
        <v>3636.757942452824</v>
      </c>
      <c r="R16" s="37">
        <f>(R17)/((1+Assumptions!$B$21)^$E17)+H17/IF(H$3="EOP",((1+Assumptions!$B$21)^$E17),1)</f>
        <v>10264800.944691734</v>
      </c>
      <c r="S16" s="36">
        <f>(S17)/((1+Assumptions!$B$21)^$E17)+L17/IF(L$3="EOP",((1+Assumptions!$B$21)^$E17),1)</f>
        <v>5368208.2402507858</v>
      </c>
      <c r="T16" s="36">
        <f>(T17)/((1+Assumptions!$B$21)^$E17)+M17/IF(M$3="EOP",((1+Assumptions!$B$21)^$E17),1)</f>
        <v>1073641.6480501574</v>
      </c>
      <c r="U16" s="36">
        <f>(U17)/((1+Assumptions!$B$21)^$E17)+N17/IF(N$3="EOP",((1+Assumptions!$B$21)^$E17),1)</f>
        <v>2052960.1889383453</v>
      </c>
      <c r="V16" s="36">
        <f>(V17)/((1+Assumptions!$B$21)^$E17)+O17/IF(O$3="EOP",((1+Assumptions!$B$21)^$E17),1)</f>
        <v>205296.01889383449</v>
      </c>
      <c r="W16" s="36">
        <f>(W17)/((1+Assumptions!$B$21)^$E17)+P17/IF(P$3="EOP",((1+Assumptions!$B$21)^$E17),1)</f>
        <v>821184.07557533798</v>
      </c>
      <c r="X16" s="36">
        <f>(X17)/((1+Assumptions!$B$21)^$E17)+Q17/IF(Q$3="EOP",((1+Assumptions!$B$21)^$E17),1)</f>
        <v>502634.76277142105</v>
      </c>
      <c r="Y16" s="38">
        <f t="shared" si="2"/>
        <v>-2798751.3440998364</v>
      </c>
      <c r="Z16" s="93">
        <f>H17*Assumptions!$B$7*Assumptions!$B$25/$E17/12*(1+Assumptions!$K$8)</f>
        <v>62783.425654296261</v>
      </c>
      <c r="AA16" s="36">
        <f>Z16*Assumptions!$B$11</f>
        <v>12556.685130859252</v>
      </c>
      <c r="AB16" s="39">
        <f t="shared" si="8"/>
        <v>50226.740523437009</v>
      </c>
      <c r="AC16" s="88">
        <f t="shared" si="9"/>
        <v>-2748524.6035763994</v>
      </c>
      <c r="AD16" s="88">
        <f>Assumptions!$B$23*R16</f>
        <v>1539720.14170376</v>
      </c>
      <c r="AE16" s="88">
        <f t="shared" si="11"/>
        <v>-1208804.4618726394</v>
      </c>
    </row>
    <row r="17" spans="1:31" s="21" customFormat="1" x14ac:dyDescent="0.25">
      <c r="A17" s="21">
        <f t="shared" si="10"/>
        <v>12</v>
      </c>
      <c r="B17" s="41" t="s">
        <v>28</v>
      </c>
      <c r="C17" s="23">
        <f t="shared" si="3"/>
        <v>12</v>
      </c>
      <c r="D17" s="22">
        <f t="shared" si="1"/>
        <v>1</v>
      </c>
      <c r="E17" s="22">
        <f t="shared" si="4"/>
        <v>8.333333333333337E-2</v>
      </c>
      <c r="F17" s="23">
        <f t="shared" si="5"/>
        <v>0</v>
      </c>
      <c r="G17" s="27">
        <f>(G16*($K16/$K15)-L16)*(1+Assumptions!$B$15)^$F17</f>
        <v>861029837.54463494</v>
      </c>
      <c r="H17" s="27">
        <f>$H$6/$G$6*G17*(1+Assumptions!$B$16)^INT((C17-1)/12)*IF(B17="Monthly",1,12)</f>
        <v>71752.486462052912</v>
      </c>
      <c r="I17" s="42">
        <f>Assumptions!$B$14</f>
        <v>0.15</v>
      </c>
      <c r="J17" s="42">
        <f t="shared" si="6"/>
        <v>1.3451947011868914E-2</v>
      </c>
      <c r="K17" s="43">
        <f t="shared" si="7"/>
        <v>0.84999999999999976</v>
      </c>
      <c r="L17" s="94">
        <f>H17*Assumptions!$B$7*(1+Assumptions!$K$8)</f>
        <v>50226.740523437038</v>
      </c>
      <c r="M17" s="27">
        <f>L17*Assumptions!$B$11</f>
        <v>10045.348104687408</v>
      </c>
      <c r="N17" s="27">
        <f>H17*Assumptions!$B$11</f>
        <v>14350.497292410582</v>
      </c>
      <c r="O17" s="27">
        <f>N17*Assumptions!$B$12</f>
        <v>1435.0497292410582</v>
      </c>
      <c r="P17" s="27">
        <f>H17*Assumptions!$B$9</f>
        <v>5740.1989169642329</v>
      </c>
      <c r="Q17" s="27">
        <f>H17*Assumptions!$B$8</f>
        <v>3587.6243231026456</v>
      </c>
      <c r="R17" s="26">
        <f>(R18)/((1+Assumptions!$B$21)^$E18)+H18/IF(H$3="EOP",((1+Assumptions!$B$21)^$E18),1)</f>
        <v>10214044.469144208</v>
      </c>
      <c r="S17" s="27">
        <f>(S18)/((1+Assumptions!$B$21)^$E18)+L18/IF(L$3="EOP",((1+Assumptions!$B$21)^$E18),1)</f>
        <v>5329039.1297646854</v>
      </c>
      <c r="T17" s="27">
        <f>(T18)/((1+Assumptions!$B$21)^$E18)+M18/IF(M$3="EOP",((1+Assumptions!$B$21)^$E18),1)</f>
        <v>1065807.8259529374</v>
      </c>
      <c r="U17" s="27">
        <f>(U18)/((1+Assumptions!$B$21)^$E18)+N18/IF(N$3="EOP",((1+Assumptions!$B$21)^$E18),1)</f>
        <v>2042808.89382884</v>
      </c>
      <c r="V17" s="27">
        <f>(V18)/((1+Assumptions!$B$21)^$E18)+O18/IF(O$3="EOP",((1+Assumptions!$B$21)^$E18),1)</f>
        <v>204280.88938288396</v>
      </c>
      <c r="W17" s="27">
        <f>(W18)/((1+Assumptions!$B$21)^$E18)+P18/IF(P$3="EOP",((1+Assumptions!$B$21)^$E18),1)</f>
        <v>817123.55753153586</v>
      </c>
      <c r="X17" s="27">
        <f>(X18)/((1+Assumptions!$B$21)^$E18)+Q18/IF(Q$3="EOP",((1+Assumptions!$B$21)^$E18),1)</f>
        <v>500082.48376315879</v>
      </c>
      <c r="Y17" s="28">
        <f t="shared" si="2"/>
        <v>-2795079.1195918103</v>
      </c>
      <c r="Z17" s="94">
        <f>H18*Assumptions!$B$7*Assumptions!$B$25/$E18/12*(1+Assumptions!$K$8)</f>
        <v>68227.820696298397</v>
      </c>
      <c r="AA17" s="27">
        <f>Z17*Assumptions!$B$11</f>
        <v>13645.564139259681</v>
      </c>
      <c r="AB17" s="29">
        <f t="shared" si="8"/>
        <v>54582.256557038716</v>
      </c>
      <c r="AC17" s="87">
        <f t="shared" si="9"/>
        <v>-2740496.8630347718</v>
      </c>
      <c r="AD17" s="87">
        <f>Assumptions!$B$23*R17</f>
        <v>1532106.6703716312</v>
      </c>
      <c r="AE17" s="87">
        <f t="shared" si="11"/>
        <v>-1208390.1926631406</v>
      </c>
    </row>
    <row r="18" spans="1:31" x14ac:dyDescent="0.25">
      <c r="A18" s="1">
        <f t="shared" si="10"/>
        <v>13</v>
      </c>
      <c r="B18" s="30" t="s">
        <v>28</v>
      </c>
      <c r="C18" s="31">
        <f t="shared" si="3"/>
        <v>13</v>
      </c>
      <c r="D18" s="32">
        <f t="shared" si="1"/>
        <v>1.0833333333333333</v>
      </c>
      <c r="E18" s="32">
        <f t="shared" si="4"/>
        <v>8.3333333333333259E-2</v>
      </c>
      <c r="F18" s="31">
        <f t="shared" si="5"/>
        <v>1</v>
      </c>
      <c r="G18" s="36">
        <f>(G17*($K17/$K16)-L17)*(1+Assumptions!$B$15)^$F18</f>
        <v>866385024.71489942</v>
      </c>
      <c r="H18" s="36">
        <f>$H$6/$G$6*G18*(1+Assumptions!$B$16)^INT((C18-1)/12)*IF(B18="Monthly",1,12)</f>
        <v>77974.652224340956</v>
      </c>
      <c r="I18" s="40">
        <f>Assumptions!$B$14</f>
        <v>0.15</v>
      </c>
      <c r="J18" s="40">
        <f t="shared" si="6"/>
        <v>1.3451947011868914E-2</v>
      </c>
      <c r="K18" s="35">
        <f t="shared" si="7"/>
        <v>0.83856584503991116</v>
      </c>
      <c r="L18" s="93">
        <f>H18*Assumptions!$B$7*(1+Assumptions!$K$8)</f>
        <v>54582.256557038665</v>
      </c>
      <c r="M18" s="36">
        <f>L18*Assumptions!$B$11</f>
        <v>10916.451311407734</v>
      </c>
      <c r="N18" s="36">
        <f>H18*Assumptions!$B$11</f>
        <v>15594.930444868192</v>
      </c>
      <c r="O18" s="36">
        <f>N18*Assumptions!$B$12</f>
        <v>1559.4930444868194</v>
      </c>
      <c r="P18" s="36">
        <f>H18*Assumptions!$B$9</f>
        <v>6237.9721779472766</v>
      </c>
      <c r="Q18" s="36">
        <f>H18*Assumptions!$B$8</f>
        <v>3898.7326112170481</v>
      </c>
      <c r="R18" s="37">
        <f>(R19)/((1+Assumptions!$B$21)^$E19)+H19/IF(H$3="EOP",((1+Assumptions!$B$21)^$E19),1)</f>
        <v>10156948.461162416</v>
      </c>
      <c r="S18" s="36">
        <f>(S19)/((1+Assumptions!$B$21)^$E19)+L19/IF(L$3="EOP",((1+Assumptions!$B$21)^$E19),1)</f>
        <v>5285433.821290547</v>
      </c>
      <c r="T18" s="36">
        <f>(T19)/((1+Assumptions!$B$21)^$E19)+M19/IF(M$3="EOP",((1+Assumptions!$B$21)^$E19),1)</f>
        <v>1057086.7642581097</v>
      </c>
      <c r="U18" s="36">
        <f>(U19)/((1+Assumptions!$B$21)^$E19)+N19/IF(N$3="EOP",((1+Assumptions!$B$21)^$E19),1)</f>
        <v>2031389.6922324817</v>
      </c>
      <c r="V18" s="36">
        <f>(V19)/((1+Assumptions!$B$21)^$E19)+O19/IF(O$3="EOP",((1+Assumptions!$B$21)^$E19),1)</f>
        <v>203138.96922324813</v>
      </c>
      <c r="W18" s="36">
        <f>(W19)/((1+Assumptions!$B$21)^$E19)+P19/IF(P$3="EOP",((1+Assumptions!$B$21)^$E19),1)</f>
        <v>812555.87689299253</v>
      </c>
      <c r="X18" s="36">
        <f>(X19)/((1+Assumptions!$B$21)^$E19)+Q19/IF(Q$3="EOP",((1+Assumptions!$B$21)^$E19),1)</f>
        <v>497213.83918991016</v>
      </c>
      <c r="Y18" s="38">
        <f t="shared" si="2"/>
        <v>-2790580.9650378432</v>
      </c>
      <c r="Z18" s="93">
        <f>H19*Assumptions!$B$7*Assumptions!$B$25/$E19/12*(1+Assumptions!$K$8)</f>
        <v>67305.725314852461</v>
      </c>
      <c r="AA18" s="36">
        <f>Z18*Assumptions!$B$11</f>
        <v>13461.145062970492</v>
      </c>
      <c r="AB18" s="39">
        <f t="shared" si="8"/>
        <v>53844.580251881969</v>
      </c>
      <c r="AC18" s="88">
        <f t="shared" si="9"/>
        <v>-2736736.3847859614</v>
      </c>
      <c r="AD18" s="88">
        <f>Assumptions!$B$23*R18</f>
        <v>1523542.2691743623</v>
      </c>
      <c r="AE18" s="88">
        <f t="shared" si="11"/>
        <v>-1213194.1156115991</v>
      </c>
    </row>
    <row r="19" spans="1:31" x14ac:dyDescent="0.25">
      <c r="A19" s="1">
        <f t="shared" si="10"/>
        <v>14</v>
      </c>
      <c r="B19" s="30" t="s">
        <v>28</v>
      </c>
      <c r="C19" s="31">
        <f t="shared" si="3"/>
        <v>14</v>
      </c>
      <c r="D19" s="32">
        <f t="shared" si="1"/>
        <v>1.1666666666666667</v>
      </c>
      <c r="E19" s="32">
        <f t="shared" si="4"/>
        <v>8.3333333333333481E-2</v>
      </c>
      <c r="F19" s="31">
        <f t="shared" si="5"/>
        <v>0</v>
      </c>
      <c r="G19" s="36">
        <f>(G18*($K18/$K17)-L18)*(1+Assumptions!$B$15)^$F19</f>
        <v>854675877.01400089</v>
      </c>
      <c r="H19" s="36">
        <f>$H$6/$G$6*G19*(1+Assumptions!$B$16)^INT((C19-1)/12)*IF(B19="Monthly",1,12)</f>
        <v>76920.828931260083</v>
      </c>
      <c r="I19" s="40">
        <f>Assumptions!$B$14</f>
        <v>0.15</v>
      </c>
      <c r="J19" s="40">
        <f t="shared" si="6"/>
        <v>1.3451947011868914E-2</v>
      </c>
      <c r="K19" s="35">
        <f t="shared" si="7"/>
        <v>0.8272855017264712</v>
      </c>
      <c r="L19" s="93">
        <f>H19*Assumptions!$B$7*(1+Assumptions!$K$8)</f>
        <v>53844.580251882056</v>
      </c>
      <c r="M19" s="36">
        <f>L19*Assumptions!$B$11</f>
        <v>10768.916050376412</v>
      </c>
      <c r="N19" s="36">
        <f>H19*Assumptions!$B$11</f>
        <v>15384.165786252017</v>
      </c>
      <c r="O19" s="36">
        <f>N19*Assumptions!$B$12</f>
        <v>1538.4165786252017</v>
      </c>
      <c r="P19" s="36">
        <f>H19*Assumptions!$B$9</f>
        <v>6153.6663145008069</v>
      </c>
      <c r="Q19" s="36">
        <f>H19*Assumptions!$B$8</f>
        <v>3846.0414465630042</v>
      </c>
      <c r="R19" s="37">
        <f>(R20)/((1+Assumptions!$B$21)^$E20)+H20/IF(H$3="EOP",((1+Assumptions!$B$21)^$E20),1)</f>
        <v>10100790.838749044</v>
      </c>
      <c r="S19" s="36">
        <f>(S20)/((1+Assumptions!$B$21)^$E20)+L20/IF(L$3="EOP",((1+Assumptions!$B$21)^$E20),1)</f>
        <v>5242476.3693256136</v>
      </c>
      <c r="T19" s="36">
        <f>(T20)/((1+Assumptions!$B$21)^$E20)+M20/IF(M$3="EOP",((1+Assumptions!$B$21)^$E20),1)</f>
        <v>1048495.2738651232</v>
      </c>
      <c r="U19" s="36">
        <f>(U20)/((1+Assumptions!$B$21)^$E20)+N20/IF(N$3="EOP",((1+Assumptions!$B$21)^$E20),1)</f>
        <v>2020158.1677498072</v>
      </c>
      <c r="V19" s="36">
        <f>(V20)/((1+Assumptions!$B$21)^$E20)+O20/IF(O$3="EOP",((1+Assumptions!$B$21)^$E20),1)</f>
        <v>202015.81677498069</v>
      </c>
      <c r="W19" s="36">
        <f>(W20)/((1+Assumptions!$B$21)^$E20)+P20/IF(P$3="EOP",((1+Assumptions!$B$21)^$E20),1)</f>
        <v>808063.26709992276</v>
      </c>
      <c r="X19" s="36">
        <f>(X20)/((1+Assumptions!$B$21)^$E20)+Q20/IF(Q$3="EOP",((1+Assumptions!$B$21)^$E20),1)</f>
        <v>494391.97684317839</v>
      </c>
      <c r="Y19" s="38">
        <f t="shared" si="2"/>
        <v>-2786212.1483706255</v>
      </c>
      <c r="Z19" s="93">
        <f>H20*Assumptions!$B$7*Assumptions!$B$25/$E20/12*(1+Assumptions!$K$8)</f>
        <v>66396.092003626982</v>
      </c>
      <c r="AA19" s="36">
        <f>Z19*Assumptions!$B$11</f>
        <v>13279.218400725396</v>
      </c>
      <c r="AB19" s="39">
        <f t="shared" si="8"/>
        <v>53116.873602901585</v>
      </c>
      <c r="AC19" s="88">
        <f t="shared" si="9"/>
        <v>-2733095.2747677239</v>
      </c>
      <c r="AD19" s="88">
        <f>Assumptions!$B$23*R19</f>
        <v>1515118.6258123566</v>
      </c>
      <c r="AE19" s="88">
        <f t="shared" si="11"/>
        <v>-1217976.6489553673</v>
      </c>
    </row>
    <row r="20" spans="1:31" x14ac:dyDescent="0.25">
      <c r="A20" s="1">
        <f t="shared" si="10"/>
        <v>15</v>
      </c>
      <c r="B20" s="30" t="s">
        <v>28</v>
      </c>
      <c r="C20" s="31">
        <f t="shared" si="3"/>
        <v>15</v>
      </c>
      <c r="D20" s="32">
        <f t="shared" si="1"/>
        <v>1.25</v>
      </c>
      <c r="E20" s="32">
        <f t="shared" si="4"/>
        <v>8.3333333333333259E-2</v>
      </c>
      <c r="F20" s="31">
        <f t="shared" si="5"/>
        <v>0</v>
      </c>
      <c r="G20" s="36">
        <f>(G19*($K19/$K18)-L19)*(1+Assumptions!$B$15)^$F20</f>
        <v>843124977.82383406</v>
      </c>
      <c r="H20" s="36">
        <f>$H$6/$G$6*G20*(1+Assumptions!$B$16)^INT((C20-1)/12)*IF(B20="Monthly",1,12)</f>
        <v>75881.248004145062</v>
      </c>
      <c r="I20" s="40">
        <f>Assumptions!$B$14</f>
        <v>0.15</v>
      </c>
      <c r="J20" s="40">
        <f t="shared" si="6"/>
        <v>1.3451947011868914E-2</v>
      </c>
      <c r="K20" s="35">
        <f t="shared" si="7"/>
        <v>0.81615690099355931</v>
      </c>
      <c r="L20" s="93">
        <f>H20*Assumptions!$B$7*(1+Assumptions!$K$8)</f>
        <v>53116.873602901542</v>
      </c>
      <c r="M20" s="36">
        <f>L20*Assumptions!$B$11</f>
        <v>10623.374720580308</v>
      </c>
      <c r="N20" s="36">
        <f>H20*Assumptions!$B$11</f>
        <v>15176.249600829013</v>
      </c>
      <c r="O20" s="36">
        <f>N20*Assumptions!$B$12</f>
        <v>1517.6249600829015</v>
      </c>
      <c r="P20" s="36">
        <f>H20*Assumptions!$B$9</f>
        <v>6070.4998403316049</v>
      </c>
      <c r="Q20" s="36">
        <f>H20*Assumptions!$B$8</f>
        <v>3794.0624002072532</v>
      </c>
      <c r="R20" s="37">
        <f>(R21)/((1+Assumptions!$B$21)^$E21)+H21/IF(H$3="EOP",((1+Assumptions!$B$21)^$E21),1)</f>
        <v>10045559.263121808</v>
      </c>
      <c r="S20" s="36">
        <f>(S21)/((1+Assumptions!$B$21)^$E21)+L21/IF(L$3="EOP",((1+Assumptions!$B$21)^$E21),1)</f>
        <v>5200158.1386920428</v>
      </c>
      <c r="T20" s="36">
        <f>(T21)/((1+Assumptions!$B$21)^$E21)+M21/IF(M$3="EOP",((1+Assumptions!$B$21)^$E21),1)</f>
        <v>1040031.627738409</v>
      </c>
      <c r="U20" s="36">
        <f>(U21)/((1+Assumptions!$B$21)^$E21)+N21/IF(N$3="EOP",((1+Assumptions!$B$21)^$E21),1)</f>
        <v>2009111.8526243602</v>
      </c>
      <c r="V20" s="36">
        <f>(V21)/((1+Assumptions!$B$21)^$E21)+O21/IF(O$3="EOP",((1+Assumptions!$B$21)^$E21),1)</f>
        <v>200911.18526243599</v>
      </c>
      <c r="W20" s="36">
        <f>(W21)/((1+Assumptions!$B$21)^$E21)+P21/IF(P$3="EOP",((1+Assumptions!$B$21)^$E21),1)</f>
        <v>803644.74104974396</v>
      </c>
      <c r="X20" s="36">
        <f>(X21)/((1+Assumptions!$B$21)^$E21)+Q21/IF(Q$3="EOP",((1+Assumptions!$B$21)^$E21),1)</f>
        <v>491616.28096839198</v>
      </c>
      <c r="Y20" s="38">
        <f t="shared" si="2"/>
        <v>-2781971.0627881135</v>
      </c>
      <c r="Z20" s="93">
        <f>H21*Assumptions!$B$7*Assumptions!$B$25/$E21/12*(1+Assumptions!$K$8)</f>
        <v>65498.752338402788</v>
      </c>
      <c r="AA20" s="36">
        <f>Z20*Assumptions!$B$11</f>
        <v>13099.750467680558</v>
      </c>
      <c r="AB20" s="39">
        <f t="shared" si="8"/>
        <v>52399.001870722233</v>
      </c>
      <c r="AC20" s="88">
        <f t="shared" si="9"/>
        <v>-2729572.0609173914</v>
      </c>
      <c r="AD20" s="88">
        <f>Assumptions!$B$23*R20</f>
        <v>1506833.8894682711</v>
      </c>
      <c r="AE20" s="88">
        <f t="shared" si="11"/>
        <v>-1222738.1714491204</v>
      </c>
    </row>
    <row r="21" spans="1:31" x14ac:dyDescent="0.25">
      <c r="A21" s="1">
        <f t="shared" si="10"/>
        <v>16</v>
      </c>
      <c r="B21" s="30" t="s">
        <v>28</v>
      </c>
      <c r="C21" s="31">
        <f t="shared" si="3"/>
        <v>16</v>
      </c>
      <c r="D21" s="32">
        <f t="shared" si="1"/>
        <v>1.3333333333333333</v>
      </c>
      <c r="E21" s="32">
        <f t="shared" si="4"/>
        <v>8.3333333333333259E-2</v>
      </c>
      <c r="F21" s="31">
        <f t="shared" si="5"/>
        <v>0</v>
      </c>
      <c r="G21" s="36">
        <f>(G20*($K20/$K19)-L20)*(1+Assumptions!$B$15)^$F21</f>
        <v>831730188.42416179</v>
      </c>
      <c r="H21" s="36">
        <f>$H$6/$G$6*G21*(1+Assumptions!$B$16)^INT((C21-1)/12)*IF(B21="Monthly",1,12)</f>
        <v>74855.716958174555</v>
      </c>
      <c r="I21" s="40">
        <f>Assumptions!$B$14</f>
        <v>0.15</v>
      </c>
      <c r="J21" s="40">
        <f t="shared" si="6"/>
        <v>1.3451947011868914E-2</v>
      </c>
      <c r="K21" s="35">
        <f t="shared" si="7"/>
        <v>0.80517800160802278</v>
      </c>
      <c r="L21" s="93">
        <f>H21*Assumptions!$B$7*(1+Assumptions!$K$8)</f>
        <v>52399.001870722183</v>
      </c>
      <c r="M21" s="36">
        <f>L21*Assumptions!$B$11</f>
        <v>10479.800374144437</v>
      </c>
      <c r="N21" s="36">
        <f>H21*Assumptions!$B$11</f>
        <v>14971.143391634912</v>
      </c>
      <c r="O21" s="36">
        <f>N21*Assumptions!$B$12</f>
        <v>1497.1143391634914</v>
      </c>
      <c r="P21" s="36">
        <f>H21*Assumptions!$B$9</f>
        <v>5988.4573566539648</v>
      </c>
      <c r="Q21" s="36">
        <f>H21*Assumptions!$B$8</f>
        <v>3742.7858479087281</v>
      </c>
      <c r="R21" s="37">
        <f>(R22)/((1+Assumptions!$B$21)^$E22)+H22/IF(H$3="EOP",((1+Assumptions!$B$21)^$E22),1)</f>
        <v>9991241.5629638713</v>
      </c>
      <c r="S21" s="36">
        <f>(S22)/((1+Assumptions!$B$21)^$E22)+L22/IF(L$3="EOP",((1+Assumptions!$B$21)^$E22),1)</f>
        <v>5158470.6111643156</v>
      </c>
      <c r="T21" s="36">
        <f>(T22)/((1+Assumptions!$B$21)^$E22)+M22/IF(M$3="EOP",((1+Assumptions!$B$21)^$E22),1)</f>
        <v>1031694.1222328637</v>
      </c>
      <c r="U21" s="36">
        <f>(U22)/((1+Assumptions!$B$21)^$E22)+N22/IF(N$3="EOP",((1+Assumptions!$B$21)^$E22),1)</f>
        <v>1998248.312592773</v>
      </c>
      <c r="V21" s="36">
        <f>(V22)/((1+Assumptions!$B$21)^$E22)+O22/IF(O$3="EOP",((1+Assumptions!$B$21)^$E22),1)</f>
        <v>199824.83125927724</v>
      </c>
      <c r="W21" s="36">
        <f>(W22)/((1+Assumptions!$B$21)^$E22)+P22/IF(P$3="EOP",((1+Assumptions!$B$21)^$E22),1)</f>
        <v>799299.32503710897</v>
      </c>
      <c r="X21" s="36">
        <f>(X22)/((1+Assumptions!$B$21)^$E22)+Q22/IF(Q$3="EOP",((1+Assumptions!$B$21)^$E22),1)</f>
        <v>488886.14416686713</v>
      </c>
      <c r="Y21" s="38">
        <f t="shared" si="2"/>
        <v>-2777856.1234949473</v>
      </c>
      <c r="Z21" s="93">
        <f>H22*Assumptions!$B$7*Assumptions!$B$25/$E22/12*(1+Assumptions!$K$8)</f>
        <v>64613.540171205583</v>
      </c>
      <c r="AA21" s="36">
        <f>Z21*Assumptions!$B$11</f>
        <v>12922.708034241117</v>
      </c>
      <c r="AB21" s="39">
        <f t="shared" si="8"/>
        <v>51690.832136964469</v>
      </c>
      <c r="AC21" s="88">
        <f t="shared" si="9"/>
        <v>-2726165.2913579829</v>
      </c>
      <c r="AD21" s="88">
        <f>Assumptions!$B$23*R21</f>
        <v>1498686.2344445807</v>
      </c>
      <c r="AE21" s="88">
        <f t="shared" si="11"/>
        <v>-1227479.0569134022</v>
      </c>
    </row>
    <row r="22" spans="1:31" x14ac:dyDescent="0.25">
      <c r="A22" s="1">
        <f t="shared" si="10"/>
        <v>17</v>
      </c>
      <c r="B22" s="30" t="s">
        <v>28</v>
      </c>
      <c r="C22" s="31">
        <f t="shared" si="3"/>
        <v>17</v>
      </c>
      <c r="D22" s="32">
        <f t="shared" si="1"/>
        <v>1.4166666666666667</v>
      </c>
      <c r="E22" s="32">
        <f t="shared" si="4"/>
        <v>8.3333333333333481E-2</v>
      </c>
      <c r="F22" s="31">
        <f t="shared" si="5"/>
        <v>0</v>
      </c>
      <c r="G22" s="36">
        <f>(G21*($K21/$K20)-L21)*(1+Assumptions!$B$15)^$F22</f>
        <v>820489398.99943745</v>
      </c>
      <c r="H22" s="36">
        <f>$H$6/$G$6*G22*(1+Assumptions!$B$16)^INT((C22-1)/12)*IF(B22="Monthly",1,12)</f>
        <v>73844.045909949375</v>
      </c>
      <c r="I22" s="40">
        <f>Assumptions!$B$14</f>
        <v>0.15</v>
      </c>
      <c r="J22" s="40">
        <f t="shared" si="6"/>
        <v>1.3451947011868914E-2</v>
      </c>
      <c r="K22" s="35">
        <f t="shared" si="7"/>
        <v>0.79434678979526918</v>
      </c>
      <c r="L22" s="93">
        <f>H22*Assumptions!$B$7*(1+Assumptions!$K$8)</f>
        <v>51690.832136964556</v>
      </c>
      <c r="M22" s="36">
        <f>L22*Assumptions!$B$11</f>
        <v>10338.166427392913</v>
      </c>
      <c r="N22" s="36">
        <f>H22*Assumptions!$B$11</f>
        <v>14768.809181989876</v>
      </c>
      <c r="O22" s="36">
        <f>N22*Assumptions!$B$12</f>
        <v>1476.8809181989877</v>
      </c>
      <c r="P22" s="36">
        <f>H22*Assumptions!$B$9</f>
        <v>5907.52367279595</v>
      </c>
      <c r="Q22" s="36">
        <f>H22*Assumptions!$B$8</f>
        <v>3692.2022954974691</v>
      </c>
      <c r="R22" s="37">
        <f>(R23)/((1+Assumptions!$B$21)^$E23)+H23/IF(H$3="EOP",((1+Assumptions!$B$21)^$E23),1)</f>
        <v>9937825.7321620006</v>
      </c>
      <c r="S22" s="36">
        <f>(S23)/((1+Assumptions!$B$21)^$E23)+L23/IF(L$3="EOP",((1+Assumptions!$B$21)^$E23),1)</f>
        <v>5117405.3838891461</v>
      </c>
      <c r="T22" s="36">
        <f>(T23)/((1+Assumptions!$B$21)^$E23)+M23/IF(M$3="EOP",((1+Assumptions!$B$21)^$E23),1)</f>
        <v>1023481.0767778298</v>
      </c>
      <c r="U22" s="36">
        <f>(U23)/((1+Assumptions!$B$21)^$E23)+N23/IF(N$3="EOP",((1+Assumptions!$B$21)^$E23),1)</f>
        <v>1987565.1464323988</v>
      </c>
      <c r="V22" s="36">
        <f>(V23)/((1+Assumptions!$B$21)^$E23)+O23/IF(O$3="EOP",((1+Assumptions!$B$21)^$E23),1)</f>
        <v>198756.51464323982</v>
      </c>
      <c r="W22" s="36">
        <f>(W23)/((1+Assumptions!$B$21)^$E23)+P23/IF(P$3="EOP",((1+Assumptions!$B$21)^$E23),1)</f>
        <v>795026.05857295927</v>
      </c>
      <c r="X22" s="36">
        <f>(X23)/((1+Assumptions!$B$21)^$E23)+Q23/IF(Q$3="EOP",((1+Assumptions!$B$21)^$E23),1)</f>
        <v>486200.96728294826</v>
      </c>
      <c r="Y22" s="38">
        <f t="shared" si="2"/>
        <v>-2773865.767405618</v>
      </c>
      <c r="Z22" s="93">
        <f>H23*Assumptions!$B$7*Assumptions!$B$25/$E23/12*(1+Assumptions!$K$8)</f>
        <v>63740.291599542645</v>
      </c>
      <c r="AA22" s="36">
        <f>Z22*Assumptions!$B$11</f>
        <v>12748.05831990853</v>
      </c>
      <c r="AB22" s="39">
        <f t="shared" si="8"/>
        <v>50992.233279634114</v>
      </c>
      <c r="AC22" s="88">
        <f t="shared" si="9"/>
        <v>-2722873.5341259837</v>
      </c>
      <c r="AD22" s="88">
        <f>Assumptions!$B$23*R22</f>
        <v>1490673.8598243</v>
      </c>
      <c r="AE22" s="88">
        <f t="shared" si="11"/>
        <v>-1232199.6743016837</v>
      </c>
    </row>
    <row r="23" spans="1:31" x14ac:dyDescent="0.25">
      <c r="A23" s="1">
        <f t="shared" si="10"/>
        <v>18</v>
      </c>
      <c r="B23" s="30" t="s">
        <v>28</v>
      </c>
      <c r="C23" s="31">
        <f t="shared" si="3"/>
        <v>18</v>
      </c>
      <c r="D23" s="32">
        <f t="shared" si="1"/>
        <v>1.5</v>
      </c>
      <c r="E23" s="32">
        <f t="shared" si="4"/>
        <v>8.3333333333333259E-2</v>
      </c>
      <c r="F23" s="31">
        <f t="shared" si="5"/>
        <v>0</v>
      </c>
      <c r="G23" s="36">
        <f>(G22*($K22/$K21)-L22)*(1+Assumptions!$B$15)^$F23</f>
        <v>809400528.24815989</v>
      </c>
      <c r="H23" s="36">
        <f>$H$6/$G$6*G23*(1+Assumptions!$B$16)^INT((C23-1)/12)*IF(B23="Monthly",1,12)</f>
        <v>72846.047542334389</v>
      </c>
      <c r="I23" s="40">
        <f>Assumptions!$B$14</f>
        <v>0.15</v>
      </c>
      <c r="J23" s="40">
        <f t="shared" si="6"/>
        <v>1.3451947011868914E-2</v>
      </c>
      <c r="K23" s="35">
        <f t="shared" si="7"/>
        <v>0.78366127886989501</v>
      </c>
      <c r="L23" s="93">
        <f>H23*Assumptions!$B$7*(1+Assumptions!$K$8)</f>
        <v>50992.233279634071</v>
      </c>
      <c r="M23" s="36">
        <f>L23*Assumptions!$B$11</f>
        <v>10198.446655926815</v>
      </c>
      <c r="N23" s="36">
        <f>H23*Assumptions!$B$11</f>
        <v>14569.209508466878</v>
      </c>
      <c r="O23" s="36">
        <f>N23*Assumptions!$B$12</f>
        <v>1456.9209508466879</v>
      </c>
      <c r="P23" s="36">
        <f>H23*Assumptions!$B$9</f>
        <v>5827.6838033867516</v>
      </c>
      <c r="Q23" s="36">
        <f>H23*Assumptions!$B$8</f>
        <v>3642.3023771167195</v>
      </c>
      <c r="R23" s="37">
        <f>(R24)/((1+Assumptions!$B$21)^$E24)+H24/IF(H$3="EOP",((1+Assumptions!$B$21)^$E24),1)</f>
        <v>9885299.9275753088</v>
      </c>
      <c r="S23" s="36">
        <f>(S24)/((1+Assumptions!$B$21)^$E24)+L24/IF(L$3="EOP",((1+Assumptions!$B$21)^$E24),1)</f>
        <v>5076954.1678267354</v>
      </c>
      <c r="T23" s="36">
        <f>(T24)/((1+Assumptions!$B$21)^$E24)+M24/IF(M$3="EOP",((1+Assumptions!$B$21)^$E24),1)</f>
        <v>1015390.8335653476</v>
      </c>
      <c r="U23" s="36">
        <f>(U24)/((1+Assumptions!$B$21)^$E24)+N24/IF(N$3="EOP",((1+Assumptions!$B$21)^$E24),1)</f>
        <v>1977059.9855150604</v>
      </c>
      <c r="V23" s="36">
        <f>(V24)/((1+Assumptions!$B$21)^$E24)+O24/IF(O$3="EOP",((1+Assumptions!$B$21)^$E24),1)</f>
        <v>197705.99855150597</v>
      </c>
      <c r="W23" s="36">
        <f>(W24)/((1+Assumptions!$B$21)^$E24)+P24/IF(P$3="EOP",((1+Assumptions!$B$21)^$E24),1)</f>
        <v>790823.99420602387</v>
      </c>
      <c r="X23" s="36">
        <f>(X24)/((1+Assumptions!$B$21)^$E24)+Q24/IF(Q$3="EOP",((1+Assumptions!$B$21)^$E24),1)</f>
        <v>483560.15929267363</v>
      </c>
      <c r="Y23" s="38">
        <f t="shared" si="2"/>
        <v>-2769998.4528516694</v>
      </c>
      <c r="Z23" s="93">
        <f>H24*Assumptions!$B$7*Assumptions!$B$25/$E24/12*(1+Assumptions!$K$8)</f>
        <v>62878.844936053756</v>
      </c>
      <c r="AA23" s="36">
        <f>Z23*Assumptions!$B$11</f>
        <v>12575.768987210751</v>
      </c>
      <c r="AB23" s="39">
        <f t="shared" si="8"/>
        <v>50303.075948843005</v>
      </c>
      <c r="AC23" s="88">
        <f t="shared" si="9"/>
        <v>-2719695.3769028266</v>
      </c>
      <c r="AD23" s="88">
        <f>Assumptions!$B$23*R23</f>
        <v>1482794.9891362963</v>
      </c>
      <c r="AE23" s="88">
        <f t="shared" si="11"/>
        <v>-1236900.3877665303</v>
      </c>
    </row>
    <row r="24" spans="1:31" x14ac:dyDescent="0.25">
      <c r="A24" s="1">
        <f t="shared" si="10"/>
        <v>19</v>
      </c>
      <c r="B24" s="30" t="s">
        <v>28</v>
      </c>
      <c r="C24" s="31">
        <f t="shared" si="3"/>
        <v>19</v>
      </c>
      <c r="D24" s="32">
        <f t="shared" si="1"/>
        <v>1.5833333333333333</v>
      </c>
      <c r="E24" s="32">
        <f t="shared" si="4"/>
        <v>8.3333333333333259E-2</v>
      </c>
      <c r="F24" s="31">
        <f t="shared" si="5"/>
        <v>0</v>
      </c>
      <c r="G24" s="36">
        <f>(G23*($K23/$K22)-L23)*(1+Assumptions!$B$15)^$F24</f>
        <v>798461522.99750733</v>
      </c>
      <c r="H24" s="36">
        <f>$H$6/$G$6*G24*(1+Assumptions!$B$16)^INT((C24-1)/12)*IF(B24="Monthly",1,12)</f>
        <v>71861.537069775659</v>
      </c>
      <c r="I24" s="40">
        <f>Assumptions!$B$14</f>
        <v>0.15</v>
      </c>
      <c r="J24" s="40">
        <f t="shared" si="6"/>
        <v>1.3451947011868914E-2</v>
      </c>
      <c r="K24" s="35">
        <f t="shared" si="7"/>
        <v>0.77311950887128378</v>
      </c>
      <c r="L24" s="93">
        <f>H24*Assumptions!$B$7*(1+Assumptions!$K$8)</f>
        <v>50303.075948842961</v>
      </c>
      <c r="M24" s="36">
        <f>L24*Assumptions!$B$11</f>
        <v>10060.615189768592</v>
      </c>
      <c r="N24" s="36">
        <f>H24*Assumptions!$B$11</f>
        <v>14372.307413955132</v>
      </c>
      <c r="O24" s="36">
        <f>N24*Assumptions!$B$12</f>
        <v>1437.2307413955132</v>
      </c>
      <c r="P24" s="36">
        <f>H24*Assumptions!$B$9</f>
        <v>5748.9229655820527</v>
      </c>
      <c r="Q24" s="36">
        <f>H24*Assumptions!$B$8</f>
        <v>3593.0768534887829</v>
      </c>
      <c r="R24" s="37">
        <f>(R25)/((1+Assumptions!$B$21)^$E25)+H25/IF(H$3="EOP",((1+Assumptions!$B$21)^$E25),1)</f>
        <v>9833652.4668341633</v>
      </c>
      <c r="S24" s="36">
        <f>(S25)/((1+Assumptions!$B$21)^$E25)+L25/IF(L$3="EOP",((1+Assumptions!$B$21)^$E25),1)</f>
        <v>5037108.7862131111</v>
      </c>
      <c r="T24" s="36">
        <f>(T25)/((1+Assumptions!$B$21)^$E25)+M25/IF(M$3="EOP",((1+Assumptions!$B$21)^$E25),1)</f>
        <v>1007421.7572426228</v>
      </c>
      <c r="U24" s="36">
        <f>(U25)/((1+Assumptions!$B$21)^$E25)+N25/IF(N$3="EOP",((1+Assumptions!$B$21)^$E25),1)</f>
        <v>1966730.4933668312</v>
      </c>
      <c r="V24" s="36">
        <f>(V25)/((1+Assumptions!$B$21)^$E25)+O25/IF(O$3="EOP",((1+Assumptions!$B$21)^$E25),1)</f>
        <v>196673.04933668306</v>
      </c>
      <c r="W24" s="36">
        <f>(W25)/((1+Assumptions!$B$21)^$E25)+P25/IF(P$3="EOP",((1+Assumptions!$B$21)^$E25),1)</f>
        <v>786692.19734673225</v>
      </c>
      <c r="X24" s="36">
        <f>(X25)/((1+Assumptions!$B$21)^$E25)+Q25/IF(Q$3="EOP",((1+Assumptions!$B$21)^$E25),1)</f>
        <v>480963.13719394681</v>
      </c>
      <c r="Y24" s="38">
        <f t="shared" si="2"/>
        <v>-2766252.6592928483</v>
      </c>
      <c r="Z24" s="93">
        <f>H25*Assumptions!$B$7*Assumptions!$B$25/$E25/12*(1+Assumptions!$K$8)</f>
        <v>62029.040678575293</v>
      </c>
      <c r="AA24" s="36">
        <f>Z24*Assumptions!$B$11</f>
        <v>12405.808135715059</v>
      </c>
      <c r="AB24" s="39">
        <f t="shared" si="8"/>
        <v>49623.232542860234</v>
      </c>
      <c r="AC24" s="88">
        <f t="shared" si="9"/>
        <v>-2716629.426749988</v>
      </c>
      <c r="AD24" s="88">
        <f>Assumptions!$B$23*R24</f>
        <v>1475047.8700251244</v>
      </c>
      <c r="AE24" s="88">
        <f t="shared" si="11"/>
        <v>-1241581.5567248636</v>
      </c>
    </row>
    <row r="25" spans="1:31" x14ac:dyDescent="0.25">
      <c r="A25" s="1">
        <f t="shared" si="10"/>
        <v>20</v>
      </c>
      <c r="B25" s="30" t="s">
        <v>28</v>
      </c>
      <c r="C25" s="31">
        <f t="shared" si="3"/>
        <v>20</v>
      </c>
      <c r="D25" s="32">
        <f t="shared" si="1"/>
        <v>1.6666666666666667</v>
      </c>
      <c r="E25" s="32">
        <f t="shared" si="4"/>
        <v>8.3333333333333481E-2</v>
      </c>
      <c r="F25" s="31">
        <f t="shared" si="5"/>
        <v>0</v>
      </c>
      <c r="G25" s="36">
        <f>(G24*($K24/$K23)-L24)*(1+Assumptions!$B$15)^$F25</f>
        <v>787670357.82317984</v>
      </c>
      <c r="H25" s="36">
        <f>$H$6/$G$6*G25*(1+Assumptions!$B$16)^INT((C25-1)/12)*IF(B25="Monthly",1,12)</f>
        <v>70890.332204086182</v>
      </c>
      <c r="I25" s="40">
        <f>Assumptions!$B$14</f>
        <v>0.15</v>
      </c>
      <c r="J25" s="40">
        <f t="shared" si="6"/>
        <v>1.3451947011868914E-2</v>
      </c>
      <c r="K25" s="35">
        <f t="shared" si="7"/>
        <v>0.7627195462041052</v>
      </c>
      <c r="L25" s="93">
        <f>H25*Assumptions!$B$7*(1+Assumptions!$K$8)</f>
        <v>49623.232542860322</v>
      </c>
      <c r="M25" s="36">
        <f>L25*Assumptions!$B$11</f>
        <v>9924.6465085720647</v>
      </c>
      <c r="N25" s="36">
        <f>H25*Assumptions!$B$11</f>
        <v>14178.066440817238</v>
      </c>
      <c r="O25" s="36">
        <f>N25*Assumptions!$B$12</f>
        <v>1417.8066440817238</v>
      </c>
      <c r="P25" s="36">
        <f>H25*Assumptions!$B$9</f>
        <v>5671.2265763268942</v>
      </c>
      <c r="Q25" s="36">
        <f>H25*Assumptions!$B$8</f>
        <v>3544.5166102043095</v>
      </c>
      <c r="R25" s="37">
        <f>(R26)/((1+Assumptions!$B$21)^$E26)+H26/IF(H$3="EOP",((1+Assumptions!$B$21)^$E26),1)</f>
        <v>9782871.826168837</v>
      </c>
      <c r="S25" s="36">
        <f>(S26)/((1+Assumptions!$B$21)^$E26)+L26/IF(L$3="EOP",((1+Assumptions!$B$21)^$E26),1)</f>
        <v>4997861.1730432371</v>
      </c>
      <c r="T25" s="36">
        <f>(T26)/((1+Assumptions!$B$21)^$E26)+M26/IF(M$3="EOP",((1+Assumptions!$B$21)^$E26),1)</f>
        <v>999572.234608648</v>
      </c>
      <c r="U25" s="36">
        <f>(U26)/((1+Assumptions!$B$21)^$E26)+N26/IF(N$3="EOP",((1+Assumptions!$B$21)^$E26),1)</f>
        <v>1956574.3652337661</v>
      </c>
      <c r="V25" s="36">
        <f>(V26)/((1+Assumptions!$B$21)^$E26)+O26/IF(O$3="EOP",((1+Assumptions!$B$21)^$E26),1)</f>
        <v>195657.43652337656</v>
      </c>
      <c r="W25" s="36">
        <f>(W26)/((1+Assumptions!$B$21)^$E26)+P26/IF(P$3="EOP",((1+Assumptions!$B$21)^$E26),1)</f>
        <v>782629.74609350623</v>
      </c>
      <c r="X25" s="36">
        <f>(X26)/((1+Assumptions!$B$21)^$E26)+Q26/IF(Q$3="EOP",((1+Assumptions!$B$21)^$E26),1)</f>
        <v>478409.32589819207</v>
      </c>
      <c r="Y25" s="38">
        <f t="shared" si="2"/>
        <v>-2762626.8870321605</v>
      </c>
      <c r="Z25" s="93">
        <f>H26*Assumptions!$B$7*Assumptions!$B$25/$E26/12*(1+Assumptions!$K$8)</f>
        <v>61190.721480607477</v>
      </c>
      <c r="AA25" s="36">
        <f>Z25*Assumptions!$B$11</f>
        <v>12238.144296121496</v>
      </c>
      <c r="AB25" s="39">
        <f t="shared" si="8"/>
        <v>48952.577184485985</v>
      </c>
      <c r="AC25" s="88">
        <f t="shared" si="9"/>
        <v>-2713674.3098476743</v>
      </c>
      <c r="AD25" s="88">
        <f>Assumptions!$B$23*R25</f>
        <v>1467430.7739253256</v>
      </c>
      <c r="AE25" s="88">
        <f t="shared" si="11"/>
        <v>-1246243.5359223487</v>
      </c>
    </row>
    <row r="26" spans="1:31" x14ac:dyDescent="0.25">
      <c r="A26" s="1">
        <f t="shared" si="10"/>
        <v>21</v>
      </c>
      <c r="B26" s="30" t="s">
        <v>28</v>
      </c>
      <c r="C26" s="31">
        <f t="shared" si="3"/>
        <v>21</v>
      </c>
      <c r="D26" s="32">
        <f t="shared" si="1"/>
        <v>1.75</v>
      </c>
      <c r="E26" s="32">
        <f t="shared" si="4"/>
        <v>8.3333333333333259E-2</v>
      </c>
      <c r="F26" s="31">
        <f t="shared" si="5"/>
        <v>0</v>
      </c>
      <c r="G26" s="36">
        <f>(G25*($K25/$K24)-L25)*(1+Assumptions!$B$15)^$F26</f>
        <v>777025034.67437983</v>
      </c>
      <c r="H26" s="36">
        <f>$H$6/$G$6*G26*(1+Assumptions!$B$16)^INT((C26-1)/12)*IF(B26="Monthly",1,12)</f>
        <v>69932.253120694193</v>
      </c>
      <c r="I26" s="40">
        <f>Assumptions!$B$14</f>
        <v>0.15</v>
      </c>
      <c r="J26" s="40">
        <f t="shared" si="6"/>
        <v>1.3451947011868914E-2</v>
      </c>
      <c r="K26" s="35">
        <f t="shared" si="7"/>
        <v>0.75245948328365087</v>
      </c>
      <c r="L26" s="93">
        <f>H26*Assumptions!$B$7*(1+Assumptions!$K$8)</f>
        <v>48952.577184485934</v>
      </c>
      <c r="M26" s="36">
        <f>L26*Assumptions!$B$11</f>
        <v>9790.5154368971871</v>
      </c>
      <c r="N26" s="36">
        <f>H26*Assumptions!$B$11</f>
        <v>13986.450624138839</v>
      </c>
      <c r="O26" s="36">
        <f>N26*Assumptions!$B$12</f>
        <v>1398.645062413884</v>
      </c>
      <c r="P26" s="36">
        <f>H26*Assumptions!$B$9</f>
        <v>5594.5802496555352</v>
      </c>
      <c r="Q26" s="36">
        <f>H26*Assumptions!$B$8</f>
        <v>3496.6126560347097</v>
      </c>
      <c r="R26" s="37">
        <f>(R27)/((1+Assumptions!$B$21)^$E27)+H27/IF(H$3="EOP",((1+Assumptions!$B$21)^$E27),1)</f>
        <v>9732946.6382674985</v>
      </c>
      <c r="S26" s="36">
        <f>(S27)/((1+Assumptions!$B$21)^$E27)+L27/IF(L$3="EOP",((1+Assumptions!$B$21)^$E27),1)</f>
        <v>4959203.3715746244</v>
      </c>
      <c r="T26" s="36">
        <f>(T27)/((1+Assumptions!$B$21)^$E27)+M27/IF(M$3="EOP",((1+Assumptions!$B$21)^$E27),1)</f>
        <v>991840.67431492545</v>
      </c>
      <c r="U26" s="36">
        <f>(U27)/((1+Assumptions!$B$21)^$E27)+N27/IF(N$3="EOP",((1+Assumptions!$B$21)^$E27),1)</f>
        <v>1946589.3276534984</v>
      </c>
      <c r="V26" s="36">
        <f>(V27)/((1+Assumptions!$B$21)^$E27)+O27/IF(O$3="EOP",((1+Assumptions!$B$21)^$E27),1)</f>
        <v>194658.93276534977</v>
      </c>
      <c r="W26" s="36">
        <f>(W27)/((1+Assumptions!$B$21)^$E27)+P27/IF(P$3="EOP",((1+Assumptions!$B$21)^$E27),1)</f>
        <v>778635.7310613991</v>
      </c>
      <c r="X26" s="36">
        <f>(X27)/((1+Assumptions!$B$21)^$E27)+Q27/IF(Q$3="EOP",((1+Assumptions!$B$21)^$E27),1)</f>
        <v>475898.15812347346</v>
      </c>
      <c r="Y26" s="38">
        <f t="shared" si="2"/>
        <v>-2759119.6569347782</v>
      </c>
      <c r="Z26" s="93">
        <f>H27*Assumptions!$B$7*Assumptions!$B$25/$E27/12*(1+Assumptions!$K$8)</f>
        <v>60363.732122179026</v>
      </c>
      <c r="AA26" s="36">
        <f>Z26*Assumptions!$B$11</f>
        <v>12072.746424435805</v>
      </c>
      <c r="AB26" s="39">
        <f t="shared" si="8"/>
        <v>48290.985697743221</v>
      </c>
      <c r="AC26" s="88">
        <f t="shared" si="9"/>
        <v>-2710828.6712370352</v>
      </c>
      <c r="AD26" s="88">
        <f>Assumptions!$B$23*R26</f>
        <v>1459941.9957401247</v>
      </c>
      <c r="AE26" s="88">
        <f t="shared" si="11"/>
        <v>-1250886.6754969105</v>
      </c>
    </row>
    <row r="27" spans="1:31" x14ac:dyDescent="0.25">
      <c r="A27" s="1">
        <f t="shared" si="10"/>
        <v>22</v>
      </c>
      <c r="B27" s="30" t="s">
        <v>28</v>
      </c>
      <c r="C27" s="31">
        <f t="shared" si="3"/>
        <v>22</v>
      </c>
      <c r="D27" s="32">
        <f t="shared" si="1"/>
        <v>1.8333333333333333</v>
      </c>
      <c r="E27" s="32">
        <f t="shared" si="4"/>
        <v>8.3333333333333259E-2</v>
      </c>
      <c r="F27" s="31">
        <f t="shared" si="5"/>
        <v>0</v>
      </c>
      <c r="G27" s="36">
        <f>(G26*($K26/$K25)-L26)*(1+Assumptions!$B$15)^$F27</f>
        <v>766523582.50386</v>
      </c>
      <c r="H27" s="36">
        <f>$H$6/$G$6*G27*(1+Assumptions!$B$16)^INT((C27-1)/12)*IF(B27="Monthly",1,12)</f>
        <v>68987.122425347407</v>
      </c>
      <c r="I27" s="40">
        <f>Assumptions!$B$14</f>
        <v>0.15</v>
      </c>
      <c r="J27" s="40">
        <f t="shared" si="6"/>
        <v>1.3451947011868914E-2</v>
      </c>
      <c r="K27" s="35">
        <f t="shared" si="7"/>
        <v>0.74233743818594089</v>
      </c>
      <c r="L27" s="93">
        <f>H27*Assumptions!$B$7*(1+Assumptions!$K$8)</f>
        <v>48290.985697743185</v>
      </c>
      <c r="M27" s="36">
        <f>L27*Assumptions!$B$11</f>
        <v>9658.197139548638</v>
      </c>
      <c r="N27" s="36">
        <f>H27*Assumptions!$B$11</f>
        <v>13797.424485069481</v>
      </c>
      <c r="O27" s="36">
        <f>N27*Assumptions!$B$12</f>
        <v>1379.7424485069482</v>
      </c>
      <c r="P27" s="36">
        <f>H27*Assumptions!$B$9</f>
        <v>5518.9697940277929</v>
      </c>
      <c r="Q27" s="36">
        <f>H27*Assumptions!$B$8</f>
        <v>3449.3561212673703</v>
      </c>
      <c r="R27" s="37">
        <f>(R28)/((1+Assumptions!$B$21)^$E28)+H28/IF(H$3="EOP",((1+Assumptions!$B$21)^$E28),1)</f>
        <v>9683865.6901631746</v>
      </c>
      <c r="S27" s="36">
        <f>(S28)/((1+Assumptions!$B$21)^$E28)+L28/IF(L$3="EOP",((1+Assumptions!$B$21)^$E28),1)</f>
        <v>4921127.5328511763</v>
      </c>
      <c r="T27" s="36">
        <f>(T28)/((1+Assumptions!$B$21)^$E28)+M28/IF(M$3="EOP",((1+Assumptions!$B$21)^$E28),1)</f>
        <v>984225.50657023594</v>
      </c>
      <c r="U27" s="36">
        <f>(U28)/((1+Assumptions!$B$21)^$E28)+N28/IF(N$3="EOP",((1+Assumptions!$B$21)^$E28),1)</f>
        <v>1936773.1380326336</v>
      </c>
      <c r="V27" s="36">
        <f>(V28)/((1+Assumptions!$B$21)^$E28)+O28/IF(O$3="EOP",((1+Assumptions!$B$21)^$E28),1)</f>
        <v>193677.3138032633</v>
      </c>
      <c r="W27" s="36">
        <f>(W28)/((1+Assumptions!$B$21)^$E28)+P28/IF(P$3="EOP",((1+Assumptions!$B$21)^$E28),1)</f>
        <v>774709.2552130532</v>
      </c>
      <c r="X27" s="36">
        <f>(X28)/((1+Assumptions!$B$21)^$E28)+Q28/IF(Q$3="EOP",((1+Assumptions!$B$21)^$E28),1)</f>
        <v>473429.07428906014</v>
      </c>
      <c r="Y27" s="38">
        <f t="shared" si="2"/>
        <v>-2755729.5101507502</v>
      </c>
      <c r="Z27" s="93">
        <f>H28*Assumptions!$B$7*Assumptions!$B$25/$E28/12*(1+Assumptions!$K$8)</f>
        <v>59547.919481108969</v>
      </c>
      <c r="AA27" s="36">
        <f>Z27*Assumptions!$B$11</f>
        <v>11909.583896221795</v>
      </c>
      <c r="AB27" s="39">
        <f t="shared" si="8"/>
        <v>47638.335584887172</v>
      </c>
      <c r="AC27" s="88">
        <f t="shared" si="9"/>
        <v>-2708091.1745658629</v>
      </c>
      <c r="AD27" s="88">
        <f>Assumptions!$B$23*R27</f>
        <v>1452579.8535244761</v>
      </c>
      <c r="AE27" s="88">
        <f t="shared" si="11"/>
        <v>-1255511.3210413868</v>
      </c>
    </row>
    <row r="28" spans="1:31" x14ac:dyDescent="0.25">
      <c r="A28" s="1">
        <f t="shared" si="10"/>
        <v>23</v>
      </c>
      <c r="B28" s="30" t="s">
        <v>28</v>
      </c>
      <c r="C28" s="31">
        <f t="shared" si="3"/>
        <v>23</v>
      </c>
      <c r="D28" s="32">
        <f t="shared" si="1"/>
        <v>1.9166666666666667</v>
      </c>
      <c r="E28" s="32">
        <f t="shared" si="4"/>
        <v>8.3333333333333481E-2</v>
      </c>
      <c r="F28" s="31">
        <f t="shared" si="5"/>
        <v>0</v>
      </c>
      <c r="G28" s="36">
        <f>(G27*($K27/$K26)-L27)*(1+Assumptions!$B$15)^$F28</f>
        <v>756164056.90297234</v>
      </c>
      <c r="H28" s="36">
        <f>$H$6/$G$6*G28*(1+Assumptions!$B$16)^INT((C28-1)/12)*IF(B28="Monthly",1,12)</f>
        <v>68054.765121267512</v>
      </c>
      <c r="I28" s="40">
        <f>Assumptions!$B$14</f>
        <v>0.15</v>
      </c>
      <c r="J28" s="40">
        <f t="shared" si="6"/>
        <v>1.3451947011868914E-2</v>
      </c>
      <c r="K28" s="35">
        <f t="shared" si="7"/>
        <v>0.73235155430253707</v>
      </c>
      <c r="L28" s="93">
        <f>H28*Assumptions!$B$7*(1+Assumptions!$K$8)</f>
        <v>47638.335584887252</v>
      </c>
      <c r="M28" s="36">
        <f>L28*Assumptions!$B$11</f>
        <v>9527.6671169774509</v>
      </c>
      <c r="N28" s="36">
        <f>H28*Assumptions!$B$11</f>
        <v>13610.953024253504</v>
      </c>
      <c r="O28" s="36">
        <f>N28*Assumptions!$B$12</f>
        <v>1361.0953024253504</v>
      </c>
      <c r="P28" s="36">
        <f>H28*Assumptions!$B$9</f>
        <v>5444.3812097014006</v>
      </c>
      <c r="Q28" s="36">
        <f>H28*Assumptions!$B$8</f>
        <v>3402.738256063376</v>
      </c>
      <c r="R28" s="37">
        <f>(R29)/((1+Assumptions!$B$21)^$E29)+H29/IF(H$3="EOP",((1+Assumptions!$B$21)^$E29),1)</f>
        <v>9635617.9211492594</v>
      </c>
      <c r="S28" s="36">
        <f>(S29)/((1+Assumptions!$B$21)^$E29)+L29/IF(L$3="EOP",((1+Assumptions!$B$21)^$E29),1)</f>
        <v>4883625.9142469792</v>
      </c>
      <c r="T28" s="36">
        <f>(T29)/((1+Assumptions!$B$21)^$E29)+M29/IF(M$3="EOP",((1+Assumptions!$B$21)^$E29),1)</f>
        <v>976725.18284939637</v>
      </c>
      <c r="U28" s="36">
        <f>(U29)/((1+Assumptions!$B$21)^$E29)+N29/IF(N$3="EOP",((1+Assumptions!$B$21)^$E29),1)</f>
        <v>1927123.5842298509</v>
      </c>
      <c r="V28" s="36">
        <f>(V29)/((1+Assumptions!$B$21)^$E29)+O29/IF(O$3="EOP",((1+Assumptions!$B$21)^$E29),1)</f>
        <v>192712.35842298501</v>
      </c>
      <c r="W28" s="36">
        <f>(W29)/((1+Assumptions!$B$21)^$E29)+P29/IF(P$3="EOP",((1+Assumptions!$B$21)^$E29),1)</f>
        <v>770849.43369194004</v>
      </c>
      <c r="X28" s="36">
        <f>(X29)/((1+Assumptions!$B$21)^$E29)+Q29/IF(Q$3="EOP",((1+Assumptions!$B$21)^$E29),1)</f>
        <v>471001.52241141553</v>
      </c>
      <c r="Y28" s="38">
        <f t="shared" si="2"/>
        <v>-2752455.0078414548</v>
      </c>
      <c r="Z28" s="93">
        <f>H29*Assumptions!$B$7*Assumptions!$B$25/$E29/12*(1+Assumptions!$K$8)</f>
        <v>58743.132504654903</v>
      </c>
      <c r="AA28" s="36">
        <f>Z28*Assumptions!$B$11</f>
        <v>11748.626500930981</v>
      </c>
      <c r="AB28" s="39">
        <f t="shared" si="8"/>
        <v>46994.506003723924</v>
      </c>
      <c r="AC28" s="88">
        <f t="shared" si="9"/>
        <v>-2705460.5018377309</v>
      </c>
      <c r="AD28" s="88">
        <f>Assumptions!$B$23*R28</f>
        <v>1445342.6881723888</v>
      </c>
      <c r="AE28" s="88">
        <f t="shared" si="11"/>
        <v>-1260117.8136653421</v>
      </c>
    </row>
    <row r="29" spans="1:31" s="21" customFormat="1" x14ac:dyDescent="0.25">
      <c r="A29" s="21">
        <f t="shared" si="10"/>
        <v>24</v>
      </c>
      <c r="B29" s="41" t="s">
        <v>28</v>
      </c>
      <c r="C29" s="23">
        <f t="shared" si="3"/>
        <v>24</v>
      </c>
      <c r="D29" s="22">
        <f t="shared" si="1"/>
        <v>2</v>
      </c>
      <c r="E29" s="22">
        <f t="shared" si="4"/>
        <v>8.3333333333333259E-2</v>
      </c>
      <c r="F29" s="23">
        <f t="shared" si="5"/>
        <v>0</v>
      </c>
      <c r="G29" s="27">
        <f>(G28*($K28/$K27)-L28)*(1+Assumptions!$B$15)^$F29</f>
        <v>745944539.74164879</v>
      </c>
      <c r="H29" s="27">
        <f>$H$6/$G$6*G29*(1+Assumptions!$B$16)^INT((C29-1)/12)*IF(B29="Monthly",1,12)</f>
        <v>67135.008576748398</v>
      </c>
      <c r="I29" s="42">
        <f>Assumptions!$B$14</f>
        <v>0.15</v>
      </c>
      <c r="J29" s="42">
        <f t="shared" si="6"/>
        <v>1.3451947011868914E-2</v>
      </c>
      <c r="K29" s="43">
        <f t="shared" si="7"/>
        <v>0.72249999999999948</v>
      </c>
      <c r="L29" s="94">
        <f>H29*Assumptions!$B$7*(1+Assumptions!$K$8)</f>
        <v>46994.506003723873</v>
      </c>
      <c r="M29" s="27">
        <f>L29*Assumptions!$B$11</f>
        <v>9398.9012007447745</v>
      </c>
      <c r="N29" s="27">
        <f>H29*Assumptions!$B$11</f>
        <v>13427.001715349681</v>
      </c>
      <c r="O29" s="27">
        <f>N29*Assumptions!$B$12</f>
        <v>1342.7001715349681</v>
      </c>
      <c r="P29" s="27">
        <f>H29*Assumptions!$B$9</f>
        <v>5370.8006861398717</v>
      </c>
      <c r="Q29" s="27">
        <f>H29*Assumptions!$B$8</f>
        <v>3356.7504288374203</v>
      </c>
      <c r="R29" s="26">
        <f>(R30)/((1+Assumptions!$B$21)^$E30)+H30/IF(H$3="EOP",((1+Assumptions!$B$21)^$E30),1)</f>
        <v>9588192.420723198</v>
      </c>
      <c r="S29" s="27">
        <f>(S30)/((1+Assumptions!$B$21)^$E30)+L30/IF(L$3="EOP",((1+Assumptions!$B$21)^$E30),1)</f>
        <v>4846690.8780297656</v>
      </c>
      <c r="T29" s="27">
        <f>(T30)/((1+Assumptions!$B$21)^$E30)+M30/IF(M$3="EOP",((1+Assumptions!$B$21)^$E30),1)</f>
        <v>969338.17560595355</v>
      </c>
      <c r="U29" s="27">
        <f>(U30)/((1+Assumptions!$B$21)^$E30)+N30/IF(N$3="EOP",((1+Assumptions!$B$21)^$E30),1)</f>
        <v>1917638.4841446388</v>
      </c>
      <c r="V29" s="27">
        <f>(V30)/((1+Assumptions!$B$21)^$E30)+O30/IF(O$3="EOP",((1+Assumptions!$B$21)^$E30),1)</f>
        <v>191763.84841446381</v>
      </c>
      <c r="W29" s="27">
        <f>(W30)/((1+Assumptions!$B$21)^$E30)+P30/IF(P$3="EOP",((1+Assumptions!$B$21)^$E30),1)</f>
        <v>767055.39365785522</v>
      </c>
      <c r="X29" s="27">
        <f>(X30)/((1+Assumptions!$B$21)^$E30)+Q30/IF(Q$3="EOP",((1+Assumptions!$B$21)^$E30),1)</f>
        <v>468614.95800159225</v>
      </c>
      <c r="Y29" s="28">
        <f t="shared" si="2"/>
        <v>-2749294.7309097638</v>
      </c>
      <c r="Z29" s="94">
        <f>H30*Assumptions!$B$7*Assumptions!$B$25/$E30/12*(1+Assumptions!$K$8)</f>
        <v>63836.863155187908</v>
      </c>
      <c r="AA29" s="27">
        <f>Z29*Assumptions!$B$11</f>
        <v>12767.372631037582</v>
      </c>
      <c r="AB29" s="29">
        <f t="shared" si="8"/>
        <v>51069.490524150329</v>
      </c>
      <c r="AC29" s="87">
        <f t="shared" si="9"/>
        <v>-2698225.2403856134</v>
      </c>
      <c r="AD29" s="87">
        <f>Assumptions!$B$23*R29</f>
        <v>1438228.8631084797</v>
      </c>
      <c r="AE29" s="87">
        <f t="shared" si="11"/>
        <v>-1259996.3772771338</v>
      </c>
    </row>
    <row r="30" spans="1:31" x14ac:dyDescent="0.25">
      <c r="A30" s="1">
        <f t="shared" si="10"/>
        <v>25</v>
      </c>
      <c r="B30" s="30" t="s">
        <v>28</v>
      </c>
      <c r="C30" s="31">
        <f t="shared" si="3"/>
        <v>25</v>
      </c>
      <c r="D30" s="32">
        <f t="shared" si="1"/>
        <v>2.0833333333333335</v>
      </c>
      <c r="E30" s="32">
        <f t="shared" si="4"/>
        <v>8.3333333333333481E-2</v>
      </c>
      <c r="F30" s="31">
        <f t="shared" si="5"/>
        <v>1</v>
      </c>
      <c r="G30" s="36">
        <f>(G29*($K29/$K28)-L29)*(1+Assumptions!$B$15)^$F30</f>
        <v>750580401.58951235</v>
      </c>
      <c r="H30" s="36">
        <f>$H$6/$G$6*G30*(1+Assumptions!$B$16)^INT((C30-1)/12)*IF(B30="Monthly",1,12)</f>
        <v>72956.415034500606</v>
      </c>
      <c r="I30" s="40">
        <f>Assumptions!$B$14</f>
        <v>0.15</v>
      </c>
      <c r="J30" s="40">
        <f t="shared" si="6"/>
        <v>1.3451947011868914E-2</v>
      </c>
      <c r="K30" s="35">
        <f t="shared" si="7"/>
        <v>0.71278096828392423</v>
      </c>
      <c r="L30" s="93">
        <f>H30*Assumptions!$B$7*(1+Assumptions!$K$8)</f>
        <v>51069.490524150424</v>
      </c>
      <c r="M30" s="36">
        <f>L30*Assumptions!$B$11</f>
        <v>10213.898104830085</v>
      </c>
      <c r="N30" s="36">
        <f>H30*Assumptions!$B$11</f>
        <v>14591.283006900121</v>
      </c>
      <c r="O30" s="36">
        <f>N30*Assumptions!$B$12</f>
        <v>1459.1283006900121</v>
      </c>
      <c r="P30" s="36">
        <f>H30*Assumptions!$B$9</f>
        <v>5836.5132027600484</v>
      </c>
      <c r="Q30" s="36">
        <f>H30*Assumptions!$B$8</f>
        <v>3647.8207517250303</v>
      </c>
      <c r="R30" s="37">
        <f>(R31)/((1+Assumptions!$B$21)^$E31)+H31/IF(H$3="EOP",((1+Assumptions!$B$21)^$E31),1)</f>
        <v>9534835.8339293301</v>
      </c>
      <c r="S30" s="36">
        <f>(S31)/((1+Assumptions!$B$21)^$E31)+L31/IF(L$3="EOP",((1+Assumptions!$B$21)^$E31),1)</f>
        <v>4805604.7771648979</v>
      </c>
      <c r="T30" s="36">
        <f>(T31)/((1+Assumptions!$B$21)^$E31)+M31/IF(M$3="EOP",((1+Assumptions!$B$21)^$E31),1)</f>
        <v>961120.95543298009</v>
      </c>
      <c r="U30" s="36">
        <f>(U31)/((1+Assumptions!$B$21)^$E31)+N31/IF(N$3="EOP",((1+Assumptions!$B$21)^$E31),1)</f>
        <v>1906967.1667858651</v>
      </c>
      <c r="V30" s="36">
        <f>(V31)/((1+Assumptions!$B$21)^$E31)+O31/IF(O$3="EOP",((1+Assumptions!$B$21)^$E31),1)</f>
        <v>190696.71667858647</v>
      </c>
      <c r="W30" s="36">
        <f>(W31)/((1+Assumptions!$B$21)^$E31)+P31/IF(P$3="EOP",((1+Assumptions!$B$21)^$E31),1)</f>
        <v>762786.86671434587</v>
      </c>
      <c r="X30" s="36">
        <f>(X31)/((1+Assumptions!$B$21)^$E31)+Q31/IF(Q$3="EOP",((1+Assumptions!$B$21)^$E31),1)</f>
        <v>465932.40733694989</v>
      </c>
      <c r="Y30" s="38">
        <f t="shared" si="2"/>
        <v>-2745362.2880388382</v>
      </c>
      <c r="Z30" s="93">
        <f>H31*Assumptions!$B$7*Assumptions!$B$25/$E31/12*(1+Assumptions!$K$8)</f>
        <v>62973.789594451642</v>
      </c>
      <c r="AA30" s="36">
        <f>Z30*Assumptions!$B$11</f>
        <v>12594.757918890329</v>
      </c>
      <c r="AB30" s="39">
        <f t="shared" si="8"/>
        <v>50379.031675561317</v>
      </c>
      <c r="AC30" s="88">
        <f t="shared" si="9"/>
        <v>-2694983.2563632769</v>
      </c>
      <c r="AD30" s="88">
        <f>Assumptions!$B$23*R30</f>
        <v>1430225.3750893995</v>
      </c>
      <c r="AE30" s="88">
        <f t="shared" si="11"/>
        <v>-1264757.8812738773</v>
      </c>
    </row>
    <row r="31" spans="1:31" x14ac:dyDescent="0.25">
      <c r="A31" s="1">
        <f t="shared" si="10"/>
        <v>26</v>
      </c>
      <c r="B31" s="30" t="s">
        <v>28</v>
      </c>
      <c r="C31" s="31">
        <f t="shared" si="3"/>
        <v>26</v>
      </c>
      <c r="D31" s="32">
        <f t="shared" si="1"/>
        <v>2.1666666666666665</v>
      </c>
      <c r="E31" s="32">
        <f t="shared" si="4"/>
        <v>8.3333333333333037E-2</v>
      </c>
      <c r="F31" s="31">
        <f t="shared" si="5"/>
        <v>0</v>
      </c>
      <c r="G31" s="36">
        <f>(G30*($K30/$K29)-L30)*(1+Assumptions!$B$15)^$F31</f>
        <v>740432564.30865872</v>
      </c>
      <c r="H31" s="36">
        <f>$H$6/$G$6*G31*(1+Assumptions!$B$16)^INT((C31-1)/12)*IF(B31="Monthly",1,12)</f>
        <v>71970.045250801631</v>
      </c>
      <c r="I31" s="40">
        <f>Assumptions!$B$14</f>
        <v>0.15</v>
      </c>
      <c r="J31" s="40">
        <f t="shared" si="6"/>
        <v>1.3451947011868803E-2</v>
      </c>
      <c r="K31" s="35">
        <f t="shared" si="7"/>
        <v>0.70319267646750039</v>
      </c>
      <c r="L31" s="93">
        <f>H31*Assumptions!$B$7*(1+Assumptions!$K$8)</f>
        <v>50379.031675561142</v>
      </c>
      <c r="M31" s="36">
        <f>L31*Assumptions!$B$11</f>
        <v>10075.806335112229</v>
      </c>
      <c r="N31" s="36">
        <f>H31*Assumptions!$B$11</f>
        <v>14394.009050160326</v>
      </c>
      <c r="O31" s="36">
        <f>N31*Assumptions!$B$12</f>
        <v>1439.4009050160328</v>
      </c>
      <c r="P31" s="36">
        <f>H31*Assumptions!$B$9</f>
        <v>5757.6036200641311</v>
      </c>
      <c r="Q31" s="36">
        <f>H31*Assumptions!$B$8</f>
        <v>3598.5022625400816</v>
      </c>
      <c r="R31" s="37">
        <f>(R32)/((1+Assumptions!$B$21)^$E32)+H32/IF(H$3="EOP",((1+Assumptions!$B$21)^$E32),1)</f>
        <v>9482357.7428467032</v>
      </c>
      <c r="S31" s="36">
        <f>(S32)/((1+Assumptions!$B$21)^$E32)+L32/IF(L$3="EOP",((1+Assumptions!$B$21)^$E32),1)</f>
        <v>4765124.5045078704</v>
      </c>
      <c r="T31" s="36">
        <f>(T32)/((1+Assumptions!$B$21)^$E32)+M32/IF(M$3="EOP",((1+Assumptions!$B$21)^$E32),1)</f>
        <v>953024.90090157464</v>
      </c>
      <c r="U31" s="36">
        <f>(U32)/((1+Assumptions!$B$21)^$E32)+N32/IF(N$3="EOP",((1+Assumptions!$B$21)^$E32),1)</f>
        <v>1896471.5485693396</v>
      </c>
      <c r="V31" s="36">
        <f>(V32)/((1+Assumptions!$B$21)^$E32)+O32/IF(O$3="EOP",((1+Assumptions!$B$21)^$E32),1)</f>
        <v>189647.15485693392</v>
      </c>
      <c r="W31" s="36">
        <f>(W32)/((1+Assumptions!$B$21)^$E32)+P32/IF(P$3="EOP",((1+Assumptions!$B$21)^$E32),1)</f>
        <v>758588.61942773568</v>
      </c>
      <c r="X31" s="36">
        <f>(X32)/((1+Assumptions!$B$21)^$E32)+Q32/IF(Q$3="EOP",((1+Assumptions!$B$21)^$E32),1)</f>
        <v>463293.6495463376</v>
      </c>
      <c r="Y31" s="38">
        <f t="shared" si="2"/>
        <v>-2741551.4765539286</v>
      </c>
      <c r="Z31" s="93">
        <f>H32*Assumptions!$B$7*Assumptions!$B$25/$E32/12*(1+Assumptions!$K$8)</f>
        <v>62122.384777046187</v>
      </c>
      <c r="AA31" s="36">
        <f>Z31*Assumptions!$B$11</f>
        <v>12424.476955409238</v>
      </c>
      <c r="AB31" s="39">
        <f t="shared" si="8"/>
        <v>49697.907821636953</v>
      </c>
      <c r="AC31" s="88">
        <f t="shared" si="9"/>
        <v>-2691853.5687322915</v>
      </c>
      <c r="AD31" s="88">
        <f>Assumptions!$B$23*R31</f>
        <v>1422353.6614270054</v>
      </c>
      <c r="AE31" s="88">
        <f t="shared" si="11"/>
        <v>-1269499.907305286</v>
      </c>
    </row>
    <row r="32" spans="1:31" x14ac:dyDescent="0.25">
      <c r="A32" s="1">
        <f t="shared" si="10"/>
        <v>27</v>
      </c>
      <c r="B32" s="30" t="s">
        <v>28</v>
      </c>
      <c r="C32" s="31">
        <f t="shared" si="3"/>
        <v>27</v>
      </c>
      <c r="D32" s="32">
        <f t="shared" si="1"/>
        <v>2.25</v>
      </c>
      <c r="E32" s="32">
        <f t="shared" si="4"/>
        <v>8.3333333333333481E-2</v>
      </c>
      <c r="F32" s="31">
        <f t="shared" si="5"/>
        <v>0</v>
      </c>
      <c r="G32" s="36">
        <f>(G31*($K31/$K30)-L31)*(1+Assumptions!$B$15)^$F32</f>
        <v>730421925.65604103</v>
      </c>
      <c r="H32" s="36">
        <f>$H$6/$G$6*G32*(1+Assumptions!$B$16)^INT((C32-1)/12)*IF(B32="Monthly",1,12)</f>
        <v>70997.011173767198</v>
      </c>
      <c r="I32" s="40">
        <f>Assumptions!$B$14</f>
        <v>0.15</v>
      </c>
      <c r="J32" s="40">
        <f t="shared" si="6"/>
        <v>1.3451947011868914E-2</v>
      </c>
      <c r="K32" s="35">
        <f t="shared" si="7"/>
        <v>0.69373336584452527</v>
      </c>
      <c r="L32" s="93">
        <f>H32*Assumptions!$B$7*(1+Assumptions!$K$8)</f>
        <v>49697.907821637033</v>
      </c>
      <c r="M32" s="36">
        <f>L32*Assumptions!$B$11</f>
        <v>9939.5815643274072</v>
      </c>
      <c r="N32" s="36">
        <f>H32*Assumptions!$B$11</f>
        <v>14199.402234753441</v>
      </c>
      <c r="O32" s="36">
        <f>N32*Assumptions!$B$12</f>
        <v>1419.9402234753443</v>
      </c>
      <c r="P32" s="36">
        <f>H32*Assumptions!$B$9</f>
        <v>5679.7608939013762</v>
      </c>
      <c r="Q32" s="36">
        <f>H32*Assumptions!$B$8</f>
        <v>3549.8505586883603</v>
      </c>
      <c r="R32" s="37">
        <f>(R33)/((1+Assumptions!$B$21)^$E33)+H33/IF(H$3="EOP",((1+Assumptions!$B$21)^$E33),1)</f>
        <v>9430746.5938566104</v>
      </c>
      <c r="S32" s="36">
        <f>(S33)/((1+Assumptions!$B$21)^$E33)+L33/IF(L$3="EOP",((1+Assumptions!$B$21)^$E33),1)</f>
        <v>4725241.9729709364</v>
      </c>
      <c r="T32" s="36">
        <f>(T33)/((1+Assumptions!$B$21)^$E33)+M33/IF(M$3="EOP",((1+Assumptions!$B$21)^$E33),1)</f>
        <v>945048.39459418773</v>
      </c>
      <c r="U32" s="36">
        <f>(U33)/((1+Assumptions!$B$21)^$E33)+N33/IF(N$3="EOP",((1+Assumptions!$B$21)^$E33),1)</f>
        <v>1886149.3187713213</v>
      </c>
      <c r="V32" s="36">
        <f>(V33)/((1+Assumptions!$B$21)^$E33)+O33/IF(O$3="EOP",((1+Assumptions!$B$21)^$E33),1)</f>
        <v>188614.9318771321</v>
      </c>
      <c r="W32" s="36">
        <f>(W33)/((1+Assumptions!$B$21)^$E33)+P33/IF(P$3="EOP",((1+Assumptions!$B$21)^$E33),1)</f>
        <v>754459.72750852839</v>
      </c>
      <c r="X32" s="36">
        <f>(X33)/((1+Assumptions!$B$21)^$E33)+Q33/IF(Q$3="EOP",((1+Assumptions!$B$21)^$E33),1)</f>
        <v>460698.10805057269</v>
      </c>
      <c r="Y32" s="38">
        <f t="shared" si="2"/>
        <v>-2737860.7930265712</v>
      </c>
      <c r="Z32" s="93">
        <f>H33*Assumptions!$B$7*Assumptions!$B$25/$E33/12*(1+Assumptions!$K$8)</f>
        <v>61282.490941714183</v>
      </c>
      <c r="AA32" s="36">
        <f>Z32*Assumptions!$B$11</f>
        <v>12256.498188342837</v>
      </c>
      <c r="AB32" s="39">
        <f t="shared" si="8"/>
        <v>49025.992753371349</v>
      </c>
      <c r="AC32" s="88">
        <f t="shared" si="9"/>
        <v>-2688834.8002732</v>
      </c>
      <c r="AD32" s="88">
        <f>Assumptions!$B$23*R32</f>
        <v>1414611.9890784915</v>
      </c>
      <c r="AE32" s="88">
        <f t="shared" si="11"/>
        <v>-1274222.8111947086</v>
      </c>
    </row>
    <row r="33" spans="1:31" x14ac:dyDescent="0.25">
      <c r="A33" s="1">
        <f t="shared" si="10"/>
        <v>28</v>
      </c>
      <c r="B33" s="30" t="s">
        <v>28</v>
      </c>
      <c r="C33" s="31">
        <f t="shared" si="3"/>
        <v>28</v>
      </c>
      <c r="D33" s="32">
        <f t="shared" si="1"/>
        <v>2.3333333333333335</v>
      </c>
      <c r="E33" s="32">
        <f t="shared" si="4"/>
        <v>8.3333333333333481E-2</v>
      </c>
      <c r="F33" s="31">
        <f t="shared" si="5"/>
        <v>0</v>
      </c>
      <c r="G33" s="36">
        <f>(G32*($K32/$K31)-L32)*(1+Assumptions!$B$15)^$F33</f>
        <v>720546630.70798707</v>
      </c>
      <c r="H33" s="36">
        <f>$H$6/$G$6*G33*(1+Assumptions!$B$16)^INT((C33-1)/12)*IF(B33="Monthly",1,12)</f>
        <v>70037.132504816342</v>
      </c>
      <c r="I33" s="40">
        <f>Assumptions!$B$14</f>
        <v>0.15</v>
      </c>
      <c r="J33" s="40">
        <f t="shared" si="6"/>
        <v>1.3451947011868914E-2</v>
      </c>
      <c r="K33" s="35">
        <f t="shared" si="7"/>
        <v>0.6844013013668192</v>
      </c>
      <c r="L33" s="93">
        <f>H33*Assumptions!$B$7*(1+Assumptions!$K$8)</f>
        <v>49025.992753371436</v>
      </c>
      <c r="M33" s="36">
        <f>L33*Assumptions!$B$11</f>
        <v>9805.1985506742876</v>
      </c>
      <c r="N33" s="36">
        <f>H33*Assumptions!$B$11</f>
        <v>14007.426500963269</v>
      </c>
      <c r="O33" s="36">
        <f>N33*Assumptions!$B$12</f>
        <v>1400.742650096327</v>
      </c>
      <c r="P33" s="36">
        <f>H33*Assumptions!$B$9</f>
        <v>5602.9706003853071</v>
      </c>
      <c r="Q33" s="36">
        <f>H33*Assumptions!$B$8</f>
        <v>3501.8566252408173</v>
      </c>
      <c r="R33" s="37">
        <f>(R34)/((1+Assumptions!$B$21)^$E34)+H34/IF(H$3="EOP",((1+Assumptions!$B$21)^$E34),1)</f>
        <v>9379990.9902117476</v>
      </c>
      <c r="S33" s="36">
        <f>(S34)/((1+Assumptions!$B$21)^$E34)+L34/IF(L$3="EOP",((1+Assumptions!$B$21)^$E34),1)</f>
        <v>4685949.2050172752</v>
      </c>
      <c r="T33" s="36">
        <f>(T34)/((1+Assumptions!$B$21)^$E34)+M34/IF(M$3="EOP",((1+Assumptions!$B$21)^$E34),1)</f>
        <v>937189.84100345534</v>
      </c>
      <c r="U33" s="36">
        <f>(U34)/((1+Assumptions!$B$21)^$E34)+N34/IF(N$3="EOP",((1+Assumptions!$B$21)^$E34),1)</f>
        <v>1875998.198042349</v>
      </c>
      <c r="V33" s="36">
        <f>(V34)/((1+Assumptions!$B$21)^$E34)+O34/IF(O$3="EOP",((1+Assumptions!$B$21)^$E34),1)</f>
        <v>187599.81980423487</v>
      </c>
      <c r="W33" s="36">
        <f>(W34)/((1+Assumptions!$B$21)^$E34)+P34/IF(P$3="EOP",((1+Assumptions!$B$21)^$E34),1)</f>
        <v>750399.27921693947</v>
      </c>
      <c r="X33" s="36">
        <f>(X34)/((1+Assumptions!$B$21)^$E34)+Q34/IF(Q$3="EOP",((1+Assumptions!$B$21)^$E34),1)</f>
        <v>458145.21409774246</v>
      </c>
      <c r="Y33" s="38">
        <f t="shared" si="2"/>
        <v>-2734288.7546451315</v>
      </c>
      <c r="Z33" s="93">
        <f>H34*Assumptions!$B$7*Assumptions!$B$25/$E34/12*(1+Assumptions!$K$8)</f>
        <v>60453.952460127541</v>
      </c>
      <c r="AA33" s="36">
        <f>Z33*Assumptions!$B$11</f>
        <v>12090.79049202551</v>
      </c>
      <c r="AB33" s="39">
        <f t="shared" si="8"/>
        <v>48363.161968102031</v>
      </c>
      <c r="AC33" s="88">
        <f t="shared" si="9"/>
        <v>-2685925.5926770293</v>
      </c>
      <c r="AD33" s="88">
        <f>Assumptions!$B$23*R33</f>
        <v>1406998.6485317622</v>
      </c>
      <c r="AE33" s="88">
        <f t="shared" si="11"/>
        <v>-1278926.9441452671</v>
      </c>
    </row>
    <row r="34" spans="1:31" x14ac:dyDescent="0.25">
      <c r="A34" s="1">
        <f t="shared" si="10"/>
        <v>29</v>
      </c>
      <c r="B34" s="30" t="s">
        <v>28</v>
      </c>
      <c r="C34" s="31">
        <f t="shared" si="3"/>
        <v>29</v>
      </c>
      <c r="D34" s="32">
        <f t="shared" si="1"/>
        <v>2.4166666666666665</v>
      </c>
      <c r="E34" s="32">
        <f t="shared" si="4"/>
        <v>8.3333333333333037E-2</v>
      </c>
      <c r="F34" s="31">
        <f t="shared" si="5"/>
        <v>0</v>
      </c>
      <c r="G34" s="36">
        <f>(G33*($K33/$K32)-L33)*(1+Assumptions!$B$15)^$F34</f>
        <v>710804849.61936903</v>
      </c>
      <c r="H34" s="36">
        <f>$H$6/$G$6*G34*(1+Assumptions!$B$16)^INT((C34-1)/12)*IF(B34="Monthly",1,12)</f>
        <v>69090.231383002669</v>
      </c>
      <c r="I34" s="40">
        <f>Assumptions!$B$14</f>
        <v>0.15</v>
      </c>
      <c r="J34" s="40">
        <f t="shared" si="6"/>
        <v>1.3451947011868803E-2</v>
      </c>
      <c r="K34" s="35">
        <f t="shared" si="7"/>
        <v>0.67519477132597872</v>
      </c>
      <c r="L34" s="93">
        <f>H34*Assumptions!$B$7*(1+Assumptions!$K$8)</f>
        <v>48363.161968101864</v>
      </c>
      <c r="M34" s="36">
        <f>L34*Assumptions!$B$11</f>
        <v>9672.6323936203735</v>
      </c>
      <c r="N34" s="36">
        <f>H34*Assumptions!$B$11</f>
        <v>13818.046276600535</v>
      </c>
      <c r="O34" s="36">
        <f>N34*Assumptions!$B$12</f>
        <v>1381.8046276600535</v>
      </c>
      <c r="P34" s="36">
        <f>H34*Assumptions!$B$9</f>
        <v>5527.2185106402139</v>
      </c>
      <c r="Q34" s="36">
        <f>H34*Assumptions!$B$8</f>
        <v>3454.5115691501337</v>
      </c>
      <c r="R34" s="37">
        <f>(R35)/((1+Assumptions!$B$21)^$E35)+H35/IF(H$3="EOP",((1+Assumptions!$B$21)^$E35),1)</f>
        <v>9330079.6899166852</v>
      </c>
      <c r="S34" s="36">
        <f>(S35)/((1+Assumptions!$B$21)^$E35)+L35/IF(L$3="EOP",((1+Assumptions!$B$21)^$E35),1)</f>
        <v>4647238.3311803089</v>
      </c>
      <c r="T34" s="36">
        <f>(T35)/((1+Assumptions!$B$21)^$E35)+M35/IF(M$3="EOP",((1+Assumptions!$B$21)^$E35),1)</f>
        <v>929447.66623606207</v>
      </c>
      <c r="U34" s="36">
        <f>(U35)/((1+Assumptions!$B$21)^$E35)+N35/IF(N$3="EOP",((1+Assumptions!$B$21)^$E35),1)</f>
        <v>1866015.9379833366</v>
      </c>
      <c r="V34" s="36">
        <f>(V35)/((1+Assumptions!$B$21)^$E35)+O35/IF(O$3="EOP",((1+Assumptions!$B$21)^$E35),1)</f>
        <v>186601.59379833366</v>
      </c>
      <c r="W34" s="36">
        <f>(W35)/((1+Assumptions!$B$21)^$E35)+P35/IF(P$3="EOP",((1+Assumptions!$B$21)^$E35),1)</f>
        <v>746406.37519333465</v>
      </c>
      <c r="X34" s="36">
        <f>(X35)/((1+Assumptions!$B$21)^$E35)+Q35/IF(Q$3="EOP",((1+Assumptions!$B$21)^$E35),1)</f>
        <v>455634.40665744571</v>
      </c>
      <c r="Y34" s="38">
        <f t="shared" si="2"/>
        <v>-2730833.8989366554</v>
      </c>
      <c r="Z34" s="93">
        <f>H35*Assumptions!$B$7*Assumptions!$B$25/$E35/12*(1+Assumptions!$K$8)</f>
        <v>59636.61580805017</v>
      </c>
      <c r="AA34" s="36">
        <f>Z34*Assumptions!$B$11</f>
        <v>11927.323161610035</v>
      </c>
      <c r="AB34" s="39">
        <f t="shared" si="8"/>
        <v>47709.292646440139</v>
      </c>
      <c r="AC34" s="88">
        <f t="shared" si="9"/>
        <v>-2683124.6062902152</v>
      </c>
      <c r="AD34" s="88">
        <f>Assumptions!$B$23*R34</f>
        <v>1399511.9534875026</v>
      </c>
      <c r="AE34" s="88">
        <f t="shared" si="11"/>
        <v>-1283612.6528027125</v>
      </c>
    </row>
    <row r="35" spans="1:31" x14ac:dyDescent="0.25">
      <c r="A35" s="1">
        <f t="shared" si="10"/>
        <v>30</v>
      </c>
      <c r="B35" s="30" t="s">
        <v>28</v>
      </c>
      <c r="C35" s="31">
        <f t="shared" si="3"/>
        <v>30</v>
      </c>
      <c r="D35" s="32">
        <f t="shared" si="1"/>
        <v>2.5</v>
      </c>
      <c r="E35" s="32">
        <f t="shared" si="4"/>
        <v>8.3333333333333481E-2</v>
      </c>
      <c r="F35" s="31">
        <f t="shared" si="5"/>
        <v>0</v>
      </c>
      <c r="G35" s="36">
        <f>(G34*($K34/$K33)-L34)*(1+Assumptions!$B$15)^$F35</f>
        <v>701194777.28454185</v>
      </c>
      <c r="H35" s="36">
        <f>$H$6/$G$6*G35*(1+Assumptions!$B$16)^INT((C35-1)/12)*IF(B35="Monthly",1,12)</f>
        <v>68156.132352057466</v>
      </c>
      <c r="I35" s="40">
        <f>Assumptions!$B$14</f>
        <v>0.15</v>
      </c>
      <c r="J35" s="40">
        <f t="shared" si="6"/>
        <v>1.3451947011868914E-2</v>
      </c>
      <c r="K35" s="35">
        <f t="shared" si="7"/>
        <v>0.66611208703941072</v>
      </c>
      <c r="L35" s="93">
        <f>H35*Assumptions!$B$7*(1+Assumptions!$K$8)</f>
        <v>47709.292646440226</v>
      </c>
      <c r="M35" s="36">
        <f>L35*Assumptions!$B$11</f>
        <v>9541.8585292880452</v>
      </c>
      <c r="N35" s="36">
        <f>H35*Assumptions!$B$11</f>
        <v>13631.226470411493</v>
      </c>
      <c r="O35" s="36">
        <f>N35*Assumptions!$B$12</f>
        <v>1363.1226470411493</v>
      </c>
      <c r="P35" s="36">
        <f>H35*Assumptions!$B$9</f>
        <v>5452.4905881645973</v>
      </c>
      <c r="Q35" s="36">
        <f>H35*Assumptions!$B$8</f>
        <v>3407.8066176028733</v>
      </c>
      <c r="R35" s="37">
        <f>(R36)/((1+Assumptions!$B$21)^$E36)+H36/IF(H$3="EOP",((1+Assumptions!$B$21)^$E36),1)</f>
        <v>9281001.6036370117</v>
      </c>
      <c r="S35" s="36">
        <f>(S36)/((1+Assumptions!$B$21)^$E36)+L36/IF(L$3="EOP",((1+Assumptions!$B$21)^$E36),1)</f>
        <v>4609101.5886030383</v>
      </c>
      <c r="T35" s="36">
        <f>(T36)/((1+Assumptions!$B$21)^$E36)+M36/IF(M$3="EOP",((1+Assumptions!$B$21)^$E36),1)</f>
        <v>921820.31772060797</v>
      </c>
      <c r="U35" s="36">
        <f>(U36)/((1+Assumptions!$B$21)^$E36)+N36/IF(N$3="EOP",((1+Assumptions!$B$21)^$E36),1)</f>
        <v>1856200.3207274021</v>
      </c>
      <c r="V35" s="36">
        <f>(V36)/((1+Assumptions!$B$21)^$E36)+O36/IF(O$3="EOP",((1+Assumptions!$B$21)^$E36),1)</f>
        <v>185620.03207274023</v>
      </c>
      <c r="W35" s="36">
        <f>(W36)/((1+Assumptions!$B$21)^$E36)+P36/IF(P$3="EOP",((1+Assumptions!$B$21)^$E36),1)</f>
        <v>742480.12829096091</v>
      </c>
      <c r="X35" s="36">
        <f>(X36)/((1+Assumptions!$B$21)^$E36)+Q36/IF(Q$3="EOP",((1+Assumptions!$B$21)^$E36),1)</f>
        <v>453165.13231646421</v>
      </c>
      <c r="Y35" s="38">
        <f t="shared" si="2"/>
        <v>-2727494.7834924939</v>
      </c>
      <c r="Z35" s="93">
        <f>H36*Assumptions!$B$7*Assumptions!$B$25/$E36/12*(1+Assumptions!$K$8)</f>
        <v>58830.329536893521</v>
      </c>
      <c r="AA35" s="36">
        <f>Z35*Assumptions!$B$11</f>
        <v>11766.065907378705</v>
      </c>
      <c r="AB35" s="39">
        <f t="shared" si="8"/>
        <v>47064.263629514819</v>
      </c>
      <c r="AC35" s="88">
        <f t="shared" si="9"/>
        <v>-2680430.5198629792</v>
      </c>
      <c r="AD35" s="88">
        <f>Assumptions!$B$23*R35</f>
        <v>1392150.2405455518</v>
      </c>
      <c r="AE35" s="88">
        <f t="shared" si="11"/>
        <v>-1288280.2793174274</v>
      </c>
    </row>
    <row r="36" spans="1:31" x14ac:dyDescent="0.25">
      <c r="A36" s="1">
        <f t="shared" si="10"/>
        <v>31</v>
      </c>
      <c r="B36" s="30" t="s">
        <v>28</v>
      </c>
      <c r="C36" s="31">
        <f t="shared" si="3"/>
        <v>31</v>
      </c>
      <c r="D36" s="32">
        <f t="shared" si="1"/>
        <v>2.5833333333333335</v>
      </c>
      <c r="E36" s="32">
        <f t="shared" si="4"/>
        <v>8.3333333333333481E-2</v>
      </c>
      <c r="F36" s="31">
        <f t="shared" si="5"/>
        <v>0</v>
      </c>
      <c r="G36" s="36">
        <f>(G35*($K35/$K34)-L35)*(1+Assumptions!$B$15)^$F36</f>
        <v>691714633.0028646</v>
      </c>
      <c r="H36" s="36">
        <f>$H$6/$G$6*G36*(1+Assumptions!$B$16)^INT((C36-1)/12)*IF(B36="Monthly",1,12)</f>
        <v>67234.662327878439</v>
      </c>
      <c r="I36" s="40">
        <f>Assumptions!$B$14</f>
        <v>0.15</v>
      </c>
      <c r="J36" s="40">
        <f t="shared" si="6"/>
        <v>1.3451947011868914E-2</v>
      </c>
      <c r="K36" s="35">
        <f t="shared" si="7"/>
        <v>0.65715158254059114</v>
      </c>
      <c r="L36" s="93">
        <f>H36*Assumptions!$B$7*(1+Assumptions!$K$8)</f>
        <v>47064.263629514906</v>
      </c>
      <c r="M36" s="36">
        <f>L36*Assumptions!$B$11</f>
        <v>9412.8527259029815</v>
      </c>
      <c r="N36" s="36">
        <f>H36*Assumptions!$B$11</f>
        <v>13446.932465575688</v>
      </c>
      <c r="O36" s="36">
        <f>N36*Assumptions!$B$12</f>
        <v>1344.693246557569</v>
      </c>
      <c r="P36" s="36">
        <f>H36*Assumptions!$B$9</f>
        <v>5378.7729862302749</v>
      </c>
      <c r="Q36" s="36">
        <f>H36*Assumptions!$B$8</f>
        <v>3361.733116393922</v>
      </c>
      <c r="R36" s="37">
        <f>(R37)/((1+Assumptions!$B$21)^$E37)+H37/IF(H$3="EOP",((1+Assumptions!$B$21)^$E37),1)</f>
        <v>9232745.7926367223</v>
      </c>
      <c r="S36" s="36">
        <f>(S37)/((1+Assumptions!$B$21)^$E37)+L37/IF(L$3="EOP",((1+Assumptions!$B$21)^$E37),1)</f>
        <v>4571531.3195971185</v>
      </c>
      <c r="T36" s="36">
        <f>(T37)/((1+Assumptions!$B$21)^$E37)+M37/IF(M$3="EOP",((1+Assumptions!$B$21)^$E37),1)</f>
        <v>914306.26391942415</v>
      </c>
      <c r="U36" s="36">
        <f>(U37)/((1+Assumptions!$B$21)^$E37)+N37/IF(N$3="EOP",((1+Assumptions!$B$21)^$E37),1)</f>
        <v>1846549.1585273442</v>
      </c>
      <c r="V36" s="36">
        <f>(V37)/((1+Assumptions!$B$21)^$E37)+O37/IF(O$3="EOP",((1+Assumptions!$B$21)^$E37),1)</f>
        <v>184654.91585273441</v>
      </c>
      <c r="W36" s="36">
        <f>(W37)/((1+Assumptions!$B$21)^$E37)+P37/IF(P$3="EOP",((1+Assumptions!$B$21)^$E37),1)</f>
        <v>738619.66341093765</v>
      </c>
      <c r="X36" s="36">
        <f>(X37)/((1+Assumptions!$B$21)^$E37)+Q37/IF(Q$3="EOP",((1+Assumptions!$B$21)^$E37),1)</f>
        <v>450736.84517584392</v>
      </c>
      <c r="Y36" s="38">
        <f t="shared" si="2"/>
        <v>-2724269.9856976364</v>
      </c>
      <c r="Z36" s="93">
        <f>H37*Assumptions!$B$7*Assumptions!$B$25/$E37/12*(1+Assumptions!$K$8)</f>
        <v>58034.944245651066</v>
      </c>
      <c r="AA36" s="36">
        <f>Z36*Assumptions!$B$11</f>
        <v>11606.988849130214</v>
      </c>
      <c r="AB36" s="39">
        <f t="shared" si="8"/>
        <v>46427.955396520854</v>
      </c>
      <c r="AC36" s="88">
        <f t="shared" si="9"/>
        <v>-2677842.0303011155</v>
      </c>
      <c r="AD36" s="88">
        <f>Assumptions!$B$23*R36</f>
        <v>1384911.8688955083</v>
      </c>
      <c r="AE36" s="88">
        <f t="shared" si="11"/>
        <v>-1292930.1614056071</v>
      </c>
    </row>
    <row r="37" spans="1:31" x14ac:dyDescent="0.25">
      <c r="A37" s="1">
        <f t="shared" si="10"/>
        <v>32</v>
      </c>
      <c r="B37" s="30" t="s">
        <v>28</v>
      </c>
      <c r="C37" s="31">
        <f t="shared" si="3"/>
        <v>32</v>
      </c>
      <c r="D37" s="32">
        <f t="shared" si="1"/>
        <v>2.6666666666666665</v>
      </c>
      <c r="E37" s="32">
        <f t="shared" si="4"/>
        <v>8.3333333333333037E-2</v>
      </c>
      <c r="F37" s="31">
        <f t="shared" si="5"/>
        <v>0</v>
      </c>
      <c r="G37" s="36">
        <f>(G36*($K36/$K35)-L36)*(1+Assumptions!$B$15)^$F37</f>
        <v>682362660.14874613</v>
      </c>
      <c r="H37" s="36">
        <f>$H$6/$G$6*G37*(1+Assumptions!$B$16)^INT((C37-1)/12)*IF(B37="Monthly",1,12)</f>
        <v>66325.650566458135</v>
      </c>
      <c r="I37" s="40">
        <f>Assumptions!$B$14</f>
        <v>0.15</v>
      </c>
      <c r="J37" s="40">
        <f t="shared" si="6"/>
        <v>1.3451947011868803E-2</v>
      </c>
      <c r="K37" s="35">
        <f t="shared" si="7"/>
        <v>0.64831161427348938</v>
      </c>
      <c r="L37" s="93">
        <f>H37*Assumptions!$B$7*(1+Assumptions!$K$8)</f>
        <v>46427.955396520694</v>
      </c>
      <c r="M37" s="36">
        <f>L37*Assumptions!$B$11</f>
        <v>9285.5910793041385</v>
      </c>
      <c r="N37" s="36">
        <f>H37*Assumptions!$B$11</f>
        <v>13265.130113291627</v>
      </c>
      <c r="O37" s="36">
        <f>N37*Assumptions!$B$12</f>
        <v>1326.5130113291627</v>
      </c>
      <c r="P37" s="36">
        <f>H37*Assumptions!$B$9</f>
        <v>5306.0520453166509</v>
      </c>
      <c r="Q37" s="36">
        <f>H37*Assumptions!$B$8</f>
        <v>3316.2825283229067</v>
      </c>
      <c r="R37" s="37">
        <f>(R38)/((1+Assumptions!$B$21)^$E38)+H38/IF(H$3="EOP",((1+Assumptions!$B$21)^$E38),1)</f>
        <v>9185301.4667435177</v>
      </c>
      <c r="S37" s="36">
        <f>(S38)/((1+Assumptions!$B$21)^$E38)+L38/IF(L$3="EOP",((1+Assumptions!$B$21)^$E38),1)</f>
        <v>4534519.9702214263</v>
      </c>
      <c r="T37" s="36">
        <f>(T38)/((1+Assumptions!$B$21)^$E38)+M38/IF(M$3="EOP",((1+Assumptions!$B$21)^$E38),1)</f>
        <v>906903.99404428562</v>
      </c>
      <c r="U37" s="36">
        <f>(U38)/((1+Assumptions!$B$21)^$E38)+N38/IF(N$3="EOP",((1+Assumptions!$B$21)^$E38),1)</f>
        <v>1837060.2933487033</v>
      </c>
      <c r="V37" s="36">
        <f>(V38)/((1+Assumptions!$B$21)^$E38)+O38/IF(O$3="EOP",((1+Assumptions!$B$21)^$E38),1)</f>
        <v>183706.02933487031</v>
      </c>
      <c r="W37" s="36">
        <f>(W38)/((1+Assumptions!$B$21)^$E38)+P38/IF(P$3="EOP",((1+Assumptions!$B$21)^$E38),1)</f>
        <v>734824.11733948125</v>
      </c>
      <c r="X37" s="36">
        <f>(X38)/((1+Assumptions!$B$21)^$E38)+Q38/IF(Q$3="EOP",((1+Assumptions!$B$21)^$E38),1)</f>
        <v>448349.00674936868</v>
      </c>
      <c r="Y37" s="38">
        <f t="shared" si="2"/>
        <v>-2721158.1024636934</v>
      </c>
      <c r="Z37" s="93">
        <f>H38*Assumptions!$B$7*Assumptions!$B$25/$E38/12*(1+Assumptions!$K$8)</f>
        <v>57250.31255321503</v>
      </c>
      <c r="AA37" s="36">
        <f>Z37*Assumptions!$B$11</f>
        <v>11450.062510643007</v>
      </c>
      <c r="AB37" s="39">
        <f t="shared" si="8"/>
        <v>45800.250042572021</v>
      </c>
      <c r="AC37" s="88">
        <f t="shared" si="9"/>
        <v>-2675357.8524211212</v>
      </c>
      <c r="AD37" s="88">
        <f>Assumptions!$B$23*R37</f>
        <v>1377795.2200115277</v>
      </c>
      <c r="AE37" s="88">
        <f t="shared" si="11"/>
        <v>-1297562.6324095936</v>
      </c>
    </row>
    <row r="38" spans="1:31" x14ac:dyDescent="0.25">
      <c r="A38" s="1">
        <f t="shared" si="10"/>
        <v>33</v>
      </c>
      <c r="B38" s="30" t="s">
        <v>28</v>
      </c>
      <c r="C38" s="31">
        <f t="shared" si="3"/>
        <v>33</v>
      </c>
      <c r="D38" s="32">
        <f t="shared" si="1"/>
        <v>2.75</v>
      </c>
      <c r="E38" s="32">
        <f t="shared" si="4"/>
        <v>8.3333333333333481E-2</v>
      </c>
      <c r="F38" s="31">
        <f t="shared" si="5"/>
        <v>0</v>
      </c>
      <c r="G38" s="36">
        <f>(G37*($K37/$K36)-L37)*(1+Assumptions!$B$15)^$F38</f>
        <v>673137125.84615088</v>
      </c>
      <c r="H38" s="36">
        <f>$H$6/$G$6*G38*(1+Assumptions!$B$16)^INT((C38-1)/12)*IF(B38="Monthly",1,12)</f>
        <v>65428.928632245865</v>
      </c>
      <c r="I38" s="40">
        <f>Assumptions!$B$14</f>
        <v>0.15</v>
      </c>
      <c r="J38" s="40">
        <f t="shared" si="6"/>
        <v>1.3451947011868914E-2</v>
      </c>
      <c r="K38" s="35">
        <f t="shared" si="7"/>
        <v>0.63959056079110321</v>
      </c>
      <c r="L38" s="93">
        <f>H38*Assumptions!$B$7*(1+Assumptions!$K$8)</f>
        <v>45800.250042572101</v>
      </c>
      <c r="M38" s="36">
        <f>L38*Assumptions!$B$11</f>
        <v>9160.0500085144213</v>
      </c>
      <c r="N38" s="36">
        <f>H38*Assumptions!$B$11</f>
        <v>13085.785726449174</v>
      </c>
      <c r="O38" s="36">
        <f>N38*Assumptions!$B$12</f>
        <v>1308.5785726449176</v>
      </c>
      <c r="P38" s="36">
        <f>H38*Assumptions!$B$9</f>
        <v>5234.3142905796694</v>
      </c>
      <c r="Q38" s="36">
        <f>H38*Assumptions!$B$8</f>
        <v>3271.4464316122935</v>
      </c>
      <c r="R38" s="37">
        <f>(R39)/((1+Assumptions!$B$21)^$E39)+H39/IF(H$3="EOP",((1+Assumptions!$B$21)^$E39),1)</f>
        <v>9138657.9823416173</v>
      </c>
      <c r="S38" s="36">
        <f>(S39)/((1+Assumptions!$B$21)^$E39)+L39/IF(L$3="EOP",((1+Assumptions!$B$21)^$E39),1)</f>
        <v>4498060.0888798432</v>
      </c>
      <c r="T38" s="36">
        <f>(T39)/((1+Assumptions!$B$21)^$E39)+M39/IF(M$3="EOP",((1+Assumptions!$B$21)^$E39),1)</f>
        <v>899612.01777596911</v>
      </c>
      <c r="U38" s="36">
        <f>(U39)/((1+Assumptions!$B$21)^$E39)+N39/IF(N$3="EOP",((1+Assumptions!$B$21)^$E39),1)</f>
        <v>1827731.5964683234</v>
      </c>
      <c r="V38" s="36">
        <f>(V39)/((1+Assumptions!$B$21)^$E39)+O39/IF(O$3="EOP",((1+Assumptions!$B$21)^$E39),1)</f>
        <v>182773.15964683233</v>
      </c>
      <c r="W38" s="36">
        <f>(W39)/((1+Assumptions!$B$21)^$E39)+P39/IF(P$3="EOP",((1+Assumptions!$B$21)^$E39),1)</f>
        <v>731092.6385873293</v>
      </c>
      <c r="X38" s="36">
        <f>(X39)/((1+Assumptions!$B$21)^$E39)+Q39/IF(Q$3="EOP",((1+Assumptions!$B$21)^$E39),1)</f>
        <v>446001.08586340683</v>
      </c>
      <c r="Y38" s="38">
        <f t="shared" si="2"/>
        <v>-2718157.7499655159</v>
      </c>
      <c r="Z38" s="93">
        <f>H39*Assumptions!$B$7*Assumptions!$B$25/$E39/12*(1+Assumptions!$K$8)</f>
        <v>56476.289071070139</v>
      </c>
      <c r="AA38" s="36">
        <f>Z38*Assumptions!$B$11</f>
        <v>11295.257814214028</v>
      </c>
      <c r="AB38" s="39">
        <f t="shared" si="8"/>
        <v>45181.031256856113</v>
      </c>
      <c r="AC38" s="88">
        <f t="shared" si="9"/>
        <v>-2672976.71870866</v>
      </c>
      <c r="AD38" s="88">
        <f>Assumptions!$B$23*R38</f>
        <v>1370798.6973512426</v>
      </c>
      <c r="AE38" s="88">
        <f t="shared" si="11"/>
        <v>-1302178.0213574173</v>
      </c>
    </row>
    <row r="39" spans="1:31" x14ac:dyDescent="0.25">
      <c r="A39" s="1">
        <f t="shared" si="10"/>
        <v>34</v>
      </c>
      <c r="B39" s="30" t="s">
        <v>28</v>
      </c>
      <c r="C39" s="31">
        <f t="shared" si="3"/>
        <v>34</v>
      </c>
      <c r="D39" s="32">
        <f t="shared" si="1"/>
        <v>2.8333333333333335</v>
      </c>
      <c r="E39" s="32">
        <f t="shared" si="4"/>
        <v>8.3333333333333481E-2</v>
      </c>
      <c r="F39" s="31">
        <f t="shared" si="5"/>
        <v>0</v>
      </c>
      <c r="G39" s="36">
        <f>(G38*($K38/$K37)-L38)*(1+Assumptions!$B$15)^$F39</f>
        <v>664036320.64750421</v>
      </c>
      <c r="H39" s="36">
        <f>$H$6/$G$6*G39*(1+Assumptions!$B$16)^INT((C39-1)/12)*IF(B39="Monthly",1,12)</f>
        <v>64544.330366937415</v>
      </c>
      <c r="I39" s="40">
        <f>Assumptions!$B$14</f>
        <v>0.15</v>
      </c>
      <c r="J39" s="40">
        <f t="shared" si="6"/>
        <v>1.3451947011868914E-2</v>
      </c>
      <c r="K39" s="35">
        <f t="shared" si="7"/>
        <v>0.63098682245804982</v>
      </c>
      <c r="L39" s="93">
        <f>H39*Assumptions!$B$7*(1+Assumptions!$K$8)</f>
        <v>45181.031256856186</v>
      </c>
      <c r="M39" s="36">
        <f>L39*Assumptions!$B$11</f>
        <v>9036.2062513712372</v>
      </c>
      <c r="N39" s="36">
        <f>H39*Assumptions!$B$11</f>
        <v>12908.866073387484</v>
      </c>
      <c r="O39" s="36">
        <f>N39*Assumptions!$B$12</f>
        <v>1290.8866073387485</v>
      </c>
      <c r="P39" s="36">
        <f>H39*Assumptions!$B$9</f>
        <v>5163.5464293549931</v>
      </c>
      <c r="Q39" s="36">
        <f>H39*Assumptions!$B$8</f>
        <v>3227.216518346871</v>
      </c>
      <c r="R39" s="37">
        <f>(R40)/((1+Assumptions!$B$21)^$E40)+H40/IF(H$3="EOP",((1+Assumptions!$B$21)^$E40),1)</f>
        <v>9092804.8403916936</v>
      </c>
      <c r="S39" s="36">
        <f>(S40)/((1+Assumptions!$B$21)^$E40)+L40/IF(L$3="EOP",((1+Assumptions!$B$21)^$E40),1)</f>
        <v>4462144.3249379955</v>
      </c>
      <c r="T39" s="36">
        <f>(T40)/((1+Assumptions!$B$21)^$E40)+M40/IF(M$3="EOP",((1+Assumptions!$B$21)^$E40),1)</f>
        <v>892428.86498759943</v>
      </c>
      <c r="U39" s="36">
        <f>(U40)/((1+Assumptions!$B$21)^$E40)+N40/IF(N$3="EOP",((1+Assumptions!$B$21)^$E40),1)</f>
        <v>1818560.9680783388</v>
      </c>
      <c r="V39" s="36">
        <f>(V40)/((1+Assumptions!$B$21)^$E40)+O40/IF(O$3="EOP",((1+Assumptions!$B$21)^$E40),1)</f>
        <v>181856.09680783385</v>
      </c>
      <c r="W39" s="36">
        <f>(W40)/((1+Assumptions!$B$21)^$E40)+P40/IF(P$3="EOP",((1+Assumptions!$B$21)^$E40),1)</f>
        <v>727424.38723133539</v>
      </c>
      <c r="X39" s="36">
        <f>(X40)/((1+Assumptions!$B$21)^$E40)+Q40/IF(Q$3="EOP",((1+Assumptions!$B$21)^$E40),1)</f>
        <v>443692.55855811073</v>
      </c>
      <c r="Y39" s="38">
        <f t="shared" si="2"/>
        <v>-2715267.5633813469</v>
      </c>
      <c r="Z39" s="93">
        <f>H40*Assumptions!$B$7*Assumptions!$B$25/$E40/12*(1+Assumptions!$K$8)</f>
        <v>55712.730376351006</v>
      </c>
      <c r="AA39" s="36">
        <f>Z39*Assumptions!$B$11</f>
        <v>11142.546075270202</v>
      </c>
      <c r="AB39" s="39">
        <f t="shared" si="8"/>
        <v>44570.184301080808</v>
      </c>
      <c r="AC39" s="88">
        <f t="shared" si="9"/>
        <v>-2670697.3790802662</v>
      </c>
      <c r="AD39" s="88">
        <f>Assumptions!$B$23*R39</f>
        <v>1363920.7260587539</v>
      </c>
      <c r="AE39" s="88">
        <f t="shared" si="11"/>
        <v>-1306776.6530215123</v>
      </c>
    </row>
    <row r="40" spans="1:31" x14ac:dyDescent="0.25">
      <c r="A40" s="1">
        <f t="shared" si="10"/>
        <v>35</v>
      </c>
      <c r="B40" s="30" t="s">
        <v>28</v>
      </c>
      <c r="C40" s="31">
        <f t="shared" si="3"/>
        <v>35</v>
      </c>
      <c r="D40" s="32">
        <f t="shared" si="1"/>
        <v>2.9166666666666665</v>
      </c>
      <c r="E40" s="32">
        <f t="shared" si="4"/>
        <v>8.3333333333333037E-2</v>
      </c>
      <c r="F40" s="31">
        <f t="shared" si="5"/>
        <v>0</v>
      </c>
      <c r="G40" s="36">
        <f>(G39*($K39/$K38)-L39)*(1+Assumptions!$B$15)^$F40</f>
        <v>655058558.21694076</v>
      </c>
      <c r="H40" s="36">
        <f>$H$6/$G$6*G40*(1+Assumptions!$B$16)^INT((C40-1)/12)*IF(B40="Monthly",1,12)</f>
        <v>63671.691858686645</v>
      </c>
      <c r="I40" s="40">
        <f>Assumptions!$B$14</f>
        <v>0.15</v>
      </c>
      <c r="J40" s="40">
        <f t="shared" si="6"/>
        <v>1.3451947011868803E-2</v>
      </c>
      <c r="K40" s="35">
        <f t="shared" si="7"/>
        <v>0.62249882115715671</v>
      </c>
      <c r="L40" s="93">
        <f>H40*Assumptions!$B$7*(1+Assumptions!$K$8)</f>
        <v>44570.184301080648</v>
      </c>
      <c r="M40" s="36">
        <f>L40*Assumptions!$B$11</f>
        <v>8914.0368602161307</v>
      </c>
      <c r="N40" s="36">
        <f>H40*Assumptions!$B$11</f>
        <v>12734.338371737329</v>
      </c>
      <c r="O40" s="36">
        <f>N40*Assumptions!$B$12</f>
        <v>1273.4338371737331</v>
      </c>
      <c r="P40" s="36">
        <f>H40*Assumptions!$B$9</f>
        <v>5093.7353486949314</v>
      </c>
      <c r="Q40" s="36">
        <f>H40*Assumptions!$B$8</f>
        <v>3183.5845929343322</v>
      </c>
      <c r="R40" s="37">
        <f>(R41)/((1+Assumptions!$B$21)^$E41)+H41/IF(H$3="EOP",((1+Assumptions!$B$21)^$E41),1)</f>
        <v>9047731.6844775956</v>
      </c>
      <c r="S40" s="36">
        <f>(S41)/((1+Assumptions!$B$21)^$E41)+L41/IF(L$3="EOP",((1+Assumptions!$B$21)^$E41),1)</f>
        <v>4426765.4273586953</v>
      </c>
      <c r="T40" s="36">
        <f>(T41)/((1+Assumptions!$B$21)^$E41)+M41/IF(M$3="EOP",((1+Assumptions!$B$21)^$E41),1)</f>
        <v>885353.08547173929</v>
      </c>
      <c r="U40" s="36">
        <f>(U41)/((1+Assumptions!$B$21)^$E41)+N41/IF(N$3="EOP",((1+Assumptions!$B$21)^$E41),1)</f>
        <v>1809546.3368955189</v>
      </c>
      <c r="V40" s="36">
        <f>(V41)/((1+Assumptions!$B$21)^$E41)+O41/IF(O$3="EOP",((1+Assumptions!$B$21)^$E41),1)</f>
        <v>180954.63368955188</v>
      </c>
      <c r="W40" s="36">
        <f>(W41)/((1+Assumptions!$B$21)^$E41)+P41/IF(P$3="EOP",((1+Assumptions!$B$21)^$E41),1)</f>
        <v>723818.5347582075</v>
      </c>
      <c r="X40" s="36">
        <f>(X41)/((1+Assumptions!$B$21)^$E41)+Q41/IF(Q$3="EOP",((1+Assumptions!$B$21)^$E41),1)</f>
        <v>441422.9079899537</v>
      </c>
      <c r="Y40" s="38">
        <f t="shared" si="2"/>
        <v>-2712486.1966365115</v>
      </c>
      <c r="Z40" s="93">
        <f>H41*Assumptions!$B$7*Assumptions!$B$25/$E41/12*(1+Assumptions!$K$8)</f>
        <v>54959.494985266698</v>
      </c>
      <c r="AA40" s="36">
        <f>Z40*Assumptions!$B$11</f>
        <v>10991.89899705334</v>
      </c>
      <c r="AB40" s="39">
        <f t="shared" si="8"/>
        <v>43967.595988213361</v>
      </c>
      <c r="AC40" s="88">
        <f t="shared" si="9"/>
        <v>-2668518.6006482979</v>
      </c>
      <c r="AD40" s="88">
        <f>Assumptions!$B$23*R40</f>
        <v>1357159.7526716392</v>
      </c>
      <c r="AE40" s="88">
        <f t="shared" si="11"/>
        <v>-1311358.8479766587</v>
      </c>
    </row>
    <row r="41" spans="1:31" s="21" customFormat="1" x14ac:dyDescent="0.25">
      <c r="A41" s="21">
        <f t="shared" si="10"/>
        <v>36</v>
      </c>
      <c r="B41" s="41" t="s">
        <v>28</v>
      </c>
      <c r="C41" s="23">
        <f t="shared" si="3"/>
        <v>36</v>
      </c>
      <c r="D41" s="22">
        <f t="shared" si="1"/>
        <v>3</v>
      </c>
      <c r="E41" s="22">
        <f t="shared" si="4"/>
        <v>8.3333333333333481E-2</v>
      </c>
      <c r="F41" s="23">
        <f t="shared" si="5"/>
        <v>0</v>
      </c>
      <c r="G41" s="27">
        <f>(G40*($K40/$K39)-L40)*(1+Assumptions!$B$15)^$F41</f>
        <v>646202175.01783419</v>
      </c>
      <c r="H41" s="27">
        <f>$H$6/$G$6*G41*(1+Assumptions!$B$16)^INT((C41-1)/12)*IF(B41="Monthly",1,12)</f>
        <v>62810.851411733485</v>
      </c>
      <c r="I41" s="42">
        <f>Assumptions!$B$14</f>
        <v>0.15</v>
      </c>
      <c r="J41" s="42">
        <f t="shared" si="6"/>
        <v>1.3451947011868914E-2</v>
      </c>
      <c r="K41" s="43">
        <f t="shared" si="7"/>
        <v>0.61412499999999981</v>
      </c>
      <c r="L41" s="94">
        <f>H41*Assumptions!$B$7*(1+Assumptions!$K$8)</f>
        <v>43967.595988213434</v>
      </c>
      <c r="M41" s="27">
        <f>L41*Assumptions!$B$11</f>
        <v>8793.5191976426868</v>
      </c>
      <c r="N41" s="27">
        <f>H41*Assumptions!$B$11</f>
        <v>12562.170282346699</v>
      </c>
      <c r="O41" s="27">
        <f>N41*Assumptions!$B$12</f>
        <v>1256.2170282346699</v>
      </c>
      <c r="P41" s="27">
        <f>H41*Assumptions!$B$9</f>
        <v>5024.8681129386787</v>
      </c>
      <c r="Q41" s="27">
        <f>H41*Assumptions!$B$8</f>
        <v>3140.5425705866746</v>
      </c>
      <c r="R41" s="26">
        <f>(R42)/((1+Assumptions!$B$21)^$E42)+H42/IF(H$3="EOP",((1+Assumptions!$B$21)^$E42),1)</f>
        <v>9003428.2988794781</v>
      </c>
      <c r="S41" s="27">
        <f>(S42)/((1+Assumptions!$B$21)^$E42)+L42/IF(L$3="EOP",((1+Assumptions!$B$21)^$E42),1)</f>
        <v>4391916.2433558423</v>
      </c>
      <c r="T41" s="27">
        <f>(T42)/((1+Assumptions!$B$21)^$E42)+M42/IF(M$3="EOP",((1+Assumptions!$B$21)^$E42),1)</f>
        <v>878383.24867116858</v>
      </c>
      <c r="U41" s="27">
        <f>(U42)/((1+Assumptions!$B$21)^$E42)+N42/IF(N$3="EOP",((1+Assumptions!$B$21)^$E42),1)</f>
        <v>1800685.6597758955</v>
      </c>
      <c r="V41" s="27">
        <f>(V42)/((1+Assumptions!$B$21)^$E42)+O42/IF(O$3="EOP",((1+Assumptions!$B$21)^$E42),1)</f>
        <v>180068.56597758952</v>
      </c>
      <c r="W41" s="27">
        <f>(W42)/((1+Assumptions!$B$21)^$E42)+P42/IF(P$3="EOP",((1+Assumptions!$B$21)^$E42),1)</f>
        <v>720274.26391035807</v>
      </c>
      <c r="X41" s="27">
        <f>(X42)/((1+Assumptions!$B$21)^$E42)+Q42/IF(Q$3="EOP",((1+Assumptions!$B$21)^$E42),1)</f>
        <v>439191.62433558429</v>
      </c>
      <c r="Y41" s="28">
        <f t="shared" si="2"/>
        <v>-2709812.3221505564</v>
      </c>
      <c r="Z41" s="94">
        <f>H42*Assumptions!$B$7*Assumptions!$B$25/$E42/12*(1+Assumptions!$K$8)</f>
        <v>59724.833968898856</v>
      </c>
      <c r="AA41" s="27">
        <f>Z41*Assumptions!$B$11</f>
        <v>11944.966793779771</v>
      </c>
      <c r="AB41" s="29">
        <f t="shared" si="8"/>
        <v>47779.867175119085</v>
      </c>
      <c r="AC41" s="87">
        <f t="shared" si="9"/>
        <v>-2662032.4549754374</v>
      </c>
      <c r="AD41" s="87">
        <f>Assumptions!$B$23*R41</f>
        <v>1350514.2448319218</v>
      </c>
      <c r="AE41" s="87">
        <f t="shared" si="11"/>
        <v>-1311518.2101435156</v>
      </c>
    </row>
    <row r="42" spans="1:31" s="44" customFormat="1" x14ac:dyDescent="0.25">
      <c r="A42" s="44">
        <f t="shared" si="10"/>
        <v>37</v>
      </c>
      <c r="B42" s="45" t="s">
        <v>29</v>
      </c>
      <c r="C42" s="46">
        <f>C41+12</f>
        <v>48</v>
      </c>
      <c r="D42" s="47">
        <f t="shared" si="1"/>
        <v>4</v>
      </c>
      <c r="E42" s="47">
        <f t="shared" si="4"/>
        <v>1</v>
      </c>
      <c r="F42" s="48">
        <f t="shared" si="5"/>
        <v>1</v>
      </c>
      <c r="G42" s="49">
        <f>(G41*($K41/$K40)-L41)*(1+Assumptions!$B$15)^$F42</f>
        <v>650214840.60464275</v>
      </c>
      <c r="H42" s="49">
        <f>$H$6/$G$6*G42*(1+Assumptions!$B$16)^INT((C42-1)/12)*IF(B42="Monthly",1,12)</f>
        <v>819083.43728775578</v>
      </c>
      <c r="I42" s="50">
        <f>Assumptions!$B$14</f>
        <v>0.15</v>
      </c>
      <c r="J42" s="50">
        <f t="shared" si="6"/>
        <v>0.15000000000000002</v>
      </c>
      <c r="K42" s="51">
        <f t="shared" si="7"/>
        <v>0.52200624999999978</v>
      </c>
      <c r="L42" s="52">
        <f>H42*Assumptions!$B$7</f>
        <v>409541.71864387789</v>
      </c>
      <c r="M42" s="49">
        <f>L42*Assumptions!$B$11</f>
        <v>81908.343728775581</v>
      </c>
      <c r="N42" s="49">
        <f>H42*Assumptions!$B$11</f>
        <v>163816.68745755116</v>
      </c>
      <c r="O42" s="49">
        <f>N42*Assumptions!$B$12</f>
        <v>16381.668745755116</v>
      </c>
      <c r="P42" s="49">
        <f>H42*Assumptions!$B$9</f>
        <v>65526.674983020464</v>
      </c>
      <c r="Q42" s="49">
        <f>H42*Assumptions!$B$8</f>
        <v>40954.17186438779</v>
      </c>
      <c r="R42" s="52">
        <f>(R43)/((1+Assumptions!$B$21)^$E43)+H43/IF(H$3="EOP",((1+Assumptions!$B$21)^$E43),1)</f>
        <v>8388953.4831315149</v>
      </c>
      <c r="S42" s="49">
        <f>(S43)/((1+Assumptions!$B$21)^$E43)+L43/IF(L$3="EOP",((1+Assumptions!$B$21)^$E43),1)</f>
        <v>4092172.43079586</v>
      </c>
      <c r="T42" s="49">
        <f>(T43)/((1+Assumptions!$B$21)^$E43)+M43/IF(M$3="EOP",((1+Assumptions!$B$21)^$E43),1)</f>
        <v>818434.48615917214</v>
      </c>
      <c r="U42" s="49">
        <f>(U43)/((1+Assumptions!$B$21)^$E43)+N43/IF(N$3="EOP",((1+Assumptions!$B$21)^$E43),1)</f>
        <v>1677790.6966263028</v>
      </c>
      <c r="V42" s="49">
        <f>(V43)/((1+Assumptions!$B$21)^$E43)+O43/IF(O$3="EOP",((1+Assumptions!$B$21)^$E43),1)</f>
        <v>167779.06966263027</v>
      </c>
      <c r="W42" s="49">
        <f>(W43)/((1+Assumptions!$B$21)^$E43)+P43/IF(P$3="EOP",((1+Assumptions!$B$21)^$E43),1)</f>
        <v>671116.27865052107</v>
      </c>
      <c r="X42" s="49">
        <f>(X43)/((1+Assumptions!$B$21)^$E43)+Q43/IF(Q$3="EOP",((1+Assumptions!$B$21)^$E43),1)</f>
        <v>409217.24307958607</v>
      </c>
      <c r="Y42" s="53">
        <f t="shared" si="2"/>
        <v>-2524870.3898010477</v>
      </c>
      <c r="Z42" s="52">
        <f>H43*Assumptions!$B$7*Assumptions!$B$25/$E43/12</f>
        <v>39916.075354799534</v>
      </c>
      <c r="AA42" s="49">
        <f>Z42*Assumptions!$B$11</f>
        <v>7983.2150709599073</v>
      </c>
      <c r="AB42" s="54">
        <f t="shared" si="8"/>
        <v>31932.860283839625</v>
      </c>
      <c r="AC42" s="89">
        <f t="shared" si="9"/>
        <v>-2492937.5295172082</v>
      </c>
      <c r="AD42" s="89">
        <f>Assumptions!$B$23*R42</f>
        <v>1258343.0224697271</v>
      </c>
      <c r="AE42" s="89">
        <f t="shared" si="11"/>
        <v>-1234594.5070474811</v>
      </c>
    </row>
    <row r="43" spans="1:31" s="44" customFormat="1" x14ac:dyDescent="0.25">
      <c r="A43" s="44">
        <f t="shared" si="10"/>
        <v>38</v>
      </c>
      <c r="B43" s="45" t="s">
        <v>29</v>
      </c>
      <c r="C43" s="48">
        <f>C42+12</f>
        <v>60</v>
      </c>
      <c r="D43" s="47">
        <f t="shared" si="1"/>
        <v>5</v>
      </c>
      <c r="E43" s="47">
        <f t="shared" si="4"/>
        <v>1</v>
      </c>
      <c r="F43" s="48">
        <f t="shared" si="5"/>
        <v>1</v>
      </c>
      <c r="G43" s="49">
        <f>(G42*($K42/$K41)-L42)*(1+Assumptions!$B$15)^$F43</f>
        <v>563318534.25120842</v>
      </c>
      <c r="H43" s="49">
        <f>$H$6/$G$6*G43*(1+Assumptions!$B$16)^INT((C43-1)/12)*IF(B43="Monthly",1,12)</f>
        <v>766388.64681215107</v>
      </c>
      <c r="I43" s="50">
        <f>Assumptions!$B$14</f>
        <v>0.15</v>
      </c>
      <c r="J43" s="50">
        <f t="shared" si="6"/>
        <v>0.15000000000000002</v>
      </c>
      <c r="K43" s="51">
        <f t="shared" si="7"/>
        <v>0.44370531249999978</v>
      </c>
      <c r="L43" s="52">
        <f>H43*Assumptions!$B$7</f>
        <v>383194.32340607553</v>
      </c>
      <c r="M43" s="49">
        <f>L43*Assumptions!$B$11</f>
        <v>76638.864681215113</v>
      </c>
      <c r="N43" s="49">
        <f>H43*Assumptions!$B$11</f>
        <v>153277.72936243023</v>
      </c>
      <c r="O43" s="49">
        <f>N43*Assumptions!$B$12</f>
        <v>15327.772936243024</v>
      </c>
      <c r="P43" s="49">
        <f>H43*Assumptions!$B$9</f>
        <v>61311.091744972087</v>
      </c>
      <c r="Q43" s="49">
        <f>H43*Assumptions!$B$8</f>
        <v>38319.432340607556</v>
      </c>
      <c r="R43" s="52">
        <f>(R44)/((1+Assumptions!$B$21)^$E44)+H44/IF(H$3="EOP",((1+Assumptions!$B$21)^$E44),1)</f>
        <v>7813128.9572273474</v>
      </c>
      <c r="S43" s="49">
        <f>(S44)/((1+Assumptions!$B$21)^$E44)+L44/IF(L$3="EOP",((1+Assumptions!$B$21)^$E44),1)</f>
        <v>3811282.4181596804</v>
      </c>
      <c r="T43" s="49">
        <f>(T44)/((1+Assumptions!$B$21)^$E44)+M44/IF(M$3="EOP",((1+Assumptions!$B$21)^$E44),1)</f>
        <v>762256.48363193637</v>
      </c>
      <c r="U43" s="49">
        <f>(U44)/((1+Assumptions!$B$21)^$E44)+N44/IF(N$3="EOP",((1+Assumptions!$B$21)^$E44),1)</f>
        <v>1562625.7914454693</v>
      </c>
      <c r="V43" s="49">
        <f>(V44)/((1+Assumptions!$B$21)^$E44)+O44/IF(O$3="EOP",((1+Assumptions!$B$21)^$E44),1)</f>
        <v>156262.57914454694</v>
      </c>
      <c r="W43" s="49">
        <f>(W44)/((1+Assumptions!$B$21)^$E44)+P44/IF(P$3="EOP",((1+Assumptions!$B$21)^$E44),1)</f>
        <v>625050.31657818775</v>
      </c>
      <c r="X43" s="49">
        <f>(X44)/((1+Assumptions!$B$21)^$E44)+Q44/IF(Q$3="EOP",((1+Assumptions!$B$21)^$E44),1)</f>
        <v>381128.24181596818</v>
      </c>
      <c r="Y43" s="53">
        <f t="shared" si="2"/>
        <v>-2351561.2520045247</v>
      </c>
      <c r="Z43" s="52">
        <f>H44*Assumptions!$B$7*Assumptions!$B$25/$E44/12</f>
        <v>37345.904916000509</v>
      </c>
      <c r="AA43" s="49">
        <f>Z43*Assumptions!$B$11</f>
        <v>7469.1809832001018</v>
      </c>
      <c r="AB43" s="54">
        <f t="shared" si="8"/>
        <v>29876.723932800407</v>
      </c>
      <c r="AC43" s="89">
        <f t="shared" si="9"/>
        <v>-2321684.5280717243</v>
      </c>
      <c r="AD43" s="89">
        <f>Assumptions!$B$23*R43</f>
        <v>1171969.3435841021</v>
      </c>
      <c r="AE43" s="89">
        <f t="shared" si="11"/>
        <v>-1149715.1844876222</v>
      </c>
    </row>
    <row r="44" spans="1:31" x14ac:dyDescent="0.25">
      <c r="A44" s="44">
        <f t="shared" si="10"/>
        <v>39</v>
      </c>
      <c r="B44" s="45" t="s">
        <v>29</v>
      </c>
      <c r="C44" s="48">
        <f t="shared" ref="C44:C78" si="12">C43+12</f>
        <v>72</v>
      </c>
      <c r="D44" s="47">
        <f t="shared" si="1"/>
        <v>6</v>
      </c>
      <c r="E44" s="47">
        <f t="shared" si="4"/>
        <v>1</v>
      </c>
      <c r="F44" s="48">
        <f t="shared" si="5"/>
        <v>1</v>
      </c>
      <c r="G44" s="49">
        <f>(G43*($K43/$K42)-L43)*(1+Assumptions!$B$15)^$F44</f>
        <v>488006310.98592347</v>
      </c>
      <c r="H44" s="49">
        <f>$H$6/$G$6*G44*(1+Assumptions!$B$16)^INT((C44-1)/12)*IF(B44="Monthly",1,12)</f>
        <v>717041.37438720977</v>
      </c>
      <c r="I44" s="50">
        <f>Assumptions!$B$14</f>
        <v>0.15</v>
      </c>
      <c r="J44" s="50">
        <f t="shared" si="6"/>
        <v>0.15000000000000002</v>
      </c>
      <c r="K44" s="51">
        <f t="shared" si="7"/>
        <v>0.37714951562499982</v>
      </c>
      <c r="L44" s="52">
        <f>H44*Assumptions!$B$7</f>
        <v>358520.68719360488</v>
      </c>
      <c r="M44" s="49">
        <f>L44*Assumptions!$B$11</f>
        <v>71704.13743872098</v>
      </c>
      <c r="N44" s="49">
        <f>H44*Assumptions!$B$11</f>
        <v>143408.27487744196</v>
      </c>
      <c r="O44" s="49">
        <f>N44*Assumptions!$B$12</f>
        <v>14340.827487744196</v>
      </c>
      <c r="P44" s="49">
        <f>H44*Assumptions!$B$9</f>
        <v>57363.309950976785</v>
      </c>
      <c r="Q44" s="49">
        <f>H44*Assumptions!$B$8</f>
        <v>35852.06871936049</v>
      </c>
      <c r="R44" s="52">
        <f>(R45)/((1+Assumptions!$B$21)^$E45)+H45/IF(H$3="EOP",((1+Assumptions!$B$21)^$E45),1)</f>
        <v>7273489.7724111397</v>
      </c>
      <c r="S44" s="49">
        <f>(S45)/((1+Assumptions!$B$21)^$E45)+L45/IF(L$3="EOP",((1+Assumptions!$B$21)^$E45),1)</f>
        <v>3548043.7914200672</v>
      </c>
      <c r="T44" s="49">
        <f>(T45)/((1+Assumptions!$B$21)^$E45)+M45/IF(M$3="EOP",((1+Assumptions!$B$21)^$E45),1)</f>
        <v>709608.75828401372</v>
      </c>
      <c r="U44" s="49">
        <f>(U45)/((1+Assumptions!$B$21)^$E45)+N45/IF(N$3="EOP",((1+Assumptions!$B$21)^$E45),1)</f>
        <v>1454697.9544822278</v>
      </c>
      <c r="V44" s="49">
        <f>(V45)/((1+Assumptions!$B$21)^$E45)+O45/IF(O$3="EOP",((1+Assumptions!$B$21)^$E45),1)</f>
        <v>145469.79544822281</v>
      </c>
      <c r="W44" s="49">
        <f>(W45)/((1+Assumptions!$B$21)^$E45)+P45/IF(P$3="EOP",((1+Assumptions!$B$21)^$E45),1)</f>
        <v>581879.18179289124</v>
      </c>
      <c r="X44" s="49">
        <f>(X45)/((1+Assumptions!$B$21)^$E45)+Q45/IF(Q$3="EOP",((1+Assumptions!$B$21)^$E45),1)</f>
        <v>354804.37914200686</v>
      </c>
      <c r="Y44" s="53">
        <f t="shared" si="2"/>
        <v>-2189143.0193061838</v>
      </c>
      <c r="Z44" s="52">
        <f>H45*Assumptions!$B$7*Assumptions!$B$25/$E45/12</f>
        <v>34938.987265781303</v>
      </c>
      <c r="AA44" s="49">
        <f>Z44*Assumptions!$B$11</f>
        <v>6987.7974531562613</v>
      </c>
      <c r="AB44" s="54">
        <f t="shared" si="8"/>
        <v>27951.189812625042</v>
      </c>
      <c r="AC44" s="89">
        <f t="shared" si="9"/>
        <v>-2161191.829493559</v>
      </c>
      <c r="AD44" s="89">
        <f>Assumptions!$B$23*R44</f>
        <v>1091023.4658616709</v>
      </c>
      <c r="AE44" s="89">
        <f t="shared" si="11"/>
        <v>-1070168.3636318881</v>
      </c>
    </row>
    <row r="45" spans="1:31" x14ac:dyDescent="0.25">
      <c r="A45" s="44">
        <f t="shared" si="10"/>
        <v>40</v>
      </c>
      <c r="B45" s="45" t="s">
        <v>29</v>
      </c>
      <c r="C45" s="48">
        <f t="shared" si="12"/>
        <v>84</v>
      </c>
      <c r="D45" s="47">
        <f t="shared" si="1"/>
        <v>7</v>
      </c>
      <c r="E45" s="47">
        <f t="shared" si="4"/>
        <v>1</v>
      </c>
      <c r="F45" s="48">
        <f t="shared" si="5"/>
        <v>1</v>
      </c>
      <c r="G45" s="49">
        <f>(G44*($K44/$K43)-L44)*(1+Assumptions!$B$15)^$F45</f>
        <v>422735780.52385813</v>
      </c>
      <c r="H45" s="49">
        <f>$H$6/$G$6*G45*(1+Assumptions!$B$16)^INT((C45-1)/12)*IF(B45="Monthly",1,12)</f>
        <v>670828.55550300097</v>
      </c>
      <c r="I45" s="50">
        <f>Assumptions!$B$14</f>
        <v>0.15</v>
      </c>
      <c r="J45" s="50">
        <f t="shared" si="6"/>
        <v>0.15000000000000002</v>
      </c>
      <c r="K45" s="51">
        <f t="shared" si="7"/>
        <v>0.32057708828124981</v>
      </c>
      <c r="L45" s="52">
        <f>H45*Assumptions!$B$7</f>
        <v>335414.27775150049</v>
      </c>
      <c r="M45" s="49">
        <f>L45*Assumptions!$B$11</f>
        <v>67082.855550300097</v>
      </c>
      <c r="N45" s="49">
        <f>H45*Assumptions!$B$11</f>
        <v>134165.71110060019</v>
      </c>
      <c r="O45" s="49">
        <f>N45*Assumptions!$B$12</f>
        <v>13416.57111006002</v>
      </c>
      <c r="P45" s="49">
        <f>H45*Assumptions!$B$9</f>
        <v>53666.284440240081</v>
      </c>
      <c r="Q45" s="49">
        <f>H45*Assumptions!$B$8</f>
        <v>33541.427775150049</v>
      </c>
      <c r="R45" s="52">
        <f>(R46)/((1+Assumptions!$B$21)^$E46)+H46/IF(H$3="EOP",((1+Assumptions!$B$21)^$E46),1)</f>
        <v>6767727.7473308425</v>
      </c>
      <c r="S45" s="49">
        <f>(S46)/((1+Assumptions!$B$21)^$E46)+L46/IF(L$3="EOP",((1+Assumptions!$B$21)^$E46),1)</f>
        <v>3301330.6084540682</v>
      </c>
      <c r="T45" s="49">
        <f>(T46)/((1+Assumptions!$B$21)^$E46)+M46/IF(M$3="EOP",((1+Assumptions!$B$21)^$E46),1)</f>
        <v>660266.12169081392</v>
      </c>
      <c r="U45" s="49">
        <f>(U46)/((1+Assumptions!$B$21)^$E46)+N46/IF(N$3="EOP",((1+Assumptions!$B$21)^$E46),1)</f>
        <v>1353545.5494661683</v>
      </c>
      <c r="V45" s="49">
        <f>(V46)/((1+Assumptions!$B$21)^$E46)+O46/IF(O$3="EOP",((1+Assumptions!$B$21)^$E46),1)</f>
        <v>135354.55494661684</v>
      </c>
      <c r="W45" s="49">
        <f>(W46)/((1+Assumptions!$B$21)^$E46)+P46/IF(P$3="EOP",((1+Assumptions!$B$21)^$E46),1)</f>
        <v>541418.21978646738</v>
      </c>
      <c r="X45" s="49">
        <f>(X46)/((1+Assumptions!$B$21)^$E46)+Q46/IF(Q$3="EOP",((1+Assumptions!$B$21)^$E46),1)</f>
        <v>330133.06084540696</v>
      </c>
      <c r="Y45" s="53">
        <f t="shared" si="2"/>
        <v>-2036920.9854161625</v>
      </c>
      <c r="Z45" s="52">
        <f>H46*Assumptions!$B$7*Assumptions!$B$25/$E46/12</f>
        <v>32684.931681192611</v>
      </c>
      <c r="AA45" s="49">
        <f>Z45*Assumptions!$B$11</f>
        <v>6536.9863362385222</v>
      </c>
      <c r="AB45" s="54">
        <f t="shared" si="8"/>
        <v>26147.945344954089</v>
      </c>
      <c r="AC45" s="89">
        <f t="shared" si="9"/>
        <v>-2010773.0400712085</v>
      </c>
      <c r="AD45" s="89">
        <f>Assumptions!$B$23*R45</f>
        <v>1015159.1620996264</v>
      </c>
      <c r="AE45" s="89">
        <f t="shared" si="11"/>
        <v>-995613.87797158211</v>
      </c>
    </row>
    <row r="46" spans="1:31" x14ac:dyDescent="0.25">
      <c r="A46" s="44">
        <f t="shared" si="10"/>
        <v>41</v>
      </c>
      <c r="B46" s="45" t="s">
        <v>29</v>
      </c>
      <c r="C46" s="48">
        <f t="shared" si="12"/>
        <v>96</v>
      </c>
      <c r="D46" s="47">
        <f t="shared" si="1"/>
        <v>8</v>
      </c>
      <c r="E46" s="47">
        <f t="shared" si="4"/>
        <v>1</v>
      </c>
      <c r="F46" s="48">
        <f t="shared" si="5"/>
        <v>1</v>
      </c>
      <c r="G46" s="49">
        <f>(G45*($K45/$K44)-L45)*(1+Assumptions!$B$15)^$F46</f>
        <v>366169799.15087843</v>
      </c>
      <c r="H46" s="49">
        <f>$H$6/$G$6*G46*(1+Assumptions!$B$16)^INT((C46-1)/12)*IF(B46="Monthly",1,12)</f>
        <v>627550.68827889813</v>
      </c>
      <c r="I46" s="50">
        <f>Assumptions!$B$14</f>
        <v>0.15</v>
      </c>
      <c r="J46" s="50">
        <f t="shared" si="6"/>
        <v>0.15000000000000002</v>
      </c>
      <c r="K46" s="51">
        <f t="shared" si="7"/>
        <v>0.27249052503906235</v>
      </c>
      <c r="L46" s="52">
        <f>H46*Assumptions!$B$7</f>
        <v>313775.34413944907</v>
      </c>
      <c r="M46" s="49">
        <f>L46*Assumptions!$B$11</f>
        <v>62755.068827889816</v>
      </c>
      <c r="N46" s="49">
        <f>H46*Assumptions!$B$11</f>
        <v>125510.13765577963</v>
      </c>
      <c r="O46" s="49">
        <f>N46*Assumptions!$B$12</f>
        <v>12551.013765577964</v>
      </c>
      <c r="P46" s="49">
        <f>H46*Assumptions!$B$9</f>
        <v>50204.055062311854</v>
      </c>
      <c r="Q46" s="49">
        <f>H46*Assumptions!$B$8</f>
        <v>31377.534413944908</v>
      </c>
      <c r="R46" s="52">
        <f>(R47)/((1+Assumptions!$B$21)^$E47)+H47/IF(H$3="EOP",((1+Assumptions!$B$21)^$E47),1)</f>
        <v>6293681.4855282418</v>
      </c>
      <c r="S46" s="49">
        <f>(S47)/((1+Assumptions!$B$21)^$E47)+L47/IF(L$3="EOP",((1+Assumptions!$B$21)^$E47),1)</f>
        <v>3070088.5295259706</v>
      </c>
      <c r="T46" s="49">
        <f>(T47)/((1+Assumptions!$B$21)^$E47)+M47/IF(M$3="EOP",((1+Assumptions!$B$21)^$E47),1)</f>
        <v>614017.70590519439</v>
      </c>
      <c r="U46" s="49">
        <f>(U47)/((1+Assumptions!$B$21)^$E47)+N47/IF(N$3="EOP",((1+Assumptions!$B$21)^$E47),1)</f>
        <v>1258736.2971056481</v>
      </c>
      <c r="V46" s="49">
        <f>(V47)/((1+Assumptions!$B$21)^$E47)+O47/IF(O$3="EOP",((1+Assumptions!$B$21)^$E47),1)</f>
        <v>125873.62971056484</v>
      </c>
      <c r="W46" s="49">
        <f>(W47)/((1+Assumptions!$B$21)^$E47)+P47/IF(P$3="EOP",((1+Assumptions!$B$21)^$E47),1)</f>
        <v>503494.51884225936</v>
      </c>
      <c r="X46" s="49">
        <f>(X47)/((1+Assumptions!$B$21)^$E47)+Q47/IF(Q$3="EOP",((1+Assumptions!$B$21)^$E47),1)</f>
        <v>307008.8529525972</v>
      </c>
      <c r="Y46" s="53">
        <f t="shared" si="2"/>
        <v>-1894244.6227175258</v>
      </c>
      <c r="Z46" s="52">
        <f>H47*Assumptions!$B$7*Assumptions!$B$25/$E47/12</f>
        <v>30574.008889991954</v>
      </c>
      <c r="AA46" s="49">
        <f>Z46*Assumptions!$B$11</f>
        <v>6114.8017779983911</v>
      </c>
      <c r="AB46" s="54">
        <f t="shared" si="8"/>
        <v>24459.207111993564</v>
      </c>
      <c r="AC46" s="89">
        <f t="shared" si="9"/>
        <v>-1869785.4156055322</v>
      </c>
      <c r="AD46" s="89">
        <f>Assumptions!$B$23*R46</f>
        <v>944052.22282923618</v>
      </c>
      <c r="AE46" s="89">
        <f t="shared" si="11"/>
        <v>-925733.19277629605</v>
      </c>
    </row>
    <row r="47" spans="1:31" x14ac:dyDescent="0.25">
      <c r="A47" s="44">
        <f t="shared" si="10"/>
        <v>42</v>
      </c>
      <c r="B47" s="45" t="s">
        <v>29</v>
      </c>
      <c r="C47" s="48">
        <f t="shared" si="12"/>
        <v>108</v>
      </c>
      <c r="D47" s="47">
        <f t="shared" si="1"/>
        <v>9</v>
      </c>
      <c r="E47" s="47">
        <f t="shared" si="4"/>
        <v>1</v>
      </c>
      <c r="F47" s="48">
        <f t="shared" si="5"/>
        <v>1</v>
      </c>
      <c r="G47" s="49">
        <f>(G46*($K46/$K45)-L46)*(1+Assumptions!$B$15)^$F47</f>
        <v>317149165.01278931</v>
      </c>
      <c r="H47" s="49">
        <f>$H$6/$G$6*G47*(1+Assumptions!$B$16)^INT((C47-1)/12)*IF(B47="Monthly",1,12)</f>
        <v>587020.97068784549</v>
      </c>
      <c r="I47" s="50">
        <f>Assumptions!$B$14</f>
        <v>0.15</v>
      </c>
      <c r="J47" s="50">
        <f t="shared" si="6"/>
        <v>0.15000000000000002</v>
      </c>
      <c r="K47" s="51">
        <f t="shared" si="7"/>
        <v>0.23161694628320298</v>
      </c>
      <c r="L47" s="52">
        <f>H47*Assumptions!$B$7</f>
        <v>293510.48534392274</v>
      </c>
      <c r="M47" s="49">
        <f>L47*Assumptions!$B$11</f>
        <v>58702.097068784555</v>
      </c>
      <c r="N47" s="49">
        <f>H47*Assumptions!$B$11</f>
        <v>117404.19413756911</v>
      </c>
      <c r="O47" s="49">
        <f>N47*Assumptions!$B$12</f>
        <v>11740.419413756912</v>
      </c>
      <c r="P47" s="49">
        <f>H47*Assumptions!$B$9</f>
        <v>46961.677655027641</v>
      </c>
      <c r="Q47" s="49">
        <f>H47*Assumptions!$B$8</f>
        <v>29351.048534392277</v>
      </c>
      <c r="R47" s="52">
        <f>(R48)/((1+Assumptions!$B$21)^$E48)+H48/IF(H$3="EOP",((1+Assumptions!$B$21)^$E48),1)</f>
        <v>5849327.0277114054</v>
      </c>
      <c r="S47" s="49">
        <f>(S48)/((1+Assumptions!$B$21)^$E48)+L48/IF(L$3="EOP",((1+Assumptions!$B$21)^$E48),1)</f>
        <v>2853330.2574201971</v>
      </c>
      <c r="T47" s="49">
        <f>(T48)/((1+Assumptions!$B$21)^$E48)+M48/IF(M$3="EOP",((1+Assumptions!$B$21)^$E48),1)</f>
        <v>570666.05148403964</v>
      </c>
      <c r="U47" s="49">
        <f>(U48)/((1+Assumptions!$B$21)^$E48)+N48/IF(N$3="EOP",((1+Assumptions!$B$21)^$E48),1)</f>
        <v>1169865.405542281</v>
      </c>
      <c r="V47" s="49">
        <f>(V48)/((1+Assumptions!$B$21)^$E48)+O48/IF(O$3="EOP",((1+Assumptions!$B$21)^$E48),1)</f>
        <v>116986.54055422812</v>
      </c>
      <c r="W47" s="49">
        <f>(W48)/((1+Assumptions!$B$21)^$E48)+P48/IF(P$3="EOP",((1+Assumptions!$B$21)^$E48),1)</f>
        <v>467946.16221691243</v>
      </c>
      <c r="X47" s="49">
        <f>(X48)/((1+Assumptions!$B$21)^$E48)+Q48/IF(Q$3="EOP",((1+Assumptions!$B$21)^$E48),1)</f>
        <v>285333.02574201982</v>
      </c>
      <c r="Y47" s="53">
        <f t="shared" si="2"/>
        <v>-1760504.7688282628</v>
      </c>
      <c r="Z47" s="52">
        <f>H48*Assumptions!$B$7*Assumptions!$B$25/$E48/12</f>
        <v>28597.108995760351</v>
      </c>
      <c r="AA47" s="49">
        <f>Z47*Assumptions!$B$11</f>
        <v>5719.4217991520709</v>
      </c>
      <c r="AB47" s="54">
        <f t="shared" si="8"/>
        <v>22877.68719660828</v>
      </c>
      <c r="AC47" s="89">
        <f t="shared" si="9"/>
        <v>-1737627.0816316546</v>
      </c>
      <c r="AD47" s="89">
        <f>Assumptions!$B$23*R47</f>
        <v>877399.05415671074</v>
      </c>
      <c r="AE47" s="89">
        <f t="shared" si="11"/>
        <v>-860228.0274749439</v>
      </c>
    </row>
    <row r="48" spans="1:31" x14ac:dyDescent="0.25">
      <c r="A48" s="44">
        <f t="shared" si="10"/>
        <v>43</v>
      </c>
      <c r="B48" s="45" t="s">
        <v>29</v>
      </c>
      <c r="C48" s="48">
        <f t="shared" si="12"/>
        <v>120</v>
      </c>
      <c r="D48" s="47">
        <f t="shared" si="1"/>
        <v>10</v>
      </c>
      <c r="E48" s="47">
        <f t="shared" si="4"/>
        <v>1</v>
      </c>
      <c r="F48" s="48">
        <f t="shared" si="5"/>
        <v>1</v>
      </c>
      <c r="G48" s="49">
        <f>(G47*($K47/$K46)-L47)*(1+Assumptions!$B$15)^$F48</f>
        <v>274668945.37103754</v>
      </c>
      <c r="H48" s="49">
        <f>$H$6/$G$6*G48*(1+Assumptions!$B$16)^INT((C48-1)/12)*IF(B48="Monthly",1,12)</f>
        <v>549064.49271859869</v>
      </c>
      <c r="I48" s="50">
        <f>Assumptions!$B$14</f>
        <v>0.15</v>
      </c>
      <c r="J48" s="50">
        <f t="shared" si="6"/>
        <v>0.15000000000000002</v>
      </c>
      <c r="K48" s="51">
        <f t="shared" si="7"/>
        <v>0.19687440434072254</v>
      </c>
      <c r="L48" s="52">
        <f>H48*Assumptions!$B$7</f>
        <v>274532.24635929934</v>
      </c>
      <c r="M48" s="49">
        <f>L48*Assumptions!$B$11</f>
        <v>54906.44927185987</v>
      </c>
      <c r="N48" s="49">
        <f>H48*Assumptions!$B$11</f>
        <v>109812.89854371974</v>
      </c>
      <c r="O48" s="49">
        <f>N48*Assumptions!$B$12</f>
        <v>10981.289854371975</v>
      </c>
      <c r="P48" s="49">
        <f>H48*Assumptions!$B$9</f>
        <v>43925.159417487899</v>
      </c>
      <c r="Q48" s="49">
        <f>H48*Assumptions!$B$8</f>
        <v>27453.224635929935</v>
      </c>
      <c r="R48" s="52">
        <f>(R49)/((1+Assumptions!$B$21)^$E49)+H49/IF(H$3="EOP",((1+Assumptions!$B$21)^$E49),1)</f>
        <v>5432769.0983676268</v>
      </c>
      <c r="S48" s="49">
        <f>(S49)/((1+Assumptions!$B$21)^$E49)+L49/IF(L$3="EOP",((1+Assumptions!$B$21)^$E49),1)</f>
        <v>2650131.2674964024</v>
      </c>
      <c r="T48" s="49">
        <f>(T49)/((1+Assumptions!$B$21)^$E49)+M49/IF(M$3="EOP",((1+Assumptions!$B$21)^$E49),1)</f>
        <v>530026.25349928066</v>
      </c>
      <c r="U48" s="49">
        <f>(U49)/((1+Assumptions!$B$21)^$E49)+N49/IF(N$3="EOP",((1+Assumptions!$B$21)^$E49),1)</f>
        <v>1086553.8196735252</v>
      </c>
      <c r="V48" s="49">
        <f>(V49)/((1+Assumptions!$B$21)^$E49)+O49/IF(O$3="EOP",((1+Assumptions!$B$21)^$E49),1)</f>
        <v>108655.38196735254</v>
      </c>
      <c r="W48" s="49">
        <f>(W49)/((1+Assumptions!$B$21)^$E49)+P49/IF(P$3="EOP",((1+Assumptions!$B$21)^$E49),1)</f>
        <v>434621.52786941011</v>
      </c>
      <c r="X48" s="49">
        <f>(X49)/((1+Assumptions!$B$21)^$E49)+Q49/IF(Q$3="EOP",((1+Assumptions!$B$21)^$E49),1)</f>
        <v>265013.12674964033</v>
      </c>
      <c r="Y48" s="53">
        <f t="shared" si="2"/>
        <v>-1635130.9920452822</v>
      </c>
      <c r="Z48" s="52">
        <f>H49*Assumptions!$B$7*Assumptions!$B$25/$E49/12</f>
        <v>26745.702082405216</v>
      </c>
      <c r="AA48" s="49">
        <f>Z48*Assumptions!$B$11</f>
        <v>5349.1404164810438</v>
      </c>
      <c r="AB48" s="54">
        <f t="shared" si="8"/>
        <v>21396.561665924171</v>
      </c>
      <c r="AC48" s="89">
        <f t="shared" si="9"/>
        <v>-1613734.4303793579</v>
      </c>
      <c r="AD48" s="89">
        <f>Assumptions!$B$23*R48</f>
        <v>814915.36475514399</v>
      </c>
      <c r="AE48" s="89">
        <f t="shared" si="11"/>
        <v>-798819.06562421389</v>
      </c>
    </row>
    <row r="49" spans="1:31" x14ac:dyDescent="0.25">
      <c r="A49" s="44">
        <f t="shared" si="10"/>
        <v>44</v>
      </c>
      <c r="B49" s="45" t="s">
        <v>29</v>
      </c>
      <c r="C49" s="48">
        <f t="shared" si="12"/>
        <v>132</v>
      </c>
      <c r="D49" s="47">
        <f t="shared" si="1"/>
        <v>11</v>
      </c>
      <c r="E49" s="47">
        <f t="shared" si="4"/>
        <v>1</v>
      </c>
      <c r="F49" s="48">
        <f t="shared" si="5"/>
        <v>1</v>
      </c>
      <c r="G49" s="49">
        <f>(G48*($K48/$K47)-L48)*(1+Assumptions!$B$15)^$F49</f>
        <v>237857952.74540308</v>
      </c>
      <c r="H49" s="49">
        <f>$H$6/$G$6*G49*(1+Assumptions!$B$16)^INT((C49-1)/12)*IF(B49="Monthly",1,12)</f>
        <v>513517.47998218017</v>
      </c>
      <c r="I49" s="50">
        <f>Assumptions!$B$14</f>
        <v>0.15</v>
      </c>
      <c r="J49" s="50">
        <f t="shared" si="6"/>
        <v>0.15000000000000002</v>
      </c>
      <c r="K49" s="51">
        <f t="shared" si="7"/>
        <v>0.16734324368961415</v>
      </c>
      <c r="L49" s="52">
        <f>H49*Assumptions!$B$7</f>
        <v>256758.73999109009</v>
      </c>
      <c r="M49" s="49">
        <f>L49*Assumptions!$B$11</f>
        <v>51351.747998218023</v>
      </c>
      <c r="N49" s="49">
        <f>H49*Assumptions!$B$11</f>
        <v>102703.49599643605</v>
      </c>
      <c r="O49" s="49">
        <f>N49*Assumptions!$B$12</f>
        <v>10270.349599643605</v>
      </c>
      <c r="P49" s="49">
        <f>H49*Assumptions!$B$9</f>
        <v>41081.398398574413</v>
      </c>
      <c r="Q49" s="49">
        <f>H49*Assumptions!$B$8</f>
        <v>25675.873999109011</v>
      </c>
      <c r="R49" s="52">
        <f>(R50)/((1+Assumptions!$B$21)^$E50)+H50/IF(H$3="EOP",((1+Assumptions!$B$21)^$E50),1)</f>
        <v>5042232.9088450819</v>
      </c>
      <c r="S49" s="49">
        <f>(S50)/((1+Assumptions!$B$21)^$E50)+L50/IF(L$3="EOP",((1+Assumptions!$B$21)^$E50),1)</f>
        <v>2459625.8091927222</v>
      </c>
      <c r="T49" s="49">
        <f>(T50)/((1+Assumptions!$B$21)^$E50)+M50/IF(M$3="EOP",((1+Assumptions!$B$21)^$E50),1)</f>
        <v>491925.16183854459</v>
      </c>
      <c r="U49" s="49">
        <f>(U50)/((1+Assumptions!$B$21)^$E50)+N50/IF(N$3="EOP",((1+Assumptions!$B$21)^$E50),1)</f>
        <v>1008446.5817690163</v>
      </c>
      <c r="V49" s="49">
        <f>(V50)/((1+Assumptions!$B$21)^$E50)+O50/IF(O$3="EOP",((1+Assumptions!$B$21)^$E50),1)</f>
        <v>100844.65817690165</v>
      </c>
      <c r="W49" s="49">
        <f>(W50)/((1+Assumptions!$B$21)^$E50)+P50/IF(P$3="EOP",((1+Assumptions!$B$21)^$E50),1)</f>
        <v>403378.63270760659</v>
      </c>
      <c r="X49" s="49">
        <f>(X50)/((1+Assumptions!$B$21)^$E50)+Q50/IF(Q$3="EOP",((1+Assumptions!$B$21)^$E50),1)</f>
        <v>245962.5809192723</v>
      </c>
      <c r="Y49" s="53">
        <f t="shared" si="2"/>
        <v>-1517589.1242719106</v>
      </c>
      <c r="Z49" s="52">
        <f>H50*Assumptions!$B$7*Assumptions!$B$25/$E50/12</f>
        <v>25011.801327671692</v>
      </c>
      <c r="AA49" s="49">
        <f>Z49*Assumptions!$B$11</f>
        <v>5002.3602655343384</v>
      </c>
      <c r="AB49" s="54">
        <f t="shared" si="8"/>
        <v>20009.441062137354</v>
      </c>
      <c r="AC49" s="89">
        <f t="shared" si="9"/>
        <v>-1497579.6832097734</v>
      </c>
      <c r="AD49" s="89">
        <f>Assumptions!$B$23*R49</f>
        <v>756334.93632676231</v>
      </c>
      <c r="AE49" s="89">
        <f t="shared" si="11"/>
        <v>-741244.74688301107</v>
      </c>
    </row>
    <row r="50" spans="1:31" x14ac:dyDescent="0.25">
      <c r="A50" s="44">
        <f t="shared" si="10"/>
        <v>45</v>
      </c>
      <c r="B50" s="45" t="s">
        <v>29</v>
      </c>
      <c r="C50" s="48">
        <f t="shared" si="12"/>
        <v>144</v>
      </c>
      <c r="D50" s="47">
        <f t="shared" si="1"/>
        <v>12</v>
      </c>
      <c r="E50" s="47">
        <f t="shared" si="4"/>
        <v>1</v>
      </c>
      <c r="F50" s="48">
        <f t="shared" si="5"/>
        <v>1</v>
      </c>
      <c r="G50" s="49">
        <f>(G49*($K49/$K48)-L49)*(1+Assumptions!$B$15)^$F50</f>
        <v>205960951.11547357</v>
      </c>
      <c r="H50" s="49">
        <f>$H$6/$G$6*G50*(1+Assumptions!$B$16)^INT((C50-1)/12)*IF(B50="Monthly",1,12)</f>
        <v>480226.58549129649</v>
      </c>
      <c r="I50" s="50">
        <f>Assumptions!$B$14</f>
        <v>0.15</v>
      </c>
      <c r="J50" s="50">
        <f t="shared" si="6"/>
        <v>0.15000000000000002</v>
      </c>
      <c r="K50" s="51">
        <f t="shared" si="7"/>
        <v>0.14224175713617201</v>
      </c>
      <c r="L50" s="52">
        <f>H50*Assumptions!$B$7</f>
        <v>240113.29274564824</v>
      </c>
      <c r="M50" s="49">
        <f>L50*Assumptions!$B$11</f>
        <v>48022.65854912965</v>
      </c>
      <c r="N50" s="49">
        <f>H50*Assumptions!$B$11</f>
        <v>96045.3170982593</v>
      </c>
      <c r="O50" s="49">
        <f>N50*Assumptions!$B$12</f>
        <v>9604.5317098259311</v>
      </c>
      <c r="P50" s="49">
        <f>H50*Assumptions!$B$9</f>
        <v>38418.126839303717</v>
      </c>
      <c r="Q50" s="49">
        <f>H50*Assumptions!$B$8</f>
        <v>24011.329274564825</v>
      </c>
      <c r="R50" s="52">
        <f>(R51)/((1+Assumptions!$B$21)^$E51)+H51/IF(H$3="EOP",((1+Assumptions!$B$21)^$E51),1)</f>
        <v>4676056.4814376291</v>
      </c>
      <c r="S50" s="49">
        <f>(S51)/((1+Assumptions!$B$21)^$E51)+L51/IF(L$3="EOP",((1+Assumptions!$B$21)^$E51),1)</f>
        <v>2281003.1616768921</v>
      </c>
      <c r="T50" s="49">
        <f>(T51)/((1+Assumptions!$B$21)^$E51)+M51/IF(M$3="EOP",((1+Assumptions!$B$21)^$E51),1)</f>
        <v>456200.6323353785</v>
      </c>
      <c r="U50" s="49">
        <f>(U51)/((1+Assumptions!$B$21)^$E51)+N51/IF(N$3="EOP",((1+Assumptions!$B$21)^$E51),1)</f>
        <v>935211.29628752579</v>
      </c>
      <c r="V50" s="49">
        <f>(V51)/((1+Assumptions!$B$21)^$E51)+O51/IF(O$3="EOP",((1+Assumptions!$B$21)^$E51),1)</f>
        <v>93521.129628752606</v>
      </c>
      <c r="W50" s="49">
        <f>(W51)/((1+Assumptions!$B$21)^$E51)+P51/IF(P$3="EOP",((1+Assumptions!$B$21)^$E51),1)</f>
        <v>374084.51851501042</v>
      </c>
      <c r="X50" s="49">
        <f>(X51)/((1+Assumptions!$B$21)^$E51)+Q51/IF(Q$3="EOP",((1+Assumptions!$B$21)^$E51),1)</f>
        <v>228100.31616768925</v>
      </c>
      <c r="Y50" s="53">
        <f t="shared" si="2"/>
        <v>-1407378.9507546425</v>
      </c>
      <c r="Z50" s="52">
        <f>H51*Assumptions!$B$7*Assumptions!$B$25/$E51/12</f>
        <v>23387.928466136382</v>
      </c>
      <c r="AA50" s="49">
        <f>Z50*Assumptions!$B$11</f>
        <v>4677.5856932272764</v>
      </c>
      <c r="AB50" s="54">
        <f t="shared" si="8"/>
        <v>18710.342772909105</v>
      </c>
      <c r="AC50" s="89">
        <f t="shared" si="9"/>
        <v>-1388668.6079817333</v>
      </c>
      <c r="AD50" s="89">
        <f>Assumptions!$B$23*R50</f>
        <v>701408.47221564432</v>
      </c>
      <c r="AE50" s="89">
        <f t="shared" si="11"/>
        <v>-687260.13576608896</v>
      </c>
    </row>
    <row r="51" spans="1:31" x14ac:dyDescent="0.25">
      <c r="A51" s="44">
        <f t="shared" si="10"/>
        <v>46</v>
      </c>
      <c r="B51" s="45" t="s">
        <v>29</v>
      </c>
      <c r="C51" s="48">
        <f t="shared" si="12"/>
        <v>156</v>
      </c>
      <c r="D51" s="47">
        <f t="shared" si="1"/>
        <v>13</v>
      </c>
      <c r="E51" s="47">
        <f t="shared" si="4"/>
        <v>1</v>
      </c>
      <c r="F51" s="48">
        <f t="shared" si="5"/>
        <v>1</v>
      </c>
      <c r="G51" s="49">
        <f>(G50*($K50/$K49)-L50)*(1+Assumptions!$B$15)^$F51</f>
        <v>178323229.05851504</v>
      </c>
      <c r="H51" s="49">
        <f>$H$6/$G$6*G51*(1+Assumptions!$B$16)^INT((C51-1)/12)*IF(B51="Monthly",1,12)</f>
        <v>449048.22654981853</v>
      </c>
      <c r="I51" s="50">
        <f>Assumptions!$B$14</f>
        <v>0.15</v>
      </c>
      <c r="J51" s="50">
        <f t="shared" si="6"/>
        <v>0.15000000000000002</v>
      </c>
      <c r="K51" s="51">
        <f t="shared" si="7"/>
        <v>0.1209054935657462</v>
      </c>
      <c r="L51" s="52">
        <f>H51*Assumptions!$B$7</f>
        <v>224524.11327490926</v>
      </c>
      <c r="M51" s="49">
        <f>L51*Assumptions!$B$11</f>
        <v>44904.822654981857</v>
      </c>
      <c r="N51" s="49">
        <f>H51*Assumptions!$B$11</f>
        <v>89809.645309963715</v>
      </c>
      <c r="O51" s="49">
        <f>N51*Assumptions!$B$12</f>
        <v>8980.9645309963726</v>
      </c>
      <c r="P51" s="49">
        <f>H51*Assumptions!$B$9</f>
        <v>35923.858123985483</v>
      </c>
      <c r="Q51" s="49">
        <f>H51*Assumptions!$B$8</f>
        <v>22452.411327490929</v>
      </c>
      <c r="R51" s="52">
        <f>(R52)/((1+Assumptions!$B$21)^$E52)+H52/IF(H$3="EOP",((1+Assumptions!$B$21)^$E52),1)</f>
        <v>4332683.4612600058</v>
      </c>
      <c r="S51" s="49">
        <f>(S52)/((1+Assumptions!$B$21)^$E52)+L52/IF(L$3="EOP",((1+Assumptions!$B$21)^$E52),1)</f>
        <v>2113504.127443905</v>
      </c>
      <c r="T51" s="49">
        <f>(T52)/((1+Assumptions!$B$21)^$E52)+M52/IF(M$3="EOP",((1+Assumptions!$B$21)^$E52),1)</f>
        <v>422700.82548878109</v>
      </c>
      <c r="U51" s="49">
        <f>(U52)/((1+Assumptions!$B$21)^$E52)+N52/IF(N$3="EOP",((1+Assumptions!$B$21)^$E52),1)</f>
        <v>866536.69225200103</v>
      </c>
      <c r="V51" s="49">
        <f>(V52)/((1+Assumptions!$B$21)^$E52)+O52/IF(O$3="EOP",((1+Assumptions!$B$21)^$E52),1)</f>
        <v>86653.669225200138</v>
      </c>
      <c r="W51" s="49">
        <f>(W52)/((1+Assumptions!$B$21)^$E52)+P52/IF(P$3="EOP",((1+Assumptions!$B$21)^$E52),1)</f>
        <v>346614.67690080055</v>
      </c>
      <c r="X51" s="49">
        <f>(X52)/((1+Assumptions!$B$21)^$E52)+Q52/IF(Q$3="EOP",((1+Assumptions!$B$21)^$E52),1)</f>
        <v>211350.41274439055</v>
      </c>
      <c r="Y51" s="53">
        <f t="shared" si="2"/>
        <v>-1304032.0466328899</v>
      </c>
      <c r="Z51" s="52">
        <f>H52*Assumptions!$B$7*Assumptions!$B$25/$E52/12</f>
        <v>21867.081452318667</v>
      </c>
      <c r="AA51" s="49">
        <f>Z51*Assumptions!$B$11</f>
        <v>4373.4162904637333</v>
      </c>
      <c r="AB51" s="54">
        <f t="shared" si="8"/>
        <v>17493.665161854933</v>
      </c>
      <c r="AC51" s="89">
        <f t="shared" si="9"/>
        <v>-1286538.3814710351</v>
      </c>
      <c r="AD51" s="89">
        <f>Assumptions!$B$23*R51</f>
        <v>649902.51918900083</v>
      </c>
      <c r="AE51" s="89">
        <f t="shared" si="11"/>
        <v>-636635.86228203424</v>
      </c>
    </row>
    <row r="52" spans="1:31" x14ac:dyDescent="0.25">
      <c r="A52" s="44">
        <f t="shared" si="10"/>
        <v>47</v>
      </c>
      <c r="B52" s="45" t="s">
        <v>29</v>
      </c>
      <c r="C52" s="48">
        <f t="shared" si="12"/>
        <v>168</v>
      </c>
      <c r="D52" s="47">
        <f t="shared" si="1"/>
        <v>14</v>
      </c>
      <c r="E52" s="47">
        <f t="shared" si="4"/>
        <v>1</v>
      </c>
      <c r="F52" s="48">
        <f t="shared" si="5"/>
        <v>1</v>
      </c>
      <c r="G52" s="49">
        <f>(G51*($K51/$K50)-L51)*(1+Assumptions!$B$15)^$F52</f>
        <v>154377224.99819213</v>
      </c>
      <c r="H52" s="49">
        <f>$H$6/$G$6*G52*(1+Assumptions!$B$16)^INT((C52-1)/12)*IF(B52="Monthly",1,12)</f>
        <v>419847.96388451837</v>
      </c>
      <c r="I52" s="50">
        <f>Assumptions!$B$14</f>
        <v>0.15</v>
      </c>
      <c r="J52" s="50">
        <f t="shared" si="6"/>
        <v>0.15000000000000002</v>
      </c>
      <c r="K52" s="51">
        <f t="shared" si="7"/>
        <v>0.10276966953088428</v>
      </c>
      <c r="L52" s="52">
        <f>H52*Assumptions!$B$7</f>
        <v>209923.98194225918</v>
      </c>
      <c r="M52" s="49">
        <f>L52*Assumptions!$B$11</f>
        <v>41984.796388451839</v>
      </c>
      <c r="N52" s="49">
        <f>H52*Assumptions!$B$11</f>
        <v>83969.592776903679</v>
      </c>
      <c r="O52" s="49">
        <f>N52*Assumptions!$B$12</f>
        <v>8396.9592776903683</v>
      </c>
      <c r="P52" s="49">
        <f>H52*Assumptions!$B$9</f>
        <v>33587.837110761473</v>
      </c>
      <c r="Q52" s="49">
        <f>H52*Assumptions!$B$8</f>
        <v>20992.39819422592</v>
      </c>
      <c r="R52" s="52">
        <f>(R53)/((1+Assumptions!$B$21)^$E53)+H53/IF(H$3="EOP",((1+Assumptions!$B$21)^$E53),1)</f>
        <v>4010656.384809874</v>
      </c>
      <c r="S52" s="49">
        <f>(S53)/((1+Assumptions!$B$21)^$E53)+L53/IF(L$3="EOP",((1+Assumptions!$B$21)^$E53),1)</f>
        <v>1956417.7486877432</v>
      </c>
      <c r="T52" s="49">
        <f>(T53)/((1+Assumptions!$B$21)^$E53)+M53/IF(M$3="EOP",((1+Assumptions!$B$21)^$E53),1)</f>
        <v>391283.54973754875</v>
      </c>
      <c r="U52" s="49">
        <f>(U53)/((1+Assumptions!$B$21)^$E53)+N53/IF(N$3="EOP",((1+Assumptions!$B$21)^$E53),1)</f>
        <v>802131.2769619748</v>
      </c>
      <c r="V52" s="49">
        <f>(V53)/((1+Assumptions!$B$21)^$E53)+O53/IF(O$3="EOP",((1+Assumptions!$B$21)^$E53),1)</f>
        <v>80213.127696197495</v>
      </c>
      <c r="W52" s="49">
        <f>(W53)/((1+Assumptions!$B$21)^$E53)+P53/IF(P$3="EOP",((1+Assumptions!$B$21)^$E53),1)</f>
        <v>320852.51078478998</v>
      </c>
      <c r="X52" s="49">
        <f>(X53)/((1+Assumptions!$B$21)^$E53)+Q53/IF(Q$3="EOP",((1+Assumptions!$B$21)^$E53),1)</f>
        <v>195641.77486877437</v>
      </c>
      <c r="Y52" s="53">
        <f t="shared" si="2"/>
        <v>-1207109.750940338</v>
      </c>
      <c r="Z52" s="52">
        <f>H53*Assumptions!$B$7*Assumptions!$B$25/$E53/12</f>
        <v>20442.704184059439</v>
      </c>
      <c r="AA52" s="49">
        <f>Z52*Assumptions!$B$11</f>
        <v>4088.5408368118879</v>
      </c>
      <c r="AB52" s="54">
        <f t="shared" si="8"/>
        <v>16354.163347247551</v>
      </c>
      <c r="AC52" s="89">
        <f t="shared" si="9"/>
        <v>-1190755.5875930905</v>
      </c>
      <c r="AD52" s="89">
        <f>Assumptions!$B$23*R52</f>
        <v>601598.4577214811</v>
      </c>
      <c r="AE52" s="89">
        <f t="shared" si="11"/>
        <v>-589157.12987160939</v>
      </c>
    </row>
    <row r="53" spans="1:31" x14ac:dyDescent="0.25">
      <c r="A53" s="44">
        <f t="shared" si="10"/>
        <v>48</v>
      </c>
      <c r="B53" s="45" t="s">
        <v>29</v>
      </c>
      <c r="C53" s="48">
        <f t="shared" si="12"/>
        <v>180</v>
      </c>
      <c r="D53" s="47">
        <f t="shared" si="1"/>
        <v>15</v>
      </c>
      <c r="E53" s="47">
        <f t="shared" si="4"/>
        <v>1</v>
      </c>
      <c r="F53" s="48">
        <f t="shared" si="5"/>
        <v>1</v>
      </c>
      <c r="G53" s="49">
        <f>(G52*($K52/$K51)-L52)*(1+Assumptions!$B$15)^$F53</f>
        <v>133630931.61185145</v>
      </c>
      <c r="H53" s="49">
        <f>$H$6/$G$6*G53*(1+Assumptions!$B$16)^INT((C53-1)/12)*IF(B53="Monthly",1,12)</f>
        <v>392499.92033394123</v>
      </c>
      <c r="I53" s="50">
        <f>Assumptions!$B$14</f>
        <v>0.15</v>
      </c>
      <c r="J53" s="50">
        <f t="shared" si="6"/>
        <v>0.15000000000000002</v>
      </c>
      <c r="K53" s="51">
        <f t="shared" si="7"/>
        <v>8.7354219101251629E-2</v>
      </c>
      <c r="L53" s="52">
        <f>H53*Assumptions!$B$7</f>
        <v>196249.96016697062</v>
      </c>
      <c r="M53" s="49">
        <f>L53*Assumptions!$B$11</f>
        <v>39249.992033394126</v>
      </c>
      <c r="N53" s="49">
        <f>H53*Assumptions!$B$11</f>
        <v>78499.984066788253</v>
      </c>
      <c r="O53" s="49">
        <f>N53*Assumptions!$B$12</f>
        <v>7849.9984066788256</v>
      </c>
      <c r="P53" s="49">
        <f>H53*Assumptions!$B$9</f>
        <v>31399.993626715299</v>
      </c>
      <c r="Q53" s="49">
        <f>H53*Assumptions!$B$8</f>
        <v>19624.996016697063</v>
      </c>
      <c r="R53" s="52">
        <f>(R54)/((1+Assumptions!$B$21)^$E54)+H54/IF(H$3="EOP",((1+Assumptions!$B$21)^$E54),1)</f>
        <v>3708610.3760878304</v>
      </c>
      <c r="S53" s="49">
        <f>(S54)/((1+Assumptions!$B$21)^$E54)+L54/IF(L$3="EOP",((1+Assumptions!$B$21)^$E54),1)</f>
        <v>1809078.232237966</v>
      </c>
      <c r="T53" s="49">
        <f>(T54)/((1+Assumptions!$B$21)^$E54)+M54/IF(M$3="EOP",((1+Assumptions!$B$21)^$E54),1)</f>
        <v>361815.64644759329</v>
      </c>
      <c r="U53" s="49">
        <f>(U54)/((1+Assumptions!$B$21)^$E54)+N54/IF(N$3="EOP",((1+Assumptions!$B$21)^$E54),1)</f>
        <v>741722.07521756622</v>
      </c>
      <c r="V53" s="49">
        <f>(V54)/((1+Assumptions!$B$21)^$E54)+O54/IF(O$3="EOP",((1+Assumptions!$B$21)^$E54),1)</f>
        <v>74172.207521756631</v>
      </c>
      <c r="W53" s="49">
        <f>(W54)/((1+Assumptions!$B$21)^$E54)+P54/IF(P$3="EOP",((1+Assumptions!$B$21)^$E54),1)</f>
        <v>296688.83008702652</v>
      </c>
      <c r="X53" s="49">
        <f>(X54)/((1+Assumptions!$B$21)^$E54)+Q54/IF(Q$3="EOP",((1+Assumptions!$B$21)^$E54),1)</f>
        <v>180907.82322379664</v>
      </c>
      <c r="Y53" s="53">
        <f t="shared" si="2"/>
        <v>-1116201.2692908247</v>
      </c>
      <c r="Z53" s="52">
        <f>H54*Assumptions!$B$7*Assumptions!$B$25/$E54/12</f>
        <v>19108.658155225985</v>
      </c>
      <c r="AA53" s="49">
        <f>Z53*Assumptions!$B$11</f>
        <v>3821.731631045197</v>
      </c>
      <c r="AB53" s="54">
        <f t="shared" si="8"/>
        <v>15286.926524180788</v>
      </c>
      <c r="AC53" s="89">
        <f t="shared" si="9"/>
        <v>-1100914.342766644</v>
      </c>
      <c r="AD53" s="89">
        <f>Assumptions!$B$23*R53</f>
        <v>556291.55641317449</v>
      </c>
      <c r="AE53" s="89">
        <f t="shared" si="11"/>
        <v>-544622.78635346948</v>
      </c>
    </row>
    <row r="54" spans="1:31" x14ac:dyDescent="0.25">
      <c r="A54" s="44">
        <f t="shared" si="10"/>
        <v>49</v>
      </c>
      <c r="B54" s="45" t="s">
        <v>29</v>
      </c>
      <c r="C54" s="48">
        <f t="shared" si="12"/>
        <v>192</v>
      </c>
      <c r="D54" s="47">
        <f t="shared" si="1"/>
        <v>16</v>
      </c>
      <c r="E54" s="47">
        <f t="shared" si="4"/>
        <v>1</v>
      </c>
      <c r="F54" s="48">
        <f t="shared" si="5"/>
        <v>1</v>
      </c>
      <c r="G54" s="49">
        <f>(G53*($K53/$K52)-L53)*(1+Assumptions!$B$15)^$F54</f>
        <v>115657842.7481049</v>
      </c>
      <c r="H54" s="49">
        <f>$H$6/$G$6*G54*(1+Assumptions!$B$16)^INT((C54-1)/12)*IF(B54="Monthly",1,12)</f>
        <v>366886.23658033891</v>
      </c>
      <c r="I54" s="50">
        <f>Assumptions!$B$14</f>
        <v>0.15</v>
      </c>
      <c r="J54" s="50">
        <f t="shared" si="6"/>
        <v>0.15000000000000002</v>
      </c>
      <c r="K54" s="51">
        <f t="shared" si="7"/>
        <v>7.4251086236063885E-2</v>
      </c>
      <c r="L54" s="52">
        <f>H54*Assumptions!$B$7</f>
        <v>183443.11829016946</v>
      </c>
      <c r="M54" s="49">
        <f>L54*Assumptions!$B$11</f>
        <v>36688.623658033895</v>
      </c>
      <c r="N54" s="49">
        <f>H54*Assumptions!$B$11</f>
        <v>73377.247316067791</v>
      </c>
      <c r="O54" s="49">
        <f>N54*Assumptions!$B$12</f>
        <v>7337.7247316067796</v>
      </c>
      <c r="P54" s="49">
        <f>H54*Assumptions!$B$9</f>
        <v>29350.898926427115</v>
      </c>
      <c r="Q54" s="49">
        <f>H54*Assumptions!$B$8</f>
        <v>18344.311829016948</v>
      </c>
      <c r="R54" s="52">
        <f>(R55)/((1+Assumptions!$B$21)^$E55)+H55/IF(H$3="EOP",((1+Assumptions!$B$21)^$E55),1)</f>
        <v>3425267.2429951788</v>
      </c>
      <c r="S54" s="49">
        <f>(S55)/((1+Assumptions!$B$21)^$E55)+L55/IF(L$3="EOP",((1+Assumptions!$B$21)^$E55),1)</f>
        <v>1670862.0697537456</v>
      </c>
      <c r="T54" s="49">
        <f>(T55)/((1+Assumptions!$B$21)^$E55)+M55/IF(M$3="EOP",((1+Assumptions!$B$21)^$E55),1)</f>
        <v>334172.41395074915</v>
      </c>
      <c r="U54" s="49">
        <f>(U55)/((1+Assumptions!$B$21)^$E55)+N55/IF(N$3="EOP",((1+Assumptions!$B$21)^$E55),1)</f>
        <v>685053.44859903585</v>
      </c>
      <c r="V54" s="49">
        <f>(V55)/((1+Assumptions!$B$21)^$E55)+O55/IF(O$3="EOP",((1+Assumptions!$B$21)^$E55),1)</f>
        <v>68505.344859903591</v>
      </c>
      <c r="W54" s="49">
        <f>(W55)/((1+Assumptions!$B$21)^$E55)+P55/IF(P$3="EOP",((1+Assumptions!$B$21)^$E55),1)</f>
        <v>274021.37943961436</v>
      </c>
      <c r="X54" s="49">
        <f>(X55)/((1+Assumptions!$B$21)^$E55)+Q55/IF(Q$3="EOP",((1+Assumptions!$B$21)^$E55),1)</f>
        <v>167086.20697537457</v>
      </c>
      <c r="Y54" s="53">
        <f t="shared" si="2"/>
        <v>-1030921.8970380614</v>
      </c>
      <c r="Z54" s="52">
        <f>H55*Assumptions!$B$7*Assumptions!$B$25/$E55/12</f>
        <v>17859.195915143649</v>
      </c>
      <c r="AA54" s="49">
        <f>Z54*Assumptions!$B$11</f>
        <v>3571.8391830287301</v>
      </c>
      <c r="AB54" s="54">
        <f t="shared" si="8"/>
        <v>14287.35673211492</v>
      </c>
      <c r="AC54" s="89">
        <f t="shared" si="9"/>
        <v>-1016634.5403059465</v>
      </c>
      <c r="AD54" s="89">
        <f>Assumptions!$B$23*R54</f>
        <v>513790.08644927677</v>
      </c>
      <c r="AE54" s="89">
        <f t="shared" si="11"/>
        <v>-502844.45385666972</v>
      </c>
    </row>
    <row r="55" spans="1:31" x14ac:dyDescent="0.25">
      <c r="A55" s="44">
        <f t="shared" si="10"/>
        <v>50</v>
      </c>
      <c r="B55" s="45" t="s">
        <v>29</v>
      </c>
      <c r="C55" s="48">
        <f t="shared" si="12"/>
        <v>204</v>
      </c>
      <c r="D55" s="47">
        <f t="shared" si="1"/>
        <v>17</v>
      </c>
      <c r="E55" s="47">
        <f t="shared" si="4"/>
        <v>1</v>
      </c>
      <c r="F55" s="48">
        <f t="shared" si="5"/>
        <v>1</v>
      </c>
      <c r="G55" s="49">
        <f>(G54*($K54/$K53)-L54)*(1+Assumptions!$B$15)^$F55</f>
        <v>100088237.68195097</v>
      </c>
      <c r="H55" s="49">
        <f>$H$6/$G$6*G55*(1+Assumptions!$B$16)^INT((C55-1)/12)*IF(B55="Monthly",1,12)</f>
        <v>342896.56157075812</v>
      </c>
      <c r="I55" s="50">
        <f>Assumptions!$B$14</f>
        <v>0.15</v>
      </c>
      <c r="J55" s="50">
        <f t="shared" si="6"/>
        <v>0.15000000000000002</v>
      </c>
      <c r="K55" s="51">
        <f t="shared" si="7"/>
        <v>6.3113423300654295E-2</v>
      </c>
      <c r="L55" s="52">
        <f>H55*Assumptions!$B$7</f>
        <v>171448.28078537906</v>
      </c>
      <c r="M55" s="49">
        <f>L55*Assumptions!$B$11</f>
        <v>34289.656157075813</v>
      </c>
      <c r="N55" s="49">
        <f>H55*Assumptions!$B$11</f>
        <v>68579.312314151626</v>
      </c>
      <c r="O55" s="49">
        <f>N55*Assumptions!$B$12</f>
        <v>6857.931231415163</v>
      </c>
      <c r="P55" s="49">
        <f>H55*Assumptions!$B$9</f>
        <v>27431.724925660648</v>
      </c>
      <c r="Q55" s="49">
        <f>H55*Assumptions!$B$8</f>
        <v>17144.828078537907</v>
      </c>
      <c r="R55" s="52">
        <f>(R56)/((1+Assumptions!$B$21)^$E56)+H56/IF(H$3="EOP",((1+Assumptions!$B$21)^$E56),1)</f>
        <v>3159429.9484600308</v>
      </c>
      <c r="S55" s="49">
        <f>(S56)/((1+Assumptions!$B$21)^$E56)+L56/IF(L$3="EOP",((1+Assumptions!$B$21)^$E56),1)</f>
        <v>1541185.3407122102</v>
      </c>
      <c r="T55" s="49">
        <f>(T56)/((1+Assumptions!$B$21)^$E56)+M56/IF(M$3="EOP",((1+Assumptions!$B$21)^$E56),1)</f>
        <v>308237.06814244203</v>
      </c>
      <c r="U55" s="49">
        <f>(U56)/((1+Assumptions!$B$21)^$E56)+N56/IF(N$3="EOP",((1+Assumptions!$B$21)^$E56),1)</f>
        <v>631885.98969200626</v>
      </c>
      <c r="V55" s="49">
        <f>(V56)/((1+Assumptions!$B$21)^$E56)+O56/IF(O$3="EOP",((1+Assumptions!$B$21)^$E56),1)</f>
        <v>63188.598969200633</v>
      </c>
      <c r="W55" s="49">
        <f>(W56)/((1+Assumptions!$B$21)^$E56)+P56/IF(P$3="EOP",((1+Assumptions!$B$21)^$E56),1)</f>
        <v>252754.3958768025</v>
      </c>
      <c r="X55" s="49">
        <f>(X56)/((1+Assumptions!$B$21)^$E56)+Q56/IF(Q$3="EOP",((1+Assumptions!$B$21)^$E56),1)</f>
        <v>154118.53407122102</v>
      </c>
      <c r="Y55" s="53">
        <f t="shared" si="2"/>
        <v>-950911.35521943355</v>
      </c>
      <c r="Z55" s="52">
        <f>H56*Assumptions!$B$7*Assumptions!$B$25/$E56/12</f>
        <v>16688.936219965475</v>
      </c>
      <c r="AA55" s="49">
        <f>Z55*Assumptions!$B$11</f>
        <v>3337.7872439930952</v>
      </c>
      <c r="AB55" s="54">
        <f t="shared" si="8"/>
        <v>13351.148975972381</v>
      </c>
      <c r="AC55" s="89">
        <f t="shared" si="9"/>
        <v>-937560.20624346111</v>
      </c>
      <c r="AD55" s="89">
        <f>Assumptions!$B$23*R55</f>
        <v>473914.49226900458</v>
      </c>
      <c r="AE55" s="89">
        <f t="shared" si="11"/>
        <v>-463645.71397445654</v>
      </c>
    </row>
    <row r="56" spans="1:31" x14ac:dyDescent="0.25">
      <c r="A56" s="44">
        <f t="shared" si="10"/>
        <v>51</v>
      </c>
      <c r="B56" s="45" t="s">
        <v>29</v>
      </c>
      <c r="C56" s="48">
        <f t="shared" si="12"/>
        <v>216</v>
      </c>
      <c r="D56" s="47">
        <f t="shared" si="1"/>
        <v>18</v>
      </c>
      <c r="E56" s="47">
        <f t="shared" si="4"/>
        <v>1</v>
      </c>
      <c r="F56" s="48">
        <f t="shared" si="5"/>
        <v>1</v>
      </c>
      <c r="G56" s="49">
        <f>(G55*($K55/$K54)-L55)*(1+Assumptions!$B$15)^$F56</f>
        <v>86601624.823850393</v>
      </c>
      <c r="H56" s="49">
        <f>$H$6/$G$6*G56*(1+Assumptions!$B$16)^INT((C56-1)/12)*IF(B56="Monthly",1,12)</f>
        <v>320427.57542333717</v>
      </c>
      <c r="I56" s="50">
        <f>Assumptions!$B$14</f>
        <v>0.15</v>
      </c>
      <c r="J56" s="50">
        <f t="shared" si="6"/>
        <v>0.15000000000000002</v>
      </c>
      <c r="K56" s="51">
        <f t="shared" si="7"/>
        <v>5.3646409805556149E-2</v>
      </c>
      <c r="L56" s="52">
        <f>H56*Assumptions!$B$7</f>
        <v>160213.78771166858</v>
      </c>
      <c r="M56" s="49">
        <f>L56*Assumptions!$B$11</f>
        <v>32042.757542333718</v>
      </c>
      <c r="N56" s="49">
        <f>H56*Assumptions!$B$11</f>
        <v>64085.515084667437</v>
      </c>
      <c r="O56" s="49">
        <f>N56*Assumptions!$B$12</f>
        <v>6408.5515084667441</v>
      </c>
      <c r="P56" s="49">
        <f>H56*Assumptions!$B$9</f>
        <v>25634.206033866973</v>
      </c>
      <c r="Q56" s="49">
        <f>H56*Assumptions!$B$8</f>
        <v>16021.378771166859</v>
      </c>
      <c r="R56" s="52">
        <f>(R57)/((1+Assumptions!$B$21)^$E57)+H57/IF(H$3="EOP",((1+Assumptions!$B$21)^$E57),1)</f>
        <v>2909977.4323626109</v>
      </c>
      <c r="S56" s="49">
        <f>(S57)/((1+Assumptions!$B$21)^$E57)+L57/IF(L$3="EOP",((1+Assumptions!$B$21)^$E57),1)</f>
        <v>1419501.1865183467</v>
      </c>
      <c r="T56" s="49">
        <f>(T57)/((1+Assumptions!$B$21)^$E57)+M57/IF(M$3="EOP",((1+Assumptions!$B$21)^$E57),1)</f>
        <v>283900.23730366939</v>
      </c>
      <c r="U56" s="49">
        <f>(U57)/((1+Assumptions!$B$21)^$E57)+N57/IF(N$3="EOP",((1+Assumptions!$B$21)^$E57),1)</f>
        <v>581995.48647252226</v>
      </c>
      <c r="V56" s="49">
        <f>(V57)/((1+Assumptions!$B$21)^$E57)+O57/IF(O$3="EOP",((1+Assumptions!$B$21)^$E57),1)</f>
        <v>58199.548647252232</v>
      </c>
      <c r="W56" s="49">
        <f>(W57)/((1+Assumptions!$B$21)^$E57)+P57/IF(P$3="EOP",((1+Assumptions!$B$21)^$E57),1)</f>
        <v>232798.1945890089</v>
      </c>
      <c r="X56" s="49">
        <f>(X57)/((1+Assumptions!$B$21)^$E57)+Q57/IF(Q$3="EOP",((1+Assumptions!$B$21)^$E57),1)</f>
        <v>141950.11865183469</v>
      </c>
      <c r="Y56" s="53">
        <f t="shared" si="2"/>
        <v>-875832.23208181979</v>
      </c>
      <c r="Z56" s="52">
        <f>H57*Assumptions!$B$7*Assumptions!$B$25/$E57/12</f>
        <v>15592.840768503498</v>
      </c>
      <c r="AA56" s="49">
        <f>Z56*Assumptions!$B$11</f>
        <v>3118.5681537006999</v>
      </c>
      <c r="AB56" s="54">
        <f t="shared" si="8"/>
        <v>12474.272614802798</v>
      </c>
      <c r="AC56" s="89">
        <f t="shared" si="9"/>
        <v>-863357.95946701698</v>
      </c>
      <c r="AD56" s="89">
        <f>Assumptions!$B$23*R56</f>
        <v>436496.61485439161</v>
      </c>
      <c r="AE56" s="89">
        <f t="shared" si="11"/>
        <v>-426861.34461262537</v>
      </c>
    </row>
    <row r="57" spans="1:31" x14ac:dyDescent="0.25">
      <c r="A57" s="44">
        <f t="shared" si="10"/>
        <v>52</v>
      </c>
      <c r="B57" s="45" t="s">
        <v>29</v>
      </c>
      <c r="C57" s="48">
        <f t="shared" si="12"/>
        <v>228</v>
      </c>
      <c r="D57" s="47">
        <f t="shared" si="1"/>
        <v>19</v>
      </c>
      <c r="E57" s="47">
        <f t="shared" si="4"/>
        <v>1</v>
      </c>
      <c r="F57" s="48">
        <f t="shared" si="5"/>
        <v>1</v>
      </c>
      <c r="G57" s="49">
        <f>(G56*($K56/$K55)-L56)*(1+Assumptions!$B$15)^$F57</f>
        <v>74920190.658812389</v>
      </c>
      <c r="H57" s="49">
        <f>$H$6/$G$6*G57*(1+Assumptions!$B$16)^INT((C57-1)/12)*IF(B57="Monthly",1,12)</f>
        <v>299382.54275526718</v>
      </c>
      <c r="I57" s="50">
        <f>Assumptions!$B$14</f>
        <v>0.15</v>
      </c>
      <c r="J57" s="50">
        <f t="shared" si="6"/>
        <v>0.15000000000000002</v>
      </c>
      <c r="K57" s="51">
        <f t="shared" si="7"/>
        <v>4.5599448334722723E-2</v>
      </c>
      <c r="L57" s="52">
        <f>H57*Assumptions!$B$7</f>
        <v>149691.27137763359</v>
      </c>
      <c r="M57" s="49">
        <f>L57*Assumptions!$B$11</f>
        <v>29938.25427552672</v>
      </c>
      <c r="N57" s="49">
        <f>H57*Assumptions!$B$11</f>
        <v>59876.508551053441</v>
      </c>
      <c r="O57" s="49">
        <f>N57*Assumptions!$B$12</f>
        <v>5987.6508551053448</v>
      </c>
      <c r="P57" s="49">
        <f>H57*Assumptions!$B$9</f>
        <v>23950.603420421376</v>
      </c>
      <c r="Q57" s="49">
        <f>H57*Assumptions!$B$8</f>
        <v>14969.12713776336</v>
      </c>
      <c r="R57" s="52">
        <f>(R58)/((1+Assumptions!$B$21)^$E58)+H58/IF(H$3="EOP",((1+Assumptions!$B$21)^$E58),1)</f>
        <v>2675859.7618475272</v>
      </c>
      <c r="S57" s="49">
        <f>(S58)/((1+Assumptions!$B$21)^$E58)+L58/IF(L$3="EOP",((1+Assumptions!$B$21)^$E58),1)</f>
        <v>1305297.4448036717</v>
      </c>
      <c r="T57" s="49">
        <f>(T58)/((1+Assumptions!$B$21)^$E58)+M58/IF(M$3="EOP",((1+Assumptions!$B$21)^$E58),1)</f>
        <v>261059.48896073436</v>
      </c>
      <c r="U57" s="49">
        <f>(U58)/((1+Assumptions!$B$21)^$E58)+N58/IF(N$3="EOP",((1+Assumptions!$B$21)^$E58),1)</f>
        <v>535171.95236950554</v>
      </c>
      <c r="V57" s="49">
        <f>(V58)/((1+Assumptions!$B$21)^$E58)+O58/IF(O$3="EOP",((1+Assumptions!$B$21)^$E58),1)</f>
        <v>53517.195236950552</v>
      </c>
      <c r="W57" s="49">
        <f>(W58)/((1+Assumptions!$B$21)^$E58)+P58/IF(P$3="EOP",((1+Assumptions!$B$21)^$E58),1)</f>
        <v>214068.78094780221</v>
      </c>
      <c r="X57" s="49">
        <f>(X58)/((1+Assumptions!$B$21)^$E58)+Q58/IF(Q$3="EOP",((1+Assumptions!$B$21)^$E58),1)</f>
        <v>130529.74448036718</v>
      </c>
      <c r="Y57" s="53">
        <f t="shared" si="2"/>
        <v>-805368.52344386559</v>
      </c>
      <c r="Z57" s="52">
        <f>H58*Assumptions!$B$7*Assumptions!$B$25/$E58/12</f>
        <v>14566.192421892085</v>
      </c>
      <c r="AA57" s="49">
        <f>Z57*Assumptions!$B$11</f>
        <v>2913.2384843784171</v>
      </c>
      <c r="AB57" s="54">
        <f t="shared" si="8"/>
        <v>11652.953937513668</v>
      </c>
      <c r="AC57" s="89">
        <f t="shared" si="9"/>
        <v>-793715.56950635195</v>
      </c>
      <c r="AD57" s="89">
        <f>Assumptions!$B$23*R57</f>
        <v>401378.9642771291</v>
      </c>
      <c r="AE57" s="89">
        <f t="shared" si="11"/>
        <v>-392336.60522922286</v>
      </c>
    </row>
    <row r="58" spans="1:31" x14ac:dyDescent="0.25">
      <c r="A58" s="44">
        <f t="shared" si="10"/>
        <v>53</v>
      </c>
      <c r="B58" s="45" t="s">
        <v>29</v>
      </c>
      <c r="C58" s="48">
        <f t="shared" si="12"/>
        <v>240</v>
      </c>
      <c r="D58" s="47">
        <f t="shared" si="1"/>
        <v>20</v>
      </c>
      <c r="E58" s="47">
        <f t="shared" si="4"/>
        <v>1</v>
      </c>
      <c r="F58" s="48">
        <f t="shared" si="5"/>
        <v>1</v>
      </c>
      <c r="G58" s="49">
        <f>(G57*($K57/$K56)-L57)*(1+Assumptions!$B$15)^$F58</f>
        <v>64803120.204385154</v>
      </c>
      <c r="H58" s="49">
        <f>$H$6/$G$6*G58*(1+Assumptions!$B$16)^INT((C58-1)/12)*IF(B58="Monthly",1,12)</f>
        <v>279670.89450032805</v>
      </c>
      <c r="I58" s="50">
        <f>Assumptions!$B$14</f>
        <v>0.15</v>
      </c>
      <c r="J58" s="50">
        <f t="shared" si="6"/>
        <v>0.15000000000000002</v>
      </c>
      <c r="K58" s="51">
        <f t="shared" si="7"/>
        <v>3.8759531084514312E-2</v>
      </c>
      <c r="L58" s="52">
        <f>H58*Assumptions!$B$7</f>
        <v>139835.44725016403</v>
      </c>
      <c r="M58" s="49">
        <f>L58*Assumptions!$B$11</f>
        <v>27967.089450032807</v>
      </c>
      <c r="N58" s="49">
        <f>H58*Assumptions!$B$11</f>
        <v>55934.178900065614</v>
      </c>
      <c r="O58" s="49">
        <f>N58*Assumptions!$B$12</f>
        <v>5593.4178900065617</v>
      </c>
      <c r="P58" s="49">
        <f>H58*Assumptions!$B$9</f>
        <v>22373.671560026243</v>
      </c>
      <c r="Q58" s="49">
        <f>H58*Assumptions!$B$8</f>
        <v>13983.544725016403</v>
      </c>
      <c r="R58" s="52">
        <f>(R59)/((1+Assumptions!$B$21)^$E59)+H59/IF(H$3="EOP",((1+Assumptions!$B$21)^$E59),1)</f>
        <v>2456093.5890308786</v>
      </c>
      <c r="S58" s="49">
        <f>(S59)/((1+Assumptions!$B$21)^$E59)+L59/IF(L$3="EOP",((1+Assumptions!$B$21)^$E59),1)</f>
        <v>1198094.4336735993</v>
      </c>
      <c r="T58" s="49">
        <f>(T59)/((1+Assumptions!$B$21)^$E59)+M59/IF(M$3="EOP",((1+Assumptions!$B$21)^$E59),1)</f>
        <v>239618.88673471991</v>
      </c>
      <c r="U58" s="49">
        <f>(U59)/((1+Assumptions!$B$21)^$E59)+N59/IF(N$3="EOP",((1+Assumptions!$B$21)^$E59),1)</f>
        <v>491218.71780617582</v>
      </c>
      <c r="V58" s="49">
        <f>(V59)/((1+Assumptions!$B$21)^$E59)+O59/IF(O$3="EOP",((1+Assumptions!$B$21)^$E59),1)</f>
        <v>49121.871780617592</v>
      </c>
      <c r="W58" s="49">
        <f>(W59)/((1+Assumptions!$B$21)^$E59)+P59/IF(P$3="EOP",((1+Assumptions!$B$21)^$E59),1)</f>
        <v>196487.48712247034</v>
      </c>
      <c r="X58" s="49">
        <f>(X59)/((1+Assumptions!$B$21)^$E59)+Q59/IF(Q$3="EOP",((1+Assumptions!$B$21)^$E59),1)</f>
        <v>119809.44336735996</v>
      </c>
      <c r="Y58" s="53">
        <f t="shared" si="2"/>
        <v>-739224.26557661081</v>
      </c>
      <c r="Z58" s="52">
        <f>H59*Assumptions!$B$7*Assumptions!$B$25/$E59/12</f>
        <v>13604.574812862847</v>
      </c>
      <c r="AA58" s="49">
        <f>Z58*Assumptions!$B$11</f>
        <v>2720.9149625725695</v>
      </c>
      <c r="AB58" s="54">
        <f t="shared" si="8"/>
        <v>10883.659850290278</v>
      </c>
      <c r="AC58" s="89">
        <f t="shared" si="9"/>
        <v>-728340.60572632053</v>
      </c>
      <c r="AD58" s="89">
        <f>Assumptions!$B$23*R58</f>
        <v>368414.0383546318</v>
      </c>
      <c r="AE58" s="89">
        <f t="shared" si="11"/>
        <v>-359926.56737168872</v>
      </c>
    </row>
    <row r="59" spans="1:31" x14ac:dyDescent="0.25">
      <c r="A59" s="44">
        <f t="shared" si="10"/>
        <v>54</v>
      </c>
      <c r="B59" s="45" t="s">
        <v>29</v>
      </c>
      <c r="C59" s="48">
        <f t="shared" si="12"/>
        <v>252</v>
      </c>
      <c r="D59" s="47">
        <f t="shared" si="1"/>
        <v>21</v>
      </c>
      <c r="E59" s="47">
        <f t="shared" si="4"/>
        <v>1</v>
      </c>
      <c r="F59" s="48">
        <f t="shared" si="5"/>
        <v>1</v>
      </c>
      <c r="G59" s="49">
        <f>(G58*($K58/$K57)-L58)*(1+Assumptions!$B$15)^$F59</f>
        <v>56041673.061006762</v>
      </c>
      <c r="H59" s="49">
        <f>$H$6/$G$6*G59*(1+Assumptions!$B$16)^INT((C59-1)/12)*IF(B59="Monthly",1,12)</f>
        <v>261207.83640696667</v>
      </c>
      <c r="I59" s="50">
        <f>Assumptions!$B$14</f>
        <v>0.15</v>
      </c>
      <c r="J59" s="50">
        <f t="shared" si="6"/>
        <v>0.15000000000000002</v>
      </c>
      <c r="K59" s="51">
        <f t="shared" si="7"/>
        <v>3.2945601421837167E-2</v>
      </c>
      <c r="L59" s="52">
        <f>H59*Assumptions!$B$7</f>
        <v>130603.91820348334</v>
      </c>
      <c r="M59" s="49">
        <f>L59*Assumptions!$B$11</f>
        <v>26120.783640696667</v>
      </c>
      <c r="N59" s="49">
        <f>H59*Assumptions!$B$11</f>
        <v>52241.567281393334</v>
      </c>
      <c r="O59" s="49">
        <f>N59*Assumptions!$B$12</f>
        <v>5224.1567281393336</v>
      </c>
      <c r="P59" s="49">
        <f>H59*Assumptions!$B$9</f>
        <v>20896.626912557334</v>
      </c>
      <c r="Q59" s="49">
        <f>H59*Assumptions!$B$8</f>
        <v>13060.391820348334</v>
      </c>
      <c r="R59" s="52">
        <f>(R60)/((1+Assumptions!$B$21)^$E60)+H60/IF(H$3="EOP",((1+Assumptions!$B$21)^$E60),1)</f>
        <v>2249757.8964395095</v>
      </c>
      <c r="S59" s="49">
        <f>(S60)/((1+Assumptions!$B$21)^$E60)+L60/IF(L$3="EOP",((1+Assumptions!$B$21)^$E60),1)</f>
        <v>1097442.8763119557</v>
      </c>
      <c r="T59" s="49">
        <f>(T60)/((1+Assumptions!$B$21)^$E60)+M60/IF(M$3="EOP",((1+Assumptions!$B$21)^$E60),1)</f>
        <v>219488.57526239121</v>
      </c>
      <c r="U59" s="49">
        <f>(U60)/((1+Assumptions!$B$21)^$E60)+N60/IF(N$3="EOP",((1+Assumptions!$B$21)^$E60),1)</f>
        <v>449951.57928790199</v>
      </c>
      <c r="V59" s="49">
        <f>(V60)/((1+Assumptions!$B$21)^$E60)+O60/IF(O$3="EOP",((1+Assumptions!$B$21)^$E60),1)</f>
        <v>44995.157928790206</v>
      </c>
      <c r="W59" s="49">
        <f>(W60)/((1+Assumptions!$B$21)^$E60)+P60/IF(P$3="EOP",((1+Assumptions!$B$21)^$E60),1)</f>
        <v>179980.63171516079</v>
      </c>
      <c r="X59" s="49">
        <f>(X60)/((1+Assumptions!$B$21)^$E60)+Q60/IF(Q$3="EOP",((1+Assumptions!$B$21)^$E60),1)</f>
        <v>109744.28763119561</v>
      </c>
      <c r="Y59" s="53">
        <f t="shared" si="2"/>
        <v>-677122.25468447676</v>
      </c>
      <c r="Z59" s="52">
        <f>H60*Assumptions!$B$7*Assumptions!$B$25/$E60/12</f>
        <v>12703.853256410453</v>
      </c>
      <c r="AA59" s="49">
        <f>Z59*Assumptions!$B$11</f>
        <v>2540.770651282091</v>
      </c>
      <c r="AB59" s="54">
        <f t="shared" si="8"/>
        <v>10163.082605128362</v>
      </c>
      <c r="AC59" s="89">
        <f t="shared" si="9"/>
        <v>-666959.17207934835</v>
      </c>
      <c r="AD59" s="89">
        <f>Assumptions!$B$23*R59</f>
        <v>337463.68446592643</v>
      </c>
      <c r="AE59" s="89">
        <f t="shared" si="11"/>
        <v>-329495.48761342192</v>
      </c>
    </row>
    <row r="60" spans="1:31" x14ac:dyDescent="0.25">
      <c r="A60" s="44">
        <f t="shared" si="10"/>
        <v>55</v>
      </c>
      <c r="B60" s="45" t="s">
        <v>29</v>
      </c>
      <c r="C60" s="48">
        <f t="shared" si="12"/>
        <v>264</v>
      </c>
      <c r="D60" s="47">
        <f t="shared" si="1"/>
        <v>22</v>
      </c>
      <c r="E60" s="47">
        <f t="shared" si="4"/>
        <v>1</v>
      </c>
      <c r="F60" s="48">
        <f t="shared" si="5"/>
        <v>1</v>
      </c>
      <c r="G60" s="49">
        <f>(G59*($K59/$K58)-L59)*(1+Assumptions!$B$15)^$F60</f>
        <v>48454914.547325321</v>
      </c>
      <c r="H60" s="49">
        <f>$H$6/$G$6*G60*(1+Assumptions!$B$16)^INT((C60-1)/12)*IF(B60="Monthly",1,12)</f>
        <v>243913.98252308072</v>
      </c>
      <c r="I60" s="50">
        <f>Assumptions!$B$14</f>
        <v>0.15</v>
      </c>
      <c r="J60" s="50">
        <f t="shared" si="6"/>
        <v>0.15000000000000002</v>
      </c>
      <c r="K60" s="51">
        <f t="shared" si="7"/>
        <v>2.800376120856159E-2</v>
      </c>
      <c r="L60" s="52">
        <f>H60*Assumptions!$B$7</f>
        <v>121956.99126154036</v>
      </c>
      <c r="M60" s="49">
        <f>L60*Assumptions!$B$11</f>
        <v>24391.398252308074</v>
      </c>
      <c r="N60" s="49">
        <f>H60*Assumptions!$B$11</f>
        <v>48782.796504616148</v>
      </c>
      <c r="O60" s="49">
        <f>N60*Assumptions!$B$12</f>
        <v>4878.2796504616153</v>
      </c>
      <c r="P60" s="49">
        <f>H60*Assumptions!$B$9</f>
        <v>19513.118601846458</v>
      </c>
      <c r="Q60" s="49">
        <f>H60*Assumptions!$B$8</f>
        <v>12195.699126154037</v>
      </c>
      <c r="R60" s="52">
        <f>(R61)/((1+Assumptions!$B$21)^$E61)+H61/IF(H$3="EOP",((1+Assumptions!$B$21)^$E61),1)</f>
        <v>2055990.0117643394</v>
      </c>
      <c r="S60" s="49">
        <f>(S61)/((1+Assumptions!$B$21)^$E61)+L61/IF(L$3="EOP",((1+Assumptions!$B$21)^$E61),1)</f>
        <v>1002921.9569582143</v>
      </c>
      <c r="T60" s="49">
        <f>(T61)/((1+Assumptions!$B$21)^$E61)+M61/IF(M$3="EOP",((1+Assumptions!$B$21)^$E61),1)</f>
        <v>200584.39139164292</v>
      </c>
      <c r="U60" s="49">
        <f>(U61)/((1+Assumptions!$B$21)^$E61)+N61/IF(N$3="EOP",((1+Assumptions!$B$21)^$E61),1)</f>
        <v>411198.00235286792</v>
      </c>
      <c r="V60" s="49">
        <f>(V61)/((1+Assumptions!$B$21)^$E61)+O61/IF(O$3="EOP",((1+Assumptions!$B$21)^$E61),1)</f>
        <v>41119.800235286806</v>
      </c>
      <c r="W60" s="49">
        <f>(W61)/((1+Assumptions!$B$21)^$E61)+P61/IF(P$3="EOP",((1+Assumptions!$B$21)^$E61),1)</f>
        <v>164479.2009411472</v>
      </c>
      <c r="X60" s="49">
        <f>(X61)/((1+Assumptions!$B$21)^$E61)+Q61/IF(Q$3="EOP",((1+Assumptions!$B$21)^$E61),1)</f>
        <v>100292.19569582146</v>
      </c>
      <c r="Y60" s="53">
        <f t="shared" si="2"/>
        <v>-618802.84744321823</v>
      </c>
      <c r="Z60" s="52">
        <f>H61*Assumptions!$B$7*Assumptions!$B$25/$E61/12</f>
        <v>11860.156879244236</v>
      </c>
      <c r="AA60" s="49">
        <f>Z60*Assumptions!$B$11</f>
        <v>2372.0313758488473</v>
      </c>
      <c r="AB60" s="54">
        <f t="shared" si="8"/>
        <v>9488.1255033953894</v>
      </c>
      <c r="AC60" s="89">
        <f t="shared" si="9"/>
        <v>-609314.72193982289</v>
      </c>
      <c r="AD60" s="89">
        <f>Assumptions!$B$23*R60</f>
        <v>308398.50176465092</v>
      </c>
      <c r="AE60" s="89">
        <f t="shared" si="11"/>
        <v>-300916.22017517197</v>
      </c>
    </row>
    <row r="61" spans="1:31" x14ac:dyDescent="0.25">
      <c r="A61" s="44">
        <f t="shared" si="10"/>
        <v>56</v>
      </c>
      <c r="B61" s="45" t="s">
        <v>29</v>
      </c>
      <c r="C61" s="48">
        <f t="shared" si="12"/>
        <v>276</v>
      </c>
      <c r="D61" s="47">
        <f t="shared" si="1"/>
        <v>23</v>
      </c>
      <c r="E61" s="47">
        <f t="shared" si="4"/>
        <v>1</v>
      </c>
      <c r="F61" s="48">
        <f t="shared" si="5"/>
        <v>1</v>
      </c>
      <c r="G61" s="49">
        <f>(G60*($K60/$K59)-L60)*(1+Assumptions!$B$15)^$F61</f>
        <v>41886014.781444281</v>
      </c>
      <c r="H61" s="49">
        <f>$H$6/$G$6*G61*(1+Assumptions!$B$16)^INT((C61-1)/12)*IF(B61="Monthly",1,12)</f>
        <v>227715.01208148935</v>
      </c>
      <c r="I61" s="50">
        <f>Assumptions!$B$14</f>
        <v>0.15</v>
      </c>
      <c r="J61" s="50">
        <f t="shared" si="6"/>
        <v>0.15000000000000002</v>
      </c>
      <c r="K61" s="51">
        <f t="shared" si="7"/>
        <v>2.3803197027277352E-2</v>
      </c>
      <c r="L61" s="52">
        <f>H61*Assumptions!$B$7</f>
        <v>113857.50604074467</v>
      </c>
      <c r="M61" s="49">
        <f>L61*Assumptions!$B$11</f>
        <v>22771.501208148937</v>
      </c>
      <c r="N61" s="49">
        <f>H61*Assumptions!$B$11</f>
        <v>45543.002416297873</v>
      </c>
      <c r="O61" s="49">
        <f>N61*Assumptions!$B$12</f>
        <v>4554.3002416297877</v>
      </c>
      <c r="P61" s="49">
        <f>H61*Assumptions!$B$9</f>
        <v>18217.200966519147</v>
      </c>
      <c r="Q61" s="49">
        <f>H61*Assumptions!$B$8</f>
        <v>11385.750604074468</v>
      </c>
      <c r="R61" s="52">
        <f>(R62)/((1+Assumptions!$B$21)^$E62)+H62/IF(H$3="EOP",((1+Assumptions!$B$21)^$E62),1)</f>
        <v>1873981.8746749212</v>
      </c>
      <c r="S61" s="49">
        <f>(S62)/((1+Assumptions!$B$21)^$E62)+L62/IF(L$3="EOP",((1+Assumptions!$B$21)^$E62),1)</f>
        <v>914137.49984142487</v>
      </c>
      <c r="T61" s="49">
        <f>(T62)/((1+Assumptions!$B$21)^$E62)+M62/IF(M$3="EOP",((1+Assumptions!$B$21)^$E62),1)</f>
        <v>182827.49996828503</v>
      </c>
      <c r="U61" s="49">
        <f>(U62)/((1+Assumptions!$B$21)^$E62)+N62/IF(N$3="EOP",((1+Assumptions!$B$21)^$E62),1)</f>
        <v>374796.37493498425</v>
      </c>
      <c r="V61" s="49">
        <f>(V62)/((1+Assumptions!$B$21)^$E62)+O62/IF(O$3="EOP",((1+Assumptions!$B$21)^$E62),1)</f>
        <v>37479.637493498441</v>
      </c>
      <c r="W61" s="49">
        <f>(W62)/((1+Assumptions!$B$21)^$E62)+P62/IF(P$3="EOP",((1+Assumptions!$B$21)^$E62),1)</f>
        <v>149918.54997399374</v>
      </c>
      <c r="X61" s="49">
        <f>(X62)/((1+Assumptions!$B$21)^$E62)+Q62/IF(Q$3="EOP",((1+Assumptions!$B$21)^$E62),1)</f>
        <v>91413.749984142516</v>
      </c>
      <c r="Y61" s="53">
        <f t="shared" si="2"/>
        <v>-564022.83740215923</v>
      </c>
      <c r="Z61" s="52">
        <f>H62*Assumptions!$B$7*Assumptions!$B$25/$E62/12</f>
        <v>11069.861890675906</v>
      </c>
      <c r="AA61" s="49">
        <f>Z61*Assumptions!$B$11</f>
        <v>2213.9723781351813</v>
      </c>
      <c r="AB61" s="54">
        <f t="shared" si="8"/>
        <v>8855.8895125407253</v>
      </c>
      <c r="AC61" s="89">
        <f t="shared" si="9"/>
        <v>-555166.94788961846</v>
      </c>
      <c r="AD61" s="89">
        <f>Assumptions!$B$23*R61</f>
        <v>281097.28120123816</v>
      </c>
      <c r="AE61" s="89">
        <f t="shared" si="11"/>
        <v>-274069.6666883803</v>
      </c>
    </row>
    <row r="62" spans="1:31" x14ac:dyDescent="0.25">
      <c r="A62" s="44">
        <f t="shared" si="10"/>
        <v>57</v>
      </c>
      <c r="B62" s="45" t="s">
        <v>29</v>
      </c>
      <c r="C62" s="48">
        <f t="shared" si="12"/>
        <v>288</v>
      </c>
      <c r="D62" s="47">
        <f t="shared" si="1"/>
        <v>24</v>
      </c>
      <c r="E62" s="47">
        <f t="shared" si="4"/>
        <v>1</v>
      </c>
      <c r="F62" s="48">
        <f t="shared" si="5"/>
        <v>1</v>
      </c>
      <c r="G62" s="49">
        <f>(G61*($K61/$K60)-L61)*(1+Assumptions!$B$15)^$F62</f>
        <v>36199040.159350634</v>
      </c>
      <c r="H62" s="49">
        <f>$H$6/$G$6*G62*(1+Assumptions!$B$16)^INT((C62-1)/12)*IF(B62="Monthly",1,12)</f>
        <v>212541.34830097738</v>
      </c>
      <c r="I62" s="50">
        <f>Assumptions!$B$14</f>
        <v>0.15</v>
      </c>
      <c r="J62" s="50">
        <f t="shared" si="6"/>
        <v>0.15000000000000002</v>
      </c>
      <c r="K62" s="51">
        <f t="shared" si="7"/>
        <v>2.0232717473185748E-2</v>
      </c>
      <c r="L62" s="52">
        <f>H62*Assumptions!$B$7</f>
        <v>106270.67415048869</v>
      </c>
      <c r="M62" s="49">
        <f>L62*Assumptions!$B$11</f>
        <v>21254.134830097741</v>
      </c>
      <c r="N62" s="49">
        <f>H62*Assumptions!$B$11</f>
        <v>42508.269660195481</v>
      </c>
      <c r="O62" s="49">
        <f>N62*Assumptions!$B$12</f>
        <v>4250.8269660195483</v>
      </c>
      <c r="P62" s="49">
        <f>H62*Assumptions!$B$9</f>
        <v>17003.30786407819</v>
      </c>
      <c r="Q62" s="49">
        <f>H62*Assumptions!$B$8</f>
        <v>10627.06741504887</v>
      </c>
      <c r="R62" s="52">
        <f>(R63)/((1+Assumptions!$B$21)^$E63)+H63/IF(H$3="EOP",((1+Assumptions!$B$21)^$E63),1)</f>
        <v>1702976.5395332922</v>
      </c>
      <c r="S62" s="49">
        <f>(S63)/((1+Assumptions!$B$21)^$E63)+L63/IF(L$3="EOP",((1+Assumptions!$B$21)^$E63),1)</f>
        <v>830720.26318697177</v>
      </c>
      <c r="T62" s="49">
        <f>(T63)/((1+Assumptions!$B$21)^$E63)+M63/IF(M$3="EOP",((1+Assumptions!$B$21)^$E63),1)</f>
        <v>166144.0526373944</v>
      </c>
      <c r="U62" s="49">
        <f>(U63)/((1+Assumptions!$B$21)^$E63)+N63/IF(N$3="EOP",((1+Assumptions!$B$21)^$E63),1)</f>
        <v>340595.30790665851</v>
      </c>
      <c r="V62" s="49">
        <f>(V63)/((1+Assumptions!$B$21)^$E63)+O63/IF(O$3="EOP",((1+Assumptions!$B$21)^$E63),1)</f>
        <v>34059.530790665856</v>
      </c>
      <c r="W62" s="49">
        <f>(W63)/((1+Assumptions!$B$21)^$E63)+P63/IF(P$3="EOP",((1+Assumptions!$B$21)^$E63),1)</f>
        <v>136238.1231626634</v>
      </c>
      <c r="X62" s="49">
        <f>(X63)/((1+Assumptions!$B$21)^$E63)+Q63/IF(Q$3="EOP",((1+Assumptions!$B$21)^$E63),1)</f>
        <v>83072.026318697201</v>
      </c>
      <c r="Y62" s="53">
        <f t="shared" si="2"/>
        <v>-512554.40238636156</v>
      </c>
      <c r="Z62" s="52">
        <f>H63*Assumptions!$B$7*Assumptions!$B$25/$E63/12</f>
        <v>10329.575922510909</v>
      </c>
      <c r="AA62" s="49">
        <f>Z62*Assumptions!$B$11</f>
        <v>2065.915184502182</v>
      </c>
      <c r="AB62" s="54">
        <f t="shared" si="8"/>
        <v>8263.6607380087262</v>
      </c>
      <c r="AC62" s="89">
        <f t="shared" si="9"/>
        <v>-504290.74164835282</v>
      </c>
      <c r="AD62" s="89">
        <f>Assumptions!$B$23*R62</f>
        <v>255446.48092999382</v>
      </c>
      <c r="AE62" s="89">
        <f t="shared" si="11"/>
        <v>-248844.260718359</v>
      </c>
    </row>
    <row r="63" spans="1:31" x14ac:dyDescent="0.25">
      <c r="A63" s="44">
        <f t="shared" si="10"/>
        <v>58</v>
      </c>
      <c r="B63" s="45" t="s">
        <v>29</v>
      </c>
      <c r="C63" s="48">
        <f t="shared" si="12"/>
        <v>300</v>
      </c>
      <c r="D63" s="47">
        <f t="shared" si="1"/>
        <v>25</v>
      </c>
      <c r="E63" s="47">
        <f t="shared" si="4"/>
        <v>1</v>
      </c>
      <c r="F63" s="48">
        <f t="shared" si="5"/>
        <v>1</v>
      </c>
      <c r="G63" s="49">
        <f>(G62*($K62/$K61)-L62)*(1+Assumptions!$B$15)^$F63</f>
        <v>31276171.730523501</v>
      </c>
      <c r="H63" s="49">
        <f>$H$6/$G$6*G63*(1+Assumptions!$B$16)^INT((C63-1)/12)*IF(B63="Monthly",1,12)</f>
        <v>198327.85771220943</v>
      </c>
      <c r="I63" s="50">
        <f>Assumptions!$B$14</f>
        <v>0.15</v>
      </c>
      <c r="J63" s="50">
        <f t="shared" si="6"/>
        <v>0.15000000000000002</v>
      </c>
      <c r="K63" s="51">
        <f t="shared" si="7"/>
        <v>1.7197809852207886E-2</v>
      </c>
      <c r="L63" s="52">
        <f>H63*Assumptions!$B$7</f>
        <v>99163.928856104714</v>
      </c>
      <c r="M63" s="49">
        <f>L63*Assumptions!$B$11</f>
        <v>19832.785771220944</v>
      </c>
      <c r="N63" s="49">
        <f>H63*Assumptions!$B$11</f>
        <v>39665.571542441889</v>
      </c>
      <c r="O63" s="49">
        <f>N63*Assumptions!$B$12</f>
        <v>3966.557154244189</v>
      </c>
      <c r="P63" s="49">
        <f>H63*Assumptions!$B$9</f>
        <v>15866.228616976754</v>
      </c>
      <c r="Q63" s="49">
        <f>H63*Assumptions!$B$8</f>
        <v>9916.3928856104721</v>
      </c>
      <c r="R63" s="52">
        <f>(R64)/((1+Assumptions!$B$21)^$E64)+H64/IF(H$3="EOP",((1+Assumptions!$B$21)^$E64),1)</f>
        <v>1542264.8988666097</v>
      </c>
      <c r="S63" s="49">
        <f>(S64)/((1+Assumptions!$B$21)^$E64)+L64/IF(L$3="EOP",((1+Assumptions!$B$21)^$E64),1)</f>
        <v>752324.34091054136</v>
      </c>
      <c r="T63" s="49">
        <f>(T64)/((1+Assumptions!$B$21)^$E64)+M64/IF(M$3="EOP",((1+Assumptions!$B$21)^$E64),1)</f>
        <v>150464.8681821083</v>
      </c>
      <c r="U63" s="49">
        <f>(U64)/((1+Assumptions!$B$21)^$E64)+N64/IF(N$3="EOP",((1+Assumptions!$B$21)^$E64),1)</f>
        <v>308452.979773322</v>
      </c>
      <c r="V63" s="49">
        <f>(V64)/((1+Assumptions!$B$21)^$E64)+O64/IF(O$3="EOP",((1+Assumptions!$B$21)^$E64),1)</f>
        <v>30845.297977332208</v>
      </c>
      <c r="W63" s="49">
        <f>(W64)/((1+Assumptions!$B$21)^$E64)+P64/IF(P$3="EOP",((1+Assumptions!$B$21)^$E64),1)</f>
        <v>123381.1919093288</v>
      </c>
      <c r="X63" s="49">
        <f>(X64)/((1+Assumptions!$B$21)^$E64)+Q64/IF(Q$3="EOP",((1+Assumptions!$B$21)^$E64),1)</f>
        <v>75232.43409105415</v>
      </c>
      <c r="Y63" s="53">
        <f t="shared" si="2"/>
        <v>-464184.1183418039</v>
      </c>
      <c r="Z63" s="52">
        <f>H64*Assumptions!$B$7*Assumptions!$B$25/$E64/12</f>
        <v>9636.1233701109977</v>
      </c>
      <c r="AA63" s="49">
        <f>Z63*Assumptions!$B$11</f>
        <v>1927.2246740221997</v>
      </c>
      <c r="AB63" s="54">
        <f t="shared" si="8"/>
        <v>7708.8986960887978</v>
      </c>
      <c r="AC63" s="89">
        <f t="shared" si="9"/>
        <v>-456475.21964571509</v>
      </c>
      <c r="AD63" s="89">
        <f>Assumptions!$B$23*R63</f>
        <v>231339.73482999144</v>
      </c>
      <c r="AE63" s="89">
        <f t="shared" si="11"/>
        <v>-225135.48481572364</v>
      </c>
    </row>
    <row r="64" spans="1:31" x14ac:dyDescent="0.25">
      <c r="A64" s="44">
        <f t="shared" si="10"/>
        <v>59</v>
      </c>
      <c r="B64" s="45" t="s">
        <v>29</v>
      </c>
      <c r="C64" s="48">
        <f t="shared" si="12"/>
        <v>312</v>
      </c>
      <c r="D64" s="47">
        <f t="shared" si="1"/>
        <v>26</v>
      </c>
      <c r="E64" s="47">
        <f t="shared" si="4"/>
        <v>1</v>
      </c>
      <c r="F64" s="48">
        <f t="shared" si="5"/>
        <v>1</v>
      </c>
      <c r="G64" s="49">
        <f>(G63*($K63/$K62)-L63)*(1+Assumptions!$B$15)^$F64</f>
        <v>27015293.682930648</v>
      </c>
      <c r="H64" s="49">
        <f>$H$6/$G$6*G64*(1+Assumptions!$B$16)^INT((C64-1)/12)*IF(B64="Monthly",1,12)</f>
        <v>185013.56870613116</v>
      </c>
      <c r="I64" s="50">
        <f>Assumptions!$B$14</f>
        <v>0.15</v>
      </c>
      <c r="J64" s="50">
        <f t="shared" si="6"/>
        <v>0.15000000000000002</v>
      </c>
      <c r="K64" s="51">
        <f t="shared" si="7"/>
        <v>1.4618138374376703E-2</v>
      </c>
      <c r="L64" s="52">
        <f>H64*Assumptions!$B$7</f>
        <v>92506.784353065581</v>
      </c>
      <c r="M64" s="49">
        <f>L64*Assumptions!$B$11</f>
        <v>18501.356870613115</v>
      </c>
      <c r="N64" s="49">
        <f>H64*Assumptions!$B$11</f>
        <v>37002.713741226231</v>
      </c>
      <c r="O64" s="49">
        <f>N64*Assumptions!$B$12</f>
        <v>3700.2713741226235</v>
      </c>
      <c r="P64" s="49">
        <f>H64*Assumptions!$B$9</f>
        <v>14801.085496490494</v>
      </c>
      <c r="Q64" s="49">
        <f>H64*Assumptions!$B$8</f>
        <v>9250.6784353065577</v>
      </c>
      <c r="R64" s="52">
        <f>(R65)/((1+Assumptions!$B$21)^$E65)+H65/IF(H$3="EOP",((1+Assumptions!$B$21)^$E65),1)</f>
        <v>1391182.6134144904</v>
      </c>
      <c r="S64" s="49">
        <f>(S65)/((1+Assumptions!$B$21)^$E65)+L65/IF(L$3="EOP",((1+Assumptions!$B$21)^$E65),1)</f>
        <v>678625.6650802393</v>
      </c>
      <c r="T64" s="49">
        <f>(T65)/((1+Assumptions!$B$21)^$E65)+M65/IF(M$3="EOP",((1+Assumptions!$B$21)^$E65),1)</f>
        <v>135725.13301604788</v>
      </c>
      <c r="U64" s="49">
        <f>(U65)/((1+Assumptions!$B$21)^$E65)+N65/IF(N$3="EOP",((1+Assumptions!$B$21)^$E65),1)</f>
        <v>278236.52268289815</v>
      </c>
      <c r="V64" s="49">
        <f>(V65)/((1+Assumptions!$B$21)^$E65)+O65/IF(O$3="EOP",((1+Assumptions!$B$21)^$E65),1)</f>
        <v>27823.652268289821</v>
      </c>
      <c r="W64" s="49">
        <f>(W65)/((1+Assumptions!$B$21)^$E65)+P65/IF(P$3="EOP",((1+Assumptions!$B$21)^$E65),1)</f>
        <v>111294.60907315926</v>
      </c>
      <c r="X64" s="49">
        <f>(X65)/((1+Assumptions!$B$21)^$E65)+Q65/IF(Q$3="EOP",((1+Assumptions!$B$21)^$E65),1)</f>
        <v>67862.566508023941</v>
      </c>
      <c r="Y64" s="53">
        <f t="shared" si="2"/>
        <v>-418712.03535450745</v>
      </c>
      <c r="Z64" s="52">
        <f>H65*Assumptions!$B$7*Assumptions!$B$25/$E65/12</f>
        <v>8986.5316710972693</v>
      </c>
      <c r="AA64" s="49">
        <f>Z64*Assumptions!$B$11</f>
        <v>1797.3063342194539</v>
      </c>
      <c r="AB64" s="54">
        <f t="shared" si="8"/>
        <v>7189.2253368778156</v>
      </c>
      <c r="AC64" s="89">
        <f t="shared" si="9"/>
        <v>-411522.81001762964</v>
      </c>
      <c r="AD64" s="89">
        <f>Assumptions!$B$23*R64</f>
        <v>208677.39201217354</v>
      </c>
      <c r="AE64" s="89">
        <f t="shared" si="11"/>
        <v>-202845.4180054561</v>
      </c>
    </row>
    <row r="65" spans="1:31" x14ac:dyDescent="0.25">
      <c r="A65" s="44">
        <f t="shared" si="10"/>
        <v>60</v>
      </c>
      <c r="B65" s="45" t="s">
        <v>29</v>
      </c>
      <c r="C65" s="48">
        <f t="shared" si="12"/>
        <v>324</v>
      </c>
      <c r="D65" s="47">
        <f t="shared" si="1"/>
        <v>27</v>
      </c>
      <c r="E65" s="47">
        <f t="shared" si="4"/>
        <v>1</v>
      </c>
      <c r="F65" s="48">
        <f t="shared" si="5"/>
        <v>1</v>
      </c>
      <c r="G65" s="49">
        <f>(G64*($K64/$K63)-L64)*(1+Assumptions!$B$15)^$F65</f>
        <v>23327902.703060746</v>
      </c>
      <c r="H65" s="49">
        <f>$H$6/$G$6*G65*(1+Assumptions!$B$16)^INT((C65-1)/12)*IF(B65="Monthly",1,12)</f>
        <v>172541.40808506758</v>
      </c>
      <c r="I65" s="50">
        <f>Assumptions!$B$14</f>
        <v>0.15</v>
      </c>
      <c r="J65" s="50">
        <f t="shared" si="6"/>
        <v>0.15000000000000002</v>
      </c>
      <c r="K65" s="51">
        <f t="shared" si="7"/>
        <v>1.2425417618220197E-2</v>
      </c>
      <c r="L65" s="52">
        <f>H65*Assumptions!$B$7</f>
        <v>86270.704042533791</v>
      </c>
      <c r="M65" s="49">
        <f>L65*Assumptions!$B$11</f>
        <v>17254.14080850676</v>
      </c>
      <c r="N65" s="49">
        <f>H65*Assumptions!$B$11</f>
        <v>34508.281617013519</v>
      </c>
      <c r="O65" s="49">
        <f>N65*Assumptions!$B$12</f>
        <v>3450.8281617013522</v>
      </c>
      <c r="P65" s="49">
        <f>H65*Assumptions!$B$9</f>
        <v>13803.312646805407</v>
      </c>
      <c r="Q65" s="49">
        <f>H65*Assumptions!$B$8</f>
        <v>8627.0704042533798</v>
      </c>
      <c r="R65" s="52">
        <f>(R66)/((1+Assumptions!$B$21)^$E66)+H66/IF(H$3="EOP",((1+Assumptions!$B$21)^$E66),1)</f>
        <v>1249107.2354626583</v>
      </c>
      <c r="S65" s="49">
        <f>(S66)/((1+Assumptions!$B$21)^$E66)+L66/IF(L$3="EOP",((1+Assumptions!$B$21)^$E66),1)</f>
        <v>609320.60266471142</v>
      </c>
      <c r="T65" s="49">
        <f>(T66)/((1+Assumptions!$B$21)^$E66)+M66/IF(M$3="EOP",((1+Assumptions!$B$21)^$E66),1)</f>
        <v>121864.1205329423</v>
      </c>
      <c r="U65" s="49">
        <f>(U66)/((1+Assumptions!$B$21)^$E66)+N66/IF(N$3="EOP",((1+Assumptions!$B$21)^$E66),1)</f>
        <v>249821.44709253171</v>
      </c>
      <c r="V65" s="49">
        <f>(V66)/((1+Assumptions!$B$21)^$E66)+O66/IF(O$3="EOP",((1+Assumptions!$B$21)^$E66),1)</f>
        <v>24982.144709253178</v>
      </c>
      <c r="W65" s="49">
        <f>(W66)/((1+Assumptions!$B$21)^$E66)+P66/IF(P$3="EOP",((1+Assumptions!$B$21)^$E66),1)</f>
        <v>99928.578837012683</v>
      </c>
      <c r="X65" s="49">
        <f>(X66)/((1+Assumptions!$B$21)^$E66)+Q66/IF(Q$3="EOP",((1+Assumptions!$B$21)^$E66),1)</f>
        <v>60932.060266471148</v>
      </c>
      <c r="Y65" s="53">
        <f t="shared" si="2"/>
        <v>-375950.81184412679</v>
      </c>
      <c r="Z65" s="52">
        <f>H66*Assumptions!$B$7*Assumptions!$B$25/$E66/12</f>
        <v>8378.0184621844946</v>
      </c>
      <c r="AA65" s="49">
        <f>Z65*Assumptions!$B$11</f>
        <v>1675.6036924368991</v>
      </c>
      <c r="AB65" s="54">
        <f t="shared" si="8"/>
        <v>6702.4147697475955</v>
      </c>
      <c r="AC65" s="89">
        <f t="shared" si="9"/>
        <v>-369248.3970743792</v>
      </c>
      <c r="AD65" s="89">
        <f>Assumptions!$B$23*R65</f>
        <v>187366.08531939876</v>
      </c>
      <c r="AE65" s="89">
        <f t="shared" si="11"/>
        <v>-181882.31175498044</v>
      </c>
    </row>
    <row r="66" spans="1:31" x14ac:dyDescent="0.25">
      <c r="A66" s="44">
        <f t="shared" si="10"/>
        <v>61</v>
      </c>
      <c r="B66" s="45" t="s">
        <v>29</v>
      </c>
      <c r="C66" s="48">
        <f t="shared" si="12"/>
        <v>336</v>
      </c>
      <c r="D66" s="47">
        <f t="shared" si="1"/>
        <v>28</v>
      </c>
      <c r="E66" s="47">
        <f t="shared" si="4"/>
        <v>1</v>
      </c>
      <c r="F66" s="48">
        <f t="shared" si="5"/>
        <v>1</v>
      </c>
      <c r="G66" s="49">
        <f>(G65*($K65/$K64)-L65)*(1+Assumptions!$B$15)^$F66</f>
        <v>20137295.525430281</v>
      </c>
      <c r="H66" s="49">
        <f>$H$6/$G$6*G66*(1+Assumptions!$B$16)^INT((C66-1)/12)*IF(B66="Monthly",1,12)</f>
        <v>160857.95447394229</v>
      </c>
      <c r="I66" s="50">
        <f>Assumptions!$B$14</f>
        <v>0.15</v>
      </c>
      <c r="J66" s="50">
        <f t="shared" si="6"/>
        <v>0.15000000000000002</v>
      </c>
      <c r="K66" s="51">
        <f t="shared" si="7"/>
        <v>1.0561604975487167E-2</v>
      </c>
      <c r="L66" s="52">
        <f>H66*Assumptions!$B$7</f>
        <v>80428.977236971143</v>
      </c>
      <c r="M66" s="49">
        <f>L66*Assumptions!$B$11</f>
        <v>16085.79544739423</v>
      </c>
      <c r="N66" s="49">
        <f>H66*Assumptions!$B$11</f>
        <v>32171.59089478846</v>
      </c>
      <c r="O66" s="49">
        <f>N66*Assumptions!$B$12</f>
        <v>3217.159089478846</v>
      </c>
      <c r="P66" s="49">
        <f>H66*Assumptions!$B$9</f>
        <v>12868.636357915384</v>
      </c>
      <c r="Q66" s="49">
        <f>H66*Assumptions!$B$8</f>
        <v>8042.897723697115</v>
      </c>
      <c r="R66" s="52">
        <f>(R67)/((1+Assumptions!$B$21)^$E67)+H67/IF(H$3="EOP",((1+Assumptions!$B$21)^$E67),1)</f>
        <v>1115455.5130134339</v>
      </c>
      <c r="S66" s="49">
        <f>(S67)/((1+Assumptions!$B$21)^$E67)+L67/IF(L$3="EOP",((1+Assumptions!$B$21)^$E67),1)</f>
        <v>544124.64049435803</v>
      </c>
      <c r="T66" s="49">
        <f>(T67)/((1+Assumptions!$B$21)^$E67)+M67/IF(M$3="EOP",((1+Assumptions!$B$21)^$E67),1)</f>
        <v>108824.92809887162</v>
      </c>
      <c r="U66" s="49">
        <f>(U67)/((1+Assumptions!$B$21)^$E67)+N67/IF(N$3="EOP",((1+Assumptions!$B$21)^$E67),1)</f>
        <v>223091.10260268679</v>
      </c>
      <c r="V66" s="49">
        <f>(V67)/((1+Assumptions!$B$21)^$E67)+O67/IF(O$3="EOP",((1+Assumptions!$B$21)^$E67),1)</f>
        <v>22309.110260268688</v>
      </c>
      <c r="W66" s="49">
        <f>(W67)/((1+Assumptions!$B$21)^$E67)+P67/IF(P$3="EOP",((1+Assumptions!$B$21)^$E67),1)</f>
        <v>89236.441041074722</v>
      </c>
      <c r="X66" s="49">
        <f>(X67)/((1+Assumptions!$B$21)^$E67)+Q67/IF(Q$3="EOP",((1+Assumptions!$B$21)^$E67),1)</f>
        <v>54412.46404943581</v>
      </c>
      <c r="Y66" s="53">
        <f t="shared" si="2"/>
        <v>-335724.9031850188</v>
      </c>
      <c r="Z66" s="52">
        <f>H67*Assumptions!$B$7*Assumptions!$B$25/$E67/12</f>
        <v>7807.9795583951127</v>
      </c>
      <c r="AA66" s="49">
        <f>Z66*Assumptions!$B$11</f>
        <v>1561.5959116790227</v>
      </c>
      <c r="AB66" s="54">
        <f t="shared" si="8"/>
        <v>6246.38364671609</v>
      </c>
      <c r="AC66" s="89">
        <f t="shared" si="9"/>
        <v>-329478.51953830273</v>
      </c>
      <c r="AD66" s="89">
        <f>Assumptions!$B$23*R66</f>
        <v>167318.32695201508</v>
      </c>
      <c r="AE66" s="89">
        <f t="shared" si="11"/>
        <v>-162160.19258628765</v>
      </c>
    </row>
    <row r="67" spans="1:31" x14ac:dyDescent="0.25">
      <c r="A67" s="44">
        <f t="shared" si="10"/>
        <v>62</v>
      </c>
      <c r="B67" s="45" t="s">
        <v>29</v>
      </c>
      <c r="C67" s="48">
        <f t="shared" si="12"/>
        <v>348</v>
      </c>
      <c r="D67" s="47">
        <f t="shared" si="1"/>
        <v>29</v>
      </c>
      <c r="E67" s="47">
        <f t="shared" si="4"/>
        <v>1</v>
      </c>
      <c r="F67" s="48">
        <f t="shared" si="5"/>
        <v>1</v>
      </c>
      <c r="G67" s="49">
        <f>(G66*($K66/$K65)-L66)*(1+Assumptions!$B$15)^$F67</f>
        <v>17376997.663766343</v>
      </c>
      <c r="H67" s="49">
        <f>$H$6/$G$6*G67*(1+Assumptions!$B$16)^INT((C67-1)/12)*IF(B67="Monthly",1,12)</f>
        <v>149913.20752118615</v>
      </c>
      <c r="I67" s="50">
        <f>Assumptions!$B$14</f>
        <v>0.15</v>
      </c>
      <c r="J67" s="50">
        <f t="shared" si="6"/>
        <v>0.15000000000000002</v>
      </c>
      <c r="K67" s="51">
        <f t="shared" si="7"/>
        <v>8.977364229164092E-3</v>
      </c>
      <c r="L67" s="52">
        <f>H67*Assumptions!$B$7</f>
        <v>74956.603760593076</v>
      </c>
      <c r="M67" s="49">
        <f>L67*Assumptions!$B$11</f>
        <v>14991.320752118616</v>
      </c>
      <c r="N67" s="49">
        <f>H67*Assumptions!$B$11</f>
        <v>29982.641504237232</v>
      </c>
      <c r="O67" s="49">
        <f>N67*Assumptions!$B$12</f>
        <v>2998.2641504237235</v>
      </c>
      <c r="P67" s="49">
        <f>H67*Assumptions!$B$9</f>
        <v>11993.056601694892</v>
      </c>
      <c r="Q67" s="49">
        <f>H67*Assumptions!$B$8</f>
        <v>7495.660376059308</v>
      </c>
      <c r="R67" s="52">
        <f>(R68)/((1+Assumptions!$B$21)^$E68)+H68/IF(H$3="EOP",((1+Assumptions!$B$21)^$E68),1)</f>
        <v>989680.86312955397</v>
      </c>
      <c r="S67" s="49">
        <f>(S68)/((1+Assumptions!$B$21)^$E68)+L68/IF(L$3="EOP",((1+Assumptions!$B$21)^$E68),1)</f>
        <v>482771.1527461239</v>
      </c>
      <c r="T67" s="49">
        <f>(T68)/((1+Assumptions!$B$21)^$E68)+M68/IF(M$3="EOP",((1+Assumptions!$B$21)^$E68),1)</f>
        <v>96554.230549224783</v>
      </c>
      <c r="U67" s="49">
        <f>(U68)/((1+Assumptions!$B$21)^$E68)+N68/IF(N$3="EOP",((1+Assumptions!$B$21)^$E68),1)</f>
        <v>197936.17262591078</v>
      </c>
      <c r="V67" s="49">
        <f>(V68)/((1+Assumptions!$B$21)^$E68)+O68/IF(O$3="EOP",((1+Assumptions!$B$21)^$E68),1)</f>
        <v>19793.617262591084</v>
      </c>
      <c r="W67" s="49">
        <f>(W68)/((1+Assumptions!$B$21)^$E68)+P68/IF(P$3="EOP",((1+Assumptions!$B$21)^$E68),1)</f>
        <v>79174.469050364321</v>
      </c>
      <c r="X67" s="49">
        <f>(X68)/((1+Assumptions!$B$21)^$E68)+Q68/IF(Q$3="EOP",((1+Assumptions!$B$21)^$E68),1)</f>
        <v>48277.115274612392</v>
      </c>
      <c r="Y67" s="53">
        <f t="shared" si="2"/>
        <v>-297869.80124435847</v>
      </c>
      <c r="Z67" s="52">
        <f>H68*Assumptions!$B$7*Assumptions!$B$25/$E68/12</f>
        <v>7273.9777024104724</v>
      </c>
      <c r="AA67" s="49">
        <f>Z67*Assumptions!$B$11</f>
        <v>1454.7955404820946</v>
      </c>
      <c r="AB67" s="54">
        <f t="shared" si="8"/>
        <v>5819.1821619283783</v>
      </c>
      <c r="AC67" s="89">
        <f t="shared" si="9"/>
        <v>-292050.61908243009</v>
      </c>
      <c r="AD67" s="89">
        <f>Assumptions!$B$23*R67</f>
        <v>148452.1294694331</v>
      </c>
      <c r="AE67" s="89">
        <f t="shared" si="11"/>
        <v>-143598.48961299699</v>
      </c>
    </row>
    <row r="68" spans="1:31" x14ac:dyDescent="0.25">
      <c r="A68" s="44">
        <f t="shared" si="10"/>
        <v>63</v>
      </c>
      <c r="B68" s="45" t="s">
        <v>29</v>
      </c>
      <c r="C68" s="48">
        <f t="shared" si="12"/>
        <v>360</v>
      </c>
      <c r="D68" s="47">
        <f t="shared" si="1"/>
        <v>30</v>
      </c>
      <c r="E68" s="47">
        <f t="shared" si="4"/>
        <v>1</v>
      </c>
      <c r="F68" s="48">
        <f t="shared" si="5"/>
        <v>1</v>
      </c>
      <c r="G68" s="49">
        <f>(G67*($K67/$K66)-L67)*(1+Assumptions!$B$15)^$F68</f>
        <v>14989401.238649614</v>
      </c>
      <c r="H68" s="49">
        <f>$H$6/$G$6*G68*(1+Assumptions!$B$16)^INT((C68-1)/12)*IF(B68="Monthly",1,12)</f>
        <v>139660.37188628106</v>
      </c>
      <c r="I68" s="50">
        <f>Assumptions!$B$14</f>
        <v>0.15</v>
      </c>
      <c r="J68" s="50">
        <f t="shared" si="6"/>
        <v>0.15000000000000002</v>
      </c>
      <c r="K68" s="51">
        <f t="shared" si="7"/>
        <v>7.6307595947894781E-3</v>
      </c>
      <c r="L68" s="52">
        <f>H68*Assumptions!$B$7</f>
        <v>69830.185943140532</v>
      </c>
      <c r="M68" s="49">
        <f>L68*Assumptions!$B$11</f>
        <v>13966.037188628106</v>
      </c>
      <c r="N68" s="49">
        <f>H68*Assumptions!$B$11</f>
        <v>27932.074377256213</v>
      </c>
      <c r="O68" s="49">
        <f>N68*Assumptions!$B$12</f>
        <v>2793.2074377256213</v>
      </c>
      <c r="P68" s="49">
        <f>H68*Assumptions!$B$9</f>
        <v>11172.829750902485</v>
      </c>
      <c r="Q68" s="49">
        <f>H68*Assumptions!$B$8</f>
        <v>6983.0185943140532</v>
      </c>
      <c r="R68" s="52">
        <f>(R69)/((1+Assumptions!$B$21)^$E69)+H69/IF(H$3="EOP",((1+Assumptions!$B$21)^$E69),1)</f>
        <v>871271.00352435466</v>
      </c>
      <c r="S68" s="49">
        <f>(S69)/((1+Assumptions!$B$21)^$E69)+L69/IF(L$3="EOP",((1+Assumptions!$B$21)^$E69),1)</f>
        <v>425010.24562163645</v>
      </c>
      <c r="T68" s="49">
        <f>(T69)/((1+Assumptions!$B$21)^$E69)+M69/IF(M$3="EOP",((1+Assumptions!$B$21)^$E69),1)</f>
        <v>85002.049124327299</v>
      </c>
      <c r="U68" s="49">
        <f>(U69)/((1+Assumptions!$B$21)^$E69)+N69/IF(N$3="EOP",((1+Assumptions!$B$21)^$E69),1)</f>
        <v>174254.20070487092</v>
      </c>
      <c r="V68" s="49">
        <f>(V69)/((1+Assumptions!$B$21)^$E69)+O69/IF(O$3="EOP",((1+Assumptions!$B$21)^$E69),1)</f>
        <v>17425.420070487096</v>
      </c>
      <c r="W68" s="49">
        <f>(W69)/((1+Assumptions!$B$21)^$E69)+P69/IF(P$3="EOP",((1+Assumptions!$B$21)^$E69),1)</f>
        <v>69701.680281948371</v>
      </c>
      <c r="X68" s="49">
        <f>(X69)/((1+Assumptions!$B$21)^$E69)+Q69/IF(Q$3="EOP",((1+Assumptions!$B$21)^$E69),1)</f>
        <v>42501.02456216365</v>
      </c>
      <c r="Y68" s="53">
        <f t="shared" si="2"/>
        <v>-262231.32154854969</v>
      </c>
      <c r="Z68" s="52">
        <f>H69*Assumptions!$B$7*Assumptions!$B$25/$E69/12</f>
        <v>6773.7320350916243</v>
      </c>
      <c r="AA68" s="49">
        <f>Z68*Assumptions!$B$11</f>
        <v>1354.746407018325</v>
      </c>
      <c r="AB68" s="54">
        <f t="shared" si="8"/>
        <v>5418.9856280732993</v>
      </c>
      <c r="AC68" s="89">
        <f t="shared" si="9"/>
        <v>-256812.33592047638</v>
      </c>
      <c r="AD68" s="89">
        <f>Assumptions!$B$23*R68</f>
        <v>130690.65052865319</v>
      </c>
      <c r="AE68" s="89">
        <f t="shared" si="11"/>
        <v>-126121.68539182319</v>
      </c>
    </row>
    <row r="69" spans="1:31" x14ac:dyDescent="0.25">
      <c r="A69" s="44">
        <f t="shared" si="10"/>
        <v>64</v>
      </c>
      <c r="B69" s="45" t="s">
        <v>29</v>
      </c>
      <c r="C69" s="48">
        <f t="shared" si="12"/>
        <v>372</v>
      </c>
      <c r="D69" s="47">
        <f t="shared" si="1"/>
        <v>31</v>
      </c>
      <c r="E69" s="47">
        <f t="shared" si="4"/>
        <v>1</v>
      </c>
      <c r="F69" s="48">
        <f t="shared" si="5"/>
        <v>1</v>
      </c>
      <c r="G69" s="49">
        <f>(G68*($K68/$K67)-L68)*(1+Assumptions!$B$15)^$F69</f>
        <v>12924584.084247213</v>
      </c>
      <c r="H69" s="49">
        <f>$H$6/$G$6*G69*(1+Assumptions!$B$16)^INT((C69-1)/12)*IF(B69="Monthly",1,12)</f>
        <v>130055.6550737592</v>
      </c>
      <c r="I69" s="50">
        <f>Assumptions!$B$14</f>
        <v>0.15</v>
      </c>
      <c r="J69" s="50">
        <f t="shared" si="6"/>
        <v>0.15000000000000002</v>
      </c>
      <c r="K69" s="51">
        <f t="shared" si="7"/>
        <v>6.4861456555710562E-3</v>
      </c>
      <c r="L69" s="52">
        <f>H69*Assumptions!$B$7</f>
        <v>65027.827536879602</v>
      </c>
      <c r="M69" s="49">
        <f>L69*Assumptions!$B$11</f>
        <v>13005.565507375921</v>
      </c>
      <c r="N69" s="49">
        <f>H69*Assumptions!$B$11</f>
        <v>26011.131014751842</v>
      </c>
      <c r="O69" s="49">
        <f>N69*Assumptions!$B$12</f>
        <v>2601.1131014751845</v>
      </c>
      <c r="P69" s="49">
        <f>H69*Assumptions!$B$9</f>
        <v>10404.452405900736</v>
      </c>
      <c r="Q69" s="49">
        <f>H69*Assumptions!$B$8</f>
        <v>6502.7827536879604</v>
      </c>
      <c r="R69" s="52">
        <f>(R70)/((1+Assumptions!$B$21)^$E70)+H70/IF(H$3="EOP",((1+Assumptions!$B$21)^$E70),1)</f>
        <v>759745.73216186021</v>
      </c>
      <c r="S69" s="49">
        <f>(S70)/((1+Assumptions!$B$21)^$E70)+L70/IF(L$3="EOP",((1+Assumptions!$B$21)^$E70),1)</f>
        <v>370607.6742252977</v>
      </c>
      <c r="T69" s="49">
        <f>(T70)/((1+Assumptions!$B$21)^$E70)+M70/IF(M$3="EOP",((1+Assumptions!$B$21)^$E70),1)</f>
        <v>74121.534845059548</v>
      </c>
      <c r="U69" s="49">
        <f>(U70)/((1+Assumptions!$B$21)^$E70)+N70/IF(N$3="EOP",((1+Assumptions!$B$21)^$E70),1)</f>
        <v>151949.14643237204</v>
      </c>
      <c r="V69" s="49">
        <f>(V70)/((1+Assumptions!$B$21)^$E70)+O70/IF(O$3="EOP",((1+Assumptions!$B$21)^$E70),1)</f>
        <v>15194.914643237207</v>
      </c>
      <c r="W69" s="49">
        <f>(W70)/((1+Assumptions!$B$21)^$E70)+P70/IF(P$3="EOP",((1+Assumptions!$B$21)^$E70),1)</f>
        <v>60779.658572948829</v>
      </c>
      <c r="X69" s="49">
        <f>(X70)/((1+Assumptions!$B$21)^$E70)+Q70/IF(Q$3="EOP",((1+Assumptions!$B$21)^$E70),1)</f>
        <v>37060.767422529774</v>
      </c>
      <c r="Y69" s="53">
        <f t="shared" si="2"/>
        <v>-228664.93499700862</v>
      </c>
      <c r="Z69" s="52">
        <f>H70*Assumptions!$B$7*Assumptions!$B$25/$E70/12</f>
        <v>6305.1082412551232</v>
      </c>
      <c r="AA69" s="49">
        <f>Z69*Assumptions!$B$11</f>
        <v>1261.0216482510248</v>
      </c>
      <c r="AB69" s="54">
        <f t="shared" si="8"/>
        <v>5044.0865930040982</v>
      </c>
      <c r="AC69" s="89">
        <f t="shared" si="9"/>
        <v>-223620.84840400453</v>
      </c>
      <c r="AD69" s="89">
        <f>Assumptions!$B$23*R69</f>
        <v>113961.85982427903</v>
      </c>
      <c r="AE69" s="89">
        <f t="shared" si="11"/>
        <v>-109658.9885797255</v>
      </c>
    </row>
    <row r="70" spans="1:31" x14ac:dyDescent="0.25">
      <c r="A70" s="44">
        <f t="shared" si="10"/>
        <v>65</v>
      </c>
      <c r="B70" s="45" t="s">
        <v>29</v>
      </c>
      <c r="C70" s="48">
        <f t="shared" si="12"/>
        <v>384</v>
      </c>
      <c r="D70" s="47">
        <f t="shared" ref="D70:D78" si="13">C70/12</f>
        <v>32</v>
      </c>
      <c r="E70" s="47">
        <f t="shared" si="4"/>
        <v>1</v>
      </c>
      <c r="F70" s="48">
        <f t="shared" si="5"/>
        <v>1</v>
      </c>
      <c r="G70" s="49">
        <f>(G69*($K69/$K68)-L69)*(1+Assumptions!$B$15)^$F70</f>
        <v>11139286.016954716</v>
      </c>
      <c r="H70" s="49">
        <f>$H$6/$G$6*G70*(1+Assumptions!$B$16)^INT((C70-1)/12)*IF(B70="Monthly",1,12)</f>
        <v>121058.07823209837</v>
      </c>
      <c r="I70" s="50">
        <f>Assumptions!$B$14</f>
        <v>0.15</v>
      </c>
      <c r="J70" s="50">
        <f t="shared" si="6"/>
        <v>0.15000000000000002</v>
      </c>
      <c r="K70" s="51">
        <f t="shared" si="7"/>
        <v>5.5132238072353977E-3</v>
      </c>
      <c r="L70" s="52">
        <f>H70*Assumptions!$B$7</f>
        <v>60529.039116049185</v>
      </c>
      <c r="M70" s="49">
        <f>L70*Assumptions!$B$11</f>
        <v>12105.807823209838</v>
      </c>
      <c r="N70" s="49">
        <f>H70*Assumptions!$B$11</f>
        <v>24211.615646419676</v>
      </c>
      <c r="O70" s="49">
        <f>N70*Assumptions!$B$12</f>
        <v>2421.1615646419677</v>
      </c>
      <c r="P70" s="49">
        <f>H70*Assumptions!$B$9</f>
        <v>9684.6462585678692</v>
      </c>
      <c r="Q70" s="49">
        <f>H70*Assumptions!$B$8</f>
        <v>6052.9039116049189</v>
      </c>
      <c r="R70" s="52">
        <f>(R71)/((1+Assumptions!$B$21)^$E71)+H71/IF(H$3="EOP",((1+Assumptions!$B$21)^$E71),1)</f>
        <v>654654.84527800581</v>
      </c>
      <c r="S70" s="49">
        <f>(S71)/((1+Assumptions!$B$21)^$E71)+L71/IF(L$3="EOP",((1+Assumptions!$B$21)^$E71),1)</f>
        <v>319343.82696488092</v>
      </c>
      <c r="T70" s="49">
        <f>(T71)/((1+Assumptions!$B$21)^$E71)+M71/IF(M$3="EOP",((1+Assumptions!$B$21)^$E71),1)</f>
        <v>63868.765392976187</v>
      </c>
      <c r="U70" s="49">
        <f>(U71)/((1+Assumptions!$B$21)^$E71)+N71/IF(N$3="EOP",((1+Assumptions!$B$21)^$E71),1)</f>
        <v>130930.96905560118</v>
      </c>
      <c r="V70" s="49">
        <f>(V71)/((1+Assumptions!$B$21)^$E71)+O71/IF(O$3="EOP",((1+Assumptions!$B$21)^$E71),1)</f>
        <v>13093.09690556012</v>
      </c>
      <c r="W70" s="49">
        <f>(W71)/((1+Assumptions!$B$21)^$E71)+P71/IF(P$3="EOP",((1+Assumptions!$B$21)^$E71),1)</f>
        <v>52372.38762224048</v>
      </c>
      <c r="X70" s="49">
        <f>(X71)/((1+Assumptions!$B$21)^$E71)+Q71/IF(Q$3="EOP",((1+Assumptions!$B$21)^$E71),1)</f>
        <v>31934.382696488094</v>
      </c>
      <c r="Y70" s="53">
        <f t="shared" ref="Y70:Y78" si="14">-R70+S70-T70+U70-V70+W70+X70</f>
        <v>-197035.14123733147</v>
      </c>
      <c r="Z70" s="52">
        <f>H71*Assumptions!$B$7*Assumptions!$B$25/$E71/12</f>
        <v>5866.1093276330766</v>
      </c>
      <c r="AA70" s="49">
        <f>Z70*Assumptions!$B$11</f>
        <v>1173.2218655266154</v>
      </c>
      <c r="AB70" s="54">
        <f t="shared" si="8"/>
        <v>4692.8874621064615</v>
      </c>
      <c r="AC70" s="89">
        <f t="shared" si="9"/>
        <v>-192342.25377522499</v>
      </c>
      <c r="AD70" s="89">
        <f>Assumptions!$B$23*R70</f>
        <v>98198.226791700872</v>
      </c>
      <c r="AE70" s="89">
        <f t="shared" si="11"/>
        <v>-94144.02698352412</v>
      </c>
    </row>
    <row r="71" spans="1:31" x14ac:dyDescent="0.25">
      <c r="A71" s="44">
        <f t="shared" si="10"/>
        <v>66</v>
      </c>
      <c r="B71" s="45" t="s">
        <v>29</v>
      </c>
      <c r="C71" s="48">
        <f t="shared" si="12"/>
        <v>396</v>
      </c>
      <c r="D71" s="47">
        <f t="shared" si="13"/>
        <v>33</v>
      </c>
      <c r="E71" s="47">
        <f t="shared" ref="E71:E78" si="15">D71-D70</f>
        <v>1</v>
      </c>
      <c r="F71" s="48">
        <f t="shared" ref="F71:F78" si="16">IF(E71&lt;1,IF(MOD(C71-1,12)=0,1,0),1)</f>
        <v>1</v>
      </c>
      <c r="G71" s="49">
        <f>(G70*($K70/$K69)-L70)*(1+Assumptions!$B$15)^$F71</f>
        <v>9596021.3568013683</v>
      </c>
      <c r="H71" s="49">
        <f>$H$6/$G$6*G71*(1+Assumptions!$B$16)^INT((C71-1)/12)*IF(B71="Monthly",1,12)</f>
        <v>112629.29909055508</v>
      </c>
      <c r="I71" s="50">
        <f>Assumptions!$B$14</f>
        <v>0.15</v>
      </c>
      <c r="J71" s="50">
        <f t="shared" ref="J71:J78" si="17">1-(1-I71)^$E71</f>
        <v>0.15000000000000002</v>
      </c>
      <c r="K71" s="51">
        <f t="shared" ref="K71:K77" si="18">K70*(1-J71)</f>
        <v>4.6862402361500877E-3</v>
      </c>
      <c r="L71" s="52">
        <f>H71*Assumptions!$B$7</f>
        <v>56314.649545277542</v>
      </c>
      <c r="M71" s="49">
        <f>L71*Assumptions!$B$11</f>
        <v>11262.929909055509</v>
      </c>
      <c r="N71" s="49">
        <f>H71*Assumptions!$B$11</f>
        <v>22525.859818111017</v>
      </c>
      <c r="O71" s="49">
        <f>N71*Assumptions!$B$12</f>
        <v>2252.5859818111016</v>
      </c>
      <c r="P71" s="49">
        <f>H71*Assumptions!$B$9</f>
        <v>9010.3439272444066</v>
      </c>
      <c r="Q71" s="49">
        <f>H71*Assumptions!$B$8</f>
        <v>5631.4649545277543</v>
      </c>
      <c r="R71" s="52">
        <f>(R72)/((1+Assumptions!$B$21)^$E72)+H72/IF(H$3="EOP",((1+Assumptions!$B$21)^$E72),1)</f>
        <v>555576.18484213704</v>
      </c>
      <c r="S71" s="49">
        <f>(S72)/((1+Assumptions!$B$21)^$E72)+L72/IF(L$3="EOP",((1+Assumptions!$B$21)^$E72),1)</f>
        <v>271012.77309372538</v>
      </c>
      <c r="T71" s="49">
        <f>(T72)/((1+Assumptions!$B$21)^$E72)+M72/IF(M$3="EOP",((1+Assumptions!$B$21)^$E72),1)</f>
        <v>54202.554618745075</v>
      </c>
      <c r="U71" s="49">
        <f>(U72)/((1+Assumptions!$B$21)^$E72)+N72/IF(N$3="EOP",((1+Assumptions!$B$21)^$E72),1)</f>
        <v>111115.2369684274</v>
      </c>
      <c r="V71" s="49">
        <f>(V72)/((1+Assumptions!$B$21)^$E72)+O72/IF(O$3="EOP",((1+Assumptions!$B$21)^$E72),1)</f>
        <v>11111.523696842742</v>
      </c>
      <c r="W71" s="49">
        <f>(W72)/((1+Assumptions!$B$21)^$E72)+P72/IF(P$3="EOP",((1+Assumptions!$B$21)^$E72),1)</f>
        <v>44446.094787370967</v>
      </c>
      <c r="X71" s="49">
        <f>(X72)/((1+Assumptions!$B$21)^$E72)+Q72/IF(Q$3="EOP",((1+Assumptions!$B$21)^$E72),1)</f>
        <v>27101.277309372537</v>
      </c>
      <c r="Y71" s="53">
        <f t="shared" si="14"/>
        <v>-167214.88099882856</v>
      </c>
      <c r="Z71" s="52">
        <f>H72*Assumptions!$B$7*Assumptions!$B$25/$E72/12</f>
        <v>5454.866992591642</v>
      </c>
      <c r="AA71" s="49">
        <f>Z71*Assumptions!$B$11</f>
        <v>1090.9733985183284</v>
      </c>
      <c r="AB71" s="54">
        <f t="shared" ref="AB71:AB77" si="19">Z71-AA71</f>
        <v>4363.8935940733136</v>
      </c>
      <c r="AC71" s="89">
        <f t="shared" ref="AC71:AC78" si="20">Y71+AB71</f>
        <v>-162850.98740475526</v>
      </c>
      <c r="AD71" s="89">
        <f>Assumptions!$B$23*R71</f>
        <v>83336.427726320559</v>
      </c>
      <c r="AE71" s="89">
        <f t="shared" si="11"/>
        <v>-79514.5596784347</v>
      </c>
    </row>
    <row r="72" spans="1:31" x14ac:dyDescent="0.25">
      <c r="A72" s="44">
        <f t="shared" ref="A72:A78" si="21">A71+1</f>
        <v>67</v>
      </c>
      <c r="B72" s="45" t="s">
        <v>29</v>
      </c>
      <c r="C72" s="48">
        <f t="shared" si="12"/>
        <v>408</v>
      </c>
      <c r="D72" s="47">
        <f t="shared" si="13"/>
        <v>34</v>
      </c>
      <c r="E72" s="47">
        <f t="shared" si="15"/>
        <v>1</v>
      </c>
      <c r="F72" s="48">
        <f t="shared" si="16"/>
        <v>1</v>
      </c>
      <c r="G72" s="49">
        <f>(G71*($K71/$K70)-L71)*(1+Assumptions!$B$15)^$F72</f>
        <v>8262309.5738106025</v>
      </c>
      <c r="H72" s="49">
        <f>$H$6/$G$6*G72*(1+Assumptions!$B$16)^INT((C72-1)/12)*IF(B72="Monthly",1,12)</f>
        <v>104733.44625775953</v>
      </c>
      <c r="I72" s="50">
        <f>Assumptions!$B$14</f>
        <v>0.15</v>
      </c>
      <c r="J72" s="50">
        <f t="shared" si="17"/>
        <v>0.15000000000000002</v>
      </c>
      <c r="K72" s="51">
        <f t="shared" si="18"/>
        <v>3.9833042007275743E-3</v>
      </c>
      <c r="L72" s="52">
        <f>H72*Assumptions!$B$7</f>
        <v>52366.723128879763</v>
      </c>
      <c r="M72" s="49">
        <f>L72*Assumptions!$B$11</f>
        <v>10473.344625775953</v>
      </c>
      <c r="N72" s="49">
        <f>H72*Assumptions!$B$11</f>
        <v>20946.689251551907</v>
      </c>
      <c r="O72" s="49">
        <f>N72*Assumptions!$B$12</f>
        <v>2094.6689251551907</v>
      </c>
      <c r="P72" s="49">
        <f>H72*Assumptions!$B$9</f>
        <v>8378.6757006207627</v>
      </c>
      <c r="Q72" s="49">
        <f>H72*Assumptions!$B$8</f>
        <v>5236.6723128879767</v>
      </c>
      <c r="R72" s="52">
        <f>(R73)/((1+Assumptions!$B$21)^$E73)+H73/IF(H$3="EOP",((1+Assumptions!$B$21)^$E73),1)</f>
        <v>462113.8070489869</v>
      </c>
      <c r="S72" s="49">
        <f>(S73)/((1+Assumptions!$B$21)^$E73)+L73/IF(L$3="EOP",((1+Assumptions!$B$21)^$E73),1)</f>
        <v>225421.36929218873</v>
      </c>
      <c r="T72" s="49">
        <f>(T73)/((1+Assumptions!$B$21)^$E73)+M73/IF(M$3="EOP",((1+Assumptions!$B$21)^$E73),1)</f>
        <v>45084.273858437744</v>
      </c>
      <c r="U72" s="49">
        <f>(U73)/((1+Assumptions!$B$21)^$E73)+N73/IF(N$3="EOP",((1+Assumptions!$B$21)^$E73),1)</f>
        <v>92422.761409797386</v>
      </c>
      <c r="V72" s="49">
        <f>(V73)/((1+Assumptions!$B$21)^$E73)+O73/IF(O$3="EOP",((1+Assumptions!$B$21)^$E73),1)</f>
        <v>9242.2761409797386</v>
      </c>
      <c r="W72" s="49">
        <f>(W73)/((1+Assumptions!$B$21)^$E73)+P73/IF(P$3="EOP",((1+Assumptions!$B$21)^$E73),1)</f>
        <v>36969.104563918954</v>
      </c>
      <c r="X72" s="49">
        <f>(X73)/((1+Assumptions!$B$21)^$E73)+Q73/IF(Q$3="EOP",((1+Assumptions!$B$21)^$E73),1)</f>
        <v>22542.136929218872</v>
      </c>
      <c r="Y72" s="53">
        <f t="shared" si="14"/>
        <v>-139084.98485328045</v>
      </c>
      <c r="Z72" s="52">
        <f>H73*Assumptions!$B$7*Assumptions!$B$25/$E73/12</f>
        <v>5069.6335496384372</v>
      </c>
      <c r="AA72" s="49">
        <f>Z72*Assumptions!$B$11</f>
        <v>1013.9267099276875</v>
      </c>
      <c r="AB72" s="54">
        <f t="shared" si="19"/>
        <v>4055.7068397107496</v>
      </c>
      <c r="AC72" s="89">
        <f t="shared" si="20"/>
        <v>-135029.27801356971</v>
      </c>
      <c r="AD72" s="89">
        <f>Assumptions!$B$23*R72</f>
        <v>69317.071057348032</v>
      </c>
      <c r="AE72" s="89">
        <f t="shared" ref="AE72:AE78" si="22">AC72+AD72</f>
        <v>-65712.206956221678</v>
      </c>
    </row>
    <row r="73" spans="1:31" x14ac:dyDescent="0.25">
      <c r="A73" s="44">
        <f t="shared" si="21"/>
        <v>68</v>
      </c>
      <c r="B73" s="45" t="s">
        <v>29</v>
      </c>
      <c r="C73" s="48">
        <f t="shared" si="12"/>
        <v>420</v>
      </c>
      <c r="D73" s="47">
        <f t="shared" si="13"/>
        <v>35</v>
      </c>
      <c r="E73" s="47">
        <f t="shared" si="15"/>
        <v>1</v>
      </c>
      <c r="F73" s="48">
        <f t="shared" si="16"/>
        <v>1</v>
      </c>
      <c r="G73" s="49">
        <f>(G72*($K72/$K71)-L72)*(1+Assumptions!$B$15)^$F73</f>
        <v>7110008.3429023353</v>
      </c>
      <c r="H73" s="49">
        <f>$H$6/$G$6*G73*(1+Assumptions!$B$16)^INT((C73-1)/12)*IF(B73="Monthly",1,12)</f>
        <v>97336.964153057983</v>
      </c>
      <c r="I73" s="50">
        <f>Assumptions!$B$14</f>
        <v>0.15</v>
      </c>
      <c r="J73" s="50">
        <f t="shared" si="17"/>
        <v>0.15000000000000002</v>
      </c>
      <c r="K73" s="51">
        <f t="shared" si="18"/>
        <v>3.3858085706184381E-3</v>
      </c>
      <c r="L73" s="52">
        <f>H73*Assumptions!$B$7</f>
        <v>48668.482076528991</v>
      </c>
      <c r="M73" s="49">
        <f>L73*Assumptions!$B$11</f>
        <v>9733.6964153057979</v>
      </c>
      <c r="N73" s="49">
        <f>H73*Assumptions!$B$11</f>
        <v>19467.392830611596</v>
      </c>
      <c r="O73" s="49">
        <f>N73*Assumptions!$B$12</f>
        <v>1946.7392830611598</v>
      </c>
      <c r="P73" s="49">
        <f>H73*Assumptions!$B$9</f>
        <v>7786.9571322446391</v>
      </c>
      <c r="Q73" s="49">
        <f>H73*Assumptions!$B$8</f>
        <v>4866.848207652899</v>
      </c>
      <c r="R73" s="52">
        <f>(R74)/((1+Assumptions!$B$21)^$E74)+H74/IF(H$3="EOP",((1+Assumptions!$B$21)^$E74),1)</f>
        <v>373896.26396832708</v>
      </c>
      <c r="S73" s="49">
        <f>(S74)/((1+Assumptions!$B$21)^$E74)+L74/IF(L$3="EOP",((1+Assumptions!$B$21)^$E74),1)</f>
        <v>182388.42144796444</v>
      </c>
      <c r="T73" s="49">
        <f>(T74)/((1+Assumptions!$B$21)^$E74)+M74/IF(M$3="EOP",((1+Assumptions!$B$21)^$E74),1)</f>
        <v>36477.684289592886</v>
      </c>
      <c r="U73" s="49">
        <f>(U74)/((1+Assumptions!$B$21)^$E74)+N74/IF(N$3="EOP",((1+Assumptions!$B$21)^$E74),1)</f>
        <v>74779.252793665422</v>
      </c>
      <c r="V73" s="49">
        <f>(V74)/((1+Assumptions!$B$21)^$E74)+O74/IF(O$3="EOP",((1+Assumptions!$B$21)^$E74),1)</f>
        <v>7477.9252793665428</v>
      </c>
      <c r="W73" s="49">
        <f>(W74)/((1+Assumptions!$B$21)^$E74)+P74/IF(P$3="EOP",((1+Assumptions!$B$21)^$E74),1)</f>
        <v>29911.701117466167</v>
      </c>
      <c r="X73" s="49">
        <f>(X74)/((1+Assumptions!$B$21)^$E74)+Q74/IF(Q$3="EOP",((1+Assumptions!$B$21)^$E74),1)</f>
        <v>18238.842144796443</v>
      </c>
      <c r="Y73" s="53">
        <f t="shared" si="14"/>
        <v>-112533.65603339404</v>
      </c>
      <c r="Z73" s="52">
        <f>H74*Assumptions!$B$7*Assumptions!$B$25/$E74/12</f>
        <v>4708.7743690259495</v>
      </c>
      <c r="AA73" s="49">
        <f>Z73*Assumptions!$B$11</f>
        <v>941.75487380518996</v>
      </c>
      <c r="AB73" s="54">
        <f t="shared" si="19"/>
        <v>3767.0194952207594</v>
      </c>
      <c r="AC73" s="89">
        <f t="shared" si="20"/>
        <v>-108766.63653817329</v>
      </c>
      <c r="AD73" s="89">
        <f>Assumptions!$B$23*R73</f>
        <v>56084.439595249059</v>
      </c>
      <c r="AE73" s="89">
        <f t="shared" si="22"/>
        <v>-52682.196942924231</v>
      </c>
    </row>
    <row r="74" spans="1:31" x14ac:dyDescent="0.25">
      <c r="A74" s="44">
        <f t="shared" si="21"/>
        <v>69</v>
      </c>
      <c r="B74" s="45" t="s">
        <v>29</v>
      </c>
      <c r="C74" s="48">
        <f t="shared" si="12"/>
        <v>432</v>
      </c>
      <c r="D74" s="47">
        <f t="shared" si="13"/>
        <v>36</v>
      </c>
      <c r="E74" s="47">
        <f t="shared" si="15"/>
        <v>1</v>
      </c>
      <c r="F74" s="48">
        <f t="shared" si="16"/>
        <v>1</v>
      </c>
      <c r="G74" s="49">
        <f>(G73*($K73/$K72)-L73)*(1+Assumptions!$B$15)^$F74</f>
        <v>6114735.3815782648</v>
      </c>
      <c r="H74" s="49">
        <f>$H$6/$G$6*G74*(1+Assumptions!$B$16)^INT((C74-1)/12)*IF(B74="Monthly",1,12)</f>
        <v>90408.467885298232</v>
      </c>
      <c r="I74" s="50">
        <f>Assumptions!$B$14</f>
        <v>0.15</v>
      </c>
      <c r="J74" s="50">
        <f t="shared" si="17"/>
        <v>0.15000000000000002</v>
      </c>
      <c r="K74" s="51">
        <f t="shared" si="18"/>
        <v>2.8779372850256725E-3</v>
      </c>
      <c r="L74" s="52">
        <f>H74*Assumptions!$B$7</f>
        <v>45204.233942649116</v>
      </c>
      <c r="M74" s="49">
        <f>L74*Assumptions!$B$11</f>
        <v>9040.8467885298232</v>
      </c>
      <c r="N74" s="49">
        <f>H74*Assumptions!$B$11</f>
        <v>18081.693577059646</v>
      </c>
      <c r="O74" s="49">
        <f>N74*Assumptions!$B$12</f>
        <v>1808.1693577059648</v>
      </c>
      <c r="P74" s="49">
        <f>H74*Assumptions!$B$9</f>
        <v>7232.6774308238591</v>
      </c>
      <c r="Q74" s="49">
        <f>H74*Assumptions!$B$8</f>
        <v>4520.4233942649116</v>
      </c>
      <c r="R74" s="52">
        <f>(R75)/((1+Assumptions!$B$21)^$E75)+H75/IF(H$3="EOP",((1+Assumptions!$B$21)^$E75),1)</f>
        <v>290574.99098510452</v>
      </c>
      <c r="S74" s="49">
        <f>(S75)/((1+Assumptions!$B$21)^$E75)+L75/IF(L$3="EOP",((1+Assumptions!$B$21)^$E75),1)</f>
        <v>141743.89804151442</v>
      </c>
      <c r="T74" s="49">
        <f>(T75)/((1+Assumptions!$B$21)^$E75)+M75/IF(M$3="EOP",((1+Assumptions!$B$21)^$E75),1)</f>
        <v>28348.779608302884</v>
      </c>
      <c r="U74" s="49">
        <f>(U75)/((1+Assumptions!$B$21)^$E75)+N75/IF(N$3="EOP",((1+Assumptions!$B$21)^$E75),1)</f>
        <v>58114.998197020905</v>
      </c>
      <c r="V74" s="49">
        <f>(V75)/((1+Assumptions!$B$21)^$E75)+O75/IF(O$3="EOP",((1+Assumptions!$B$21)^$E75),1)</f>
        <v>5811.4998197020914</v>
      </c>
      <c r="W74" s="49">
        <f>(W75)/((1+Assumptions!$B$21)^$E75)+P75/IF(P$3="EOP",((1+Assumptions!$B$21)^$E75),1)</f>
        <v>23245.999278808362</v>
      </c>
      <c r="X74" s="49">
        <f>(X75)/((1+Assumptions!$B$21)^$E75)+Q75/IF(Q$3="EOP",((1+Assumptions!$B$21)^$E75),1)</f>
        <v>14174.389804151442</v>
      </c>
      <c r="Y74" s="53">
        <f t="shared" si="14"/>
        <v>-87455.985091614377</v>
      </c>
      <c r="Z74" s="52">
        <f>H75*Assumptions!$B$7*Assumptions!$B$25/$E75/12</f>
        <v>4370.7608038632625</v>
      </c>
      <c r="AA74" s="49">
        <f>Z74*Assumptions!$B$11</f>
        <v>874.15216077265256</v>
      </c>
      <c r="AB74" s="54">
        <f t="shared" si="19"/>
        <v>3496.6086430906098</v>
      </c>
      <c r="AC74" s="89">
        <f t="shared" si="20"/>
        <v>-83959.376448523763</v>
      </c>
      <c r="AD74" s="89">
        <f>Assumptions!$B$23*R74</f>
        <v>43586.248647765678</v>
      </c>
      <c r="AE74" s="89">
        <f t="shared" si="22"/>
        <v>-40373.127800758084</v>
      </c>
    </row>
    <row r="75" spans="1:31" x14ac:dyDescent="0.25">
      <c r="A75" s="44">
        <f t="shared" si="21"/>
        <v>70</v>
      </c>
      <c r="B75" s="45" t="s">
        <v>29</v>
      </c>
      <c r="C75" s="48">
        <f t="shared" si="12"/>
        <v>444</v>
      </c>
      <c r="D75" s="47">
        <f t="shared" si="13"/>
        <v>37</v>
      </c>
      <c r="E75" s="47">
        <f t="shared" si="15"/>
        <v>1</v>
      </c>
      <c r="F75" s="48">
        <f t="shared" si="16"/>
        <v>1</v>
      </c>
      <c r="G75" s="49">
        <f>(G74*($K74/$K73)-L74)*(1+Assumptions!$B$15)^$F75</f>
        <v>5255367.2572068535</v>
      </c>
      <c r="H75" s="49">
        <f>$H$6/$G$6*G75*(1+Assumptions!$B$16)^INT((C75-1)/12)*IF(B75="Monthly",1,12)</f>
        <v>83918.607434174643</v>
      </c>
      <c r="I75" s="50">
        <f>Assumptions!$B$14</f>
        <v>0.15</v>
      </c>
      <c r="J75" s="50">
        <f t="shared" si="17"/>
        <v>0.15000000000000002</v>
      </c>
      <c r="K75" s="51">
        <f t="shared" si="18"/>
        <v>2.4462466922718215E-3</v>
      </c>
      <c r="L75" s="52">
        <f>H75*Assumptions!$B$7</f>
        <v>41959.303717087321</v>
      </c>
      <c r="M75" s="49">
        <f>L75*Assumptions!$B$11</f>
        <v>8391.8607434174646</v>
      </c>
      <c r="N75" s="49">
        <f>H75*Assumptions!$B$11</f>
        <v>16783.721486834929</v>
      </c>
      <c r="O75" s="49">
        <f>N75*Assumptions!$B$12</f>
        <v>1678.3721486834929</v>
      </c>
      <c r="P75" s="49">
        <f>H75*Assumptions!$B$9</f>
        <v>6713.4885947339717</v>
      </c>
      <c r="Q75" s="49">
        <f>H75*Assumptions!$B$8</f>
        <v>4195.9303717087323</v>
      </c>
      <c r="R75" s="52">
        <f>(R76)/((1+Assumptions!$B$21)^$E76)+H76/IF(H$3="EOP",((1+Assumptions!$B$21)^$E76),1)</f>
        <v>211822.79313970311</v>
      </c>
      <c r="S75" s="49">
        <f>(S76)/((1+Assumptions!$B$21)^$E76)+L76/IF(L$3="EOP",((1+Assumptions!$B$21)^$E76),1)</f>
        <v>103328.19177546493</v>
      </c>
      <c r="T75" s="49">
        <f>(T76)/((1+Assumptions!$B$21)^$E76)+M76/IF(M$3="EOP",((1+Assumptions!$B$21)^$E76),1)</f>
        <v>20665.63835509299</v>
      </c>
      <c r="U75" s="49">
        <f>(U76)/((1+Assumptions!$B$21)^$E76)+N76/IF(N$3="EOP",((1+Assumptions!$B$21)^$E76),1)</f>
        <v>42364.55862794062</v>
      </c>
      <c r="V75" s="49">
        <f>(V76)/((1+Assumptions!$B$21)^$E76)+O76/IF(O$3="EOP",((1+Assumptions!$B$21)^$E76),1)</f>
        <v>4236.4558627940633</v>
      </c>
      <c r="W75" s="49">
        <f>(W76)/((1+Assumptions!$B$21)^$E76)+P76/IF(P$3="EOP",((1+Assumptions!$B$21)^$E76),1)</f>
        <v>16945.823451176249</v>
      </c>
      <c r="X75" s="49">
        <f>(X76)/((1+Assumptions!$B$21)^$E76)+Q76/IF(Q$3="EOP",((1+Assumptions!$B$21)^$E76),1)</f>
        <v>10332.819177546495</v>
      </c>
      <c r="Y75" s="53">
        <f t="shared" si="14"/>
        <v>-63753.49432546187</v>
      </c>
      <c r="Z75" s="52">
        <f>H76*Assumptions!$B$7*Assumptions!$B$25/$E76/12</f>
        <v>4054.1635690896778</v>
      </c>
      <c r="AA75" s="49">
        <f>Z75*Assumptions!$B$11</f>
        <v>810.83271381793566</v>
      </c>
      <c r="AB75" s="54">
        <f t="shared" si="19"/>
        <v>3243.3308552717422</v>
      </c>
      <c r="AC75" s="89">
        <f t="shared" si="20"/>
        <v>-60510.163470190128</v>
      </c>
      <c r="AD75" s="89">
        <f>Assumptions!$B$23*R75</f>
        <v>31773.418970955463</v>
      </c>
      <c r="AE75" s="89">
        <f t="shared" si="22"/>
        <v>-28736.744499234665</v>
      </c>
    </row>
    <row r="76" spans="1:31" x14ac:dyDescent="0.25">
      <c r="A76" s="44">
        <f t="shared" si="21"/>
        <v>71</v>
      </c>
      <c r="B76" s="45" t="s">
        <v>29</v>
      </c>
      <c r="C76" s="48">
        <f t="shared" si="12"/>
        <v>456</v>
      </c>
      <c r="D76" s="47">
        <f t="shared" si="13"/>
        <v>38</v>
      </c>
      <c r="E76" s="47">
        <f t="shared" si="15"/>
        <v>1</v>
      </c>
      <c r="F76" s="48">
        <f t="shared" si="16"/>
        <v>1</v>
      </c>
      <c r="G76" s="49">
        <f>(G75*($K75/$K74)-L75)*(1+Assumptions!$B$15)^$F76</f>
        <v>4513604.9222069131</v>
      </c>
      <c r="H76" s="49">
        <f>$H$6/$G$6*G76*(1+Assumptions!$B$16)^INT((C76-1)/12)*IF(B76="Monthly",1,12)</f>
        <v>77839.940526521808</v>
      </c>
      <c r="I76" s="50">
        <f>Assumptions!$B$14</f>
        <v>0.15</v>
      </c>
      <c r="J76" s="50">
        <f t="shared" si="17"/>
        <v>0.15000000000000002</v>
      </c>
      <c r="K76" s="51">
        <f t="shared" si="18"/>
        <v>2.0793096884310484E-3</v>
      </c>
      <c r="L76" s="52">
        <f>H76*Assumptions!$B$7</f>
        <v>38919.970263260904</v>
      </c>
      <c r="M76" s="49">
        <f>L76*Assumptions!$B$11</f>
        <v>7783.9940526521814</v>
      </c>
      <c r="N76" s="49">
        <f>H76*Assumptions!$B$11</f>
        <v>15567.988105304363</v>
      </c>
      <c r="O76" s="49">
        <f>N76*Assumptions!$B$12</f>
        <v>1556.7988105304364</v>
      </c>
      <c r="P76" s="49">
        <f>H76*Assumptions!$B$9</f>
        <v>6227.1952421217447</v>
      </c>
      <c r="Q76" s="49">
        <f>H76*Assumptions!$B$8</f>
        <v>3891.9970263260907</v>
      </c>
      <c r="R76" s="52">
        <f>(R77)/((1+Assumptions!$B$21)^$E77)+H77/IF(H$3="EOP",((1+Assumptions!$B$21)^$E77),1)</f>
        <v>137332.42392851081</v>
      </c>
      <c r="S76" s="49">
        <f>(S77)/((1+Assumptions!$B$21)^$E77)+L77/IF(L$3="EOP",((1+Assumptions!$B$21)^$E77),1)</f>
        <v>66991.426306590642</v>
      </c>
      <c r="T76" s="49">
        <f>(T77)/((1+Assumptions!$B$21)^$E77)+M77/IF(M$3="EOP",((1+Assumptions!$B$21)^$E77),1)</f>
        <v>13398.285261318129</v>
      </c>
      <c r="U76" s="49">
        <f>(U77)/((1+Assumptions!$B$21)^$E77)+N77/IF(N$3="EOP",((1+Assumptions!$B$21)^$E77),1)</f>
        <v>27466.484785702163</v>
      </c>
      <c r="V76" s="49">
        <f>(V77)/((1+Assumptions!$B$21)^$E77)+O77/IF(O$3="EOP",((1+Assumptions!$B$21)^$E77),1)</f>
        <v>2746.6484785702169</v>
      </c>
      <c r="W76" s="49">
        <f>(W77)/((1+Assumptions!$B$21)^$E77)+P77/IF(P$3="EOP",((1+Assumptions!$B$21)^$E77),1)</f>
        <v>10986.593914280864</v>
      </c>
      <c r="X76" s="49">
        <f>(X77)/((1+Assumptions!$B$21)^$E77)+Q77/IF(Q$3="EOP",((1+Assumptions!$B$21)^$E77),1)</f>
        <v>6699.1426306590647</v>
      </c>
      <c r="Y76" s="53">
        <f t="shared" si="14"/>
        <v>-41333.710031166418</v>
      </c>
      <c r="Z76" s="52">
        <f>H77*Assumptions!$B$7*Assumptions!$B$25/$E77/12</f>
        <v>3757.6465434483894</v>
      </c>
      <c r="AA76" s="49">
        <f>Z76*Assumptions!$B$11</f>
        <v>751.52930868967792</v>
      </c>
      <c r="AB76" s="54">
        <f t="shared" si="19"/>
        <v>3006.1172347587117</v>
      </c>
      <c r="AC76" s="89">
        <f t="shared" si="20"/>
        <v>-38327.592796407705</v>
      </c>
      <c r="AD76" s="89">
        <f>Assumptions!$B$23*R76</f>
        <v>20599.863589276621</v>
      </c>
      <c r="AE76" s="89">
        <f t="shared" si="22"/>
        <v>-17727.729207131084</v>
      </c>
    </row>
    <row r="77" spans="1:31" x14ac:dyDescent="0.25">
      <c r="A77" s="44">
        <f t="shared" si="21"/>
        <v>72</v>
      </c>
      <c r="B77" s="45" t="s">
        <v>29</v>
      </c>
      <c r="C77" s="48">
        <f t="shared" si="12"/>
        <v>468</v>
      </c>
      <c r="D77" s="47">
        <f t="shared" si="13"/>
        <v>39</v>
      </c>
      <c r="E77" s="47">
        <f t="shared" si="15"/>
        <v>1</v>
      </c>
      <c r="F77" s="48">
        <f t="shared" si="16"/>
        <v>1</v>
      </c>
      <c r="G77" s="49">
        <f>(G76*($K76/$K75)-L76)*(1+Assumptions!$B$15)^$F77</f>
        <v>3873597.0978848678</v>
      </c>
      <c r="H77" s="49">
        <f>$H$6/$G$6*G77*(1+Assumptions!$B$16)^INT((C77-1)/12)*IF(B77="Monthly",1,12)</f>
        <v>72146.813634209073</v>
      </c>
      <c r="I77" s="50">
        <f>Assumptions!$B$14</f>
        <v>0.15</v>
      </c>
      <c r="J77" s="50">
        <f t="shared" si="17"/>
        <v>0.15000000000000002</v>
      </c>
      <c r="K77" s="51">
        <f t="shared" si="18"/>
        <v>1.7674132351663911E-3</v>
      </c>
      <c r="L77" s="52">
        <f>H77*Assumptions!$B$7</f>
        <v>36073.406817104536</v>
      </c>
      <c r="M77" s="49">
        <f>L77*Assumptions!$B$11</f>
        <v>7214.6813634209075</v>
      </c>
      <c r="N77" s="49">
        <f>H77*Assumptions!$B$11</f>
        <v>14429.362726841815</v>
      </c>
      <c r="O77" s="49">
        <f>N77*Assumptions!$B$12</f>
        <v>1442.9362726841816</v>
      </c>
      <c r="P77" s="49">
        <f>H77*Assumptions!$B$9</f>
        <v>5771.7450907367256</v>
      </c>
      <c r="Q77" s="49">
        <f>H77*Assumptions!$B$8</f>
        <v>3607.3406817104537</v>
      </c>
      <c r="R77" s="52">
        <f>(R78)/((1+Assumptions!$B$21)^$E78)+H78/IF(H$3="EOP",((1+Assumptions!$B$21)^$E78),1)</f>
        <v>66815.250551659279</v>
      </c>
      <c r="S77" s="49">
        <f>(S78)/((1+Assumptions!$B$21)^$E78)+L78/IF(L$3="EOP",((1+Assumptions!$B$21)^$E78),1)</f>
        <v>32592.80514715087</v>
      </c>
      <c r="T77" s="49">
        <f>(T78)/((1+Assumptions!$B$21)^$E78)+M78/IF(M$3="EOP",((1+Assumptions!$B$21)^$E78),1)</f>
        <v>6518.5610294301741</v>
      </c>
      <c r="U77" s="49">
        <f>(U78)/((1+Assumptions!$B$21)^$E78)+N78/IF(N$3="EOP",((1+Assumptions!$B$21)^$E78),1)</f>
        <v>13363.050110331857</v>
      </c>
      <c r="V77" s="49">
        <f>(V78)/((1+Assumptions!$B$21)^$E78)+O78/IF(O$3="EOP",((1+Assumptions!$B$21)^$E78),1)</f>
        <v>1336.3050110331858</v>
      </c>
      <c r="W77" s="49">
        <f>(W78)/((1+Assumptions!$B$21)^$E78)+P78/IF(P$3="EOP",((1+Assumptions!$B$21)^$E78),1)</f>
        <v>5345.2200441327423</v>
      </c>
      <c r="X77" s="49">
        <f>(X78)/((1+Assumptions!$B$21)^$E78)+Q78/IF(Q$3="EOP",((1+Assumptions!$B$21)^$E78),1)</f>
        <v>3259.2805147150871</v>
      </c>
      <c r="Y77" s="53">
        <f t="shared" si="14"/>
        <v>-20109.760775792085</v>
      </c>
      <c r="Z77" s="52">
        <f>H78*Assumptions!$B$7*Assumptions!$B$25/$E78/12</f>
        <v>3479.9609662322541</v>
      </c>
      <c r="AA77" s="49">
        <f>Z77*Assumptions!$B$11</f>
        <v>695.99219324645082</v>
      </c>
      <c r="AB77" s="54">
        <f t="shared" si="19"/>
        <v>2783.9687729858033</v>
      </c>
      <c r="AC77" s="89">
        <f t="shared" si="20"/>
        <v>-17325.79200280628</v>
      </c>
      <c r="AD77" s="89">
        <f>Assumptions!$B$23*R77</f>
        <v>10022.287582748892</v>
      </c>
      <c r="AE77" s="89">
        <f t="shared" si="22"/>
        <v>-7303.5044200573884</v>
      </c>
    </row>
    <row r="78" spans="1:31" x14ac:dyDescent="0.25">
      <c r="A78" s="44">
        <f t="shared" si="21"/>
        <v>73</v>
      </c>
      <c r="B78" s="45" t="s">
        <v>29</v>
      </c>
      <c r="C78" s="48">
        <f t="shared" si="12"/>
        <v>480</v>
      </c>
      <c r="D78" s="47">
        <f t="shared" si="13"/>
        <v>40</v>
      </c>
      <c r="E78" s="47">
        <f t="shared" si="15"/>
        <v>1</v>
      </c>
      <c r="F78" s="48">
        <f t="shared" si="16"/>
        <v>1</v>
      </c>
      <c r="G78" s="49">
        <f>(G77*($K77/$K76)-L77)*(1+Assumptions!$B$15)^$F78</f>
        <v>3321613.8089127336</v>
      </c>
      <c r="H78" s="49">
        <f>$H$6/$G$6*G78*(1+Assumptions!$B$16)^INT((C78-1)/12)*IF(B78="Monthly",1,12)</f>
        <v>66815.250551659279</v>
      </c>
      <c r="I78" s="50">
        <f>Assumptions!$B$14</f>
        <v>0.15</v>
      </c>
      <c r="J78" s="50">
        <f t="shared" si="17"/>
        <v>0.15000000000000002</v>
      </c>
      <c r="K78" s="55">
        <v>0</v>
      </c>
      <c r="L78" s="52">
        <f>H78*Assumptions!$B$7</f>
        <v>33407.62527582964</v>
      </c>
      <c r="M78" s="49">
        <f>L78*Assumptions!$B$11</f>
        <v>6681.5250551659283</v>
      </c>
      <c r="N78" s="49">
        <f>H78*Assumptions!$B$11</f>
        <v>13363.050110331857</v>
      </c>
      <c r="O78" s="49">
        <f>N78*Assumptions!$B$12</f>
        <v>1336.3050110331858</v>
      </c>
      <c r="P78" s="49">
        <f>H78*Assumptions!$B$9</f>
        <v>5345.2200441327423</v>
      </c>
      <c r="Q78" s="49">
        <f>H78*Assumptions!$B$8</f>
        <v>3340.7625275829641</v>
      </c>
      <c r="R78" s="56">
        <v>0</v>
      </c>
      <c r="S78" s="57">
        <v>0</v>
      </c>
      <c r="T78" s="57">
        <v>0</v>
      </c>
      <c r="U78" s="57">
        <v>0</v>
      </c>
      <c r="V78" s="57">
        <v>0</v>
      </c>
      <c r="W78" s="57">
        <v>0</v>
      </c>
      <c r="X78" s="57">
        <v>0</v>
      </c>
      <c r="Y78" s="53">
        <f t="shared" si="14"/>
        <v>0</v>
      </c>
      <c r="Z78" s="56">
        <v>0</v>
      </c>
      <c r="AA78" s="57">
        <v>0</v>
      </c>
      <c r="AB78" s="58">
        <v>0</v>
      </c>
      <c r="AC78" s="89">
        <f t="shared" si="20"/>
        <v>0</v>
      </c>
      <c r="AD78" s="89">
        <f>Assumptions!$B$23*R78</f>
        <v>0</v>
      </c>
      <c r="AE78" s="89">
        <f t="shared" si="22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G78"/>
  <sheetViews>
    <sheetView showGridLines="0" zoomScale="85" zoomScaleNormal="8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defaultColWidth="9.33203125" defaultRowHeight="13.5" x14ac:dyDescent="0.25"/>
  <cols>
    <col min="1" max="2" width="11.83203125" style="1" customWidth="1"/>
    <col min="3" max="4" width="12.33203125" style="1" customWidth="1"/>
    <col min="5" max="5" width="11.83203125" style="1" customWidth="1"/>
    <col min="6" max="6" width="13.83203125" style="1" customWidth="1"/>
    <col min="7" max="7" width="14.6640625" style="1" customWidth="1"/>
    <col min="8" max="10" width="13.5" style="1" customWidth="1"/>
    <col min="11" max="11" width="13.83203125" style="1" customWidth="1"/>
    <col min="12" max="12" width="13.6640625" style="1" bestFit="1" customWidth="1"/>
    <col min="13" max="13" width="15.1640625" style="1" customWidth="1"/>
    <col min="14" max="16" width="14.83203125" style="1" customWidth="1"/>
    <col min="17" max="17" width="15.6640625" style="1" customWidth="1"/>
    <col min="18" max="24" width="14.33203125" style="1" customWidth="1"/>
    <col min="25" max="25" width="14.5" style="1" customWidth="1"/>
    <col min="26" max="28" width="9.6640625" style="1" customWidth="1"/>
    <col min="29" max="31" width="14.6640625" style="1" bestFit="1" customWidth="1"/>
    <col min="32" max="32" width="12.6640625" style="1" bestFit="1" customWidth="1"/>
    <col min="33" max="33" width="10.83203125" style="1" bestFit="1" customWidth="1"/>
    <col min="34" max="16384" width="9.33203125" style="1"/>
  </cols>
  <sheetData>
    <row r="1" spans="1:33" x14ac:dyDescent="0.25">
      <c r="H1" s="2"/>
      <c r="I1" s="2"/>
      <c r="J1" s="2"/>
      <c r="L1" s="3"/>
      <c r="R1" s="3"/>
      <c r="Y1" s="4"/>
      <c r="AB1" s="5"/>
      <c r="AC1" s="88"/>
      <c r="AD1" s="4"/>
      <c r="AE1" s="4"/>
    </row>
    <row r="2" spans="1:33" x14ac:dyDescent="0.25">
      <c r="G2" s="6"/>
      <c r="H2" s="2"/>
      <c r="I2" s="2"/>
      <c r="J2" s="2"/>
      <c r="L2" s="3"/>
      <c r="R2" s="3"/>
      <c r="Y2" s="4"/>
      <c r="AB2" s="5"/>
      <c r="AC2" s="4"/>
      <c r="AD2" s="4"/>
      <c r="AE2" s="4"/>
    </row>
    <row r="3" spans="1:33" s="15" customFormat="1" x14ac:dyDescent="0.25">
      <c r="A3" s="7" t="s">
        <v>43</v>
      </c>
      <c r="B3" s="8"/>
      <c r="C3" s="8"/>
      <c r="D3" s="8"/>
      <c r="E3" s="8"/>
      <c r="F3" s="9" t="s">
        <v>25</v>
      </c>
      <c r="G3" s="9" t="s">
        <v>25</v>
      </c>
      <c r="H3" s="9" t="s">
        <v>25</v>
      </c>
      <c r="I3" s="10"/>
      <c r="J3" s="10"/>
      <c r="K3" s="11" t="s">
        <v>26</v>
      </c>
      <c r="L3" s="12" t="s">
        <v>26</v>
      </c>
      <c r="M3" s="11" t="s">
        <v>26</v>
      </c>
      <c r="N3" s="9" t="s">
        <v>25</v>
      </c>
      <c r="O3" s="9" t="s">
        <v>25</v>
      </c>
      <c r="P3" s="9" t="s">
        <v>25</v>
      </c>
      <c r="Q3" s="11" t="s">
        <v>26</v>
      </c>
      <c r="R3" s="12" t="s">
        <v>26</v>
      </c>
      <c r="S3" s="11" t="s">
        <v>26</v>
      </c>
      <c r="T3" s="11" t="s">
        <v>26</v>
      </c>
      <c r="U3" s="11" t="s">
        <v>26</v>
      </c>
      <c r="V3" s="11" t="s">
        <v>26</v>
      </c>
      <c r="W3" s="11" t="s">
        <v>26</v>
      </c>
      <c r="X3" s="11" t="s">
        <v>26</v>
      </c>
      <c r="Y3" s="13" t="s">
        <v>26</v>
      </c>
      <c r="Z3" s="12" t="s">
        <v>26</v>
      </c>
      <c r="AA3" s="11" t="s">
        <v>26</v>
      </c>
      <c r="AB3" s="14" t="s">
        <v>26</v>
      </c>
      <c r="AC3" s="13" t="s">
        <v>26</v>
      </c>
      <c r="AD3" s="13" t="s">
        <v>26</v>
      </c>
      <c r="AE3" s="13" t="s">
        <v>26</v>
      </c>
    </row>
    <row r="4" spans="1:33" s="20" customFormat="1" ht="76.5" customHeight="1" x14ac:dyDescent="0.25">
      <c r="A4" s="16" t="s">
        <v>23</v>
      </c>
      <c r="B4" s="16" t="s">
        <v>27</v>
      </c>
      <c r="C4" s="16" t="s">
        <v>21</v>
      </c>
      <c r="D4" s="16" t="s">
        <v>22</v>
      </c>
      <c r="E4" s="16" t="s">
        <v>20</v>
      </c>
      <c r="F4" s="16" t="s">
        <v>24</v>
      </c>
      <c r="G4" s="16" t="s">
        <v>53</v>
      </c>
      <c r="H4" s="16" t="s">
        <v>54</v>
      </c>
      <c r="I4" s="16" t="s">
        <v>48</v>
      </c>
      <c r="J4" s="16" t="s">
        <v>49</v>
      </c>
      <c r="K4" s="16" t="s">
        <v>50</v>
      </c>
      <c r="L4" s="17" t="s">
        <v>55</v>
      </c>
      <c r="M4" s="16" t="s">
        <v>56</v>
      </c>
      <c r="N4" s="16" t="s">
        <v>57</v>
      </c>
      <c r="O4" s="16" t="s">
        <v>58</v>
      </c>
      <c r="P4" s="16" t="s">
        <v>59</v>
      </c>
      <c r="Q4" s="16" t="s">
        <v>70</v>
      </c>
      <c r="R4" s="17" t="str">
        <f>"PV of Modelled "&amp;H4</f>
        <v>PV of Modelled Office Premium
$</v>
      </c>
      <c r="S4" s="16" t="str">
        <f t="shared" ref="S4:X4" si="0">"PV of Modelled "&amp;L4</f>
        <v>PV of Modelled Gross Claim Incurred
$</v>
      </c>
      <c r="T4" s="16" t="str">
        <f t="shared" si="0"/>
        <v>PV of Modelled Reinsurance Recovery Incurred
$</v>
      </c>
      <c r="U4" s="16" t="str">
        <f t="shared" si="0"/>
        <v>PV of Modelled Gross Reinsurance Premium
$</v>
      </c>
      <c r="V4" s="16" t="str">
        <f t="shared" si="0"/>
        <v>PV of Modelled Reinsurance Commission
$</v>
      </c>
      <c r="W4" s="16" t="str">
        <f t="shared" si="0"/>
        <v>PV of Modelled Advisor Commission
$</v>
      </c>
      <c r="X4" s="16" t="str">
        <f t="shared" si="0"/>
        <v>PV of Modelled Maintenance Expenses
$</v>
      </c>
      <c r="Y4" s="17" t="s">
        <v>71</v>
      </c>
      <c r="Z4" s="17" t="s">
        <v>60</v>
      </c>
      <c r="AA4" s="16" t="s">
        <v>61</v>
      </c>
      <c r="AB4" s="19" t="s">
        <v>62</v>
      </c>
      <c r="AC4" s="18" t="s">
        <v>72</v>
      </c>
      <c r="AD4" s="18" t="s">
        <v>74</v>
      </c>
      <c r="AE4" s="18" t="s">
        <v>73</v>
      </c>
    </row>
    <row r="5" spans="1:33" s="21" customFormat="1" x14ac:dyDescent="0.25">
      <c r="C5" s="91">
        <v>0</v>
      </c>
      <c r="D5" s="22">
        <f>C5/12</f>
        <v>0</v>
      </c>
      <c r="E5" s="23"/>
      <c r="G5" s="24"/>
      <c r="H5" s="24"/>
      <c r="I5" s="24"/>
      <c r="J5" s="24"/>
      <c r="K5" s="25">
        <v>1</v>
      </c>
      <c r="L5" s="26"/>
      <c r="M5" s="24"/>
      <c r="N5" s="24"/>
      <c r="O5" s="24"/>
      <c r="P5" s="24"/>
      <c r="Q5" s="24"/>
      <c r="R5" s="26">
        <f>(R6)/((1+Assumptions!$B$21)^$E6)+H6/IF(H$3="EOP",((1+Assumptions!$B$21)^$E6),1)</f>
        <v>10879906.5936762</v>
      </c>
      <c r="S5" s="27">
        <f>(S6)/((1+Assumptions!$B$21)^$E6)+L6/IF(L$3="EOP",((1+Assumptions!$B$21)^$E6),1)</f>
        <v>6181181.6068745805</v>
      </c>
      <c r="T5" s="27">
        <f>(T6)/((1+Assumptions!$B$21)^$E6)+M6/IF(M$3="EOP",((1+Assumptions!$B$21)^$E6),1)</f>
        <v>1236236.3213749167</v>
      </c>
      <c r="U5" s="27">
        <f>(U6)/((1+Assumptions!$B$21)^$E6)+N6/IF(N$3="EOP",((1+Assumptions!$B$21)^$E6),1)</f>
        <v>2175981.3187352372</v>
      </c>
      <c r="V5" s="27">
        <f>(V6)/((1+Assumptions!$B$21)^$E6)+O6/IF(O$3="EOP",((1+Assumptions!$B$21)^$E6),1)</f>
        <v>217598.13187352393</v>
      </c>
      <c r="W5" s="27">
        <f>(W6)/((1+Assumptions!$B$21)^$E6)+P6/IF(P$3="EOP",((1+Assumptions!$B$21)^$E6),1)</f>
        <v>870392.52749409573</v>
      </c>
      <c r="X5" s="27">
        <f>(X6)/((1+Assumptions!$B$21)^$E6)+Q6/IF(Q$3="EOP",((1+Assumptions!$B$21)^$E6),1)</f>
        <v>533543.88460449502</v>
      </c>
      <c r="Y5" s="28">
        <f>-R5+S5-T5+U5-V5+W5+X5</f>
        <v>-2572641.7092162319</v>
      </c>
      <c r="Z5" s="26">
        <f>H6*Assumptions!$B$7*Assumptions!$B$25/$E6/12</f>
        <v>52083.333333333336</v>
      </c>
      <c r="AA5" s="27">
        <f>Z5*Assumptions!$B$11</f>
        <v>10416.666666666668</v>
      </c>
      <c r="AB5" s="29">
        <f>Z5-AA5</f>
        <v>41666.666666666672</v>
      </c>
      <c r="AC5" s="87">
        <f>Y5+AB5</f>
        <v>-2530975.0425495654</v>
      </c>
      <c r="AD5" s="87">
        <f>Assumptions!$B$23*R5</f>
        <v>1631985.98905143</v>
      </c>
      <c r="AE5" s="87">
        <f>AC5+AD5</f>
        <v>-898989.05349813541</v>
      </c>
      <c r="AG5" s="24"/>
    </row>
    <row r="6" spans="1:33" x14ac:dyDescent="0.25">
      <c r="A6" s="1">
        <v>1</v>
      </c>
      <c r="B6" s="30" t="s">
        <v>28</v>
      </c>
      <c r="C6" s="31">
        <f>C5+1</f>
        <v>1</v>
      </c>
      <c r="D6" s="32">
        <f t="shared" ref="D6:D69" si="1">C6/12</f>
        <v>8.3333333333333329E-2</v>
      </c>
      <c r="E6" s="32">
        <f>D6-D5</f>
        <v>8.3333333333333329E-2</v>
      </c>
      <c r="F6" s="31">
        <f>IF(E6&lt;1,IF(MOD(C6-1,12)=0,1,0),1)</f>
        <v>1</v>
      </c>
      <c r="G6" s="33">
        <f>Assumptions!$B$19</f>
        <v>1000000000</v>
      </c>
      <c r="H6" s="33">
        <f>Assumptions!$B$18*$E6</f>
        <v>83333.333333333328</v>
      </c>
      <c r="I6" s="34">
        <f>Assumptions!$B$14</f>
        <v>0.15</v>
      </c>
      <c r="J6" s="34">
        <f>1-(1-I6)^$E6</f>
        <v>1.3451947011868914E-2</v>
      </c>
      <c r="K6" s="35">
        <f>K5*(1-J6)</f>
        <v>0.98654805298813109</v>
      </c>
      <c r="L6" s="93">
        <f>H6*Assumptions!$B$7+Assumptions!$K$9*G6*$E6</f>
        <v>83333.333333333328</v>
      </c>
      <c r="M6" s="36">
        <f>L6*Assumptions!$B$11</f>
        <v>16666.666666666668</v>
      </c>
      <c r="N6" s="36">
        <f>H6*Assumptions!$B$11</f>
        <v>16666.666666666668</v>
      </c>
      <c r="O6" s="36">
        <f>N6*Assumptions!$B$12</f>
        <v>1666.666666666667</v>
      </c>
      <c r="P6" s="36">
        <f>H6*Assumptions!$B$9</f>
        <v>6666.6666666666661</v>
      </c>
      <c r="Q6" s="36">
        <f>H6*Assumptions!$B$8</f>
        <v>4166.666666666667</v>
      </c>
      <c r="R6" s="37">
        <f>(R7)/((1+Assumptions!$B$21)^$E7)+H7/IF(H$3="EOP",((1+Assumptions!$B$21)^$E7),1)</f>
        <v>10818812.433534535</v>
      </c>
      <c r="S6" s="36">
        <f>(S7)/((1+Assumptions!$B$21)^$E7)+L7/IF(L$3="EOP",((1+Assumptions!$B$21)^$E7),1)</f>
        <v>6110580.4956055721</v>
      </c>
      <c r="T6" s="36">
        <f>(T7)/((1+Assumptions!$B$21)^$E7)+M7/IF(M$3="EOP",((1+Assumptions!$B$21)^$E7),1)</f>
        <v>1222116.0991211149</v>
      </c>
      <c r="U6" s="36">
        <f>(U7)/((1+Assumptions!$B$21)^$E7)+N7/IF(N$3="EOP",((1+Assumptions!$B$21)^$E7),1)</f>
        <v>2163762.4867069046</v>
      </c>
      <c r="V6" s="36">
        <f>(V7)/((1+Assumptions!$B$21)^$E7)+O7/IF(O$3="EOP",((1+Assumptions!$B$21)^$E7),1)</f>
        <v>216376.24867069063</v>
      </c>
      <c r="W6" s="36">
        <f>(W7)/((1+Assumptions!$B$21)^$E7)+P7/IF(P$3="EOP",((1+Assumptions!$B$21)^$E7),1)</f>
        <v>865504.99468276254</v>
      </c>
      <c r="X6" s="36">
        <f>(X7)/((1+Assumptions!$B$21)^$E7)+Q7/IF(Q$3="EOP",((1+Assumptions!$B$21)^$E7),1)</f>
        <v>530476.23098288954</v>
      </c>
      <c r="Y6" s="38">
        <f t="shared" ref="Y6:Y69" si="2">-R6+S6-T6+U6-V6+W6+X6</f>
        <v>-2586980.5733482121</v>
      </c>
      <c r="Z6" s="37">
        <f>H7*Assumptions!$B$7*Assumptions!$B$25/$E7/12</f>
        <v>51378.37081535405</v>
      </c>
      <c r="AA6" s="36">
        <f>Z6*Assumptions!$B$11</f>
        <v>10275.674163070811</v>
      </c>
      <c r="AB6" s="39">
        <f>Z6-AA6</f>
        <v>41102.696652283237</v>
      </c>
      <c r="AC6" s="88">
        <f>Y6+AB6</f>
        <v>-2545877.8766959286</v>
      </c>
      <c r="AD6" s="88">
        <f>Assumptions!$B$23*R6</f>
        <v>1622821.8650301802</v>
      </c>
      <c r="AE6" s="88">
        <f>AC6+AD6</f>
        <v>-923056.01166574843</v>
      </c>
    </row>
    <row r="7" spans="1:33" x14ac:dyDescent="0.25">
      <c r="A7" s="1">
        <f>A6+1</f>
        <v>2</v>
      </c>
      <c r="B7" s="30" t="s">
        <v>28</v>
      </c>
      <c r="C7" s="31">
        <f t="shared" ref="C7:C41" si="3">C6+1</f>
        <v>2</v>
      </c>
      <c r="D7" s="32">
        <f t="shared" si="1"/>
        <v>0.16666666666666666</v>
      </c>
      <c r="E7" s="32">
        <f t="shared" ref="E7:E70" si="4">D7-D6</f>
        <v>8.3333333333333329E-2</v>
      </c>
      <c r="F7" s="31">
        <f t="shared" ref="F7:F70" si="5">IF(E7&lt;1,IF(MOD(C7-1,12)=0,1,0),1)</f>
        <v>0</v>
      </c>
      <c r="G7" s="36">
        <f>(G6*($K6/$K5)-L6)*(1+Assumptions!$B$15)^$F7</f>
        <v>986464719.65479767</v>
      </c>
      <c r="H7" s="36">
        <f>$H$6/$G$6*G7*(1+Assumptions!$B$16)^INT((C7-1)/12)*IF(B7="Monthly",1,12)</f>
        <v>82205.393304566474</v>
      </c>
      <c r="I7" s="40">
        <f>Assumptions!$B$14</f>
        <v>0.15</v>
      </c>
      <c r="J7" s="40">
        <f t="shared" ref="J7:J70" si="6">1-(1-I7)^$E7</f>
        <v>1.3451947011868914E-2</v>
      </c>
      <c r="K7" s="35">
        <f t="shared" ref="K7:K70" si="7">K6*(1-J7)</f>
        <v>0.97327706085467225</v>
      </c>
      <c r="L7" s="93">
        <f>H7*Assumptions!$B$7+Assumptions!$K$9*G7*$E7</f>
        <v>82205.393304566474</v>
      </c>
      <c r="M7" s="36">
        <f>L7*Assumptions!$B$11</f>
        <v>16441.078660913296</v>
      </c>
      <c r="N7" s="36">
        <f>H7*Assumptions!$B$11</f>
        <v>16441.078660913296</v>
      </c>
      <c r="O7" s="36">
        <f>N7*Assumptions!$B$12</f>
        <v>1644.1078660913297</v>
      </c>
      <c r="P7" s="36">
        <f>H7*Assumptions!$B$9</f>
        <v>6576.4314643653179</v>
      </c>
      <c r="Q7" s="36">
        <f>H7*Assumptions!$B$8</f>
        <v>4110.2696652283239</v>
      </c>
      <c r="R7" s="37">
        <f>(R8)/((1+Assumptions!$B$21)^$E8)+H8/IF(H$3="EOP",((1+Assumptions!$B$21)^$E8),1)</f>
        <v>10758722.692826483</v>
      </c>
      <c r="S7" s="36">
        <f>(S8)/((1+Assumptions!$B$21)^$E8)+L8/IF(L$3="EOP",((1+Assumptions!$B$21)^$E8),1)</f>
        <v>6040961.897635648</v>
      </c>
      <c r="T7" s="36">
        <f>(T8)/((1+Assumptions!$B$21)^$E8)+M8/IF(M$3="EOP",((1+Assumptions!$B$21)^$E8),1)</f>
        <v>1208192.3795271302</v>
      </c>
      <c r="U7" s="36">
        <f>(U8)/((1+Assumptions!$B$21)^$E8)+N8/IF(N$3="EOP",((1+Assumptions!$B$21)^$E8),1)</f>
        <v>2151744.5385652944</v>
      </c>
      <c r="V7" s="36">
        <f>(V8)/((1+Assumptions!$B$21)^$E8)+O8/IF(O$3="EOP",((1+Assumptions!$B$21)^$E8),1)</f>
        <v>215174.45385652958</v>
      </c>
      <c r="W7" s="36">
        <f>(W8)/((1+Assumptions!$B$21)^$E8)+P8/IF(P$3="EOP",((1+Assumptions!$B$21)^$E8),1)</f>
        <v>860697.81542611832</v>
      </c>
      <c r="X7" s="36">
        <f>(X8)/((1+Assumptions!$B$21)^$E8)+Q8/IF(Q$3="EOP",((1+Assumptions!$B$21)^$E8),1)</f>
        <v>527458.6554985292</v>
      </c>
      <c r="Y7" s="38">
        <f t="shared" si="2"/>
        <v>-2601226.6190845533</v>
      </c>
      <c r="Z7" s="37">
        <f>H8*Assumptions!$B$7*Assumptions!$B$25/$E8/12</f>
        <v>50682.950162688467</v>
      </c>
      <c r="AA7" s="36">
        <f>Z7*Assumptions!$B$11</f>
        <v>10136.590032537693</v>
      </c>
      <c r="AB7" s="39">
        <f t="shared" ref="AB7:AB70" si="8">Z7-AA7</f>
        <v>40546.360130150773</v>
      </c>
      <c r="AC7" s="88">
        <f t="shared" ref="AC7:AC70" si="9">Y7+AB7</f>
        <v>-2560680.2589544025</v>
      </c>
      <c r="AD7" s="88">
        <f>Assumptions!$B$23*R7</f>
        <v>1613808.4039239725</v>
      </c>
      <c r="AE7" s="88">
        <f>AC7+AD7</f>
        <v>-946871.85503043002</v>
      </c>
      <c r="AG7" s="92"/>
    </row>
    <row r="8" spans="1:33" x14ac:dyDescent="0.25">
      <c r="A8" s="1">
        <f t="shared" ref="A8:A71" si="10">A7+1</f>
        <v>3</v>
      </c>
      <c r="B8" s="30" t="s">
        <v>28</v>
      </c>
      <c r="C8" s="31">
        <f t="shared" si="3"/>
        <v>3</v>
      </c>
      <c r="D8" s="32">
        <f t="shared" si="1"/>
        <v>0.25</v>
      </c>
      <c r="E8" s="32">
        <f t="shared" si="4"/>
        <v>8.3333333333333343E-2</v>
      </c>
      <c r="F8" s="31">
        <f t="shared" si="5"/>
        <v>0</v>
      </c>
      <c r="G8" s="36">
        <f>(G7*($K7/$K6)-L7)*(1+Assumptions!$B$15)^$F8</f>
        <v>973112643.1236186</v>
      </c>
      <c r="H8" s="36">
        <f>$H$6/$G$6*G8*(1+Assumptions!$B$16)^INT((C8-1)/12)*IF(B8="Monthly",1,12)</f>
        <v>81092.720260301547</v>
      </c>
      <c r="I8" s="40">
        <f>Assumptions!$B$14</f>
        <v>0.15</v>
      </c>
      <c r="J8" s="40">
        <f t="shared" si="6"/>
        <v>1.3451947011868914E-2</v>
      </c>
      <c r="K8" s="35">
        <f t="shared" si="7"/>
        <v>0.96018458940418772</v>
      </c>
      <c r="L8" s="93">
        <f>H8*Assumptions!$B$7+Assumptions!$K$9*G8*$E8</f>
        <v>81092.720260301547</v>
      </c>
      <c r="M8" s="36">
        <f>L8*Assumptions!$B$11</f>
        <v>16218.54405206031</v>
      </c>
      <c r="N8" s="36">
        <f>H8*Assumptions!$B$11</f>
        <v>16218.54405206031</v>
      </c>
      <c r="O8" s="36">
        <f>N8*Assumptions!$B$12</f>
        <v>1621.8544052060311</v>
      </c>
      <c r="P8" s="36">
        <f>H8*Assumptions!$B$9</f>
        <v>6487.4176208241242</v>
      </c>
      <c r="Q8" s="36">
        <f>H8*Assumptions!$B$8</f>
        <v>4054.6360130150774</v>
      </c>
      <c r="R8" s="37">
        <f>(R9)/((1+Assumptions!$B$21)^$E9)+H9/IF(H$3="EOP",((1+Assumptions!$B$21)^$E9),1)</f>
        <v>10699624.142059634</v>
      </c>
      <c r="S8" s="36">
        <f>(S9)/((1+Assumptions!$B$21)^$E9)+L9/IF(L$3="EOP",((1+Assumptions!$B$21)^$E9),1)</f>
        <v>5972312.5697968341</v>
      </c>
      <c r="T8" s="36">
        <f>(T9)/((1+Assumptions!$B$21)^$E9)+M9/IF(M$3="EOP",((1+Assumptions!$B$21)^$E9),1)</f>
        <v>1194462.5139593673</v>
      </c>
      <c r="U8" s="36">
        <f>(U9)/((1+Assumptions!$B$21)^$E9)+N9/IF(N$3="EOP",((1+Assumptions!$B$21)^$E9),1)</f>
        <v>2139924.8284119247</v>
      </c>
      <c r="V8" s="36">
        <f>(V9)/((1+Assumptions!$B$21)^$E9)+O9/IF(O$3="EOP",((1+Assumptions!$B$21)^$E9),1)</f>
        <v>213992.4828411926</v>
      </c>
      <c r="W8" s="36">
        <f>(W9)/((1+Assumptions!$B$21)^$E9)+P9/IF(P$3="EOP",((1+Assumptions!$B$21)^$E9),1)</f>
        <v>855969.9313647704</v>
      </c>
      <c r="X8" s="36">
        <f>(X9)/((1+Assumptions!$B$21)^$E9)+Q9/IF(Q$3="EOP",((1+Assumptions!$B$21)^$E9),1)</f>
        <v>524490.49795495253</v>
      </c>
      <c r="Y8" s="38">
        <f t="shared" si="2"/>
        <v>-2615381.3113317112</v>
      </c>
      <c r="Z8" s="37">
        <f>H9*Assumptions!$B$7*Assumptions!$B$25/$E9/12</f>
        <v>49996.942223514576</v>
      </c>
      <c r="AA8" s="36">
        <f>Z8*Assumptions!$B$11</f>
        <v>9999.3884447029159</v>
      </c>
      <c r="AB8" s="39">
        <f t="shared" si="8"/>
        <v>39997.553778811664</v>
      </c>
      <c r="AC8" s="88">
        <f t="shared" si="9"/>
        <v>-2575383.7575528994</v>
      </c>
      <c r="AD8" s="88">
        <f>Assumptions!$B$23*R8</f>
        <v>1604943.6213089449</v>
      </c>
      <c r="AE8" s="88">
        <f t="shared" ref="AE8:AE71" si="11">AC8+AD8</f>
        <v>-970440.13624395453</v>
      </c>
    </row>
    <row r="9" spans="1:33" x14ac:dyDescent="0.25">
      <c r="A9" s="1">
        <f t="shared" si="10"/>
        <v>4</v>
      </c>
      <c r="B9" s="30" t="s">
        <v>28</v>
      </c>
      <c r="C9" s="31">
        <f t="shared" si="3"/>
        <v>4</v>
      </c>
      <c r="D9" s="32">
        <f t="shared" si="1"/>
        <v>0.33333333333333331</v>
      </c>
      <c r="E9" s="32">
        <f t="shared" si="4"/>
        <v>8.3333333333333315E-2</v>
      </c>
      <c r="F9" s="31">
        <f t="shared" si="5"/>
        <v>0</v>
      </c>
      <c r="G9" s="36">
        <f>(G8*($K8/$K7)-L8)*(1+Assumptions!$B$15)^$F9</f>
        <v>959941290.69147968</v>
      </c>
      <c r="H9" s="36">
        <f>$H$6/$G$6*G9*(1+Assumptions!$B$16)^INT((C9-1)/12)*IF(B9="Monthly",1,12)</f>
        <v>79995.107557623298</v>
      </c>
      <c r="I9" s="40">
        <f>Assumptions!$B$14</f>
        <v>0.15</v>
      </c>
      <c r="J9" s="40">
        <f t="shared" si="6"/>
        <v>1.3451947011868914E-2</v>
      </c>
      <c r="K9" s="35">
        <f t="shared" si="7"/>
        <v>0.94726823718590947</v>
      </c>
      <c r="L9" s="93">
        <f>H9*Assumptions!$B$7+Assumptions!$K$9*G9*$E9</f>
        <v>79995.107557623298</v>
      </c>
      <c r="M9" s="36">
        <f>L9*Assumptions!$B$11</f>
        <v>15999.021511524661</v>
      </c>
      <c r="N9" s="36">
        <f>H9*Assumptions!$B$11</f>
        <v>15999.021511524661</v>
      </c>
      <c r="O9" s="36">
        <f>N9*Assumptions!$B$12</f>
        <v>1599.9021511524661</v>
      </c>
      <c r="P9" s="36">
        <f>H9*Assumptions!$B$9</f>
        <v>6399.6086046098644</v>
      </c>
      <c r="Q9" s="36">
        <f>H9*Assumptions!$B$8</f>
        <v>3999.7553778811653</v>
      </c>
      <c r="R9" s="37">
        <f>(R10)/((1+Assumptions!$B$21)^$E10)+H10/IF(H$3="EOP",((1+Assumptions!$B$21)^$E10),1)</f>
        <v>10641503.731559552</v>
      </c>
      <c r="S9" s="36">
        <f>(S10)/((1+Assumptions!$B$21)^$E10)+L10/IF(L$3="EOP",((1+Assumptions!$B$21)^$E10),1)</f>
        <v>5904619.4482853161</v>
      </c>
      <c r="T9" s="36">
        <f>(T10)/((1+Assumptions!$B$21)^$E10)+M10/IF(M$3="EOP",((1+Assumptions!$B$21)^$E10),1)</f>
        <v>1180923.8896570636</v>
      </c>
      <c r="U9" s="36">
        <f>(U10)/((1+Assumptions!$B$21)^$E10)+N10/IF(N$3="EOP",((1+Assumptions!$B$21)^$E10),1)</f>
        <v>2128300.7463119086</v>
      </c>
      <c r="V9" s="36">
        <f>(V10)/((1+Assumptions!$B$21)^$E10)+O10/IF(O$3="EOP",((1+Assumptions!$B$21)^$E10),1)</f>
        <v>212830.07463119098</v>
      </c>
      <c r="W9" s="36">
        <f>(W10)/((1+Assumptions!$B$21)^$E10)+P10/IF(P$3="EOP",((1+Assumptions!$B$21)^$E10),1)</f>
        <v>851320.2985247639</v>
      </c>
      <c r="X9" s="36">
        <f>(X10)/((1+Assumptions!$B$21)^$E10)+Q10/IF(Q$3="EOP",((1+Assumptions!$B$21)^$E10),1)</f>
        <v>521571.10712794686</v>
      </c>
      <c r="Y9" s="38">
        <f t="shared" si="2"/>
        <v>-2629446.0955978711</v>
      </c>
      <c r="Z9" s="37">
        <f>H10*Assumptions!$B$7*Assumptions!$B$25/$E10/12</f>
        <v>49320.219594116388</v>
      </c>
      <c r="AA9" s="36">
        <f>Z9*Assumptions!$B$11</f>
        <v>9864.0439188232776</v>
      </c>
      <c r="AB9" s="39">
        <f t="shared" si="8"/>
        <v>39456.175675293111</v>
      </c>
      <c r="AC9" s="88">
        <f t="shared" si="9"/>
        <v>-2589989.9199225781</v>
      </c>
      <c r="AD9" s="88">
        <f>Assumptions!$B$23*R9</f>
        <v>1596225.5597339328</v>
      </c>
      <c r="AE9" s="88">
        <f t="shared" si="11"/>
        <v>-993764.36018864531</v>
      </c>
    </row>
    <row r="10" spans="1:33" x14ac:dyDescent="0.25">
      <c r="A10" s="1">
        <f t="shared" si="10"/>
        <v>5</v>
      </c>
      <c r="B10" s="30" t="s">
        <v>28</v>
      </c>
      <c r="C10" s="31">
        <f t="shared" si="3"/>
        <v>5</v>
      </c>
      <c r="D10" s="32">
        <f t="shared" si="1"/>
        <v>0.41666666666666669</v>
      </c>
      <c r="E10" s="32">
        <f t="shared" si="4"/>
        <v>8.333333333333337E-2</v>
      </c>
      <c r="F10" s="31">
        <f t="shared" si="5"/>
        <v>0</v>
      </c>
      <c r="G10" s="36">
        <f>(G9*($K9/$K8)-L9)*(1+Assumptions!$B$15)^$F10</f>
        <v>946948216.20703518</v>
      </c>
      <c r="H10" s="36">
        <f>$H$6/$G$6*G10*(1+Assumptions!$B$16)^INT((C10-1)/12)*IF(B10="Monthly",1,12)</f>
        <v>78912.351350586265</v>
      </c>
      <c r="I10" s="40">
        <f>Assumptions!$B$14</f>
        <v>0.15</v>
      </c>
      <c r="J10" s="40">
        <f t="shared" si="6"/>
        <v>1.3451947011868914E-2</v>
      </c>
      <c r="K10" s="35">
        <f t="shared" si="7"/>
        <v>0.93452563505325814</v>
      </c>
      <c r="L10" s="93">
        <f>H10*Assumptions!$B$7+Assumptions!$K$9*G10*$E10</f>
        <v>78912.351350586279</v>
      </c>
      <c r="M10" s="36">
        <f>L10*Assumptions!$B$11</f>
        <v>15782.470270117257</v>
      </c>
      <c r="N10" s="36">
        <f>H10*Assumptions!$B$11</f>
        <v>15782.470270117254</v>
      </c>
      <c r="O10" s="36">
        <f>N10*Assumptions!$B$12</f>
        <v>1578.2470270117255</v>
      </c>
      <c r="P10" s="36">
        <f>H10*Assumptions!$B$9</f>
        <v>6312.9881080469013</v>
      </c>
      <c r="Q10" s="36">
        <f>H10*Assumptions!$B$8</f>
        <v>3945.6175675293134</v>
      </c>
      <c r="R10" s="37">
        <f>(R11)/((1+Assumptions!$B$21)^$E11)+H11/IF(H$3="EOP",((1+Assumptions!$B$21)^$E11),1)</f>
        <v>10584348.589037448</v>
      </c>
      <c r="S10" s="36">
        <f>(S11)/((1+Assumptions!$B$21)^$E11)+L11/IF(L$3="EOP",((1+Assumptions!$B$21)^$E11),1)</f>
        <v>5837869.6462339275</v>
      </c>
      <c r="T10" s="36">
        <f>(T11)/((1+Assumptions!$B$21)^$E11)+M11/IF(M$3="EOP",((1+Assumptions!$B$21)^$E11),1)</f>
        <v>1167573.9292467858</v>
      </c>
      <c r="U10" s="36">
        <f>(U11)/((1+Assumptions!$B$21)^$E11)+N11/IF(N$3="EOP",((1+Assumptions!$B$21)^$E11),1)</f>
        <v>2116869.7178074881</v>
      </c>
      <c r="V10" s="36">
        <f>(V11)/((1+Assumptions!$B$21)^$E11)+O11/IF(O$3="EOP",((1+Assumptions!$B$21)^$E11),1)</f>
        <v>211686.97178074889</v>
      </c>
      <c r="W10" s="36">
        <f>(W11)/((1+Assumptions!$B$21)^$E11)+P11/IF(P$3="EOP",((1+Assumptions!$B$21)^$E11),1)</f>
        <v>846747.88712299557</v>
      </c>
      <c r="X10" s="36">
        <f>(X11)/((1+Assumptions!$B$21)^$E11)+Q11/IF(Q$3="EOP",((1+Assumptions!$B$21)^$E11),1)</f>
        <v>518699.84064418176</v>
      </c>
      <c r="Y10" s="38">
        <f t="shared" si="2"/>
        <v>-2643422.3982563904</v>
      </c>
      <c r="Z10" s="37">
        <f>H11*Assumptions!$B$7*Assumptions!$B$25/$E11/12</f>
        <v>48652.656595223125</v>
      </c>
      <c r="AA10" s="36">
        <f>Z10*Assumptions!$B$11</f>
        <v>9730.531319044625</v>
      </c>
      <c r="AB10" s="39">
        <f t="shared" si="8"/>
        <v>38922.1252761785</v>
      </c>
      <c r="AC10" s="88">
        <f t="shared" si="9"/>
        <v>-2604500.2729802118</v>
      </c>
      <c r="AD10" s="88">
        <f>Assumptions!$B$23*R10</f>
        <v>1587652.2883556171</v>
      </c>
      <c r="AE10" s="88">
        <f t="shared" si="11"/>
        <v>-1016847.9846245947</v>
      </c>
    </row>
    <row r="11" spans="1:33" x14ac:dyDescent="0.25">
      <c r="A11" s="1">
        <f t="shared" si="10"/>
        <v>6</v>
      </c>
      <c r="B11" s="30" t="s">
        <v>28</v>
      </c>
      <c r="C11" s="31">
        <f t="shared" si="3"/>
        <v>6</v>
      </c>
      <c r="D11" s="32">
        <f t="shared" si="1"/>
        <v>0.5</v>
      </c>
      <c r="E11" s="32">
        <f t="shared" si="4"/>
        <v>8.3333333333333315E-2</v>
      </c>
      <c r="F11" s="31">
        <f t="shared" si="5"/>
        <v>0</v>
      </c>
      <c r="G11" s="36">
        <f>(G10*($K10/$K9)-L10)*(1+Assumptions!$B$15)^$F11</f>
        <v>934131006.62828386</v>
      </c>
      <c r="H11" s="36">
        <f>$H$6/$G$6*G11*(1+Assumptions!$B$16)^INT((C11-1)/12)*IF(B11="Monthly",1,12)</f>
        <v>77844.250552356985</v>
      </c>
      <c r="I11" s="40">
        <f>Assumptions!$B$14</f>
        <v>0.15</v>
      </c>
      <c r="J11" s="40">
        <f t="shared" si="6"/>
        <v>1.3451947011868914E-2</v>
      </c>
      <c r="K11" s="35">
        <f t="shared" si="7"/>
        <v>0.92195444572928853</v>
      </c>
      <c r="L11" s="93">
        <f>H11*Assumptions!$B$7+Assumptions!$K$9*G11*$E11</f>
        <v>77844.250552356971</v>
      </c>
      <c r="M11" s="36">
        <f>L11*Assumptions!$B$11</f>
        <v>15568.850110471394</v>
      </c>
      <c r="N11" s="36">
        <f>H11*Assumptions!$B$11</f>
        <v>15568.850110471398</v>
      </c>
      <c r="O11" s="36">
        <f>N11*Assumptions!$B$12</f>
        <v>1556.8850110471399</v>
      </c>
      <c r="P11" s="36">
        <f>H11*Assumptions!$B$9</f>
        <v>6227.5400441885586</v>
      </c>
      <c r="Q11" s="36">
        <f>H11*Assumptions!$B$8</f>
        <v>3892.2125276178494</v>
      </c>
      <c r="R11" s="37">
        <f>(R12)/((1+Assumptions!$B$21)^$E12)+H12/IF(H$3="EOP",((1+Assumptions!$B$21)^$E12),1)</f>
        <v>10528146.017190764</v>
      </c>
      <c r="S11" s="36">
        <f>(S12)/((1+Assumptions!$B$21)^$E12)+L12/IF(L$3="EOP",((1+Assumptions!$B$21)^$E12),1)</f>
        <v>5772050.4513174975</v>
      </c>
      <c r="T11" s="36">
        <f>(T12)/((1+Assumptions!$B$21)^$E12)+M12/IF(M$3="EOP",((1+Assumptions!$B$21)^$E12),1)</f>
        <v>1154410.0902634996</v>
      </c>
      <c r="U11" s="36">
        <f>(U12)/((1+Assumptions!$B$21)^$E12)+N12/IF(N$3="EOP",((1+Assumptions!$B$21)^$E12),1)</f>
        <v>2105629.2034381512</v>
      </c>
      <c r="V11" s="36">
        <f>(V12)/((1+Assumptions!$B$21)^$E12)+O12/IF(O$3="EOP",((1+Assumptions!$B$21)^$E12),1)</f>
        <v>210562.92034381517</v>
      </c>
      <c r="W11" s="36">
        <f>(W12)/((1+Assumptions!$B$21)^$E12)+P12/IF(P$3="EOP",((1+Assumptions!$B$21)^$E12),1)</f>
        <v>842251.6813752607</v>
      </c>
      <c r="X11" s="36">
        <f>(X12)/((1+Assumptions!$B$21)^$E12)+Q12/IF(Q$3="EOP",((1+Assumptions!$B$21)^$E12),1)</f>
        <v>515876.06486148445</v>
      </c>
      <c r="Y11" s="38">
        <f t="shared" si="2"/>
        <v>-2657311.626805685</v>
      </c>
      <c r="Z11" s="37">
        <f>H12*Assumptions!$B$7*Assumptions!$B$25/$E12/12</f>
        <v>47994.129248667894</v>
      </c>
      <c r="AA11" s="36">
        <f>Z11*Assumptions!$B$11</f>
        <v>9598.8258497335792</v>
      </c>
      <c r="AB11" s="39">
        <f t="shared" si="8"/>
        <v>38395.303398934317</v>
      </c>
      <c r="AC11" s="88">
        <f t="shared" si="9"/>
        <v>-2618916.3234067508</v>
      </c>
      <c r="AD11" s="88">
        <f>Assumptions!$B$23*R11</f>
        <v>1579221.9025786144</v>
      </c>
      <c r="AE11" s="88">
        <f t="shared" si="11"/>
        <v>-1039694.4208281364</v>
      </c>
    </row>
    <row r="12" spans="1:33" x14ac:dyDescent="0.25">
      <c r="A12" s="1">
        <f t="shared" si="10"/>
        <v>7</v>
      </c>
      <c r="B12" s="30" t="s">
        <v>28</v>
      </c>
      <c r="C12" s="31">
        <f t="shared" si="3"/>
        <v>7</v>
      </c>
      <c r="D12" s="32">
        <f t="shared" si="1"/>
        <v>0.58333333333333337</v>
      </c>
      <c r="E12" s="32">
        <f t="shared" si="4"/>
        <v>8.333333333333337E-2</v>
      </c>
      <c r="F12" s="31">
        <f t="shared" si="5"/>
        <v>0</v>
      </c>
      <c r="G12" s="36">
        <f>(G11*($K11/$K10)-L11)*(1+Assumptions!$B$15)^$F12</f>
        <v>921487281.57442403</v>
      </c>
      <c r="H12" s="36">
        <f>$H$6/$G$6*G12*(1+Assumptions!$B$16)^INT((C12-1)/12)*IF(B12="Monthly",1,12)</f>
        <v>76790.606797868662</v>
      </c>
      <c r="I12" s="40">
        <f>Assumptions!$B$14</f>
        <v>0.15</v>
      </c>
      <c r="J12" s="40">
        <f t="shared" si="6"/>
        <v>1.3451947011868914E-2</v>
      </c>
      <c r="K12" s="35">
        <f t="shared" si="7"/>
        <v>0.90955236337798118</v>
      </c>
      <c r="L12" s="93">
        <f>H12*Assumptions!$B$7+Assumptions!$K$9*G12*$E12</f>
        <v>76790.606797868677</v>
      </c>
      <c r="M12" s="36">
        <f>L12*Assumptions!$B$11</f>
        <v>15358.121359573735</v>
      </c>
      <c r="N12" s="36">
        <f>H12*Assumptions!$B$11</f>
        <v>15358.121359573734</v>
      </c>
      <c r="O12" s="36">
        <f>N12*Assumptions!$B$12</f>
        <v>1535.8121359573734</v>
      </c>
      <c r="P12" s="36">
        <f>H12*Assumptions!$B$9</f>
        <v>6143.2485438294934</v>
      </c>
      <c r="Q12" s="36">
        <f>H12*Assumptions!$B$8</f>
        <v>3839.5303398934334</v>
      </c>
      <c r="R12" s="37">
        <f>(R13)/((1+Assumptions!$B$21)^$E13)+H13/IF(H$3="EOP",((1+Assumptions!$B$21)^$E13),1)</f>
        <v>10472883.49133624</v>
      </c>
      <c r="S12" s="36">
        <f>(S13)/((1+Assumptions!$B$21)^$E13)+L13/IF(L$3="EOP",((1+Assumptions!$B$21)^$E13),1)</f>
        <v>5707149.3233906142</v>
      </c>
      <c r="T12" s="36">
        <f>(T13)/((1+Assumptions!$B$21)^$E13)+M13/IF(M$3="EOP",((1+Assumptions!$B$21)^$E13),1)</f>
        <v>1141429.864678123</v>
      </c>
      <c r="U12" s="36">
        <f>(U13)/((1+Assumptions!$B$21)^$E13)+N13/IF(N$3="EOP",((1+Assumptions!$B$21)^$E13),1)</f>
        <v>2094576.6982672464</v>
      </c>
      <c r="V12" s="36">
        <f>(V13)/((1+Assumptions!$B$21)^$E13)+O13/IF(O$3="EOP",((1+Assumptions!$B$21)^$E13),1)</f>
        <v>209457.66982672468</v>
      </c>
      <c r="W12" s="36">
        <f>(W13)/((1+Assumptions!$B$21)^$E13)+P13/IF(P$3="EOP",((1+Assumptions!$B$21)^$E13),1)</f>
        <v>837830.67930689873</v>
      </c>
      <c r="X12" s="36">
        <f>(X13)/((1+Assumptions!$B$21)^$E13)+Q13/IF(Q$3="EOP",((1+Assumptions!$B$21)^$E13),1)</f>
        <v>513099.15475073649</v>
      </c>
      <c r="Y12" s="38">
        <f t="shared" si="2"/>
        <v>-2671115.1701255911</v>
      </c>
      <c r="Z12" s="37">
        <f>H13*Assumptions!$B$7*Assumptions!$B$25/$E13/12</f>
        <v>47344.515254363367</v>
      </c>
      <c r="AA12" s="36">
        <f>Z12*Assumptions!$B$11</f>
        <v>9468.9030508726737</v>
      </c>
      <c r="AB12" s="39">
        <f t="shared" si="8"/>
        <v>37875.612203490695</v>
      </c>
      <c r="AC12" s="88">
        <f t="shared" si="9"/>
        <v>-2633239.5579221002</v>
      </c>
      <c r="AD12" s="88">
        <f>Assumptions!$B$23*R12</f>
        <v>1570932.5237004359</v>
      </c>
      <c r="AE12" s="88">
        <f t="shared" si="11"/>
        <v>-1062307.0342216643</v>
      </c>
    </row>
    <row r="13" spans="1:33" x14ac:dyDescent="0.25">
      <c r="A13" s="1">
        <f t="shared" si="10"/>
        <v>8</v>
      </c>
      <c r="B13" s="30" t="s">
        <v>28</v>
      </c>
      <c r="C13" s="31">
        <f t="shared" si="3"/>
        <v>8</v>
      </c>
      <c r="D13" s="32">
        <f t="shared" si="1"/>
        <v>0.66666666666666663</v>
      </c>
      <c r="E13" s="32">
        <f t="shared" si="4"/>
        <v>8.3333333333333259E-2</v>
      </c>
      <c r="F13" s="31">
        <f t="shared" si="5"/>
        <v>0</v>
      </c>
      <c r="G13" s="36">
        <f>(G12*($K12/$K11)-L12)*(1+Assumptions!$B$15)^$F13</f>
        <v>909014692.88377595</v>
      </c>
      <c r="H13" s="36">
        <f>$H$6/$G$6*G13*(1+Assumptions!$B$16)^INT((C13-1)/12)*IF(B13="Monthly",1,12)</f>
        <v>75751.224406981331</v>
      </c>
      <c r="I13" s="40">
        <f>Assumptions!$B$14</f>
        <v>0.15</v>
      </c>
      <c r="J13" s="40">
        <f t="shared" si="6"/>
        <v>1.3451947011868914E-2</v>
      </c>
      <c r="K13" s="35">
        <f t="shared" si="7"/>
        <v>0.89731711318130047</v>
      </c>
      <c r="L13" s="93">
        <f>H13*Assumptions!$B$7+Assumptions!$K$9*G13*$E13</f>
        <v>75751.224406981288</v>
      </c>
      <c r="M13" s="36">
        <f>L13*Assumptions!$B$11</f>
        <v>15150.244881396258</v>
      </c>
      <c r="N13" s="36">
        <f>H13*Assumptions!$B$11</f>
        <v>15150.244881396267</v>
      </c>
      <c r="O13" s="36">
        <f>N13*Assumptions!$B$12</f>
        <v>1515.0244881396268</v>
      </c>
      <c r="P13" s="36">
        <f>H13*Assumptions!$B$9</f>
        <v>6060.0979525585062</v>
      </c>
      <c r="Q13" s="36">
        <f>H13*Assumptions!$B$8</f>
        <v>3787.5612203490668</v>
      </c>
      <c r="R13" s="37">
        <f>(R14)/((1+Assumptions!$B$21)^$E14)+H14/IF(H$3="EOP",((1+Assumptions!$B$21)^$E14),1)</f>
        <v>10418548.657075031</v>
      </c>
      <c r="S13" s="36">
        <f>(S14)/((1+Assumptions!$B$21)^$E14)+L14/IF(L$3="EOP",((1+Assumptions!$B$21)^$E14),1)</f>
        <v>5643153.8921573618</v>
      </c>
      <c r="T13" s="36">
        <f>(T14)/((1+Assumptions!$B$21)^$E14)+M14/IF(M$3="EOP",((1+Assumptions!$B$21)^$E14),1)</f>
        <v>1128630.7784314724</v>
      </c>
      <c r="U13" s="36">
        <f>(U14)/((1+Assumptions!$B$21)^$E14)+N14/IF(N$3="EOP",((1+Assumptions!$B$21)^$E14),1)</f>
        <v>2083709.7314150047</v>
      </c>
      <c r="V13" s="36">
        <f>(V14)/((1+Assumptions!$B$21)^$E14)+O14/IF(O$3="EOP",((1+Assumptions!$B$21)^$E14),1)</f>
        <v>208370.97314150052</v>
      </c>
      <c r="W13" s="36">
        <f>(W14)/((1+Assumptions!$B$21)^$E14)+P14/IF(P$3="EOP",((1+Assumptions!$B$21)^$E14),1)</f>
        <v>833483.89256600209</v>
      </c>
      <c r="X13" s="36">
        <f>(X14)/((1+Assumptions!$B$21)^$E14)+Q14/IF(Q$3="EOP",((1+Assumptions!$B$21)^$E14),1)</f>
        <v>510368.49377936864</v>
      </c>
      <c r="Y13" s="38">
        <f t="shared" si="2"/>
        <v>-2684834.3987302668</v>
      </c>
      <c r="Z13" s="37">
        <f>H14*Assumptions!$B$7*Assumptions!$B$25/$E14/12</f>
        <v>46703.693967587802</v>
      </c>
      <c r="AA13" s="36">
        <f>Z13*Assumptions!$B$11</f>
        <v>9340.7387935175611</v>
      </c>
      <c r="AB13" s="39">
        <f t="shared" si="8"/>
        <v>37362.955174070245</v>
      </c>
      <c r="AC13" s="88">
        <f t="shared" si="9"/>
        <v>-2647471.4435561965</v>
      </c>
      <c r="AD13" s="88">
        <f>Assumptions!$B$23*R13</f>
        <v>1562782.2985612545</v>
      </c>
      <c r="AE13" s="88">
        <f t="shared" si="11"/>
        <v>-1084689.144994942</v>
      </c>
    </row>
    <row r="14" spans="1:33" x14ac:dyDescent="0.25">
      <c r="A14" s="1">
        <f t="shared" si="10"/>
        <v>9</v>
      </c>
      <c r="B14" s="30" t="s">
        <v>28</v>
      </c>
      <c r="C14" s="31">
        <f t="shared" si="3"/>
        <v>9</v>
      </c>
      <c r="D14" s="32">
        <f t="shared" si="1"/>
        <v>0.75</v>
      </c>
      <c r="E14" s="32">
        <f t="shared" si="4"/>
        <v>8.333333333333337E-2</v>
      </c>
      <c r="F14" s="31">
        <f t="shared" si="5"/>
        <v>0</v>
      </c>
      <c r="G14" s="36">
        <f>(G13*($K13/$K12)-L13)*(1+Assumptions!$B$15)^$F14</f>
        <v>896710924.1776861</v>
      </c>
      <c r="H14" s="36">
        <f>$H$6/$G$6*G14*(1+Assumptions!$B$16)^INT((C14-1)/12)*IF(B14="Monthly",1,12)</f>
        <v>74725.910348140504</v>
      </c>
      <c r="I14" s="40">
        <f>Assumptions!$B$14</f>
        <v>0.15</v>
      </c>
      <c r="J14" s="40">
        <f t="shared" si="6"/>
        <v>1.3451947011868914E-2</v>
      </c>
      <c r="K14" s="35">
        <f t="shared" si="7"/>
        <v>0.88524645092194243</v>
      </c>
      <c r="L14" s="93">
        <f>H14*Assumptions!$B$7+Assumptions!$K$9*G14*$E14</f>
        <v>74725.910348140518</v>
      </c>
      <c r="M14" s="36">
        <f>L14*Assumptions!$B$11</f>
        <v>14945.182069628105</v>
      </c>
      <c r="N14" s="36">
        <f>H14*Assumptions!$B$11</f>
        <v>14945.182069628101</v>
      </c>
      <c r="O14" s="36">
        <f>N14*Assumptions!$B$12</f>
        <v>1494.5182069628102</v>
      </c>
      <c r="P14" s="36">
        <f>H14*Assumptions!$B$9</f>
        <v>5978.0728278512406</v>
      </c>
      <c r="Q14" s="36">
        <f>H14*Assumptions!$B$8</f>
        <v>3736.2955174070253</v>
      </c>
      <c r="R14" s="37">
        <f>(R15)/((1+Assumptions!$B$21)^$E15)+H15/IF(H$3="EOP",((1+Assumptions!$B$21)^$E15),1)</f>
        <v>10365129.327989424</v>
      </c>
      <c r="S14" s="36">
        <f>(S15)/((1+Assumptions!$B$21)^$E15)+L15/IF(L$3="EOP",((1+Assumptions!$B$21)^$E15),1)</f>
        <v>5580051.9548725905</v>
      </c>
      <c r="T14" s="36">
        <f>(T15)/((1+Assumptions!$B$21)^$E15)+M15/IF(M$3="EOP",((1+Assumptions!$B$21)^$E15),1)</f>
        <v>1116010.3909745184</v>
      </c>
      <c r="U14" s="36">
        <f>(U15)/((1+Assumptions!$B$21)^$E15)+N15/IF(N$3="EOP",((1+Assumptions!$B$21)^$E15),1)</f>
        <v>2073025.8655978832</v>
      </c>
      <c r="V14" s="36">
        <f>(V15)/((1+Assumptions!$B$21)^$E15)+O15/IF(O$3="EOP",((1+Assumptions!$B$21)^$E15),1)</f>
        <v>207302.58655978835</v>
      </c>
      <c r="W14" s="36">
        <f>(W15)/((1+Assumptions!$B$21)^$E15)+P15/IF(P$3="EOP",((1+Assumptions!$B$21)^$E15),1)</f>
        <v>829210.34623915341</v>
      </c>
      <c r="X14" s="36">
        <f>(X15)/((1+Assumptions!$B$21)^$E15)+Q15/IF(Q$3="EOP",((1+Assumptions!$B$21)^$E15),1)</f>
        <v>507683.47379643336</v>
      </c>
      <c r="Y14" s="38">
        <f t="shared" si="2"/>
        <v>-2698470.6650176705</v>
      </c>
      <c r="Z14" s="37">
        <f>H15*Assumptions!$B$7*Assumptions!$B$25/$E15/12</f>
        <v>46071.546376579958</v>
      </c>
      <c r="AA14" s="36">
        <f>Z14*Assumptions!$B$11</f>
        <v>9214.3092753159926</v>
      </c>
      <c r="AB14" s="39">
        <f t="shared" si="8"/>
        <v>36857.237101263963</v>
      </c>
      <c r="AC14" s="88">
        <f t="shared" si="9"/>
        <v>-2661613.4279164067</v>
      </c>
      <c r="AD14" s="88">
        <f>Assumptions!$B$23*R14</f>
        <v>1554769.3991984136</v>
      </c>
      <c r="AE14" s="88">
        <f t="shared" si="11"/>
        <v>-1106844.0287179931</v>
      </c>
    </row>
    <row r="15" spans="1:33" x14ac:dyDescent="0.25">
      <c r="A15" s="1">
        <f t="shared" si="10"/>
        <v>10</v>
      </c>
      <c r="B15" s="30" t="s">
        <v>28</v>
      </c>
      <c r="C15" s="31">
        <f t="shared" si="3"/>
        <v>10</v>
      </c>
      <c r="D15" s="32">
        <f t="shared" si="1"/>
        <v>0.83333333333333337</v>
      </c>
      <c r="E15" s="32">
        <f t="shared" si="4"/>
        <v>8.333333333333337E-2</v>
      </c>
      <c r="F15" s="31">
        <f t="shared" si="5"/>
        <v>0</v>
      </c>
      <c r="G15" s="36">
        <f>(G14*($K14/$K13)-L14)*(1+Assumptions!$B$15)^$F15</f>
        <v>884573690.43033564</v>
      </c>
      <c r="H15" s="36">
        <f>$H$6/$G$6*G15*(1+Assumptions!$B$16)^INT((C15-1)/12)*IF(B15="Monthly",1,12)</f>
        <v>73714.47420252797</v>
      </c>
      <c r="I15" s="40">
        <f>Assumptions!$B$14</f>
        <v>0.15</v>
      </c>
      <c r="J15" s="40">
        <f t="shared" si="6"/>
        <v>1.3451947011868914E-2</v>
      </c>
      <c r="K15" s="35">
        <f t="shared" si="7"/>
        <v>0.8733381625716955</v>
      </c>
      <c r="L15" s="93">
        <f>H15*Assumptions!$B$7+Assumptions!$K$9*G15*$E15</f>
        <v>73714.474202527985</v>
      </c>
      <c r="M15" s="36">
        <f>L15*Assumptions!$B$11</f>
        <v>14742.894840505598</v>
      </c>
      <c r="N15" s="36">
        <f>H15*Assumptions!$B$11</f>
        <v>14742.894840505594</v>
      </c>
      <c r="O15" s="36">
        <f>N15*Assumptions!$B$12</f>
        <v>1474.2894840505596</v>
      </c>
      <c r="P15" s="36">
        <f>H15*Assumptions!$B$9</f>
        <v>5897.1579362022376</v>
      </c>
      <c r="Q15" s="36">
        <f>H15*Assumptions!$B$8</f>
        <v>3685.7237101263986</v>
      </c>
      <c r="R15" s="37">
        <f>(R16)/((1+Assumptions!$B$21)^$E16)+H16/IF(H$3="EOP",((1+Assumptions!$B$21)^$E16),1)</f>
        <v>10312613.483370723</v>
      </c>
      <c r="S15" s="36">
        <f>(S16)/((1+Assumptions!$B$21)^$E16)+L16/IF(L$3="EOP",((1+Assumptions!$B$21)^$E16),1)</f>
        <v>5517831.4740743162</v>
      </c>
      <c r="T15" s="36">
        <f>(T16)/((1+Assumptions!$B$21)^$E16)+M16/IF(M$3="EOP",((1+Assumptions!$B$21)^$E16),1)</f>
        <v>1103566.2948148635</v>
      </c>
      <c r="U15" s="36">
        <f>(U16)/((1+Assumptions!$B$21)^$E16)+N16/IF(N$3="EOP",((1+Assumptions!$B$21)^$E16),1)</f>
        <v>2062522.6966741432</v>
      </c>
      <c r="V15" s="36">
        <f>(V16)/((1+Assumptions!$B$21)^$E16)+O16/IF(O$3="EOP",((1+Assumptions!$B$21)^$E16),1)</f>
        <v>206252.26966741437</v>
      </c>
      <c r="W15" s="36">
        <f>(W16)/((1+Assumptions!$B$21)^$E16)+P16/IF(P$3="EOP",((1+Assumptions!$B$21)^$E16),1)</f>
        <v>825009.07866965747</v>
      </c>
      <c r="X15" s="36">
        <f>(X16)/((1+Assumptions!$B$21)^$E16)+Q16/IF(Q$3="EOP",((1+Assumptions!$B$21)^$E16),1)</f>
        <v>505043.49491923262</v>
      </c>
      <c r="Y15" s="38">
        <f t="shared" si="2"/>
        <v>-2712025.3035156517</v>
      </c>
      <c r="Z15" s="37">
        <f>H16*Assumptions!$B$7*Assumptions!$B$25/$E16/12</f>
        <v>45447.955080436026</v>
      </c>
      <c r="AA15" s="36">
        <f>Z15*Assumptions!$B$11</f>
        <v>9089.5910160872063</v>
      </c>
      <c r="AB15" s="39">
        <f t="shared" si="8"/>
        <v>36358.364064348818</v>
      </c>
      <c r="AC15" s="88">
        <f t="shared" si="9"/>
        <v>-2675666.9394513029</v>
      </c>
      <c r="AD15" s="88">
        <f>Assumptions!$B$23*R15</f>
        <v>1546892.0225056084</v>
      </c>
      <c r="AE15" s="88">
        <f t="shared" si="11"/>
        <v>-1128774.9169456945</v>
      </c>
    </row>
    <row r="16" spans="1:33" x14ac:dyDescent="0.25">
      <c r="A16" s="1">
        <f t="shared" si="10"/>
        <v>11</v>
      </c>
      <c r="B16" s="30" t="s">
        <v>28</v>
      </c>
      <c r="C16" s="31">
        <f t="shared" si="3"/>
        <v>11</v>
      </c>
      <c r="D16" s="32">
        <f t="shared" si="1"/>
        <v>0.91666666666666663</v>
      </c>
      <c r="E16" s="32">
        <f t="shared" si="4"/>
        <v>8.3333333333333259E-2</v>
      </c>
      <c r="F16" s="31">
        <f t="shared" si="5"/>
        <v>0</v>
      </c>
      <c r="G16" s="36">
        <f>(G15*($K15/$K14)-L15)*(1+Assumptions!$B$15)^$F16</f>
        <v>872600737.54437101</v>
      </c>
      <c r="H16" s="36">
        <f>$H$6/$G$6*G16*(1+Assumptions!$B$16)^INT((C16-1)/12)*IF(B16="Monthly",1,12)</f>
        <v>72716.728128697578</v>
      </c>
      <c r="I16" s="40">
        <f>Assumptions!$B$14</f>
        <v>0.15</v>
      </c>
      <c r="J16" s="40">
        <f t="shared" si="6"/>
        <v>1.3451947011868914E-2</v>
      </c>
      <c r="K16" s="35">
        <f t="shared" si="7"/>
        <v>0.8615900638853381</v>
      </c>
      <c r="L16" s="93">
        <f>H16*Assumptions!$B$7+Assumptions!$K$9*G16*$E16</f>
        <v>72716.728128697549</v>
      </c>
      <c r="M16" s="36">
        <f>L16*Assumptions!$B$11</f>
        <v>14543.34562573951</v>
      </c>
      <c r="N16" s="36">
        <f>H16*Assumptions!$B$11</f>
        <v>14543.345625739516</v>
      </c>
      <c r="O16" s="36">
        <f>N16*Assumptions!$B$12</f>
        <v>1454.3345625739516</v>
      </c>
      <c r="P16" s="36">
        <f>H16*Assumptions!$B$9</f>
        <v>5817.3382502958066</v>
      </c>
      <c r="Q16" s="36">
        <f>H16*Assumptions!$B$8</f>
        <v>3635.8364064348789</v>
      </c>
      <c r="R16" s="37">
        <f>(R17)/((1+Assumptions!$B$21)^$E17)+H17/IF(H$3="EOP",((1+Assumptions!$B$21)^$E17),1)</f>
        <v>10260989.265977917</v>
      </c>
      <c r="S16" s="36">
        <f>(S17)/((1+Assumptions!$B$21)^$E17)+L17/IF(L$3="EOP",((1+Assumptions!$B$21)^$E17),1)</f>
        <v>5456480.5753467968</v>
      </c>
      <c r="T16" s="36">
        <f>(T17)/((1+Assumptions!$B$21)^$E17)+M17/IF(M$3="EOP",((1+Assumptions!$B$21)^$E17),1)</f>
        <v>1091296.1150693595</v>
      </c>
      <c r="U16" s="36">
        <f>(U17)/((1+Assumptions!$B$21)^$E17)+N17/IF(N$3="EOP",((1+Assumptions!$B$21)^$E17),1)</f>
        <v>2052197.8531955821</v>
      </c>
      <c r="V16" s="36">
        <f>(V17)/((1+Assumptions!$B$21)^$E17)+O17/IF(O$3="EOP",((1+Assumptions!$B$21)^$E17),1)</f>
        <v>205219.78531955826</v>
      </c>
      <c r="W16" s="36">
        <f>(W17)/((1+Assumptions!$B$21)^$E17)+P17/IF(P$3="EOP",((1+Assumptions!$B$21)^$E17),1)</f>
        <v>820879.14127823303</v>
      </c>
      <c r="X16" s="36">
        <f>(X17)/((1+Assumptions!$B$21)^$E17)+Q17/IF(Q$3="EOP",((1+Assumptions!$B$21)^$E17),1)</f>
        <v>502447.96542148053</v>
      </c>
      <c r="Y16" s="38">
        <f t="shared" si="2"/>
        <v>-2725499.6311247428</v>
      </c>
      <c r="Z16" s="37">
        <f>H17*Assumptions!$B$7*Assumptions!$B$25/$E17/12</f>
        <v>44832.804267306106</v>
      </c>
      <c r="AA16" s="36">
        <f>Z16*Assumptions!$B$11</f>
        <v>8966.560853461222</v>
      </c>
      <c r="AB16" s="39">
        <f t="shared" si="8"/>
        <v>35866.243413844888</v>
      </c>
      <c r="AC16" s="88">
        <f t="shared" si="9"/>
        <v>-2689633.3877108977</v>
      </c>
      <c r="AD16" s="88">
        <f>Assumptions!$B$23*R16</f>
        <v>1539148.3898966876</v>
      </c>
      <c r="AE16" s="88">
        <f t="shared" si="11"/>
        <v>-1150484.9978142101</v>
      </c>
    </row>
    <row r="17" spans="1:31" s="21" customFormat="1" x14ac:dyDescent="0.25">
      <c r="A17" s="21">
        <f t="shared" si="10"/>
        <v>12</v>
      </c>
      <c r="B17" s="41" t="s">
        <v>28</v>
      </c>
      <c r="C17" s="23">
        <f t="shared" si="3"/>
        <v>12</v>
      </c>
      <c r="D17" s="22">
        <f t="shared" si="1"/>
        <v>1</v>
      </c>
      <c r="E17" s="22">
        <f t="shared" si="4"/>
        <v>8.333333333333337E-2</v>
      </c>
      <c r="F17" s="23">
        <f t="shared" si="5"/>
        <v>0</v>
      </c>
      <c r="G17" s="27">
        <f>(G16*($K16/$K15)-L16)*(1+Assumptions!$B$15)^$F17</f>
        <v>860789841.93227768</v>
      </c>
      <c r="H17" s="27">
        <f>$H$6/$G$6*G17*(1+Assumptions!$B$16)^INT((C17-1)/12)*IF(B17="Monthly",1,12)</f>
        <v>71732.486827689805</v>
      </c>
      <c r="I17" s="42">
        <f>Assumptions!$B$14</f>
        <v>0.15</v>
      </c>
      <c r="J17" s="42">
        <f t="shared" si="6"/>
        <v>1.3451947011868914E-2</v>
      </c>
      <c r="K17" s="43">
        <f t="shared" si="7"/>
        <v>0.84999999999999976</v>
      </c>
      <c r="L17" s="94">
        <f>H17*Assumptions!$B$7+Assumptions!$K$9*G17*$E17</f>
        <v>71732.48682768982</v>
      </c>
      <c r="M17" s="27">
        <f>L17*Assumptions!$B$11</f>
        <v>14346.497365537965</v>
      </c>
      <c r="N17" s="27">
        <f>H17*Assumptions!$B$11</f>
        <v>14346.497365537962</v>
      </c>
      <c r="O17" s="27">
        <f>N17*Assumptions!$B$12</f>
        <v>1434.6497365537962</v>
      </c>
      <c r="P17" s="27">
        <f>H17*Assumptions!$B$9</f>
        <v>5738.5989462151847</v>
      </c>
      <c r="Q17" s="27">
        <f>H17*Assumptions!$B$8</f>
        <v>3586.6243413844904</v>
      </c>
      <c r="R17" s="26">
        <f>(R18)/((1+Assumptions!$B$21)^$E18)+H18/IF(H$3="EOP",((1+Assumptions!$B$21)^$E18),1)</f>
        <v>10210244.979826661</v>
      </c>
      <c r="S17" s="27">
        <f>(S18)/((1+Assumptions!$B$21)^$E18)+L18/IF(L$3="EOP",((1+Assumptions!$B$21)^$E18),1)</f>
        <v>5395987.5451138988</v>
      </c>
      <c r="T17" s="27">
        <f>(T18)/((1+Assumptions!$B$21)^$E18)+M18/IF(M$3="EOP",((1+Assumptions!$B$21)^$E18),1)</f>
        <v>1079197.50902278</v>
      </c>
      <c r="U17" s="27">
        <f>(U18)/((1+Assumptions!$B$21)^$E18)+N18/IF(N$3="EOP",((1+Assumptions!$B$21)^$E18),1)</f>
        <v>2042048.9959653309</v>
      </c>
      <c r="V17" s="27">
        <f>(V18)/((1+Assumptions!$B$21)^$E18)+O18/IF(O$3="EOP",((1+Assumptions!$B$21)^$E18),1)</f>
        <v>204204.89959653316</v>
      </c>
      <c r="W17" s="27">
        <f>(W18)/((1+Assumptions!$B$21)^$E18)+P18/IF(P$3="EOP",((1+Assumptions!$B$21)^$E18),1)</f>
        <v>816819.59838613262</v>
      </c>
      <c r="X17" s="27">
        <f>(X18)/((1+Assumptions!$B$21)^$E18)+Q18/IF(Q$3="EOP",((1+Assumptions!$B$21)^$E18),1)</f>
        <v>499896.30162297987</v>
      </c>
      <c r="Y17" s="28">
        <f t="shared" si="2"/>
        <v>-2738894.9473576318</v>
      </c>
      <c r="Z17" s="26">
        <f>H18*Assumptions!$B$7*Assumptions!$B$25/$E18/12</f>
        <v>48719.339229683879</v>
      </c>
      <c r="AA17" s="27">
        <f>Z17*Assumptions!$B$11</f>
        <v>9743.8678459367766</v>
      </c>
      <c r="AB17" s="29">
        <f t="shared" si="8"/>
        <v>38975.471383747106</v>
      </c>
      <c r="AC17" s="87">
        <f t="shared" si="9"/>
        <v>-2699919.4759738846</v>
      </c>
      <c r="AD17" s="87">
        <f>Assumptions!$B$23*R17</f>
        <v>1531536.7469739991</v>
      </c>
      <c r="AE17" s="87">
        <f t="shared" si="11"/>
        <v>-1168382.7289998855</v>
      </c>
    </row>
    <row r="18" spans="1:31" x14ac:dyDescent="0.25">
      <c r="A18" s="1">
        <f t="shared" si="10"/>
        <v>13</v>
      </c>
      <c r="B18" s="30" t="s">
        <v>28</v>
      </c>
      <c r="C18" s="31">
        <f t="shared" si="3"/>
        <v>13</v>
      </c>
      <c r="D18" s="32">
        <f t="shared" si="1"/>
        <v>1.0833333333333333</v>
      </c>
      <c r="E18" s="32">
        <f t="shared" si="4"/>
        <v>8.3333333333333259E-2</v>
      </c>
      <c r="F18" s="31">
        <f t="shared" si="5"/>
        <v>1</v>
      </c>
      <c r="G18" s="36">
        <f>(G17*($K17/$K16)-L17)*(1+Assumptions!$B$15)^$F18</f>
        <v>866121586.30549037</v>
      </c>
      <c r="H18" s="36">
        <f>$H$6/$G$6*G18*(1+Assumptions!$B$16)^INT((C18-1)/12)*IF(B18="Monthly",1,12)</f>
        <v>77950.94276749414</v>
      </c>
      <c r="I18" s="40">
        <f>Assumptions!$B$14</f>
        <v>0.15</v>
      </c>
      <c r="J18" s="40">
        <f t="shared" si="6"/>
        <v>1.3451947011868914E-2</v>
      </c>
      <c r="K18" s="35">
        <f t="shared" si="7"/>
        <v>0.83856584503991116</v>
      </c>
      <c r="L18" s="93">
        <f>H18*Assumptions!$B$7+Assumptions!$K$9*G18*$E18</f>
        <v>75063.870813142479</v>
      </c>
      <c r="M18" s="36">
        <f>L18*Assumptions!$B$11</f>
        <v>15012.774162628497</v>
      </c>
      <c r="N18" s="36">
        <f>H18*Assumptions!$B$11</f>
        <v>15590.188553498829</v>
      </c>
      <c r="O18" s="36">
        <f>N18*Assumptions!$B$12</f>
        <v>1559.0188553498829</v>
      </c>
      <c r="P18" s="36">
        <f>H18*Assumptions!$B$9</f>
        <v>6236.0754213995315</v>
      </c>
      <c r="Q18" s="36">
        <f>H18*Assumptions!$B$8</f>
        <v>3897.5471383747072</v>
      </c>
      <c r="R18" s="37">
        <f>(R19)/((1+Assumptions!$B$21)^$E19)+H19/IF(H$3="EOP",((1+Assumptions!$B$21)^$E19),1)</f>
        <v>10153164.903813412</v>
      </c>
      <c r="S18" s="36">
        <f>(S19)/((1+Assumptions!$B$21)^$E19)+L19/IF(L$3="EOP",((1+Assumptions!$B$21)^$E19),1)</f>
        <v>5332038.5251578009</v>
      </c>
      <c r="T18" s="36">
        <f>(T19)/((1+Assumptions!$B$21)^$E19)+M19/IF(M$3="EOP",((1+Assumptions!$B$21)^$E19),1)</f>
        <v>1066407.7050315607</v>
      </c>
      <c r="U18" s="36">
        <f>(U19)/((1+Assumptions!$B$21)^$E19)+N19/IF(N$3="EOP",((1+Assumptions!$B$21)^$E19),1)</f>
        <v>2030632.9807626812</v>
      </c>
      <c r="V18" s="36">
        <f>(V19)/((1+Assumptions!$B$21)^$E19)+O19/IF(O$3="EOP",((1+Assumptions!$B$21)^$E19),1)</f>
        <v>203063.29807626817</v>
      </c>
      <c r="W18" s="36">
        <f>(W19)/((1+Assumptions!$B$21)^$E19)+P19/IF(P$3="EOP",((1+Assumptions!$B$21)^$E19),1)</f>
        <v>812253.19230507268</v>
      </c>
      <c r="X18" s="36">
        <f>(X19)/((1+Assumptions!$B$21)^$E19)+Q19/IF(Q$3="EOP",((1+Assumptions!$B$21)^$E19),1)</f>
        <v>497028.45901784842</v>
      </c>
      <c r="Y18" s="38">
        <f t="shared" si="2"/>
        <v>-2750682.7496778383</v>
      </c>
      <c r="Z18" s="37">
        <f>H19*Assumptions!$B$7*Assumptions!$B$25/$E19/12</f>
        <v>48059.746917179531</v>
      </c>
      <c r="AA18" s="36">
        <f>Z18*Assumptions!$B$11</f>
        <v>9611.9493834359073</v>
      </c>
      <c r="AB18" s="39">
        <f t="shared" si="8"/>
        <v>38447.797533743622</v>
      </c>
      <c r="AC18" s="88">
        <f t="shared" si="9"/>
        <v>-2712234.9521440947</v>
      </c>
      <c r="AD18" s="88">
        <f>Assumptions!$B$23*R18</f>
        <v>1522974.7355720119</v>
      </c>
      <c r="AE18" s="88">
        <f t="shared" si="11"/>
        <v>-1189260.2165720828</v>
      </c>
    </row>
    <row r="19" spans="1:31" x14ac:dyDescent="0.25">
      <c r="A19" s="1">
        <f t="shared" si="10"/>
        <v>14</v>
      </c>
      <c r="B19" s="30" t="s">
        <v>28</v>
      </c>
      <c r="C19" s="31">
        <f t="shared" si="3"/>
        <v>14</v>
      </c>
      <c r="D19" s="32">
        <f t="shared" si="1"/>
        <v>1.1666666666666667</v>
      </c>
      <c r="E19" s="32">
        <f t="shared" si="4"/>
        <v>8.3333333333333481E-2</v>
      </c>
      <c r="F19" s="31">
        <f t="shared" si="5"/>
        <v>0</v>
      </c>
      <c r="G19" s="36">
        <f>(G18*($K18/$K17)-L18)*(1+Assumptions!$B$15)^$F19</f>
        <v>854395500.74985993</v>
      </c>
      <c r="H19" s="36">
        <f>$H$6/$G$6*G19*(1+Assumptions!$B$16)^INT((C19-1)/12)*IF(B19="Monthly",1,12)</f>
        <v>76895.595067487389</v>
      </c>
      <c r="I19" s="40">
        <f>Assumptions!$B$14</f>
        <v>0.15</v>
      </c>
      <c r="J19" s="40">
        <f t="shared" si="6"/>
        <v>1.3451947011868914E-2</v>
      </c>
      <c r="K19" s="35">
        <f t="shared" si="7"/>
        <v>0.8272855017264712</v>
      </c>
      <c r="L19" s="93">
        <f>H19*Assumptions!$B$7+Assumptions!$K$9*G19*$E19</f>
        <v>74047.610064987923</v>
      </c>
      <c r="M19" s="36">
        <f>L19*Assumptions!$B$11</f>
        <v>14809.522012997586</v>
      </c>
      <c r="N19" s="36">
        <f>H19*Assumptions!$B$11</f>
        <v>15379.119013497479</v>
      </c>
      <c r="O19" s="36">
        <f>N19*Assumptions!$B$12</f>
        <v>1537.911901349748</v>
      </c>
      <c r="P19" s="36">
        <f>H19*Assumptions!$B$9</f>
        <v>6151.6476053989909</v>
      </c>
      <c r="Q19" s="36">
        <f>H19*Assumptions!$B$8</f>
        <v>3844.7797533743696</v>
      </c>
      <c r="R19" s="37">
        <f>(R20)/((1+Assumptions!$B$21)^$E20)+H20/IF(H$3="EOP",((1+Assumptions!$B$21)^$E20),1)</f>
        <v>10097024.773732785</v>
      </c>
      <c r="S19" s="36">
        <f>(S20)/((1+Assumptions!$B$21)^$E20)+L20/IF(L$3="EOP",((1+Assumptions!$B$21)^$E20),1)</f>
        <v>5268974.0414391328</v>
      </c>
      <c r="T19" s="36">
        <f>(T20)/((1+Assumptions!$B$21)^$E20)+M20/IF(M$3="EOP",((1+Assumptions!$B$21)^$E20),1)</f>
        <v>1053794.8082878271</v>
      </c>
      <c r="U19" s="36">
        <f>(U20)/((1+Assumptions!$B$21)^$E20)+N20/IF(N$3="EOP",((1+Assumptions!$B$21)^$E20),1)</f>
        <v>2019404.954746556</v>
      </c>
      <c r="V19" s="36">
        <f>(V20)/((1+Assumptions!$B$21)^$E20)+O20/IF(O$3="EOP",((1+Assumptions!$B$21)^$E20),1)</f>
        <v>201940.49547465562</v>
      </c>
      <c r="W19" s="36">
        <f>(W20)/((1+Assumptions!$B$21)^$E20)+P20/IF(P$3="EOP",((1+Assumptions!$B$21)^$E20),1)</f>
        <v>807761.98189862247</v>
      </c>
      <c r="X19" s="36">
        <f>(X20)/((1+Assumptions!$B$21)^$E20)+Q20/IF(Q$3="EOP",((1+Assumptions!$B$21)^$E20),1)</f>
        <v>494207.47651150316</v>
      </c>
      <c r="Y19" s="38">
        <f t="shared" si="2"/>
        <v>-2762411.6228994536</v>
      </c>
      <c r="Z19" s="37">
        <f>H20*Assumptions!$B$7*Assumptions!$B$25/$E20/12</f>
        <v>47409.084570179781</v>
      </c>
      <c r="AA19" s="36">
        <f>Z19*Assumptions!$B$11</f>
        <v>9481.8169140359569</v>
      </c>
      <c r="AB19" s="39">
        <f t="shared" si="8"/>
        <v>37927.267656143827</v>
      </c>
      <c r="AC19" s="88">
        <f t="shared" si="9"/>
        <v>-2724484.3552433099</v>
      </c>
      <c r="AD19" s="88">
        <f>Assumptions!$B$23*R19</f>
        <v>1514553.7160599178</v>
      </c>
      <c r="AE19" s="88">
        <f t="shared" si="11"/>
        <v>-1209930.639183392</v>
      </c>
    </row>
    <row r="20" spans="1:31" x14ac:dyDescent="0.25">
      <c r="A20" s="1">
        <f t="shared" si="10"/>
        <v>15</v>
      </c>
      <c r="B20" s="30" t="s">
        <v>28</v>
      </c>
      <c r="C20" s="31">
        <f t="shared" si="3"/>
        <v>15</v>
      </c>
      <c r="D20" s="32">
        <f t="shared" si="1"/>
        <v>1.25</v>
      </c>
      <c r="E20" s="32">
        <f t="shared" si="4"/>
        <v>8.3333333333333259E-2</v>
      </c>
      <c r="F20" s="31">
        <f t="shared" si="5"/>
        <v>0</v>
      </c>
      <c r="G20" s="36">
        <f>(G19*($K19/$K18)-L19)*(1+Assumptions!$B$15)^$F20</f>
        <v>842828170.13652861</v>
      </c>
      <c r="H20" s="36">
        <f>$H$6/$G$6*G20*(1+Assumptions!$B$16)^INT((C20-1)/12)*IF(B20="Monthly",1,12)</f>
        <v>75854.535312287582</v>
      </c>
      <c r="I20" s="40">
        <f>Assumptions!$B$14</f>
        <v>0.15</v>
      </c>
      <c r="J20" s="40">
        <f t="shared" si="6"/>
        <v>1.3451947011868914E-2</v>
      </c>
      <c r="K20" s="35">
        <f t="shared" si="7"/>
        <v>0.81615690099355931</v>
      </c>
      <c r="L20" s="93">
        <f>H20*Assumptions!$B$7+Assumptions!$K$9*G20*$E20</f>
        <v>73045.108078499121</v>
      </c>
      <c r="M20" s="36">
        <f>L20*Assumptions!$B$11</f>
        <v>14609.021615699825</v>
      </c>
      <c r="N20" s="36">
        <f>H20*Assumptions!$B$11</f>
        <v>15170.907062457518</v>
      </c>
      <c r="O20" s="36">
        <f>N20*Assumptions!$B$12</f>
        <v>1517.0907062457518</v>
      </c>
      <c r="P20" s="36">
        <f>H20*Assumptions!$B$9</f>
        <v>6068.3628249830062</v>
      </c>
      <c r="Q20" s="36">
        <f>H20*Assumptions!$B$8</f>
        <v>3792.7267656143795</v>
      </c>
      <c r="R20" s="37">
        <f>(R21)/((1+Assumptions!$B$21)^$E21)+H21/IF(H$3="EOP",((1+Assumptions!$B$21)^$E21),1)</f>
        <v>10041812.208343865</v>
      </c>
      <c r="S20" s="36">
        <f>(S21)/((1+Assumptions!$B$21)^$E21)+L21/IF(L$3="EOP",((1+Assumptions!$B$21)^$E21),1)</f>
        <v>5206782.1571960496</v>
      </c>
      <c r="T20" s="36">
        <f>(T21)/((1+Assumptions!$B$21)^$E21)+M21/IF(M$3="EOP",((1+Assumptions!$B$21)^$E21),1)</f>
        <v>1041356.4314392104</v>
      </c>
      <c r="U20" s="36">
        <f>(U21)/((1+Assumptions!$B$21)^$E21)+N21/IF(N$3="EOP",((1+Assumptions!$B$21)^$E21),1)</f>
        <v>2008362.4416687721</v>
      </c>
      <c r="V20" s="36">
        <f>(V21)/((1+Assumptions!$B$21)^$E21)+O21/IF(O$3="EOP",((1+Assumptions!$B$21)^$E21),1)</f>
        <v>200836.24416687721</v>
      </c>
      <c r="W20" s="36">
        <f>(W21)/((1+Assumptions!$B$21)^$E21)+P21/IF(P$3="EOP",((1+Assumptions!$B$21)^$E21),1)</f>
        <v>803344.97666750883</v>
      </c>
      <c r="X20" s="36">
        <f>(X21)/((1+Assumptions!$B$21)^$E21)+Q21/IF(Q$3="EOP",((1+Assumptions!$B$21)^$E21),1)</f>
        <v>491432.73623083462</v>
      </c>
      <c r="Y20" s="38">
        <f t="shared" si="2"/>
        <v>-2774082.5721867876</v>
      </c>
      <c r="Z20" s="37">
        <f>H21*Assumptions!$B$7*Assumptions!$B$25/$E21/12</f>
        <v>46767.231289331103</v>
      </c>
      <c r="AA20" s="36">
        <f>Z20*Assumptions!$B$11</f>
        <v>9353.4462578662205</v>
      </c>
      <c r="AB20" s="39">
        <f t="shared" si="8"/>
        <v>37413.785031464882</v>
      </c>
      <c r="AC20" s="88">
        <f t="shared" si="9"/>
        <v>-2736668.7871553227</v>
      </c>
      <c r="AD20" s="88">
        <f>Assumptions!$B$23*R20</f>
        <v>1506271.8312515798</v>
      </c>
      <c r="AE20" s="88">
        <f t="shared" si="11"/>
        <v>-1230396.9559037429</v>
      </c>
    </row>
    <row r="21" spans="1:31" x14ac:dyDescent="0.25">
      <c r="A21" s="1">
        <f t="shared" si="10"/>
        <v>16</v>
      </c>
      <c r="B21" s="30" t="s">
        <v>28</v>
      </c>
      <c r="C21" s="31">
        <f t="shared" si="3"/>
        <v>16</v>
      </c>
      <c r="D21" s="32">
        <f t="shared" si="1"/>
        <v>1.3333333333333333</v>
      </c>
      <c r="E21" s="32">
        <f t="shared" si="4"/>
        <v>8.3333333333333259E-2</v>
      </c>
      <c r="F21" s="31">
        <f t="shared" si="5"/>
        <v>0</v>
      </c>
      <c r="G21" s="36">
        <f>(G20*($K20/$K19)-L20)*(1+Assumptions!$B$15)^$F21</f>
        <v>831417445.14366317</v>
      </c>
      <c r="H21" s="36">
        <f>$H$6/$G$6*G21*(1+Assumptions!$B$16)^INT((C21-1)/12)*IF(B21="Monthly",1,12)</f>
        <v>74827.570062929692</v>
      </c>
      <c r="I21" s="40">
        <f>Assumptions!$B$14</f>
        <v>0.15</v>
      </c>
      <c r="J21" s="40">
        <f t="shared" si="6"/>
        <v>1.3451947011868914E-2</v>
      </c>
      <c r="K21" s="35">
        <f t="shared" si="7"/>
        <v>0.80517800160802278</v>
      </c>
      <c r="L21" s="93">
        <f>H21*Assumptions!$B$7+Assumptions!$K$9*G21*$E21</f>
        <v>72056.178579117448</v>
      </c>
      <c r="M21" s="36">
        <f>L21*Assumptions!$B$11</f>
        <v>14411.23571582349</v>
      </c>
      <c r="N21" s="36">
        <f>H21*Assumptions!$B$11</f>
        <v>14965.51401258594</v>
      </c>
      <c r="O21" s="36">
        <f>N21*Assumptions!$B$12</f>
        <v>1496.5514012585941</v>
      </c>
      <c r="P21" s="36">
        <f>H21*Assumptions!$B$9</f>
        <v>5986.2056050343754</v>
      </c>
      <c r="Q21" s="36">
        <f>H21*Assumptions!$B$8</f>
        <v>3741.3785031464849</v>
      </c>
      <c r="R21" s="37">
        <f>(R22)/((1+Assumptions!$B$21)^$E22)+H22/IF(H$3="EOP",((1+Assumptions!$B$21)^$E22),1)</f>
        <v>9987514.9947398324</v>
      </c>
      <c r="S21" s="36">
        <f>(S22)/((1+Assumptions!$B$21)^$E22)+L22/IF(L$3="EOP",((1+Assumptions!$B$21)^$E22),1)</f>
        <v>5145451.0973534947</v>
      </c>
      <c r="T21" s="36">
        <f>(T22)/((1+Assumptions!$B$21)^$E22)+M22/IF(M$3="EOP",((1+Assumptions!$B$21)^$E22),1)</f>
        <v>1029090.2194706994</v>
      </c>
      <c r="U21" s="36">
        <f>(U22)/((1+Assumptions!$B$21)^$E22)+N22/IF(N$3="EOP",((1+Assumptions!$B$21)^$E22),1)</f>
        <v>1997502.9989479657</v>
      </c>
      <c r="V21" s="36">
        <f>(V22)/((1+Assumptions!$B$21)^$E22)+O22/IF(O$3="EOP",((1+Assumptions!$B$21)^$E22),1)</f>
        <v>199750.29989479654</v>
      </c>
      <c r="W21" s="36">
        <f>(W22)/((1+Assumptions!$B$21)^$E22)+P22/IF(P$3="EOP",((1+Assumptions!$B$21)^$E22),1)</f>
        <v>799001.19957918616</v>
      </c>
      <c r="X21" s="36">
        <f>(X22)/((1+Assumptions!$B$21)^$E22)+Q22/IF(Q$3="EOP",((1+Assumptions!$B$21)^$E22),1)</f>
        <v>488703.62870196445</v>
      </c>
      <c r="Y21" s="38">
        <f t="shared" si="2"/>
        <v>-2785696.5895227171</v>
      </c>
      <c r="Z21" s="37">
        <f>H22*Assumptions!$B$7*Assumptions!$B$25/$E22/12</f>
        <v>46134.06781208999</v>
      </c>
      <c r="AA21" s="36">
        <f>Z21*Assumptions!$B$11</f>
        <v>9226.8135624179977</v>
      </c>
      <c r="AB21" s="39">
        <f t="shared" si="8"/>
        <v>36907.254249671991</v>
      </c>
      <c r="AC21" s="88">
        <f t="shared" si="9"/>
        <v>-2748789.3352730451</v>
      </c>
      <c r="AD21" s="88">
        <f>Assumptions!$B$23*R21</f>
        <v>1498127.2492109749</v>
      </c>
      <c r="AE21" s="88">
        <f t="shared" si="11"/>
        <v>-1250662.0860620702</v>
      </c>
    </row>
    <row r="22" spans="1:31" x14ac:dyDescent="0.25">
      <c r="A22" s="1">
        <f t="shared" si="10"/>
        <v>17</v>
      </c>
      <c r="B22" s="30" t="s">
        <v>28</v>
      </c>
      <c r="C22" s="31">
        <f t="shared" si="3"/>
        <v>17</v>
      </c>
      <c r="D22" s="32">
        <f t="shared" si="1"/>
        <v>1.4166666666666667</v>
      </c>
      <c r="E22" s="32">
        <f t="shared" si="4"/>
        <v>8.3333333333333481E-2</v>
      </c>
      <c r="F22" s="31">
        <f t="shared" si="5"/>
        <v>0</v>
      </c>
      <c r="G22" s="36">
        <f>(G21*($K21/$K20)-L21)*(1+Assumptions!$B$15)^$F22</f>
        <v>820161205.54826808</v>
      </c>
      <c r="H22" s="36">
        <f>$H$6/$G$6*G22*(1+Assumptions!$B$16)^INT((C22-1)/12)*IF(B22="Monthly",1,12)</f>
        <v>73814.508499344127</v>
      </c>
      <c r="I22" s="40">
        <f>Assumptions!$B$14</f>
        <v>0.15</v>
      </c>
      <c r="J22" s="40">
        <f t="shared" si="6"/>
        <v>1.3451947011868914E-2</v>
      </c>
      <c r="K22" s="35">
        <f t="shared" si="7"/>
        <v>0.79434678979526918</v>
      </c>
      <c r="L22" s="93">
        <f>H22*Assumptions!$B$7+Assumptions!$K$9*G22*$E22</f>
        <v>71080.637814183283</v>
      </c>
      <c r="M22" s="36">
        <f>L22*Assumptions!$B$11</f>
        <v>14216.127562836657</v>
      </c>
      <c r="N22" s="36">
        <f>H22*Assumptions!$B$11</f>
        <v>14762.901699868826</v>
      </c>
      <c r="O22" s="36">
        <f>N22*Assumptions!$B$12</f>
        <v>1476.2901699868826</v>
      </c>
      <c r="P22" s="36">
        <f>H22*Assumptions!$B$9</f>
        <v>5905.1606799475303</v>
      </c>
      <c r="Q22" s="36">
        <f>H22*Assumptions!$B$8</f>
        <v>3690.7254249672064</v>
      </c>
      <c r="R22" s="37">
        <f>(R23)/((1+Assumptions!$B$21)^$E23)+H23/IF(H$3="EOP",((1+Assumptions!$B$21)^$E23),1)</f>
        <v>9934121.0860704053</v>
      </c>
      <c r="S22" s="36">
        <f>(S23)/((1+Assumptions!$B$21)^$E23)+L23/IF(L$3="EOP",((1+Assumptions!$B$21)^$E23),1)</f>
        <v>5084969.2463343441</v>
      </c>
      <c r="T22" s="36">
        <f>(T23)/((1+Assumptions!$B$21)^$E23)+M23/IF(M$3="EOP",((1+Assumptions!$B$21)^$E23),1)</f>
        <v>1016993.8492668692</v>
      </c>
      <c r="U22" s="36">
        <f>(U23)/((1+Assumptions!$B$21)^$E23)+N23/IF(N$3="EOP",((1+Assumptions!$B$21)^$E23),1)</f>
        <v>1986824.2172140805</v>
      </c>
      <c r="V22" s="36">
        <f>(V23)/((1+Assumptions!$B$21)^$E23)+O23/IF(O$3="EOP",((1+Assumptions!$B$21)^$E23),1)</f>
        <v>198682.421721408</v>
      </c>
      <c r="W22" s="36">
        <f>(W23)/((1+Assumptions!$B$21)^$E23)+P23/IF(P$3="EOP",((1+Assumptions!$B$21)^$E23),1)</f>
        <v>794729.68688563199</v>
      </c>
      <c r="X22" s="36">
        <f>(X23)/((1+Assumptions!$B$21)^$E23)+Q23/IF(Q$3="EOP",((1+Assumptions!$B$21)^$E23),1)</f>
        <v>486019.55273660144</v>
      </c>
      <c r="Y22" s="38">
        <f t="shared" si="2"/>
        <v>-2797254.6538880244</v>
      </c>
      <c r="Z22" s="37">
        <f>H23*Assumptions!$B$7*Assumptions!$B$25/$E23/12</f>
        <v>45509.476490562869</v>
      </c>
      <c r="AA22" s="36">
        <f>Z22*Assumptions!$B$11</f>
        <v>9101.8952981125749</v>
      </c>
      <c r="AB22" s="39">
        <f t="shared" si="8"/>
        <v>36407.581192450292</v>
      </c>
      <c r="AC22" s="88">
        <f t="shared" si="9"/>
        <v>-2760847.0726955743</v>
      </c>
      <c r="AD22" s="88">
        <f>Assumptions!$B$23*R22</f>
        <v>1490118.1629105608</v>
      </c>
      <c r="AE22" s="88">
        <f t="shared" si="11"/>
        <v>-1270728.9097850134</v>
      </c>
    </row>
    <row r="23" spans="1:31" x14ac:dyDescent="0.25">
      <c r="A23" s="1">
        <f t="shared" si="10"/>
        <v>18</v>
      </c>
      <c r="B23" s="30" t="s">
        <v>28</v>
      </c>
      <c r="C23" s="31">
        <f t="shared" si="3"/>
        <v>18</v>
      </c>
      <c r="D23" s="32">
        <f t="shared" si="1"/>
        <v>1.5</v>
      </c>
      <c r="E23" s="32">
        <f t="shared" si="4"/>
        <v>8.3333333333333259E-2</v>
      </c>
      <c r="F23" s="31">
        <f t="shared" si="5"/>
        <v>0</v>
      </c>
      <c r="G23" s="36">
        <f>(G22*($K22/$K21)-L22)*(1+Assumptions!$B$15)^$F23</f>
        <v>809057359.83222806</v>
      </c>
      <c r="H23" s="36">
        <f>$H$6/$G$6*G23*(1+Assumptions!$B$16)^INT((C23-1)/12)*IF(B23="Monthly",1,12)</f>
        <v>72815.162384900526</v>
      </c>
      <c r="I23" s="40">
        <f>Assumptions!$B$14</f>
        <v>0.15</v>
      </c>
      <c r="J23" s="40">
        <f t="shared" si="6"/>
        <v>1.3451947011868914E-2</v>
      </c>
      <c r="K23" s="35">
        <f t="shared" si="7"/>
        <v>0.78366127886989501</v>
      </c>
      <c r="L23" s="93">
        <f>H23*Assumptions!$B$7+Assumptions!$K$9*G23*$E23</f>
        <v>70118.304518793069</v>
      </c>
      <c r="M23" s="36">
        <f>L23*Assumptions!$B$11</f>
        <v>14023.660903758615</v>
      </c>
      <c r="N23" s="36">
        <f>H23*Assumptions!$B$11</f>
        <v>14563.032476980106</v>
      </c>
      <c r="O23" s="36">
        <f>N23*Assumptions!$B$12</f>
        <v>1456.3032476980106</v>
      </c>
      <c r="P23" s="36">
        <f>H23*Assumptions!$B$9</f>
        <v>5825.2129907920425</v>
      </c>
      <c r="Q23" s="36">
        <f>H23*Assumptions!$B$8</f>
        <v>3640.7581192450266</v>
      </c>
      <c r="R23" s="37">
        <f>(R24)/((1+Assumptions!$B$21)^$E24)+H24/IF(H$3="EOP",((1+Assumptions!$B$21)^$E24),1)</f>
        <v>9881618.5992951263</v>
      </c>
      <c r="S23" s="36">
        <f>(S24)/((1+Assumptions!$B$21)^$E24)+L24/IF(L$3="EOP",((1+Assumptions!$B$21)^$E24),1)</f>
        <v>5025325.1459001862</v>
      </c>
      <c r="T23" s="36">
        <f>(T24)/((1+Assumptions!$B$21)^$E24)+M24/IF(M$3="EOP",((1+Assumptions!$B$21)^$E24),1)</f>
        <v>1005065.0291800374</v>
      </c>
      <c r="U23" s="36">
        <f>(U24)/((1+Assumptions!$B$21)^$E24)+N24/IF(N$3="EOP",((1+Assumptions!$B$21)^$E24),1)</f>
        <v>1976323.719859025</v>
      </c>
      <c r="V23" s="36">
        <f>(V24)/((1+Assumptions!$B$21)^$E24)+O24/IF(O$3="EOP",((1+Assumptions!$B$21)^$E24),1)</f>
        <v>197632.37198590246</v>
      </c>
      <c r="W23" s="36">
        <f>(W24)/((1+Assumptions!$B$21)^$E24)+P24/IF(P$3="EOP",((1+Assumptions!$B$21)^$E24),1)</f>
        <v>790529.48794360983</v>
      </c>
      <c r="X23" s="36">
        <f>(X24)/((1+Assumptions!$B$21)^$E24)+Q24/IF(Q$3="EOP",((1+Assumptions!$B$21)^$E24),1)</f>
        <v>483379.915319936</v>
      </c>
      <c r="Y23" s="38">
        <f t="shared" si="2"/>
        <v>-2808757.7314383099</v>
      </c>
      <c r="Z23" s="37">
        <f>H24*Assumptions!$B$7*Assumptions!$B$25/$E24/12</f>
        <v>44893.341269644734</v>
      </c>
      <c r="AA23" s="36">
        <f>Z23*Assumptions!$B$11</f>
        <v>8978.6682539289468</v>
      </c>
      <c r="AB23" s="39">
        <f t="shared" si="8"/>
        <v>35914.673015715787</v>
      </c>
      <c r="AC23" s="88">
        <f t="shared" si="9"/>
        <v>-2772843.0584225943</v>
      </c>
      <c r="AD23" s="88">
        <f>Assumptions!$B$23*R23</f>
        <v>1482242.7898942688</v>
      </c>
      <c r="AE23" s="88">
        <f t="shared" si="11"/>
        <v>-1290600.2685283255</v>
      </c>
    </row>
    <row r="24" spans="1:31" x14ac:dyDescent="0.25">
      <c r="A24" s="1">
        <f t="shared" si="10"/>
        <v>19</v>
      </c>
      <c r="B24" s="30" t="s">
        <v>28</v>
      </c>
      <c r="C24" s="31">
        <f t="shared" si="3"/>
        <v>19</v>
      </c>
      <c r="D24" s="32">
        <f t="shared" si="1"/>
        <v>1.5833333333333333</v>
      </c>
      <c r="E24" s="32">
        <f t="shared" si="4"/>
        <v>8.3333333333333259E-2</v>
      </c>
      <c r="F24" s="31">
        <f t="shared" si="5"/>
        <v>0</v>
      </c>
      <c r="G24" s="36">
        <f>(G23*($K23/$K22)-L23)*(1+Assumptions!$B$15)^$F24</f>
        <v>798103844.79368353</v>
      </c>
      <c r="H24" s="36">
        <f>$H$6/$G$6*G24*(1+Assumptions!$B$16)^INT((C24-1)/12)*IF(B24="Monthly",1,12)</f>
        <v>71829.346031431516</v>
      </c>
      <c r="I24" s="40">
        <f>Assumptions!$B$14</f>
        <v>0.15</v>
      </c>
      <c r="J24" s="40">
        <f t="shared" si="6"/>
        <v>1.3451947011868914E-2</v>
      </c>
      <c r="K24" s="35">
        <f t="shared" si="7"/>
        <v>0.77311950887128378</v>
      </c>
      <c r="L24" s="93">
        <f>H24*Assumptions!$B$7+Assumptions!$K$9*G24*$E24</f>
        <v>69168.999882119213</v>
      </c>
      <c r="M24" s="36">
        <f>L24*Assumptions!$B$11</f>
        <v>13833.799976423843</v>
      </c>
      <c r="N24" s="36">
        <f>H24*Assumptions!$B$11</f>
        <v>14365.869206286305</v>
      </c>
      <c r="O24" s="36">
        <f>N24*Assumptions!$B$12</f>
        <v>1436.5869206286307</v>
      </c>
      <c r="P24" s="36">
        <f>H24*Assumptions!$B$9</f>
        <v>5746.3476825145217</v>
      </c>
      <c r="Q24" s="36">
        <f>H24*Assumptions!$B$8</f>
        <v>3591.4673015715762</v>
      </c>
      <c r="R24" s="37">
        <f>(R25)/((1+Assumptions!$B$21)^$E25)+H25/IF(H$3="EOP",((1+Assumptions!$B$21)^$E25),1)</f>
        <v>9829995.8129670806</v>
      </c>
      <c r="S24" s="36">
        <f>(S25)/((1+Assumptions!$B$21)^$E25)+L25/IF(L$3="EOP",((1+Assumptions!$B$21)^$E25),1)</f>
        <v>4966507.4930213448</v>
      </c>
      <c r="T24" s="36">
        <f>(T25)/((1+Assumptions!$B$21)^$E25)+M25/IF(M$3="EOP",((1+Assumptions!$B$21)^$E25),1)</f>
        <v>993301.49860426923</v>
      </c>
      <c r="U24" s="36">
        <f>(U25)/((1+Assumptions!$B$21)^$E25)+N25/IF(N$3="EOP",((1+Assumptions!$B$21)^$E25),1)</f>
        <v>1965999.1625934159</v>
      </c>
      <c r="V24" s="36">
        <f>(V25)/((1+Assumptions!$B$21)^$E25)+O25/IF(O$3="EOP",((1+Assumptions!$B$21)^$E25),1)</f>
        <v>196599.91625934152</v>
      </c>
      <c r="W24" s="36">
        <f>(W25)/((1+Assumptions!$B$21)^$E25)+P25/IF(P$3="EOP",((1+Assumptions!$B$21)^$E25),1)</f>
        <v>786399.6650373661</v>
      </c>
      <c r="X24" s="36">
        <f>(X25)/((1+Assumptions!$B$21)^$E25)+Q25/IF(Q$3="EOP",((1+Assumptions!$B$21)^$E25),1)</f>
        <v>480784.13150005398</v>
      </c>
      <c r="Y24" s="38">
        <f t="shared" si="2"/>
        <v>-2820206.7756785108</v>
      </c>
      <c r="Z24" s="37">
        <f>H25*Assumptions!$B$7*Assumptions!$B$25/$E25/12</f>
        <v>44285.547665456244</v>
      </c>
      <c r="AA24" s="36">
        <f>Z24*Assumptions!$B$11</f>
        <v>8857.1095330912485</v>
      </c>
      <c r="AB24" s="39">
        <f t="shared" si="8"/>
        <v>35428.438132364994</v>
      </c>
      <c r="AC24" s="88">
        <f t="shared" si="9"/>
        <v>-2784778.337546146</v>
      </c>
      <c r="AD24" s="88">
        <f>Assumptions!$B$23*R24</f>
        <v>1474499.371945062</v>
      </c>
      <c r="AE24" s="88">
        <f t="shared" si="11"/>
        <v>-1310278.9656010841</v>
      </c>
    </row>
    <row r="25" spans="1:31" x14ac:dyDescent="0.25">
      <c r="A25" s="1">
        <f t="shared" si="10"/>
        <v>20</v>
      </c>
      <c r="B25" s="30" t="s">
        <v>28</v>
      </c>
      <c r="C25" s="31">
        <f t="shared" si="3"/>
        <v>20</v>
      </c>
      <c r="D25" s="32">
        <f t="shared" si="1"/>
        <v>1.6666666666666667</v>
      </c>
      <c r="E25" s="32">
        <f t="shared" si="4"/>
        <v>8.3333333333333481E-2</v>
      </c>
      <c r="F25" s="31">
        <f t="shared" si="5"/>
        <v>0</v>
      </c>
      <c r="G25" s="36">
        <f>(G24*($K24/$K23)-L24)*(1+Assumptions!$B$15)^$F25</f>
        <v>787298625.16366792</v>
      </c>
      <c r="H25" s="36">
        <f>$H$6/$G$6*G25*(1+Assumptions!$B$16)^INT((C25-1)/12)*IF(B25="Monthly",1,12)</f>
        <v>70856.876264730105</v>
      </c>
      <c r="I25" s="40">
        <f>Assumptions!$B$14</f>
        <v>0.15</v>
      </c>
      <c r="J25" s="40">
        <f t="shared" si="6"/>
        <v>1.3451947011868914E-2</v>
      </c>
      <c r="K25" s="35">
        <f t="shared" si="7"/>
        <v>0.7627195462041052</v>
      </c>
      <c r="L25" s="93">
        <f>H25*Assumptions!$B$7+Assumptions!$K$9*G25*$E25</f>
        <v>68232.547514184611</v>
      </c>
      <c r="M25" s="36">
        <f>L25*Assumptions!$B$11</f>
        <v>13646.509502836923</v>
      </c>
      <c r="N25" s="36">
        <f>H25*Assumptions!$B$11</f>
        <v>14171.375252946022</v>
      </c>
      <c r="O25" s="36">
        <f>N25*Assumptions!$B$12</f>
        <v>1417.1375252946023</v>
      </c>
      <c r="P25" s="36">
        <f>H25*Assumptions!$B$9</f>
        <v>5668.5501011784081</v>
      </c>
      <c r="Q25" s="36">
        <f>H25*Assumptions!$B$8</f>
        <v>3542.8438132365054</v>
      </c>
      <c r="R25" s="37">
        <f>(R26)/((1+Assumptions!$B$21)^$E26)+H26/IF(H$3="EOP",((1+Assumptions!$B$21)^$E26),1)</f>
        <v>9779241.1650466062</v>
      </c>
      <c r="S25" s="36">
        <f>(S26)/((1+Assumptions!$B$21)^$E26)+L26/IF(L$3="EOP",((1+Assumptions!$B$21)^$E26),1)</f>
        <v>4908505.1377757322</v>
      </c>
      <c r="T25" s="36">
        <f>(T26)/((1+Assumptions!$B$21)^$E26)+M26/IF(M$3="EOP",((1+Assumptions!$B$21)^$E26),1)</f>
        <v>981701.02755514672</v>
      </c>
      <c r="U25" s="36">
        <f>(U26)/((1+Assumptions!$B$21)^$E26)+N26/IF(N$3="EOP",((1+Assumptions!$B$21)^$E26),1)</f>
        <v>1955848.2330093211</v>
      </c>
      <c r="V25" s="36">
        <f>(V26)/((1+Assumptions!$B$21)^$E26)+O26/IF(O$3="EOP",((1+Assumptions!$B$21)^$E26),1)</f>
        <v>195584.82330093204</v>
      </c>
      <c r="W25" s="36">
        <f>(W26)/((1+Assumptions!$B$21)^$E26)+P26/IF(P$3="EOP",((1+Assumptions!$B$21)^$E26),1)</f>
        <v>782339.29320372816</v>
      </c>
      <c r="X25" s="36">
        <f>(X26)/((1+Assumptions!$B$21)^$E26)+Q26/IF(Q$3="EOP",((1+Assumptions!$B$21)^$E26),1)</f>
        <v>478231.62427884626</v>
      </c>
      <c r="Y25" s="38">
        <f t="shared" si="2"/>
        <v>-2831602.7276350576</v>
      </c>
      <c r="Z25" s="37">
        <f>H26*Assumptions!$B$7*Assumptions!$B$25/$E26/12</f>
        <v>43685.982744071378</v>
      </c>
      <c r="AA25" s="36">
        <f>Z25*Assumptions!$B$11</f>
        <v>8737.196548814276</v>
      </c>
      <c r="AB25" s="39">
        <f t="shared" si="8"/>
        <v>34948.786195257104</v>
      </c>
      <c r="AC25" s="88">
        <f t="shared" si="9"/>
        <v>-2796653.9414398004</v>
      </c>
      <c r="AD25" s="88">
        <f>Assumptions!$B$23*R25</f>
        <v>1466886.174756991</v>
      </c>
      <c r="AE25" s="88">
        <f t="shared" si="11"/>
        <v>-1329767.7666828095</v>
      </c>
    </row>
    <row r="26" spans="1:31" x14ac:dyDescent="0.25">
      <c r="A26" s="1">
        <f t="shared" si="10"/>
        <v>21</v>
      </c>
      <c r="B26" s="30" t="s">
        <v>28</v>
      </c>
      <c r="C26" s="31">
        <f t="shared" si="3"/>
        <v>21</v>
      </c>
      <c r="D26" s="32">
        <f t="shared" si="1"/>
        <v>1.75</v>
      </c>
      <c r="E26" s="32">
        <f t="shared" si="4"/>
        <v>8.3333333333333259E-2</v>
      </c>
      <c r="F26" s="31">
        <f t="shared" si="5"/>
        <v>0</v>
      </c>
      <c r="G26" s="36">
        <f>(G25*($K25/$K24)-L25)*(1+Assumptions!$B$15)^$F26</f>
        <v>776639693.22793496</v>
      </c>
      <c r="H26" s="36">
        <f>$H$6/$G$6*G26*(1+Assumptions!$B$16)^INT((C26-1)/12)*IF(B26="Monthly",1,12)</f>
        <v>69897.572390514149</v>
      </c>
      <c r="I26" s="40">
        <f>Assumptions!$B$14</f>
        <v>0.15</v>
      </c>
      <c r="J26" s="40">
        <f t="shared" si="6"/>
        <v>1.3451947011868914E-2</v>
      </c>
      <c r="K26" s="35">
        <f t="shared" si="7"/>
        <v>0.75245948328365087</v>
      </c>
      <c r="L26" s="93">
        <f>H26*Assumptions!$B$7+Assumptions!$K$9*G26*$E26</f>
        <v>67308.773413087678</v>
      </c>
      <c r="M26" s="36">
        <f>L26*Assumptions!$B$11</f>
        <v>13461.754682617537</v>
      </c>
      <c r="N26" s="36">
        <f>H26*Assumptions!$B$11</f>
        <v>13979.51447810283</v>
      </c>
      <c r="O26" s="36">
        <f>N26*Assumptions!$B$12</f>
        <v>1397.9514478102831</v>
      </c>
      <c r="P26" s="36">
        <f>H26*Assumptions!$B$9</f>
        <v>5591.8057912411323</v>
      </c>
      <c r="Q26" s="36">
        <f>H26*Assumptions!$B$8</f>
        <v>3494.8786195257076</v>
      </c>
      <c r="R26" s="37">
        <f>(R27)/((1+Assumptions!$B$21)^$E27)+H27/IF(H$3="EOP",((1+Assumptions!$B$21)^$E27),1)</f>
        <v>9729343.250744611</v>
      </c>
      <c r="S26" s="36">
        <f>(S27)/((1+Assumptions!$B$21)^$E27)+L27/IF(L$3="EOP",((1+Assumptions!$B$21)^$E27),1)</f>
        <v>4851307.0812761448</v>
      </c>
      <c r="T26" s="36">
        <f>(T27)/((1+Assumptions!$B$21)^$E27)+M27/IF(M$3="EOP",((1+Assumptions!$B$21)^$E27),1)</f>
        <v>970261.41625522915</v>
      </c>
      <c r="U26" s="36">
        <f>(U27)/((1+Assumptions!$B$21)^$E27)+N27/IF(N$3="EOP",((1+Assumptions!$B$21)^$E27),1)</f>
        <v>1945868.6501489221</v>
      </c>
      <c r="V26" s="36">
        <f>(V27)/((1+Assumptions!$B$21)^$E27)+O27/IF(O$3="EOP",((1+Assumptions!$B$21)^$E27),1)</f>
        <v>194586.86501489213</v>
      </c>
      <c r="W26" s="36">
        <f>(W27)/((1+Assumptions!$B$21)^$E27)+P27/IF(P$3="EOP",((1+Assumptions!$B$21)^$E27),1)</f>
        <v>778347.46005956852</v>
      </c>
      <c r="X26" s="36">
        <f>(X27)/((1+Assumptions!$B$21)^$E27)+Q27/IF(Q$3="EOP",((1+Assumptions!$B$21)^$E27),1)</f>
        <v>475721.82450439589</v>
      </c>
      <c r="Y26" s="38">
        <f t="shared" si="2"/>
        <v>-2842946.5160257006</v>
      </c>
      <c r="Z26" s="37">
        <f>H27*Assumptions!$B$7*Assumptions!$B$25/$E27/12</f>
        <v>43094.535100532223</v>
      </c>
      <c r="AA26" s="36">
        <f>Z26*Assumptions!$B$11</f>
        <v>8618.9070201064442</v>
      </c>
      <c r="AB26" s="39">
        <f t="shared" si="8"/>
        <v>34475.628080425777</v>
      </c>
      <c r="AC26" s="88">
        <f t="shared" si="9"/>
        <v>-2808470.8879452748</v>
      </c>
      <c r="AD26" s="88">
        <f>Assumptions!$B$23*R26</f>
        <v>1459401.4876116917</v>
      </c>
      <c r="AE26" s="88">
        <f t="shared" si="11"/>
        <v>-1349069.4003335831</v>
      </c>
    </row>
    <row r="27" spans="1:31" x14ac:dyDescent="0.25">
      <c r="A27" s="1">
        <f t="shared" si="10"/>
        <v>22</v>
      </c>
      <c r="B27" s="30" t="s">
        <v>28</v>
      </c>
      <c r="C27" s="31">
        <f t="shared" si="3"/>
        <v>22</v>
      </c>
      <c r="D27" s="32">
        <f t="shared" si="1"/>
        <v>1.8333333333333333</v>
      </c>
      <c r="E27" s="32">
        <f t="shared" si="4"/>
        <v>8.3333333333333259E-2</v>
      </c>
      <c r="F27" s="31">
        <f t="shared" si="5"/>
        <v>0</v>
      </c>
      <c r="G27" s="36">
        <f>(G26*($K26/$K25)-L26)*(1+Assumptions!$B$15)^$F27</f>
        <v>766125068.45390558</v>
      </c>
      <c r="H27" s="36">
        <f>$H$6/$G$6*G27*(1+Assumptions!$B$16)^INT((C27-1)/12)*IF(B27="Monthly",1,12)</f>
        <v>68951.256160851495</v>
      </c>
      <c r="I27" s="40">
        <f>Assumptions!$B$14</f>
        <v>0.15</v>
      </c>
      <c r="J27" s="40">
        <f t="shared" si="6"/>
        <v>1.3451947011868914E-2</v>
      </c>
      <c r="K27" s="35">
        <f t="shared" si="7"/>
        <v>0.74233743818594089</v>
      </c>
      <c r="L27" s="93">
        <f>H27*Assumptions!$B$7+Assumptions!$K$9*G27*$E27</f>
        <v>66397.505932671789</v>
      </c>
      <c r="M27" s="36">
        <f>L27*Assumptions!$B$11</f>
        <v>13279.501186534359</v>
      </c>
      <c r="N27" s="36">
        <f>H27*Assumptions!$B$11</f>
        <v>13790.2512321703</v>
      </c>
      <c r="O27" s="36">
        <f>N27*Assumptions!$B$12</f>
        <v>1379.0251232170301</v>
      </c>
      <c r="P27" s="36">
        <f>H27*Assumptions!$B$9</f>
        <v>5516.1004928681195</v>
      </c>
      <c r="Q27" s="36">
        <f>H27*Assumptions!$B$8</f>
        <v>3447.5628080425749</v>
      </c>
      <c r="R27" s="37">
        <f>(R28)/((1+Assumptions!$B$21)^$E28)+H28/IF(H$3="EOP",((1+Assumptions!$B$21)^$E28),1)</f>
        <v>9680290.8203951009</v>
      </c>
      <c r="S27" s="36">
        <f>(S28)/((1+Assumptions!$B$21)^$E28)+L28/IF(L$3="EOP",((1+Assumptions!$B$21)^$E28),1)</f>
        <v>4794902.4736256311</v>
      </c>
      <c r="T27" s="36">
        <f>(T28)/((1+Assumptions!$B$21)^$E28)+M28/IF(M$3="EOP",((1+Assumptions!$B$21)^$E28),1)</f>
        <v>958980.49472512631</v>
      </c>
      <c r="U27" s="36">
        <f>(U28)/((1+Assumptions!$B$21)^$E28)+N28/IF(N$3="EOP",((1+Assumptions!$B$21)^$E28),1)</f>
        <v>1936058.1640790203</v>
      </c>
      <c r="V27" s="36">
        <f>(V28)/((1+Assumptions!$B$21)^$E28)+O28/IF(O$3="EOP",((1+Assumptions!$B$21)^$E28),1)</f>
        <v>193605.81640790193</v>
      </c>
      <c r="W27" s="36">
        <f>(W28)/((1+Assumptions!$B$21)^$E28)+P28/IF(P$3="EOP",((1+Assumptions!$B$21)^$E28),1)</f>
        <v>774423.26563160773</v>
      </c>
      <c r="X27" s="36">
        <f>(X28)/((1+Assumptions!$B$21)^$E28)+Q28/IF(Q$3="EOP",((1+Assumptions!$B$21)^$E28),1)</f>
        <v>473254.17076482321</v>
      </c>
      <c r="Y27" s="38">
        <f t="shared" si="2"/>
        <v>-2854239.0574270459</v>
      </c>
      <c r="Z27" s="37">
        <f>H28*Assumptions!$B$7*Assumptions!$B$25/$E28/12</f>
        <v>42511.094838149911</v>
      </c>
      <c r="AA27" s="36">
        <f>Z27*Assumptions!$B$11</f>
        <v>8502.2189676299822</v>
      </c>
      <c r="AB27" s="39">
        <f t="shared" si="8"/>
        <v>34008.875870519929</v>
      </c>
      <c r="AC27" s="88">
        <f t="shared" si="9"/>
        <v>-2820230.1815565261</v>
      </c>
      <c r="AD27" s="88">
        <f>Assumptions!$B$23*R27</f>
        <v>1452043.6230592651</v>
      </c>
      <c r="AE27" s="88">
        <f t="shared" si="11"/>
        <v>-1368186.558497261</v>
      </c>
    </row>
    <row r="28" spans="1:31" x14ac:dyDescent="0.25">
      <c r="A28" s="1">
        <f t="shared" si="10"/>
        <v>23</v>
      </c>
      <c r="B28" s="30" t="s">
        <v>28</v>
      </c>
      <c r="C28" s="31">
        <f t="shared" si="3"/>
        <v>23</v>
      </c>
      <c r="D28" s="32">
        <f t="shared" si="1"/>
        <v>1.9166666666666667</v>
      </c>
      <c r="E28" s="32">
        <f t="shared" si="4"/>
        <v>8.3333333333333481E-2</v>
      </c>
      <c r="F28" s="31">
        <f t="shared" si="5"/>
        <v>0</v>
      </c>
      <c r="G28" s="36">
        <f>(G27*($K27/$K26)-L27)*(1+Assumptions!$B$15)^$F28</f>
        <v>755752797.12266648</v>
      </c>
      <c r="H28" s="36">
        <f>$H$6/$G$6*G28*(1+Assumptions!$B$16)^INT((C28-1)/12)*IF(B28="Monthly",1,12)</f>
        <v>68017.751741039989</v>
      </c>
      <c r="I28" s="40">
        <f>Assumptions!$B$14</f>
        <v>0.15</v>
      </c>
      <c r="J28" s="40">
        <f t="shared" si="6"/>
        <v>1.3451947011868914E-2</v>
      </c>
      <c r="K28" s="35">
        <f t="shared" si="7"/>
        <v>0.73235155430253707</v>
      </c>
      <c r="L28" s="93">
        <f>H28*Assumptions!$B$7+Assumptions!$K$9*G28*$E28</f>
        <v>65498.575750631149</v>
      </c>
      <c r="M28" s="36">
        <f>L28*Assumptions!$B$11</f>
        <v>13099.715150126231</v>
      </c>
      <c r="N28" s="36">
        <f>H28*Assumptions!$B$11</f>
        <v>13603.550348207998</v>
      </c>
      <c r="O28" s="36">
        <f>N28*Assumptions!$B$12</f>
        <v>1360.3550348208</v>
      </c>
      <c r="P28" s="36">
        <f>H28*Assumptions!$B$9</f>
        <v>5441.4201392831992</v>
      </c>
      <c r="Q28" s="36">
        <f>H28*Assumptions!$B$8</f>
        <v>3400.8875870519996</v>
      </c>
      <c r="R28" s="37">
        <f>(R29)/((1+Assumptions!$B$21)^$E29)+H29/IF(H$3="EOP",((1+Assumptions!$B$21)^$E29),1)</f>
        <v>9632072.7773565091</v>
      </c>
      <c r="S28" s="36">
        <f>(S29)/((1+Assumptions!$B$21)^$E29)+L29/IF(L$3="EOP",((1+Assumptions!$B$21)^$E29),1)</f>
        <v>4739280.6119005335</v>
      </c>
      <c r="T28" s="36">
        <f>(T29)/((1+Assumptions!$B$21)^$E29)+M29/IF(M$3="EOP",((1+Assumptions!$B$21)^$E29),1)</f>
        <v>947856.12238010683</v>
      </c>
      <c r="U28" s="36">
        <f>(U29)/((1+Assumptions!$B$21)^$E29)+N29/IF(N$3="EOP",((1+Assumptions!$B$21)^$E29),1)</f>
        <v>1926414.5554713018</v>
      </c>
      <c r="V28" s="36">
        <f>(V29)/((1+Assumptions!$B$21)^$E29)+O29/IF(O$3="EOP",((1+Assumptions!$B$21)^$E29),1)</f>
        <v>192641.45554713011</v>
      </c>
      <c r="W28" s="36">
        <f>(W29)/((1+Assumptions!$B$21)^$E29)+P29/IF(P$3="EOP",((1+Assumptions!$B$21)^$E29),1)</f>
        <v>770565.82218852045</v>
      </c>
      <c r="X28" s="36">
        <f>(X29)/((1+Assumptions!$B$21)^$E29)+Q29/IF(Q$3="EOP",((1+Assumptions!$B$21)^$E29),1)</f>
        <v>470828.10928356706</v>
      </c>
      <c r="Y28" s="38">
        <f t="shared" si="2"/>
        <v>-2865481.2564398232</v>
      </c>
      <c r="Z28" s="37">
        <f>H29*Assumptions!$B$7*Assumptions!$B$25/$E29/12</f>
        <v>41935.553548084725</v>
      </c>
      <c r="AA28" s="36">
        <f>Z28*Assumptions!$B$11</f>
        <v>8387.1107096169453</v>
      </c>
      <c r="AB28" s="39">
        <f t="shared" si="8"/>
        <v>33548.442838467781</v>
      </c>
      <c r="AC28" s="88">
        <f t="shared" si="9"/>
        <v>-2831932.8136013555</v>
      </c>
      <c r="AD28" s="88">
        <f>Assumptions!$B$23*R28</f>
        <v>1444810.9166034763</v>
      </c>
      <c r="AE28" s="88">
        <f t="shared" si="11"/>
        <v>-1387121.8969978793</v>
      </c>
    </row>
    <row r="29" spans="1:31" s="21" customFormat="1" x14ac:dyDescent="0.25">
      <c r="A29" s="21">
        <f t="shared" si="10"/>
        <v>24</v>
      </c>
      <c r="B29" s="41" t="s">
        <v>28</v>
      </c>
      <c r="C29" s="23">
        <f t="shared" si="3"/>
        <v>24</v>
      </c>
      <c r="D29" s="22">
        <f t="shared" si="1"/>
        <v>2</v>
      </c>
      <c r="E29" s="22">
        <f t="shared" si="4"/>
        <v>8.3333333333333259E-2</v>
      </c>
      <c r="F29" s="23">
        <f t="shared" si="5"/>
        <v>0</v>
      </c>
      <c r="G29" s="27">
        <f>(G28*($K28/$K27)-L28)*(1+Assumptions!$B$15)^$F29</f>
        <v>745520951.96595001</v>
      </c>
      <c r="H29" s="27">
        <f>$H$6/$G$6*G29*(1+Assumptions!$B$16)^INT((C29-1)/12)*IF(B29="Monthly",1,12)</f>
        <v>67096.885676935504</v>
      </c>
      <c r="I29" s="42">
        <f>Assumptions!$B$14</f>
        <v>0.15</v>
      </c>
      <c r="J29" s="42">
        <f t="shared" si="6"/>
        <v>1.3451947011868914E-2</v>
      </c>
      <c r="K29" s="43">
        <f t="shared" si="7"/>
        <v>0.72249999999999948</v>
      </c>
      <c r="L29" s="94">
        <f>H29*Assumptions!$B$7+Assumptions!$K$9*G29*$E29</f>
        <v>64611.815837048976</v>
      </c>
      <c r="M29" s="27">
        <f>L29*Assumptions!$B$11</f>
        <v>12922.363167409796</v>
      </c>
      <c r="N29" s="27">
        <f>H29*Assumptions!$B$11</f>
        <v>13419.377135387102</v>
      </c>
      <c r="O29" s="27">
        <f>N29*Assumptions!$B$12</f>
        <v>1341.9377135387103</v>
      </c>
      <c r="P29" s="27">
        <f>H29*Assumptions!$B$9</f>
        <v>5367.7508541548405</v>
      </c>
      <c r="Q29" s="27">
        <f>H29*Assumptions!$B$8</f>
        <v>3354.8442838467754</v>
      </c>
      <c r="R29" s="26">
        <f>(R30)/((1+Assumptions!$B$21)^$E30)+H30/IF(H$3="EOP",((1+Assumptions!$B$21)^$E30),1)</f>
        <v>9584678.1759414263</v>
      </c>
      <c r="S29" s="27">
        <f>(S30)/((1+Assumptions!$B$21)^$E30)+L30/IF(L$3="EOP",((1+Assumptions!$B$21)^$E30),1)</f>
        <v>4684430.9381608395</v>
      </c>
      <c r="T29" s="27">
        <f>(T30)/((1+Assumptions!$B$21)^$E30)+M30/IF(M$3="EOP",((1+Assumptions!$B$21)^$E30),1)</f>
        <v>936886.18763216806</v>
      </c>
      <c r="U29" s="27">
        <f>(U30)/((1+Assumptions!$B$21)^$E30)+N30/IF(N$3="EOP",((1+Assumptions!$B$21)^$E30),1)</f>
        <v>1916935.6351882853</v>
      </c>
      <c r="V29" s="27">
        <f>(V30)/((1+Assumptions!$B$21)^$E30)+O30/IF(O$3="EOP",((1+Assumptions!$B$21)^$E30),1)</f>
        <v>191693.56351882848</v>
      </c>
      <c r="W29" s="27">
        <f>(W30)/((1+Assumptions!$B$21)^$E30)+P30/IF(P$3="EOP",((1+Assumptions!$B$21)^$E30),1)</f>
        <v>766774.25407531392</v>
      </c>
      <c r="X29" s="27">
        <f>(X30)/((1+Assumptions!$B$21)^$E30)+Q30/IF(Q$3="EOP",((1+Assumptions!$B$21)^$E30),1)</f>
        <v>468443.09381608403</v>
      </c>
      <c r="Y29" s="28">
        <f t="shared" si="2"/>
        <v>-2876674.0058519002</v>
      </c>
      <c r="Z29" s="26">
        <f>H30*Assumptions!$B$7*Assumptions!$B$25/$E30/12</f>
        <v>45570.773204984434</v>
      </c>
      <c r="AA29" s="27">
        <f>Z29*Assumptions!$B$11</f>
        <v>9114.1546409968869</v>
      </c>
      <c r="AB29" s="29">
        <f t="shared" si="8"/>
        <v>36456.618563987548</v>
      </c>
      <c r="AC29" s="87">
        <f t="shared" si="9"/>
        <v>-2840217.3872879129</v>
      </c>
      <c r="AD29" s="87">
        <f>Assumptions!$B$23*R29</f>
        <v>1437701.7263912139</v>
      </c>
      <c r="AE29" s="87">
        <f t="shared" si="11"/>
        <v>-1402515.6608966989</v>
      </c>
    </row>
    <row r="30" spans="1:31" x14ac:dyDescent="0.25">
      <c r="A30" s="1">
        <f t="shared" si="10"/>
        <v>25</v>
      </c>
      <c r="B30" s="30" t="s">
        <v>28</v>
      </c>
      <c r="C30" s="31">
        <f t="shared" si="3"/>
        <v>25</v>
      </c>
      <c r="D30" s="32">
        <f t="shared" si="1"/>
        <v>2.0833333333333335</v>
      </c>
      <c r="E30" s="32">
        <f t="shared" si="4"/>
        <v>8.3333333333333481E-2</v>
      </c>
      <c r="F30" s="31">
        <f t="shared" si="5"/>
        <v>1</v>
      </c>
      <c r="G30" s="36">
        <f>(G29*($K29/$K28)-L29)*(1+Assumptions!$B$15)^$F30</f>
        <v>750136184.44418955</v>
      </c>
      <c r="H30" s="36">
        <f>$H$6/$G$6*G30*(1+Assumptions!$B$16)^INT((C30-1)/12)*IF(B30="Monthly",1,12)</f>
        <v>72913.237127975226</v>
      </c>
      <c r="I30" s="40">
        <f>Assumptions!$B$14</f>
        <v>0.15</v>
      </c>
      <c r="J30" s="40">
        <f t="shared" si="6"/>
        <v>1.3451947011868914E-2</v>
      </c>
      <c r="K30" s="35">
        <f t="shared" si="7"/>
        <v>0.71278096828392423</v>
      </c>
      <c r="L30" s="37">
        <f>H30*Assumptions!$B$7</f>
        <v>36456.618563987613</v>
      </c>
      <c r="M30" s="36">
        <f>L30*Assumptions!$B$11</f>
        <v>7291.3237127975226</v>
      </c>
      <c r="N30" s="36">
        <f>H30*Assumptions!$B$11</f>
        <v>14582.647425595045</v>
      </c>
      <c r="O30" s="36">
        <f>N30*Assumptions!$B$12</f>
        <v>1458.2647425595046</v>
      </c>
      <c r="P30" s="36">
        <f>H30*Assumptions!$B$9</f>
        <v>5833.0589702380184</v>
      </c>
      <c r="Q30" s="36">
        <f>H30*Assumptions!$B$8</f>
        <v>3645.6618563987613</v>
      </c>
      <c r="R30" s="37">
        <f>(R31)/((1+Assumptions!$B$21)^$E31)+H31/IF(H$3="EOP",((1+Assumptions!$B$21)^$E31),1)</f>
        <v>9531357.6172246411</v>
      </c>
      <c r="S30" s="36">
        <f>(S31)/((1+Assumptions!$B$21)^$E31)+L31/IF(L$3="EOP",((1+Assumptions!$B$21)^$E31),1)</f>
        <v>4657623.4803468501</v>
      </c>
      <c r="T30" s="36">
        <f>(T31)/((1+Assumptions!$B$21)^$E31)+M31/IF(M$3="EOP",((1+Assumptions!$B$21)^$E31),1)</f>
        <v>931524.69606937014</v>
      </c>
      <c r="U30" s="36">
        <f>(U31)/((1+Assumptions!$B$21)^$E31)+N31/IF(N$3="EOP",((1+Assumptions!$B$21)^$E31),1)</f>
        <v>1906271.523444928</v>
      </c>
      <c r="V30" s="36">
        <f>(V31)/((1+Assumptions!$B$21)^$E31)+O31/IF(O$3="EOP",((1+Assumptions!$B$21)^$E31),1)</f>
        <v>190627.15234449276</v>
      </c>
      <c r="W30" s="36">
        <f>(W31)/((1+Assumptions!$B$21)^$E31)+P31/IF(P$3="EOP",((1+Assumptions!$B$21)^$E31),1)</f>
        <v>762508.60937797104</v>
      </c>
      <c r="X30" s="36">
        <f>(X31)/((1+Assumptions!$B$21)^$E31)+Q31/IF(Q$3="EOP",((1+Assumptions!$B$21)^$E31),1)</f>
        <v>465762.34803468507</v>
      </c>
      <c r="Y30" s="38">
        <f t="shared" si="2"/>
        <v>-2861343.5044340696</v>
      </c>
      <c r="Z30" s="37">
        <f>H31*Assumptions!$B$7*Assumptions!$B$25/$E31/12</f>
        <v>44955.542838963571</v>
      </c>
      <c r="AA30" s="36">
        <f>Z30*Assumptions!$B$11</f>
        <v>8991.1085677927149</v>
      </c>
      <c r="AB30" s="39">
        <f t="shared" si="8"/>
        <v>35964.43427117086</v>
      </c>
      <c r="AC30" s="88">
        <f t="shared" si="9"/>
        <v>-2825379.0701628989</v>
      </c>
      <c r="AD30" s="88">
        <f>Assumptions!$B$23*R30</f>
        <v>1429703.6425836962</v>
      </c>
      <c r="AE30" s="88">
        <f t="shared" si="11"/>
        <v>-1395675.4275792027</v>
      </c>
    </row>
    <row r="31" spans="1:31" x14ac:dyDescent="0.25">
      <c r="A31" s="1">
        <f t="shared" si="10"/>
        <v>26</v>
      </c>
      <c r="B31" s="30" t="s">
        <v>28</v>
      </c>
      <c r="C31" s="31">
        <f t="shared" si="3"/>
        <v>26</v>
      </c>
      <c r="D31" s="32">
        <f t="shared" si="1"/>
        <v>2.1666666666666665</v>
      </c>
      <c r="E31" s="32">
        <f t="shared" si="4"/>
        <v>8.3333333333333037E-2</v>
      </c>
      <c r="F31" s="31">
        <f t="shared" si="5"/>
        <v>0</v>
      </c>
      <c r="G31" s="36">
        <f>(G30*($K30/$K29)-L30)*(1+Assumptions!$B$15)^$F31</f>
        <v>740008935.6207968</v>
      </c>
      <c r="H31" s="36">
        <f>$H$6/$G$6*G31*(1+Assumptions!$B$16)^INT((C31-1)/12)*IF(B31="Monthly",1,12)</f>
        <v>71928.868542341457</v>
      </c>
      <c r="I31" s="40">
        <f>Assumptions!$B$14</f>
        <v>0.15</v>
      </c>
      <c r="J31" s="40">
        <f t="shared" si="6"/>
        <v>1.3451947011868803E-2</v>
      </c>
      <c r="K31" s="35">
        <f t="shared" si="7"/>
        <v>0.70319267646750039</v>
      </c>
      <c r="L31" s="37">
        <f>H31*Assumptions!$B$7</f>
        <v>35964.434271170729</v>
      </c>
      <c r="M31" s="36">
        <f>L31*Assumptions!$B$11</f>
        <v>7192.8868542341461</v>
      </c>
      <c r="N31" s="36">
        <f>H31*Assumptions!$B$11</f>
        <v>14385.773708468292</v>
      </c>
      <c r="O31" s="36">
        <f>N31*Assumptions!$B$12</f>
        <v>1438.5773708468294</v>
      </c>
      <c r="P31" s="36">
        <f>H31*Assumptions!$B$9</f>
        <v>5754.3094833873165</v>
      </c>
      <c r="Q31" s="36">
        <f>H31*Assumptions!$B$8</f>
        <v>3596.443427117073</v>
      </c>
      <c r="R31" s="37">
        <f>(R32)/((1+Assumptions!$B$21)^$E32)+H32/IF(H$3="EOP",((1+Assumptions!$B$21)^$E32),1)</f>
        <v>9478913.6231108289</v>
      </c>
      <c r="S31" s="36">
        <f>(S32)/((1+Assumptions!$B$21)^$E32)+L32/IF(L$3="EOP",((1+Assumptions!$B$21)^$E32),1)</f>
        <v>4631252.9878517697</v>
      </c>
      <c r="T31" s="36">
        <f>(T32)/((1+Assumptions!$B$21)^$E32)+M32/IF(M$3="EOP",((1+Assumptions!$B$21)^$E32),1)</f>
        <v>926250.59757035389</v>
      </c>
      <c r="U31" s="36">
        <f>(U32)/((1+Assumptions!$B$21)^$E32)+N32/IF(N$3="EOP",((1+Assumptions!$B$21)^$E32),1)</f>
        <v>1895782.7246221656</v>
      </c>
      <c r="V31" s="36">
        <f>(V32)/((1+Assumptions!$B$21)^$E32)+O32/IF(O$3="EOP",((1+Assumptions!$B$21)^$E32),1)</f>
        <v>189578.27246221653</v>
      </c>
      <c r="W31" s="36">
        <f>(W32)/((1+Assumptions!$B$21)^$E32)+P32/IF(P$3="EOP",((1+Assumptions!$B$21)^$E32),1)</f>
        <v>758313.0898488661</v>
      </c>
      <c r="X31" s="36">
        <f>(X32)/((1+Assumptions!$B$21)^$E32)+Q32/IF(Q$3="EOP",((1+Assumptions!$B$21)^$E32),1)</f>
        <v>463125.29878517694</v>
      </c>
      <c r="Y31" s="38">
        <f t="shared" si="2"/>
        <v>-2846268.392035421</v>
      </c>
      <c r="Z31" s="37">
        <f>H32*Assumptions!$B$7*Assumptions!$B$25/$E32/12</f>
        <v>44348.618419421829</v>
      </c>
      <c r="AA31" s="36">
        <f>Z31*Assumptions!$B$11</f>
        <v>8869.7236838843655</v>
      </c>
      <c r="AB31" s="39">
        <f t="shared" si="8"/>
        <v>35478.894735537462</v>
      </c>
      <c r="AC31" s="88">
        <f t="shared" si="9"/>
        <v>-2810789.4972998835</v>
      </c>
      <c r="AD31" s="88">
        <f>Assumptions!$B$23*R31</f>
        <v>1421837.0434666243</v>
      </c>
      <c r="AE31" s="88">
        <f t="shared" si="11"/>
        <v>-1388952.4538332592</v>
      </c>
    </row>
    <row r="32" spans="1:31" x14ac:dyDescent="0.25">
      <c r="A32" s="1">
        <f t="shared" si="10"/>
        <v>27</v>
      </c>
      <c r="B32" s="30" t="s">
        <v>28</v>
      </c>
      <c r="C32" s="31">
        <f t="shared" si="3"/>
        <v>27</v>
      </c>
      <c r="D32" s="32">
        <f t="shared" si="1"/>
        <v>2.25</v>
      </c>
      <c r="E32" s="32">
        <f t="shared" si="4"/>
        <v>8.3333333333333481E-2</v>
      </c>
      <c r="F32" s="31">
        <f t="shared" si="5"/>
        <v>0</v>
      </c>
      <c r="G32" s="36">
        <f>(G31*($K31/$K30)-L31)*(1+Assumptions!$B$15)^$F32</f>
        <v>730018410.19624531</v>
      </c>
      <c r="H32" s="36">
        <f>$H$6/$G$6*G32*(1+Assumptions!$B$16)^INT((C32-1)/12)*IF(B32="Monthly",1,12)</f>
        <v>70957.789471075055</v>
      </c>
      <c r="I32" s="40">
        <f>Assumptions!$B$14</f>
        <v>0.15</v>
      </c>
      <c r="J32" s="40">
        <f t="shared" si="6"/>
        <v>1.3451947011868914E-2</v>
      </c>
      <c r="K32" s="35">
        <f t="shared" si="7"/>
        <v>0.69373336584452527</v>
      </c>
      <c r="L32" s="37">
        <f>H32*Assumptions!$B$7</f>
        <v>35478.894735537528</v>
      </c>
      <c r="M32" s="36">
        <f>L32*Assumptions!$B$11</f>
        <v>7095.7789471075057</v>
      </c>
      <c r="N32" s="36">
        <f>H32*Assumptions!$B$11</f>
        <v>14191.557894215011</v>
      </c>
      <c r="O32" s="36">
        <f>N32*Assumptions!$B$12</f>
        <v>1419.1557894215011</v>
      </c>
      <c r="P32" s="36">
        <f>H32*Assumptions!$B$9</f>
        <v>5676.6231576860046</v>
      </c>
      <c r="Q32" s="36">
        <f>H32*Assumptions!$B$8</f>
        <v>3547.8894735537529</v>
      </c>
      <c r="R32" s="37">
        <f>(R33)/((1+Assumptions!$B$21)^$E33)+H33/IF(H$3="EOP",((1+Assumptions!$B$21)^$E33),1)</f>
        <v>9427334.6822909657</v>
      </c>
      <c r="S32" s="36">
        <f>(S33)/((1+Assumptions!$B$21)^$E33)+L33/IF(L$3="EOP",((1+Assumptions!$B$21)^$E33),1)</f>
        <v>4605313.7159954282</v>
      </c>
      <c r="T32" s="36">
        <f>(T33)/((1+Assumptions!$B$21)^$E33)+M33/IF(M$3="EOP",((1+Assumptions!$B$21)^$E33),1)</f>
        <v>921062.74319908558</v>
      </c>
      <c r="U32" s="36">
        <f>(U33)/((1+Assumptions!$B$21)^$E33)+N33/IF(N$3="EOP",((1+Assumptions!$B$21)^$E33),1)</f>
        <v>1885466.936458193</v>
      </c>
      <c r="V32" s="36">
        <f>(V33)/((1+Assumptions!$B$21)^$E33)+O33/IF(O$3="EOP",((1+Assumptions!$B$21)^$E33),1)</f>
        <v>188546.69364581926</v>
      </c>
      <c r="W32" s="36">
        <f>(W33)/((1+Assumptions!$B$21)^$E33)+P33/IF(P$3="EOP",((1+Assumptions!$B$21)^$E33),1)</f>
        <v>754186.77458327706</v>
      </c>
      <c r="X32" s="36">
        <f>(X33)/((1+Assumptions!$B$21)^$E33)+Q33/IF(Q$3="EOP",((1+Assumptions!$B$21)^$E33),1)</f>
        <v>460531.37159954279</v>
      </c>
      <c r="Y32" s="38">
        <f t="shared" si="2"/>
        <v>-2831445.3204994295</v>
      </c>
      <c r="Z32" s="37">
        <f>H33*Assumptions!$B$7*Assumptions!$B$25/$E33/12</f>
        <v>43749.887811538989</v>
      </c>
      <c r="AA32" s="36">
        <f>Z32*Assumptions!$B$11</f>
        <v>8749.9775623077985</v>
      </c>
      <c r="AB32" s="39">
        <f t="shared" si="8"/>
        <v>34999.910249231194</v>
      </c>
      <c r="AC32" s="88">
        <f t="shared" si="9"/>
        <v>-2796445.4102501981</v>
      </c>
      <c r="AD32" s="88">
        <f>Assumptions!$B$23*R32</f>
        <v>1414100.2023436448</v>
      </c>
      <c r="AE32" s="88">
        <f t="shared" si="11"/>
        <v>-1382345.2079065533</v>
      </c>
    </row>
    <row r="33" spans="1:31" x14ac:dyDescent="0.25">
      <c r="A33" s="1">
        <f t="shared" si="10"/>
        <v>28</v>
      </c>
      <c r="B33" s="30" t="s">
        <v>28</v>
      </c>
      <c r="C33" s="31">
        <f t="shared" si="3"/>
        <v>28</v>
      </c>
      <c r="D33" s="32">
        <f t="shared" si="1"/>
        <v>2.3333333333333335</v>
      </c>
      <c r="E33" s="32">
        <f t="shared" si="4"/>
        <v>8.3333333333333481E-2</v>
      </c>
      <c r="F33" s="31">
        <f t="shared" si="5"/>
        <v>0</v>
      </c>
      <c r="G33" s="36">
        <f>(G32*($K32/$K31)-L32)*(1+Assumptions!$B$15)^$F33</f>
        <v>720162762.32986104</v>
      </c>
      <c r="H33" s="36">
        <f>$H$6/$G$6*G33*(1+Assumptions!$B$16)^INT((C33-1)/12)*IF(B33="Monthly",1,12)</f>
        <v>69999.820498462504</v>
      </c>
      <c r="I33" s="40">
        <f>Assumptions!$B$14</f>
        <v>0.15</v>
      </c>
      <c r="J33" s="40">
        <f t="shared" si="6"/>
        <v>1.3451947011868914E-2</v>
      </c>
      <c r="K33" s="35">
        <f t="shared" si="7"/>
        <v>0.6844013013668192</v>
      </c>
      <c r="L33" s="37">
        <f>H33*Assumptions!$B$7</f>
        <v>34999.910249231252</v>
      </c>
      <c r="M33" s="36">
        <f>L33*Assumptions!$B$11</f>
        <v>6999.9820498462504</v>
      </c>
      <c r="N33" s="36">
        <f>H33*Assumptions!$B$11</f>
        <v>13999.964099692501</v>
      </c>
      <c r="O33" s="36">
        <f>N33*Assumptions!$B$12</f>
        <v>1399.9964099692502</v>
      </c>
      <c r="P33" s="36">
        <f>H33*Assumptions!$B$9</f>
        <v>5599.9856398770007</v>
      </c>
      <c r="Q33" s="36">
        <f>H33*Assumptions!$B$8</f>
        <v>3499.9910249231252</v>
      </c>
      <c r="R33" s="37">
        <f>(R34)/((1+Assumptions!$B$21)^$E34)+H34/IF(H$3="EOP",((1+Assumptions!$B$21)^$E34),1)</f>
        <v>9376609.4395298883</v>
      </c>
      <c r="S33" s="36">
        <f>(S34)/((1+Assumptions!$B$21)^$E34)+L34/IF(L$3="EOP",((1+Assumptions!$B$21)^$E34),1)</f>
        <v>4579799.9979724092</v>
      </c>
      <c r="T33" s="36">
        <f>(T34)/((1+Assumptions!$B$21)^$E34)+M34/IF(M$3="EOP",((1+Assumptions!$B$21)^$E34),1)</f>
        <v>915959.99959448189</v>
      </c>
      <c r="U33" s="36">
        <f>(U34)/((1+Assumptions!$B$21)^$E34)+N34/IF(N$3="EOP",((1+Assumptions!$B$21)^$E34),1)</f>
        <v>1875321.8879059779</v>
      </c>
      <c r="V33" s="36">
        <f>(V34)/((1+Assumptions!$B$21)^$E34)+O34/IF(O$3="EOP",((1+Assumptions!$B$21)^$E34),1)</f>
        <v>187532.18879059772</v>
      </c>
      <c r="W33" s="36">
        <f>(W34)/((1+Assumptions!$B$21)^$E34)+P34/IF(P$3="EOP",((1+Assumptions!$B$21)^$E34),1)</f>
        <v>750128.75516239088</v>
      </c>
      <c r="X33" s="36">
        <f>(X34)/((1+Assumptions!$B$21)^$E34)+Q34/IF(Q$3="EOP",((1+Assumptions!$B$21)^$E34),1)</f>
        <v>457979.99979724095</v>
      </c>
      <c r="Y33" s="38">
        <f t="shared" si="2"/>
        <v>-2816870.9870769493</v>
      </c>
      <c r="Z33" s="37">
        <f>H34*Assumptions!$B$7*Assumptions!$B$25/$E34/12</f>
        <v>43159.240394375534</v>
      </c>
      <c r="AA33" s="36">
        <f>Z33*Assumptions!$B$11</f>
        <v>8631.8480788751076</v>
      </c>
      <c r="AB33" s="39">
        <f t="shared" si="8"/>
        <v>34527.39231550043</v>
      </c>
      <c r="AC33" s="88">
        <f t="shared" si="9"/>
        <v>-2782343.5947614489</v>
      </c>
      <c r="AD33" s="88">
        <f>Assumptions!$B$23*R33</f>
        <v>1406491.4159294832</v>
      </c>
      <c r="AE33" s="88">
        <f t="shared" si="11"/>
        <v>-1375852.1788319657</v>
      </c>
    </row>
    <row r="34" spans="1:31" x14ac:dyDescent="0.25">
      <c r="A34" s="1">
        <f t="shared" si="10"/>
        <v>29</v>
      </c>
      <c r="B34" s="30" t="s">
        <v>28</v>
      </c>
      <c r="C34" s="31">
        <f t="shared" si="3"/>
        <v>29</v>
      </c>
      <c r="D34" s="32">
        <f t="shared" si="1"/>
        <v>2.4166666666666665</v>
      </c>
      <c r="E34" s="32">
        <f t="shared" si="4"/>
        <v>8.3333333333333037E-2</v>
      </c>
      <c r="F34" s="31">
        <f t="shared" si="5"/>
        <v>0</v>
      </c>
      <c r="G34" s="36">
        <f>(G33*($K33/$K32)-L33)*(1+Assumptions!$B$15)^$F34</f>
        <v>710440171.10082924</v>
      </c>
      <c r="H34" s="36">
        <f>$H$6/$G$6*G34*(1+Assumptions!$B$16)^INT((C34-1)/12)*IF(B34="Monthly",1,12)</f>
        <v>69054.784631000613</v>
      </c>
      <c r="I34" s="40">
        <f>Assumptions!$B$14</f>
        <v>0.15</v>
      </c>
      <c r="J34" s="40">
        <f t="shared" si="6"/>
        <v>1.3451947011868803E-2</v>
      </c>
      <c r="K34" s="35">
        <f t="shared" si="7"/>
        <v>0.67519477132597872</v>
      </c>
      <c r="L34" s="37">
        <f>H34*Assumptions!$B$7</f>
        <v>34527.392315500307</v>
      </c>
      <c r="M34" s="36">
        <f>L34*Assumptions!$B$11</f>
        <v>6905.4784631000621</v>
      </c>
      <c r="N34" s="36">
        <f>H34*Assumptions!$B$11</f>
        <v>13810.956926200124</v>
      </c>
      <c r="O34" s="36">
        <f>N34*Assumptions!$B$12</f>
        <v>1381.0956926200124</v>
      </c>
      <c r="P34" s="36">
        <f>H34*Assumptions!$B$9</f>
        <v>5524.3827704800487</v>
      </c>
      <c r="Q34" s="36">
        <f>H34*Assumptions!$B$8</f>
        <v>3452.739231550031</v>
      </c>
      <c r="R34" s="37">
        <f>(R35)/((1+Assumptions!$B$21)^$E35)+H35/IF(H$3="EOP",((1+Assumptions!$B$21)^$E35),1)</f>
        <v>9326726.693560591</v>
      </c>
      <c r="S34" s="36">
        <f>(S35)/((1+Assumptions!$B$21)^$E35)+L35/IF(L$3="EOP",((1+Assumptions!$B$21)^$E35),1)</f>
        <v>4554706.2438013582</v>
      </c>
      <c r="T34" s="36">
        <f>(T35)/((1+Assumptions!$B$21)^$E35)+M35/IF(M$3="EOP",((1+Assumptions!$B$21)^$E35),1)</f>
        <v>910941.2487602717</v>
      </c>
      <c r="U34" s="36">
        <f>(U35)/((1+Assumptions!$B$21)^$E35)+N35/IF(N$3="EOP",((1+Assumptions!$B$21)^$E35),1)</f>
        <v>1865345.3387121188</v>
      </c>
      <c r="V34" s="36">
        <f>(V35)/((1+Assumptions!$B$21)^$E35)+O35/IF(O$3="EOP",((1+Assumptions!$B$21)^$E35),1)</f>
        <v>186534.53387121181</v>
      </c>
      <c r="W34" s="36">
        <f>(W35)/((1+Assumptions!$B$21)^$E35)+P35/IF(P$3="EOP",((1+Assumptions!$B$21)^$E35),1)</f>
        <v>746138.13548484724</v>
      </c>
      <c r="X34" s="36">
        <f>(X35)/((1+Assumptions!$B$21)^$E35)+Q35/IF(Q$3="EOP",((1+Assumptions!$B$21)^$E35),1)</f>
        <v>455470.62438013585</v>
      </c>
      <c r="Y34" s="38">
        <f t="shared" si="2"/>
        <v>-2802542.133813615</v>
      </c>
      <c r="Z34" s="37">
        <f>H35*Assumptions!$B$7*Assumptions!$B$25/$E35/12</f>
        <v>42576.567040434493</v>
      </c>
      <c r="AA34" s="36">
        <f>Z34*Assumptions!$B$11</f>
        <v>8515.3134080868986</v>
      </c>
      <c r="AB34" s="39">
        <f t="shared" si="8"/>
        <v>34061.253632347594</v>
      </c>
      <c r="AC34" s="88">
        <f t="shared" si="9"/>
        <v>-2768480.8801812674</v>
      </c>
      <c r="AD34" s="88">
        <f>Assumptions!$B$23*R34</f>
        <v>1399009.0040340887</v>
      </c>
      <c r="AE34" s="88">
        <f t="shared" si="11"/>
        <v>-1369471.8761471787</v>
      </c>
    </row>
    <row r="35" spans="1:31" x14ac:dyDescent="0.25">
      <c r="A35" s="1">
        <f t="shared" si="10"/>
        <v>30</v>
      </c>
      <c r="B35" s="30" t="s">
        <v>28</v>
      </c>
      <c r="C35" s="31">
        <f t="shared" si="3"/>
        <v>30</v>
      </c>
      <c r="D35" s="32">
        <f t="shared" si="1"/>
        <v>2.5</v>
      </c>
      <c r="E35" s="32">
        <f t="shared" si="4"/>
        <v>8.3333333333333481E-2</v>
      </c>
      <c r="F35" s="31">
        <f t="shared" si="5"/>
        <v>0</v>
      </c>
      <c r="G35" s="36">
        <f>(G34*($K34/$K33)-L34)*(1+Assumptions!$B$15)^$F35</f>
        <v>700848840.17176235</v>
      </c>
      <c r="H35" s="36">
        <f>$H$6/$G$6*G35*(1+Assumptions!$B$16)^INT((C35-1)/12)*IF(B35="Monthly",1,12)</f>
        <v>68122.507264695305</v>
      </c>
      <c r="I35" s="40">
        <f>Assumptions!$B$14</f>
        <v>0.15</v>
      </c>
      <c r="J35" s="40">
        <f t="shared" si="6"/>
        <v>1.3451947011868914E-2</v>
      </c>
      <c r="K35" s="35">
        <f t="shared" si="7"/>
        <v>0.66611208703941072</v>
      </c>
      <c r="L35" s="37">
        <f>H35*Assumptions!$B$7</f>
        <v>34061.253632347652</v>
      </c>
      <c r="M35" s="36">
        <f>L35*Assumptions!$B$11</f>
        <v>6812.2507264695305</v>
      </c>
      <c r="N35" s="36">
        <f>H35*Assumptions!$B$11</f>
        <v>13624.501452939061</v>
      </c>
      <c r="O35" s="36">
        <f>N35*Assumptions!$B$12</f>
        <v>1362.4501452939062</v>
      </c>
      <c r="P35" s="36">
        <f>H35*Assumptions!$B$9</f>
        <v>5449.8005811756248</v>
      </c>
      <c r="Q35" s="36">
        <f>H35*Assumptions!$B$8</f>
        <v>3406.1253632347652</v>
      </c>
      <c r="R35" s="37">
        <f>(R36)/((1+Assumptions!$B$21)^$E36)+H36/IF(H$3="EOP",((1+Assumptions!$B$21)^$E36),1)</f>
        <v>9277675.3950069472</v>
      </c>
      <c r="S35" s="36">
        <f>(S36)/((1+Assumptions!$B$21)^$E36)+L36/IF(L$3="EOP",((1+Assumptions!$B$21)^$E36),1)</f>
        <v>4530026.9392884728</v>
      </c>
      <c r="T35" s="36">
        <f>(T36)/((1+Assumptions!$B$21)^$E36)+M36/IF(M$3="EOP",((1+Assumptions!$B$21)^$E36),1)</f>
        <v>906005.38785769464</v>
      </c>
      <c r="U35" s="36">
        <f>(U36)/((1+Assumptions!$B$21)^$E36)+N36/IF(N$3="EOP",((1+Assumptions!$B$21)^$E36),1)</f>
        <v>1855535.0790013901</v>
      </c>
      <c r="V35" s="36">
        <f>(V36)/((1+Assumptions!$B$21)^$E36)+O36/IF(O$3="EOP",((1+Assumptions!$B$21)^$E36),1)</f>
        <v>185553.50790013897</v>
      </c>
      <c r="W35" s="36">
        <f>(W36)/((1+Assumptions!$B$21)^$E36)+P36/IF(P$3="EOP",((1+Assumptions!$B$21)^$E36),1)</f>
        <v>742214.03160055587</v>
      </c>
      <c r="X35" s="36">
        <f>(X36)/((1+Assumptions!$B$21)^$E36)+Q36/IF(Q$3="EOP",((1+Assumptions!$B$21)^$E36),1)</f>
        <v>453002.69392884732</v>
      </c>
      <c r="Y35" s="38">
        <f t="shared" si="2"/>
        <v>-2788455.5469455142</v>
      </c>
      <c r="Z35" s="37">
        <f>H36*Assumptions!$B$7*Assumptions!$B$25/$E36/12</f>
        <v>42001.760095501122</v>
      </c>
      <c r="AA35" s="36">
        <f>Z35*Assumptions!$B$11</f>
        <v>8400.3520191002244</v>
      </c>
      <c r="AB35" s="39">
        <f t="shared" si="8"/>
        <v>33601.408076400898</v>
      </c>
      <c r="AC35" s="88">
        <f t="shared" si="9"/>
        <v>-2754854.1388691133</v>
      </c>
      <c r="AD35" s="88">
        <f>Assumptions!$B$23*R35</f>
        <v>1391651.3092510421</v>
      </c>
      <c r="AE35" s="88">
        <f t="shared" si="11"/>
        <v>-1363202.8296180712</v>
      </c>
    </row>
    <row r="36" spans="1:31" x14ac:dyDescent="0.25">
      <c r="A36" s="1">
        <f t="shared" si="10"/>
        <v>31</v>
      </c>
      <c r="B36" s="30" t="s">
        <v>28</v>
      </c>
      <c r="C36" s="31">
        <f t="shared" si="3"/>
        <v>31</v>
      </c>
      <c r="D36" s="32">
        <f t="shared" si="1"/>
        <v>2.5833333333333335</v>
      </c>
      <c r="E36" s="32">
        <f t="shared" si="4"/>
        <v>8.3333333333333481E-2</v>
      </c>
      <c r="F36" s="31">
        <f t="shared" si="5"/>
        <v>0</v>
      </c>
      <c r="G36" s="36">
        <f>(G35*($K35/$K34)-L35)*(1+Assumptions!$B$15)^$F36</f>
        <v>691386997.45680976</v>
      </c>
      <c r="H36" s="36">
        <f>$H$6/$G$6*G36*(1+Assumptions!$B$16)^INT((C36-1)/12)*IF(B36="Monthly",1,12)</f>
        <v>67202.816152801912</v>
      </c>
      <c r="I36" s="40">
        <f>Assumptions!$B$14</f>
        <v>0.15</v>
      </c>
      <c r="J36" s="40">
        <f t="shared" si="6"/>
        <v>1.3451947011868914E-2</v>
      </c>
      <c r="K36" s="35">
        <f t="shared" si="7"/>
        <v>0.65715158254059114</v>
      </c>
      <c r="L36" s="37">
        <f>H36*Assumptions!$B$7</f>
        <v>33601.408076400956</v>
      </c>
      <c r="M36" s="36">
        <f>L36*Assumptions!$B$11</f>
        <v>6720.2816152801915</v>
      </c>
      <c r="N36" s="36">
        <f>H36*Assumptions!$B$11</f>
        <v>13440.563230560383</v>
      </c>
      <c r="O36" s="36">
        <f>N36*Assumptions!$B$12</f>
        <v>1344.0563230560383</v>
      </c>
      <c r="P36" s="36">
        <f>H36*Assumptions!$B$9</f>
        <v>5376.2252922241532</v>
      </c>
      <c r="Q36" s="36">
        <f>H36*Assumptions!$B$8</f>
        <v>3360.1408076400958</v>
      </c>
      <c r="R36" s="37">
        <f>(R37)/((1+Assumptions!$B$21)^$E37)+H37/IF(H$3="EOP",((1+Assumptions!$B$21)^$E37),1)</f>
        <v>9229444.6443344634</v>
      </c>
      <c r="S36" s="36">
        <f>(S37)/((1+Assumptions!$B$21)^$E37)+L37/IF(L$3="EOP",((1+Assumptions!$B$21)^$E37),1)</f>
        <v>4505756.645004984</v>
      </c>
      <c r="T36" s="36">
        <f>(T37)/((1+Assumptions!$B$21)^$E37)+M37/IF(M$3="EOP",((1+Assumptions!$B$21)^$E37),1)</f>
        <v>901151.32900099677</v>
      </c>
      <c r="U36" s="36">
        <f>(U37)/((1+Assumptions!$B$21)^$E37)+N37/IF(N$3="EOP",((1+Assumptions!$B$21)^$E37),1)</f>
        <v>1845888.9288668933</v>
      </c>
      <c r="V36" s="36">
        <f>(V37)/((1+Assumptions!$B$21)^$E37)+O37/IF(O$3="EOP",((1+Assumptions!$B$21)^$E37),1)</f>
        <v>184588.89288668928</v>
      </c>
      <c r="W36" s="36">
        <f>(W37)/((1+Assumptions!$B$21)^$E37)+P37/IF(P$3="EOP",((1+Assumptions!$B$21)^$E37),1)</f>
        <v>738355.57154675713</v>
      </c>
      <c r="X36" s="36">
        <f>(X37)/((1+Assumptions!$B$21)^$E37)+Q37/IF(Q$3="EOP",((1+Assumptions!$B$21)^$E37),1)</f>
        <v>450575.66450049839</v>
      </c>
      <c r="Y36" s="38">
        <f t="shared" si="2"/>
        <v>-2774608.0563030168</v>
      </c>
      <c r="Z36" s="37">
        <f>H37*Assumptions!$B$7*Assumptions!$B$25/$E37/12</f>
        <v>41434.713358750785</v>
      </c>
      <c r="AA36" s="36">
        <f>Z36*Assumptions!$B$11</f>
        <v>8286.9426717501574</v>
      </c>
      <c r="AB36" s="39">
        <f t="shared" si="8"/>
        <v>33147.77068700063</v>
      </c>
      <c r="AC36" s="88">
        <f t="shared" si="9"/>
        <v>-2741460.285616016</v>
      </c>
      <c r="AD36" s="88">
        <f>Assumptions!$B$23*R36</f>
        <v>1384416.6966501696</v>
      </c>
      <c r="AE36" s="88">
        <f t="shared" si="11"/>
        <v>-1357043.5889658465</v>
      </c>
    </row>
    <row r="37" spans="1:31" x14ac:dyDescent="0.25">
      <c r="A37" s="1">
        <f t="shared" si="10"/>
        <v>32</v>
      </c>
      <c r="B37" s="30" t="s">
        <v>28</v>
      </c>
      <c r="C37" s="31">
        <f t="shared" si="3"/>
        <v>32</v>
      </c>
      <c r="D37" s="32">
        <f t="shared" si="1"/>
        <v>2.6666666666666665</v>
      </c>
      <c r="E37" s="32">
        <f t="shared" si="4"/>
        <v>8.3333333333333037E-2</v>
      </c>
      <c r="F37" s="31">
        <f t="shared" si="5"/>
        <v>0</v>
      </c>
      <c r="G37" s="36">
        <f>(G36*($K36/$K35)-L36)*(1+Assumptions!$B$15)^$F37</f>
        <v>682052894.79424918</v>
      </c>
      <c r="H37" s="36">
        <f>$H$6/$G$6*G37*(1+Assumptions!$B$16)^INT((C37-1)/12)*IF(B37="Monthly",1,12)</f>
        <v>66295.541374001026</v>
      </c>
      <c r="I37" s="40">
        <f>Assumptions!$B$14</f>
        <v>0.15</v>
      </c>
      <c r="J37" s="40">
        <f t="shared" si="6"/>
        <v>1.3451947011868803E-2</v>
      </c>
      <c r="K37" s="35">
        <f t="shared" si="7"/>
        <v>0.64831161427348938</v>
      </c>
      <c r="L37" s="37">
        <f>H37*Assumptions!$B$7</f>
        <v>33147.770687000513</v>
      </c>
      <c r="M37" s="36">
        <f>L37*Assumptions!$B$11</f>
        <v>6629.5541374001032</v>
      </c>
      <c r="N37" s="36">
        <f>H37*Assumptions!$B$11</f>
        <v>13259.108274800206</v>
      </c>
      <c r="O37" s="36">
        <f>N37*Assumptions!$B$12</f>
        <v>1325.9108274800208</v>
      </c>
      <c r="P37" s="36">
        <f>H37*Assumptions!$B$9</f>
        <v>5303.6433099200822</v>
      </c>
      <c r="Q37" s="36">
        <f>H37*Assumptions!$B$8</f>
        <v>3314.7770687000516</v>
      </c>
      <c r="R37" s="37">
        <f>(R38)/((1+Assumptions!$B$21)^$E38)+H38/IF(H$3="EOP",((1+Assumptions!$B$21)^$E38),1)</f>
        <v>9182023.6898287162</v>
      </c>
      <c r="S37" s="36">
        <f>(S38)/((1+Assumptions!$B$21)^$E38)+L38/IF(L$3="EOP",((1+Assumptions!$B$21)^$E38),1)</f>
        <v>4481889.9952784488</v>
      </c>
      <c r="T37" s="36">
        <f>(T38)/((1+Assumptions!$B$21)^$E38)+M38/IF(M$3="EOP",((1+Assumptions!$B$21)^$E38),1)</f>
        <v>896377.99905569002</v>
      </c>
      <c r="U37" s="36">
        <f>(U38)/((1+Assumptions!$B$21)^$E38)+N38/IF(N$3="EOP",((1+Assumptions!$B$21)^$E38),1)</f>
        <v>1836404.737965744</v>
      </c>
      <c r="V37" s="36">
        <f>(V38)/((1+Assumptions!$B$21)^$E38)+O38/IF(O$3="EOP",((1+Assumptions!$B$21)^$E38),1)</f>
        <v>183640.47379657437</v>
      </c>
      <c r="W37" s="36">
        <f>(W38)/((1+Assumptions!$B$21)^$E38)+P38/IF(P$3="EOP",((1+Assumptions!$B$21)^$E38),1)</f>
        <v>734561.89518629748</v>
      </c>
      <c r="X37" s="36">
        <f>(X38)/((1+Assumptions!$B$21)^$E38)+Q38/IF(Q$3="EOP",((1+Assumptions!$B$21)^$E38),1)</f>
        <v>448188.99952784501</v>
      </c>
      <c r="Y37" s="38">
        <f t="shared" si="2"/>
        <v>-2760996.5347226453</v>
      </c>
      <c r="Z37" s="37">
        <f>H38*Assumptions!$B$7*Assumptions!$B$25/$E38/12</f>
        <v>40875.322063127445</v>
      </c>
      <c r="AA37" s="36">
        <f>Z37*Assumptions!$B$11</f>
        <v>8175.0644126254892</v>
      </c>
      <c r="AB37" s="39">
        <f t="shared" si="8"/>
        <v>32700.257650501957</v>
      </c>
      <c r="AC37" s="88">
        <f t="shared" si="9"/>
        <v>-2728296.2770721433</v>
      </c>
      <c r="AD37" s="88">
        <f>Assumptions!$B$23*R37</f>
        <v>1377303.5534743073</v>
      </c>
      <c r="AE37" s="88">
        <f t="shared" si="11"/>
        <v>-1350992.723597836</v>
      </c>
    </row>
    <row r="38" spans="1:31" x14ac:dyDescent="0.25">
      <c r="A38" s="1">
        <f t="shared" si="10"/>
        <v>33</v>
      </c>
      <c r="B38" s="30" t="s">
        <v>28</v>
      </c>
      <c r="C38" s="31">
        <f t="shared" si="3"/>
        <v>33</v>
      </c>
      <c r="D38" s="32">
        <f t="shared" si="1"/>
        <v>2.75</v>
      </c>
      <c r="E38" s="32">
        <f t="shared" si="4"/>
        <v>8.3333333333333481E-2</v>
      </c>
      <c r="F38" s="31">
        <f t="shared" si="5"/>
        <v>0</v>
      </c>
      <c r="G38" s="36">
        <f>(G37*($K37/$K36)-L37)*(1+Assumptions!$B$15)^$F38</f>
        <v>672844807.6234982</v>
      </c>
      <c r="H38" s="36">
        <f>$H$6/$G$6*G38*(1+Assumptions!$B$16)^INT((C38-1)/12)*IF(B38="Monthly",1,12)</f>
        <v>65400.51530100403</v>
      </c>
      <c r="I38" s="40">
        <f>Assumptions!$B$14</f>
        <v>0.15</v>
      </c>
      <c r="J38" s="40">
        <f t="shared" si="6"/>
        <v>1.3451947011868914E-2</v>
      </c>
      <c r="K38" s="35">
        <f t="shared" si="7"/>
        <v>0.63959056079110321</v>
      </c>
      <c r="L38" s="37">
        <f>H38*Assumptions!$B$7</f>
        <v>32700.257650502015</v>
      </c>
      <c r="M38" s="36">
        <f>L38*Assumptions!$B$11</f>
        <v>6540.0515301004034</v>
      </c>
      <c r="N38" s="36">
        <f>H38*Assumptions!$B$11</f>
        <v>13080.103060200807</v>
      </c>
      <c r="O38" s="36">
        <f>N38*Assumptions!$B$12</f>
        <v>1308.0103060200809</v>
      </c>
      <c r="P38" s="36">
        <f>H38*Assumptions!$B$9</f>
        <v>5232.0412240803225</v>
      </c>
      <c r="Q38" s="36">
        <f>H38*Assumptions!$B$8</f>
        <v>3270.0257650502017</v>
      </c>
      <c r="R38" s="37">
        <f>(R39)/((1+Assumptions!$B$21)^$E39)+H39/IF(H$3="EOP",((1+Assumptions!$B$21)^$E39),1)</f>
        <v>9135401.925601095</v>
      </c>
      <c r="S38" s="36">
        <f>(S39)/((1+Assumptions!$B$21)^$E39)+L39/IF(L$3="EOP",((1+Assumptions!$B$21)^$E39),1)</f>
        <v>4458421.6971976683</v>
      </c>
      <c r="T38" s="36">
        <f>(T39)/((1+Assumptions!$B$21)^$E39)+M39/IF(M$3="EOP",((1+Assumptions!$B$21)^$E39),1)</f>
        <v>891684.33943953377</v>
      </c>
      <c r="U38" s="36">
        <f>(U39)/((1+Assumptions!$B$21)^$E39)+N39/IF(N$3="EOP",((1+Assumptions!$B$21)^$E39),1)</f>
        <v>1827080.3851202198</v>
      </c>
      <c r="V38" s="36">
        <f>(V39)/((1+Assumptions!$B$21)^$E39)+O39/IF(O$3="EOP",((1+Assumptions!$B$21)^$E39),1)</f>
        <v>182708.03851202194</v>
      </c>
      <c r="W38" s="36">
        <f>(W39)/((1+Assumptions!$B$21)^$E39)+P39/IF(P$3="EOP",((1+Assumptions!$B$21)^$E39),1)</f>
        <v>730832.15404808777</v>
      </c>
      <c r="X38" s="36">
        <f>(X39)/((1+Assumptions!$B$21)^$E39)+Q39/IF(Q$3="EOP",((1+Assumptions!$B$21)^$E39),1)</f>
        <v>445842.16971976688</v>
      </c>
      <c r="Y38" s="38">
        <f t="shared" si="2"/>
        <v>-2747617.8974669082</v>
      </c>
      <c r="Z38" s="37">
        <f>H39*Assumptions!$B$7*Assumptions!$B$25/$E39/12</f>
        <v>40323.482855988914</v>
      </c>
      <c r="AA38" s="36">
        <f>Z38*Assumptions!$B$11</f>
        <v>8064.6965711977828</v>
      </c>
      <c r="AB38" s="39">
        <f t="shared" si="8"/>
        <v>32258.786284791131</v>
      </c>
      <c r="AC38" s="88">
        <f t="shared" si="9"/>
        <v>-2715359.1111821169</v>
      </c>
      <c r="AD38" s="88">
        <f>Assumptions!$B$23*R38</f>
        <v>1370310.2888401642</v>
      </c>
      <c r="AE38" s="88">
        <f t="shared" si="11"/>
        <v>-1345048.8223419527</v>
      </c>
    </row>
    <row r="39" spans="1:31" x14ac:dyDescent="0.25">
      <c r="A39" s="1">
        <f t="shared" si="10"/>
        <v>34</v>
      </c>
      <c r="B39" s="30" t="s">
        <v>28</v>
      </c>
      <c r="C39" s="31">
        <f t="shared" si="3"/>
        <v>34</v>
      </c>
      <c r="D39" s="32">
        <f t="shared" si="1"/>
        <v>2.8333333333333335</v>
      </c>
      <c r="E39" s="32">
        <f t="shared" si="4"/>
        <v>8.3333333333333481E-2</v>
      </c>
      <c r="F39" s="31">
        <f t="shared" si="5"/>
        <v>0</v>
      </c>
      <c r="G39" s="36">
        <f>(G38*($K38/$K37)-L38)*(1+Assumptions!$B$15)^$F39</f>
        <v>663761034.66648531</v>
      </c>
      <c r="H39" s="36">
        <f>$H$6/$G$6*G39*(1+Assumptions!$B$16)^INT((C39-1)/12)*IF(B39="Monthly",1,12)</f>
        <v>64517.572569582378</v>
      </c>
      <c r="I39" s="40">
        <f>Assumptions!$B$14</f>
        <v>0.15</v>
      </c>
      <c r="J39" s="40">
        <f t="shared" si="6"/>
        <v>1.3451947011868914E-2</v>
      </c>
      <c r="K39" s="35">
        <f t="shared" si="7"/>
        <v>0.63098682245804982</v>
      </c>
      <c r="L39" s="37">
        <f>H39*Assumptions!$B$7</f>
        <v>32258.786284791189</v>
      </c>
      <c r="M39" s="36">
        <f>L39*Assumptions!$B$11</f>
        <v>6451.757256958238</v>
      </c>
      <c r="N39" s="36">
        <f>H39*Assumptions!$B$11</f>
        <v>12903.514513916476</v>
      </c>
      <c r="O39" s="36">
        <f>N39*Assumptions!$B$12</f>
        <v>1290.3514513916477</v>
      </c>
      <c r="P39" s="36">
        <f>H39*Assumptions!$B$9</f>
        <v>5161.4058055665901</v>
      </c>
      <c r="Q39" s="36">
        <f>H39*Assumptions!$B$8</f>
        <v>3225.878628479119</v>
      </c>
      <c r="R39" s="37">
        <f>(R40)/((1+Assumptions!$B$21)^$E40)+H40/IF(H$3="EOP",((1+Assumptions!$B$21)^$E40),1)</f>
        <v>9089568.8896214385</v>
      </c>
      <c r="S39" s="36">
        <f>(S40)/((1+Assumptions!$B$21)^$E40)+L40/IF(L$3="EOP",((1+Assumptions!$B$21)^$E40),1)</f>
        <v>4435346.5296310196</v>
      </c>
      <c r="T39" s="36">
        <f>(T40)/((1+Assumptions!$B$21)^$E40)+M40/IF(M$3="EOP",((1+Assumptions!$B$21)^$E40),1)</f>
        <v>887069.30592620396</v>
      </c>
      <c r="U39" s="36">
        <f>(U40)/((1+Assumptions!$B$21)^$E40)+N40/IF(N$3="EOP",((1+Assumptions!$B$21)^$E40),1)</f>
        <v>1817913.7779242883</v>
      </c>
      <c r="V39" s="36">
        <f>(V40)/((1+Assumptions!$B$21)^$E40)+O40/IF(O$3="EOP",((1+Assumptions!$B$21)^$E40),1)</f>
        <v>181791.3777924288</v>
      </c>
      <c r="W39" s="36">
        <f>(W40)/((1+Assumptions!$B$21)^$E40)+P40/IF(P$3="EOP",((1+Assumptions!$B$21)^$E40),1)</f>
        <v>727165.5111697152</v>
      </c>
      <c r="X39" s="36">
        <f>(X40)/((1+Assumptions!$B$21)^$E40)+Q40/IF(Q$3="EOP",((1+Assumptions!$B$21)^$E40),1)</f>
        <v>443534.65296310198</v>
      </c>
      <c r="Y39" s="38">
        <f t="shared" si="2"/>
        <v>-2734469.1016519461</v>
      </c>
      <c r="Z39" s="37">
        <f>H40*Assumptions!$B$7*Assumptions!$B$25/$E40/12</f>
        <v>39779.093780009563</v>
      </c>
      <c r="AA39" s="36">
        <f>Z39*Assumptions!$B$11</f>
        <v>7955.8187560019132</v>
      </c>
      <c r="AB39" s="39">
        <f t="shared" si="8"/>
        <v>31823.275024007649</v>
      </c>
      <c r="AC39" s="88">
        <f t="shared" si="9"/>
        <v>-2702645.8266279385</v>
      </c>
      <c r="AD39" s="88">
        <f>Assumptions!$B$23*R39</f>
        <v>1363435.3334432158</v>
      </c>
      <c r="AE39" s="88">
        <f t="shared" si="11"/>
        <v>-1339210.4931847227</v>
      </c>
    </row>
    <row r="40" spans="1:31" x14ac:dyDescent="0.25">
      <c r="A40" s="1">
        <f t="shared" si="10"/>
        <v>35</v>
      </c>
      <c r="B40" s="30" t="s">
        <v>28</v>
      </c>
      <c r="C40" s="31">
        <f t="shared" si="3"/>
        <v>35</v>
      </c>
      <c r="D40" s="32">
        <f t="shared" si="1"/>
        <v>2.9166666666666665</v>
      </c>
      <c r="E40" s="32">
        <f t="shared" si="4"/>
        <v>8.3333333333333037E-2</v>
      </c>
      <c r="F40" s="31">
        <f t="shared" si="5"/>
        <v>0</v>
      </c>
      <c r="G40" s="36">
        <f>(G39*($K39/$K38)-L39)*(1+Assumptions!$B$15)^$F40</f>
        <v>654799897.61332369</v>
      </c>
      <c r="H40" s="36">
        <f>$H$6/$G$6*G40*(1+Assumptions!$B$16)^INT((C40-1)/12)*IF(B40="Monthly",1,12)</f>
        <v>63646.550048015066</v>
      </c>
      <c r="I40" s="40">
        <f>Assumptions!$B$14</f>
        <v>0.15</v>
      </c>
      <c r="J40" s="40">
        <f t="shared" si="6"/>
        <v>1.3451947011868803E-2</v>
      </c>
      <c r="K40" s="35">
        <f t="shared" si="7"/>
        <v>0.62249882115715671</v>
      </c>
      <c r="L40" s="37">
        <f>H40*Assumptions!$B$7</f>
        <v>31823.275024007533</v>
      </c>
      <c r="M40" s="36">
        <f>L40*Assumptions!$B$11</f>
        <v>6364.6550048015069</v>
      </c>
      <c r="N40" s="36">
        <f>H40*Assumptions!$B$11</f>
        <v>12729.310009603014</v>
      </c>
      <c r="O40" s="36">
        <f>N40*Assumptions!$B$12</f>
        <v>1272.9310009603014</v>
      </c>
      <c r="P40" s="36">
        <f>H40*Assumptions!$B$9</f>
        <v>5091.7240038412056</v>
      </c>
      <c r="Q40" s="36">
        <f>H40*Assumptions!$B$8</f>
        <v>3182.3275024007535</v>
      </c>
      <c r="R40" s="37">
        <f>(R41)/((1+Assumptions!$B$21)^$E41)+H41/IF(H$3="EOP",((1+Assumptions!$B$21)^$E41),1)</f>
        <v>9044514.2617772613</v>
      </c>
      <c r="S40" s="36">
        <f>(S41)/((1+Assumptions!$B$21)^$E41)+L41/IF(L$3="EOP",((1+Assumptions!$B$21)^$E41),1)</f>
        <v>4412659.3422580669</v>
      </c>
      <c r="T40" s="36">
        <f>(T41)/((1+Assumptions!$B$21)^$E41)+M41/IF(M$3="EOP",((1+Assumptions!$B$21)^$E41),1)</f>
        <v>882531.86845161347</v>
      </c>
      <c r="U40" s="36">
        <f>(U41)/((1+Assumptions!$B$21)^$E41)+N41/IF(N$3="EOP",((1+Assumptions!$B$21)^$E41),1)</f>
        <v>1808902.8523554527</v>
      </c>
      <c r="V40" s="36">
        <f>(V41)/((1+Assumptions!$B$21)^$E41)+O41/IF(O$3="EOP",((1+Assumptions!$B$21)^$E41),1)</f>
        <v>180890.28523554525</v>
      </c>
      <c r="W40" s="36">
        <f>(W41)/((1+Assumptions!$B$21)^$E41)+P41/IF(P$3="EOP",((1+Assumptions!$B$21)^$E41),1)</f>
        <v>723561.14094218099</v>
      </c>
      <c r="X40" s="36">
        <f>(X41)/((1+Assumptions!$B$21)^$E41)+Q41/IF(Q$3="EOP",((1+Assumptions!$B$21)^$E41),1)</f>
        <v>441265.93422580673</v>
      </c>
      <c r="Y40" s="38">
        <f t="shared" si="2"/>
        <v>-2721547.1456829123</v>
      </c>
      <c r="Z40" s="37">
        <f>H41*Assumptions!$B$7*Assumptions!$B$25/$E41/12</f>
        <v>39242.054254342795</v>
      </c>
      <c r="AA40" s="36">
        <f>Z40*Assumptions!$B$11</f>
        <v>7848.4108508685595</v>
      </c>
      <c r="AB40" s="39">
        <f t="shared" si="8"/>
        <v>31393.643403474234</v>
      </c>
      <c r="AC40" s="88">
        <f t="shared" si="9"/>
        <v>-2690153.5022794381</v>
      </c>
      <c r="AD40" s="88">
        <f>Assumptions!$B$23*R40</f>
        <v>1356677.1392665892</v>
      </c>
      <c r="AE40" s="88">
        <f t="shared" si="11"/>
        <v>-1333476.3630128489</v>
      </c>
    </row>
    <row r="41" spans="1:31" s="21" customFormat="1" x14ac:dyDescent="0.25">
      <c r="A41" s="21">
        <f t="shared" si="10"/>
        <v>36</v>
      </c>
      <c r="B41" s="41" t="s">
        <v>28</v>
      </c>
      <c r="C41" s="23">
        <f t="shared" si="3"/>
        <v>36</v>
      </c>
      <c r="D41" s="22">
        <f t="shared" si="1"/>
        <v>3</v>
      </c>
      <c r="E41" s="22">
        <f t="shared" si="4"/>
        <v>8.3333333333333481E-2</v>
      </c>
      <c r="F41" s="23">
        <f t="shared" si="5"/>
        <v>0</v>
      </c>
      <c r="G41" s="27">
        <f>(G40*($K40/$K39)-L40)*(1+Assumptions!$B$15)^$F41</f>
        <v>645959740.8122282</v>
      </c>
      <c r="H41" s="27">
        <f>$H$6/$G$6*G41*(1+Assumptions!$B$16)^INT((C41-1)/12)*IF(B41="Monthly",1,12)</f>
        <v>62787.286806948585</v>
      </c>
      <c r="I41" s="42">
        <f>Assumptions!$B$14</f>
        <v>0.15</v>
      </c>
      <c r="J41" s="42">
        <f t="shared" si="6"/>
        <v>1.3451947011868914E-2</v>
      </c>
      <c r="K41" s="43">
        <f t="shared" si="7"/>
        <v>0.61412499999999981</v>
      </c>
      <c r="L41" s="26">
        <f>H41*Assumptions!$B$7</f>
        <v>31393.643403474292</v>
      </c>
      <c r="M41" s="27">
        <f>L41*Assumptions!$B$11</f>
        <v>6278.7286806948587</v>
      </c>
      <c r="N41" s="27">
        <f>H41*Assumptions!$B$11</f>
        <v>12557.457361389717</v>
      </c>
      <c r="O41" s="27">
        <f>N41*Assumptions!$B$12</f>
        <v>1255.7457361389718</v>
      </c>
      <c r="P41" s="27">
        <f>H41*Assumptions!$B$9</f>
        <v>5022.9829445558871</v>
      </c>
      <c r="Q41" s="27">
        <f>H41*Assumptions!$B$8</f>
        <v>3139.3643403474293</v>
      </c>
      <c r="R41" s="26">
        <f>(R42)/((1+Assumptions!$B$21)^$E42)+H42/IF(H$3="EOP",((1+Assumptions!$B$21)^$E42),1)</f>
        <v>9000227.8619591836</v>
      </c>
      <c r="S41" s="27">
        <f>(S42)/((1+Assumptions!$B$21)^$E42)+L42/IF(L$3="EOP",((1+Assumptions!$B$21)^$E42),1)</f>
        <v>4390355.0546142366</v>
      </c>
      <c r="T41" s="27">
        <f>(T42)/((1+Assumptions!$B$21)^$E42)+M42/IF(M$3="EOP",((1+Assumptions!$B$21)^$E42),1)</f>
        <v>878071.01092284743</v>
      </c>
      <c r="U41" s="27">
        <f>(U42)/((1+Assumptions!$B$21)^$E42)+N42/IF(N$3="EOP",((1+Assumptions!$B$21)^$E42),1)</f>
        <v>1800045.5723918371</v>
      </c>
      <c r="V41" s="27">
        <f>(V42)/((1+Assumptions!$B$21)^$E42)+O42/IF(O$3="EOP",((1+Assumptions!$B$21)^$E42),1)</f>
        <v>180004.55723918369</v>
      </c>
      <c r="W41" s="27">
        <f>(W42)/((1+Assumptions!$B$21)^$E42)+P42/IF(P$3="EOP",((1+Assumptions!$B$21)^$E42),1)</f>
        <v>720018.22895673476</v>
      </c>
      <c r="X41" s="27">
        <f>(X42)/((1+Assumptions!$B$21)^$E42)+Q42/IF(Q$3="EOP",((1+Assumptions!$B$21)^$E42),1)</f>
        <v>439035.50546142372</v>
      </c>
      <c r="Y41" s="28">
        <f t="shared" si="2"/>
        <v>-2708849.0686969827</v>
      </c>
      <c r="Z41" s="26">
        <f>H42*Assumptions!$B$7*Assumptions!$B$25/$E42/12</f>
        <v>42645.431185733447</v>
      </c>
      <c r="AA41" s="27">
        <f>Z41*Assumptions!$B$11</f>
        <v>8529.0862371466901</v>
      </c>
      <c r="AB41" s="29">
        <f t="shared" si="8"/>
        <v>34116.34494858676</v>
      </c>
      <c r="AC41" s="87">
        <f t="shared" si="9"/>
        <v>-2674732.7237483962</v>
      </c>
      <c r="AD41" s="87">
        <f>Assumptions!$B$23*R41</f>
        <v>1350034.1792938774</v>
      </c>
      <c r="AE41" s="87">
        <f t="shared" si="11"/>
        <v>-1324698.5444545187</v>
      </c>
    </row>
    <row r="42" spans="1:31" s="44" customFormat="1" x14ac:dyDescent="0.25">
      <c r="A42" s="44">
        <f t="shared" si="10"/>
        <v>37</v>
      </c>
      <c r="B42" s="45" t="s">
        <v>29</v>
      </c>
      <c r="C42" s="46">
        <f>C41+12</f>
        <v>48</v>
      </c>
      <c r="D42" s="47">
        <f t="shared" si="1"/>
        <v>4</v>
      </c>
      <c r="E42" s="47">
        <f t="shared" si="4"/>
        <v>1</v>
      </c>
      <c r="F42" s="48">
        <f t="shared" si="5"/>
        <v>1</v>
      </c>
      <c r="G42" s="49">
        <f>(G41*($K41/$K40)-L41)*(1+Assumptions!$B$15)^$F42</f>
        <v>649983709.58289039</v>
      </c>
      <c r="H42" s="49">
        <f>$H$6/$G$6*G42*(1+Assumptions!$B$16)^INT((C42-1)/12)*IF(B42="Monthly",1,12)</f>
        <v>818792.27876608213</v>
      </c>
      <c r="I42" s="50">
        <f>Assumptions!$B$14</f>
        <v>0.15</v>
      </c>
      <c r="J42" s="50">
        <f t="shared" si="6"/>
        <v>0.15000000000000002</v>
      </c>
      <c r="K42" s="51">
        <f t="shared" si="7"/>
        <v>0.52200624999999978</v>
      </c>
      <c r="L42" s="52">
        <f>H42*Assumptions!$B$7</f>
        <v>409396.13938304107</v>
      </c>
      <c r="M42" s="49">
        <f>L42*Assumptions!$B$11</f>
        <v>81879.227876608216</v>
      </c>
      <c r="N42" s="49">
        <f>H42*Assumptions!$B$11</f>
        <v>163758.45575321643</v>
      </c>
      <c r="O42" s="49">
        <f>N42*Assumptions!$B$12</f>
        <v>16375.845575321644</v>
      </c>
      <c r="P42" s="49">
        <f>H42*Assumptions!$B$9</f>
        <v>65503.382301286569</v>
      </c>
      <c r="Q42" s="49">
        <f>H42*Assumptions!$B$8</f>
        <v>40939.613938304108</v>
      </c>
      <c r="R42" s="52">
        <f>(R43)/((1+Assumptions!$B$21)^$E43)+H43/IF(H$3="EOP",((1+Assumptions!$B$21)^$E43),1)</f>
        <v>8385971.472772928</v>
      </c>
      <c r="S42" s="49">
        <f>(S43)/((1+Assumptions!$B$21)^$E43)+L43/IF(L$3="EOP",((1+Assumptions!$B$21)^$E43),1)</f>
        <v>4090717.7915965505</v>
      </c>
      <c r="T42" s="49">
        <f>(T43)/((1+Assumptions!$B$21)^$E43)+M43/IF(M$3="EOP",((1+Assumptions!$B$21)^$E43),1)</f>
        <v>818143.55831931031</v>
      </c>
      <c r="U42" s="49">
        <f>(U43)/((1+Assumptions!$B$21)^$E43)+N43/IF(N$3="EOP",((1+Assumptions!$B$21)^$E43),1)</f>
        <v>1677194.2945545861</v>
      </c>
      <c r="V42" s="49">
        <f>(V43)/((1+Assumptions!$B$21)^$E43)+O43/IF(O$3="EOP",((1+Assumptions!$B$21)^$E43),1)</f>
        <v>167719.42945545859</v>
      </c>
      <c r="W42" s="49">
        <f>(W43)/((1+Assumptions!$B$21)^$E43)+P43/IF(P$3="EOP",((1+Assumptions!$B$21)^$E43),1)</f>
        <v>670877.71782183438</v>
      </c>
      <c r="X42" s="49">
        <f>(X43)/((1+Assumptions!$B$21)^$E43)+Q43/IF(Q$3="EOP",((1+Assumptions!$B$21)^$E43),1)</f>
        <v>409071.77915965515</v>
      </c>
      <c r="Y42" s="53">
        <f t="shared" si="2"/>
        <v>-2523972.8774150708</v>
      </c>
      <c r="Z42" s="52">
        <f>H43*Assumptions!$B$7*Assumptions!$B$25/$E43/12</f>
        <v>39901.886439528818</v>
      </c>
      <c r="AA42" s="49">
        <f>Z42*Assumptions!$B$11</f>
        <v>7980.3772879057642</v>
      </c>
      <c r="AB42" s="54">
        <f t="shared" si="8"/>
        <v>31921.509151623053</v>
      </c>
      <c r="AC42" s="89">
        <f t="shared" si="9"/>
        <v>-2492051.3682634477</v>
      </c>
      <c r="AD42" s="89">
        <f>Assumptions!$B$23*R42</f>
        <v>1257895.7209159392</v>
      </c>
      <c r="AE42" s="89">
        <f t="shared" si="11"/>
        <v>-1234155.6473475085</v>
      </c>
    </row>
    <row r="43" spans="1:31" s="44" customFormat="1" x14ac:dyDescent="0.25">
      <c r="A43" s="44">
        <f t="shared" si="10"/>
        <v>38</v>
      </c>
      <c r="B43" s="45" t="s">
        <v>29</v>
      </c>
      <c r="C43" s="48">
        <f>C42+12</f>
        <v>60</v>
      </c>
      <c r="D43" s="47">
        <f t="shared" si="1"/>
        <v>5</v>
      </c>
      <c r="E43" s="47">
        <f t="shared" si="4"/>
        <v>1</v>
      </c>
      <c r="F43" s="48">
        <f t="shared" si="5"/>
        <v>1</v>
      </c>
      <c r="G43" s="49">
        <f>(G42*($K42/$K41)-L42)*(1+Assumptions!$B$15)^$F43</f>
        <v>563118292.14619517</v>
      </c>
      <c r="H43" s="49">
        <f>$H$6/$G$6*G43*(1+Assumptions!$B$16)^INT((C43-1)/12)*IF(B43="Monthly",1,12)</f>
        <v>766116.21963895333</v>
      </c>
      <c r="I43" s="50">
        <f>Assumptions!$B$14</f>
        <v>0.15</v>
      </c>
      <c r="J43" s="50">
        <f t="shared" si="6"/>
        <v>0.15000000000000002</v>
      </c>
      <c r="K43" s="51">
        <f t="shared" si="7"/>
        <v>0.44370531249999978</v>
      </c>
      <c r="L43" s="52">
        <f>H43*Assumptions!$B$7</f>
        <v>383058.10981947667</v>
      </c>
      <c r="M43" s="49">
        <f>L43*Assumptions!$B$11</f>
        <v>76611.621963895333</v>
      </c>
      <c r="N43" s="49">
        <f>H43*Assumptions!$B$11</f>
        <v>153223.24392779067</v>
      </c>
      <c r="O43" s="49">
        <f>N43*Assumptions!$B$12</f>
        <v>15322.324392779068</v>
      </c>
      <c r="P43" s="49">
        <f>H43*Assumptions!$B$9</f>
        <v>61289.297571116265</v>
      </c>
      <c r="Q43" s="49">
        <f>H43*Assumptions!$B$8</f>
        <v>38305.810981947667</v>
      </c>
      <c r="R43" s="52">
        <f>(R44)/((1+Assumptions!$B$21)^$E44)+H44/IF(H$3="EOP",((1+Assumptions!$B$21)^$E44),1)</f>
        <v>7810351.634462324</v>
      </c>
      <c r="S43" s="49">
        <f>(S44)/((1+Assumptions!$B$21)^$E44)+L44/IF(L$3="EOP",((1+Assumptions!$B$21)^$E44),1)</f>
        <v>3809927.6265669875</v>
      </c>
      <c r="T43" s="49">
        <f>(T44)/((1+Assumptions!$B$21)^$E44)+M44/IF(M$3="EOP",((1+Assumptions!$B$21)^$E44),1)</f>
        <v>761985.52531339764</v>
      </c>
      <c r="U43" s="49">
        <f>(U44)/((1+Assumptions!$B$21)^$E44)+N44/IF(N$3="EOP",((1+Assumptions!$B$21)^$E44),1)</f>
        <v>1562070.3268924651</v>
      </c>
      <c r="V43" s="49">
        <f>(V44)/((1+Assumptions!$B$21)^$E44)+O44/IF(O$3="EOP",((1+Assumptions!$B$21)^$E44),1)</f>
        <v>156207.03268924649</v>
      </c>
      <c r="W43" s="49">
        <f>(W44)/((1+Assumptions!$B$21)^$E44)+P44/IF(P$3="EOP",((1+Assumptions!$B$21)^$E44),1)</f>
        <v>624828.13075698598</v>
      </c>
      <c r="X43" s="49">
        <f>(X44)/((1+Assumptions!$B$21)^$E44)+Q44/IF(Q$3="EOP",((1+Assumptions!$B$21)^$E44),1)</f>
        <v>380992.76265669882</v>
      </c>
      <c r="Y43" s="53">
        <f t="shared" si="2"/>
        <v>-2350725.3455918306</v>
      </c>
      <c r="Z43" s="52">
        <f>H44*Assumptions!$B$7*Assumptions!$B$25/$E44/12</f>
        <v>37332.629615865146</v>
      </c>
      <c r="AA43" s="49">
        <f>Z43*Assumptions!$B$11</f>
        <v>7466.5259231730297</v>
      </c>
      <c r="AB43" s="54">
        <f t="shared" si="8"/>
        <v>29866.103692692115</v>
      </c>
      <c r="AC43" s="89">
        <f t="shared" si="9"/>
        <v>-2320859.2418991383</v>
      </c>
      <c r="AD43" s="89">
        <f>Assumptions!$B$23*R43</f>
        <v>1171552.7451693485</v>
      </c>
      <c r="AE43" s="89">
        <f t="shared" si="11"/>
        <v>-1149306.4967297898</v>
      </c>
    </row>
    <row r="44" spans="1:31" x14ac:dyDescent="0.25">
      <c r="A44" s="44">
        <f t="shared" si="10"/>
        <v>39</v>
      </c>
      <c r="B44" s="45" t="s">
        <v>29</v>
      </c>
      <c r="C44" s="48">
        <f t="shared" ref="C44:C78" si="12">C43+12</f>
        <v>72</v>
      </c>
      <c r="D44" s="47">
        <f t="shared" si="1"/>
        <v>6</v>
      </c>
      <c r="E44" s="47">
        <f t="shared" si="4"/>
        <v>1</v>
      </c>
      <c r="F44" s="48">
        <f t="shared" si="5"/>
        <v>1</v>
      </c>
      <c r="G44" s="49">
        <f>(G43*($K43/$K42)-L43)*(1+Assumptions!$B$15)^$F44</f>
        <v>487832840.01873535</v>
      </c>
      <c r="H44" s="49">
        <f>$H$6/$G$6*G44*(1+Assumptions!$B$16)^INT((C44-1)/12)*IF(B44="Monthly",1,12)</f>
        <v>716786.48862461071</v>
      </c>
      <c r="I44" s="50">
        <f>Assumptions!$B$14</f>
        <v>0.15</v>
      </c>
      <c r="J44" s="50">
        <f t="shared" si="6"/>
        <v>0.15000000000000002</v>
      </c>
      <c r="K44" s="51">
        <f t="shared" si="7"/>
        <v>0.37714951562499982</v>
      </c>
      <c r="L44" s="52">
        <f>H44*Assumptions!$B$7</f>
        <v>358393.24431230535</v>
      </c>
      <c r="M44" s="49">
        <f>L44*Assumptions!$B$11</f>
        <v>71678.648862461079</v>
      </c>
      <c r="N44" s="49">
        <f>H44*Assumptions!$B$11</f>
        <v>143357.29772492216</v>
      </c>
      <c r="O44" s="49">
        <f>N44*Assumptions!$B$12</f>
        <v>14335.729772492217</v>
      </c>
      <c r="P44" s="49">
        <f>H44*Assumptions!$B$9</f>
        <v>57342.919089968855</v>
      </c>
      <c r="Q44" s="49">
        <f>H44*Assumptions!$B$8</f>
        <v>35839.32443123054</v>
      </c>
      <c r="R44" s="52">
        <f>(R45)/((1+Assumptions!$B$21)^$E45)+H45/IF(H$3="EOP",((1+Assumptions!$B$21)^$E45),1)</f>
        <v>7270904.2744836556</v>
      </c>
      <c r="S44" s="49">
        <f>(S45)/((1+Assumptions!$B$21)^$E45)+L45/IF(L$3="EOP",((1+Assumptions!$B$21)^$E45),1)</f>
        <v>3546782.5729188565</v>
      </c>
      <c r="T44" s="49">
        <f>(T45)/((1+Assumptions!$B$21)^$E45)+M45/IF(M$3="EOP",((1+Assumptions!$B$21)^$E45),1)</f>
        <v>709356.51458377135</v>
      </c>
      <c r="U44" s="49">
        <f>(U45)/((1+Assumptions!$B$21)^$E45)+N45/IF(N$3="EOP",((1+Assumptions!$B$21)^$E45),1)</f>
        <v>1454180.8548967314</v>
      </c>
      <c r="V44" s="49">
        <f>(V45)/((1+Assumptions!$B$21)^$E45)+O45/IF(O$3="EOP",((1+Assumptions!$B$21)^$E45),1)</f>
        <v>145418.0854896731</v>
      </c>
      <c r="W44" s="49">
        <f>(W45)/((1+Assumptions!$B$21)^$E45)+P45/IF(P$3="EOP",((1+Assumptions!$B$21)^$E45),1)</f>
        <v>581672.34195869241</v>
      </c>
      <c r="X44" s="49">
        <f>(X45)/((1+Assumptions!$B$21)^$E45)+Q45/IF(Q$3="EOP",((1+Assumptions!$B$21)^$E45),1)</f>
        <v>354678.25729188567</v>
      </c>
      <c r="Y44" s="53">
        <f t="shared" si="2"/>
        <v>-2188364.8474909337</v>
      </c>
      <c r="Z44" s="52">
        <f>H45*Assumptions!$B$7*Assumptions!$B$25/$E45/12</f>
        <v>34926.567549525345</v>
      </c>
      <c r="AA44" s="49">
        <f>Z44*Assumptions!$B$11</f>
        <v>6985.3135099050696</v>
      </c>
      <c r="AB44" s="54">
        <f t="shared" si="8"/>
        <v>27941.254039620275</v>
      </c>
      <c r="AC44" s="89">
        <f t="shared" si="9"/>
        <v>-2160423.5934513137</v>
      </c>
      <c r="AD44" s="89">
        <f>Assumptions!$B$23*R44</f>
        <v>1090635.6411725483</v>
      </c>
      <c r="AE44" s="89">
        <f t="shared" si="11"/>
        <v>-1069787.9522787654</v>
      </c>
    </row>
    <row r="45" spans="1:31" x14ac:dyDescent="0.25">
      <c r="A45" s="44">
        <f t="shared" si="10"/>
        <v>40</v>
      </c>
      <c r="B45" s="45" t="s">
        <v>29</v>
      </c>
      <c r="C45" s="48">
        <f t="shared" si="12"/>
        <v>84</v>
      </c>
      <c r="D45" s="47">
        <f t="shared" si="1"/>
        <v>7</v>
      </c>
      <c r="E45" s="47">
        <f t="shared" si="4"/>
        <v>1</v>
      </c>
      <c r="F45" s="48">
        <f t="shared" si="5"/>
        <v>1</v>
      </c>
      <c r="G45" s="49">
        <f>(G44*($K44/$K43)-L44)*(1+Assumptions!$B$15)^$F45</f>
        <v>422585511.18704504</v>
      </c>
      <c r="H45" s="49">
        <f>$H$6/$G$6*G45*(1+Assumptions!$B$16)^INT((C45-1)/12)*IF(B45="Monthly",1,12)</f>
        <v>670590.09695088654</v>
      </c>
      <c r="I45" s="50">
        <f>Assumptions!$B$14</f>
        <v>0.15</v>
      </c>
      <c r="J45" s="50">
        <f t="shared" si="6"/>
        <v>0.15000000000000002</v>
      </c>
      <c r="K45" s="51">
        <f t="shared" si="7"/>
        <v>0.32057708828124981</v>
      </c>
      <c r="L45" s="52">
        <f>H45*Assumptions!$B$7</f>
        <v>335295.04847544327</v>
      </c>
      <c r="M45" s="49">
        <f>L45*Assumptions!$B$11</f>
        <v>67059.009695088651</v>
      </c>
      <c r="N45" s="49">
        <f>H45*Assumptions!$B$11</f>
        <v>134118.0193901773</v>
      </c>
      <c r="O45" s="49">
        <f>N45*Assumptions!$B$12</f>
        <v>13411.801939017731</v>
      </c>
      <c r="P45" s="49">
        <f>H45*Assumptions!$B$9</f>
        <v>53647.207756070922</v>
      </c>
      <c r="Q45" s="49">
        <f>H45*Assumptions!$B$8</f>
        <v>33529.504847544325</v>
      </c>
      <c r="R45" s="52">
        <f>(R46)/((1+Assumptions!$B$21)^$E46)+H46/IF(H$3="EOP",((1+Assumptions!$B$21)^$E46),1)</f>
        <v>6765322.0319710877</v>
      </c>
      <c r="S45" s="49">
        <f>(S46)/((1+Assumptions!$B$21)^$E46)+L46/IF(L$3="EOP",((1+Assumptions!$B$21)^$E46),1)</f>
        <v>3300157.0887663844</v>
      </c>
      <c r="T45" s="49">
        <f>(T46)/((1+Assumptions!$B$21)^$E46)+M46/IF(M$3="EOP",((1+Assumptions!$B$21)^$E46),1)</f>
        <v>660031.417753277</v>
      </c>
      <c r="U45" s="49">
        <f>(U46)/((1+Assumptions!$B$21)^$E46)+N46/IF(N$3="EOP",((1+Assumptions!$B$21)^$E46),1)</f>
        <v>1353064.4063942179</v>
      </c>
      <c r="V45" s="49">
        <f>(V46)/((1+Assumptions!$B$21)^$E46)+O46/IF(O$3="EOP",((1+Assumptions!$B$21)^$E46),1)</f>
        <v>135306.44063942175</v>
      </c>
      <c r="W45" s="49">
        <f>(W46)/((1+Assumptions!$B$21)^$E46)+P46/IF(P$3="EOP",((1+Assumptions!$B$21)^$E46),1)</f>
        <v>541225.76255768701</v>
      </c>
      <c r="X45" s="49">
        <f>(X46)/((1+Assumptions!$B$21)^$E46)+Q46/IF(Q$3="EOP",((1+Assumptions!$B$21)^$E46),1)</f>
        <v>330015.7088766385</v>
      </c>
      <c r="Y45" s="53">
        <f t="shared" si="2"/>
        <v>-2036196.9237688587</v>
      </c>
      <c r="Z45" s="52">
        <f>H46*Assumptions!$B$7*Assumptions!$B$25/$E46/12</f>
        <v>32673.313211136847</v>
      </c>
      <c r="AA45" s="49">
        <f>Z45*Assumptions!$B$11</f>
        <v>6534.6626422273694</v>
      </c>
      <c r="AB45" s="54">
        <f t="shared" si="8"/>
        <v>26138.650568909477</v>
      </c>
      <c r="AC45" s="89">
        <f t="shared" si="9"/>
        <v>-2010058.2731999492</v>
      </c>
      <c r="AD45" s="89">
        <f>Assumptions!$B$23*R45</f>
        <v>1014798.3047956631</v>
      </c>
      <c r="AE45" s="89">
        <f t="shared" si="11"/>
        <v>-995259.96840428608</v>
      </c>
    </row>
    <row r="46" spans="1:31" x14ac:dyDescent="0.25">
      <c r="A46" s="44">
        <f t="shared" si="10"/>
        <v>41</v>
      </c>
      <c r="B46" s="45" t="s">
        <v>29</v>
      </c>
      <c r="C46" s="48">
        <f t="shared" si="12"/>
        <v>96</v>
      </c>
      <c r="D46" s="47">
        <f t="shared" si="1"/>
        <v>8</v>
      </c>
      <c r="E46" s="47">
        <f t="shared" si="4"/>
        <v>1</v>
      </c>
      <c r="F46" s="48">
        <f t="shared" si="5"/>
        <v>1</v>
      </c>
      <c r="G46" s="49">
        <f>(G45*($K45/$K44)-L45)*(1+Assumptions!$B$15)^$F46</f>
        <v>366039637.24972302</v>
      </c>
      <c r="H46" s="49">
        <f>$H$6/$G$6*G46*(1+Assumptions!$B$16)^INT((C46-1)/12)*IF(B46="Monthly",1,12)</f>
        <v>627327.61365382746</v>
      </c>
      <c r="I46" s="50">
        <f>Assumptions!$B$14</f>
        <v>0.15</v>
      </c>
      <c r="J46" s="50">
        <f t="shared" si="6"/>
        <v>0.15000000000000002</v>
      </c>
      <c r="K46" s="51">
        <f t="shared" si="7"/>
        <v>0.27249052503906235</v>
      </c>
      <c r="L46" s="52">
        <f>H46*Assumptions!$B$7</f>
        <v>313663.80682691373</v>
      </c>
      <c r="M46" s="49">
        <f>L46*Assumptions!$B$11</f>
        <v>62732.76136538275</v>
      </c>
      <c r="N46" s="49">
        <f>H46*Assumptions!$B$11</f>
        <v>125465.5227307655</v>
      </c>
      <c r="O46" s="49">
        <f>N46*Assumptions!$B$12</f>
        <v>12546.552273076552</v>
      </c>
      <c r="P46" s="49">
        <f>H46*Assumptions!$B$9</f>
        <v>50186.209092306199</v>
      </c>
      <c r="Q46" s="49">
        <f>H46*Assumptions!$B$8</f>
        <v>31366.380682691375</v>
      </c>
      <c r="R46" s="52">
        <f>(R47)/((1+Assumptions!$B$21)^$E47)+H47/IF(H$3="EOP",((1+Assumptions!$B$21)^$E47),1)</f>
        <v>6291444.2787751909</v>
      </c>
      <c r="S46" s="49">
        <f>(S47)/((1+Assumptions!$B$21)^$E47)+L47/IF(L$3="EOP",((1+Assumptions!$B$21)^$E47),1)</f>
        <v>3068997.2091586301</v>
      </c>
      <c r="T46" s="49">
        <f>(T47)/((1+Assumptions!$B$21)^$E47)+M47/IF(M$3="EOP",((1+Assumptions!$B$21)^$E47),1)</f>
        <v>613799.44183172612</v>
      </c>
      <c r="U46" s="49">
        <f>(U47)/((1+Assumptions!$B$21)^$E47)+N47/IF(N$3="EOP",((1+Assumptions!$B$21)^$E47),1)</f>
        <v>1258288.8557550386</v>
      </c>
      <c r="V46" s="49">
        <f>(V47)/((1+Assumptions!$B$21)^$E47)+O47/IF(O$3="EOP",((1+Assumptions!$B$21)^$E47),1)</f>
        <v>125828.88557550384</v>
      </c>
      <c r="W46" s="49">
        <f>(W47)/((1+Assumptions!$B$21)^$E47)+P47/IF(P$3="EOP",((1+Assumptions!$B$21)^$E47),1)</f>
        <v>503315.54230201535</v>
      </c>
      <c r="X46" s="49">
        <f>(X47)/((1+Assumptions!$B$21)^$E47)+Q47/IF(Q$3="EOP",((1+Assumptions!$B$21)^$E47),1)</f>
        <v>306899.72091586306</v>
      </c>
      <c r="Y46" s="53">
        <f t="shared" si="2"/>
        <v>-1893571.2780508741</v>
      </c>
      <c r="Z46" s="52">
        <f>H47*Assumptions!$B$7*Assumptions!$B$25/$E47/12</f>
        <v>30563.140786908934</v>
      </c>
      <c r="AA46" s="49">
        <f>Z46*Assumptions!$B$11</f>
        <v>6112.6281573817869</v>
      </c>
      <c r="AB46" s="54">
        <f t="shared" si="8"/>
        <v>24450.512629527148</v>
      </c>
      <c r="AC46" s="89">
        <f t="shared" si="9"/>
        <v>-1869120.765421347</v>
      </c>
      <c r="AD46" s="89">
        <f>Assumptions!$B$23*R46</f>
        <v>943716.64181627857</v>
      </c>
      <c r="AE46" s="89">
        <f t="shared" si="11"/>
        <v>-925404.12360506842</v>
      </c>
    </row>
    <row r="47" spans="1:31" x14ac:dyDescent="0.25">
      <c r="A47" s="44">
        <f t="shared" si="10"/>
        <v>42</v>
      </c>
      <c r="B47" s="45" t="s">
        <v>29</v>
      </c>
      <c r="C47" s="48">
        <f t="shared" si="12"/>
        <v>108</v>
      </c>
      <c r="D47" s="47">
        <f t="shared" si="1"/>
        <v>9</v>
      </c>
      <c r="E47" s="47">
        <f t="shared" si="4"/>
        <v>1</v>
      </c>
      <c r="F47" s="48">
        <f t="shared" si="5"/>
        <v>1</v>
      </c>
      <c r="G47" s="49">
        <f>(G46*($K46/$K45)-L46)*(1+Assumptions!$B$15)^$F47</f>
        <v>317036428.41254646</v>
      </c>
      <c r="H47" s="49">
        <f>$H$6/$G$6*G47*(1+Assumptions!$B$16)^INT((C47-1)/12)*IF(B47="Monthly",1,12)</f>
        <v>586812.30310865154</v>
      </c>
      <c r="I47" s="50">
        <f>Assumptions!$B$14</f>
        <v>0.15</v>
      </c>
      <c r="J47" s="50">
        <f t="shared" si="6"/>
        <v>0.15000000000000002</v>
      </c>
      <c r="K47" s="51">
        <f t="shared" si="7"/>
        <v>0.23161694628320298</v>
      </c>
      <c r="L47" s="52">
        <f>H47*Assumptions!$B$7</f>
        <v>293406.15155432577</v>
      </c>
      <c r="M47" s="49">
        <f>L47*Assumptions!$B$11</f>
        <v>58681.230310865154</v>
      </c>
      <c r="N47" s="49">
        <f>H47*Assumptions!$B$11</f>
        <v>117362.46062173031</v>
      </c>
      <c r="O47" s="49">
        <f>N47*Assumptions!$B$12</f>
        <v>11736.246062173032</v>
      </c>
      <c r="P47" s="49">
        <f>H47*Assumptions!$B$9</f>
        <v>46944.984248692126</v>
      </c>
      <c r="Q47" s="49">
        <f>H47*Assumptions!$B$8</f>
        <v>29340.615155432577</v>
      </c>
      <c r="R47" s="52">
        <f>(R48)/((1+Assumptions!$B$21)^$E48)+H48/IF(H$3="EOP",((1+Assumptions!$B$21)^$E48),1)</f>
        <v>5847247.7750582024</v>
      </c>
      <c r="S47" s="49">
        <f>(S48)/((1+Assumptions!$B$21)^$E48)+L48/IF(L$3="EOP",((1+Assumptions!$B$21)^$E48),1)</f>
        <v>2852315.9878332699</v>
      </c>
      <c r="T47" s="49">
        <f>(T48)/((1+Assumptions!$B$21)^$E48)+M48/IF(M$3="EOP",((1+Assumptions!$B$21)^$E48),1)</f>
        <v>570463.19756665407</v>
      </c>
      <c r="U47" s="49">
        <f>(U48)/((1+Assumptions!$B$21)^$E48)+N48/IF(N$3="EOP",((1+Assumptions!$B$21)^$E48),1)</f>
        <v>1169449.5550116408</v>
      </c>
      <c r="V47" s="49">
        <f>(V48)/((1+Assumptions!$B$21)^$E48)+O48/IF(O$3="EOP",((1+Assumptions!$B$21)^$E48),1)</f>
        <v>116944.95550116408</v>
      </c>
      <c r="W47" s="49">
        <f>(W48)/((1+Assumptions!$B$21)^$E48)+P48/IF(P$3="EOP",((1+Assumptions!$B$21)^$E48),1)</f>
        <v>467779.82200465631</v>
      </c>
      <c r="X47" s="49">
        <f>(X48)/((1+Assumptions!$B$21)^$E48)+Q48/IF(Q$3="EOP",((1+Assumptions!$B$21)^$E48),1)</f>
        <v>285231.59878332703</v>
      </c>
      <c r="Y47" s="53">
        <f t="shared" si="2"/>
        <v>-1759878.9644931268</v>
      </c>
      <c r="Z47" s="52">
        <f>H48*Assumptions!$B$7*Assumptions!$B$25/$E48/12</f>
        <v>28586.943618705598</v>
      </c>
      <c r="AA47" s="49">
        <f>Z47*Assumptions!$B$11</f>
        <v>5717.38872374112</v>
      </c>
      <c r="AB47" s="54">
        <f t="shared" si="8"/>
        <v>22869.55489496448</v>
      </c>
      <c r="AC47" s="89">
        <f t="shared" si="9"/>
        <v>-1737009.4095981624</v>
      </c>
      <c r="AD47" s="89">
        <f>Assumptions!$B$23*R47</f>
        <v>877087.16625873034</v>
      </c>
      <c r="AE47" s="89">
        <f t="shared" si="11"/>
        <v>-859922.24333943205</v>
      </c>
    </row>
    <row r="48" spans="1:31" x14ac:dyDescent="0.25">
      <c r="A48" s="44">
        <f t="shared" si="10"/>
        <v>43</v>
      </c>
      <c r="B48" s="45" t="s">
        <v>29</v>
      </c>
      <c r="C48" s="48">
        <f t="shared" si="12"/>
        <v>120</v>
      </c>
      <c r="D48" s="47">
        <f t="shared" si="1"/>
        <v>10</v>
      </c>
      <c r="E48" s="47">
        <f t="shared" si="4"/>
        <v>1</v>
      </c>
      <c r="F48" s="48">
        <f t="shared" si="5"/>
        <v>1</v>
      </c>
      <c r="G48" s="49">
        <f>(G47*($K47/$K46)-L47)*(1+Assumptions!$B$15)^$F48</f>
        <v>274571309.15909237</v>
      </c>
      <c r="H48" s="49">
        <f>$H$6/$G$6*G48*(1+Assumptions!$B$16)^INT((C48-1)/12)*IF(B48="Monthly",1,12)</f>
        <v>548869.31747914746</v>
      </c>
      <c r="I48" s="50">
        <f>Assumptions!$B$14</f>
        <v>0.15</v>
      </c>
      <c r="J48" s="50">
        <f t="shared" si="6"/>
        <v>0.15000000000000002</v>
      </c>
      <c r="K48" s="51">
        <f t="shared" si="7"/>
        <v>0.19687440434072254</v>
      </c>
      <c r="L48" s="52">
        <f>H48*Assumptions!$B$7</f>
        <v>274434.65873957373</v>
      </c>
      <c r="M48" s="49">
        <f>L48*Assumptions!$B$11</f>
        <v>54886.93174791475</v>
      </c>
      <c r="N48" s="49">
        <f>H48*Assumptions!$B$11</f>
        <v>109773.8634958295</v>
      </c>
      <c r="O48" s="49">
        <f>N48*Assumptions!$B$12</f>
        <v>10977.38634958295</v>
      </c>
      <c r="P48" s="49">
        <f>H48*Assumptions!$B$9</f>
        <v>43909.5453983318</v>
      </c>
      <c r="Q48" s="49">
        <f>H48*Assumptions!$B$8</f>
        <v>27443.465873957375</v>
      </c>
      <c r="R48" s="52">
        <f>(R49)/((1+Assumptions!$B$21)^$E49)+H49/IF(H$3="EOP",((1+Assumptions!$B$21)^$E49),1)</f>
        <v>5430837.9190185312</v>
      </c>
      <c r="S48" s="49">
        <f>(S49)/((1+Assumptions!$B$21)^$E49)+L49/IF(L$3="EOP",((1+Assumptions!$B$21)^$E49),1)</f>
        <v>2649189.2287895279</v>
      </c>
      <c r="T48" s="49">
        <f>(T49)/((1+Assumptions!$B$21)^$E49)+M49/IF(M$3="EOP",((1+Assumptions!$B$21)^$E49),1)</f>
        <v>529837.84575790563</v>
      </c>
      <c r="U48" s="49">
        <f>(U49)/((1+Assumptions!$B$21)^$E49)+N49/IF(N$3="EOP",((1+Assumptions!$B$21)^$E49),1)</f>
        <v>1086167.5838037063</v>
      </c>
      <c r="V48" s="49">
        <f>(V49)/((1+Assumptions!$B$21)^$E49)+O49/IF(O$3="EOP",((1+Assumptions!$B$21)^$E49),1)</f>
        <v>108616.75838037065</v>
      </c>
      <c r="W48" s="49">
        <f>(W49)/((1+Assumptions!$B$21)^$E49)+P49/IF(P$3="EOP",((1+Assumptions!$B$21)^$E49),1)</f>
        <v>434467.0335214826</v>
      </c>
      <c r="X48" s="49">
        <f>(X49)/((1+Assumptions!$B$21)^$E49)+Q49/IF(Q$3="EOP",((1+Assumptions!$B$21)^$E49),1)</f>
        <v>264918.92287895281</v>
      </c>
      <c r="Y48" s="53">
        <f t="shared" si="2"/>
        <v>-1634549.7541631376</v>
      </c>
      <c r="Z48" s="52">
        <f>H49*Assumptions!$B$7*Assumptions!$B$25/$E49/12</f>
        <v>26736.194822552399</v>
      </c>
      <c r="AA48" s="49">
        <f>Z48*Assumptions!$B$11</f>
        <v>5347.2389645104804</v>
      </c>
      <c r="AB48" s="54">
        <f t="shared" si="8"/>
        <v>21388.955858041918</v>
      </c>
      <c r="AC48" s="89">
        <f t="shared" si="9"/>
        <v>-1613160.7983050956</v>
      </c>
      <c r="AD48" s="89">
        <f>Assumptions!$B$23*R48</f>
        <v>814625.68785277964</v>
      </c>
      <c r="AE48" s="89">
        <f t="shared" si="11"/>
        <v>-798535.110452316</v>
      </c>
    </row>
    <row r="49" spans="1:31" x14ac:dyDescent="0.25">
      <c r="A49" s="44">
        <f t="shared" si="10"/>
        <v>44</v>
      </c>
      <c r="B49" s="45" t="s">
        <v>29</v>
      </c>
      <c r="C49" s="48">
        <f t="shared" si="12"/>
        <v>132</v>
      </c>
      <c r="D49" s="47">
        <f t="shared" si="1"/>
        <v>11</v>
      </c>
      <c r="E49" s="47">
        <f t="shared" si="4"/>
        <v>1</v>
      </c>
      <c r="F49" s="48">
        <f t="shared" si="5"/>
        <v>1</v>
      </c>
      <c r="G49" s="49">
        <f>(G48*($K48/$K47)-L48)*(1+Assumptions!$B$15)^$F49</f>
        <v>237773401.6890187</v>
      </c>
      <c r="H49" s="49">
        <f>$H$6/$G$6*G49*(1+Assumptions!$B$16)^INT((C49-1)/12)*IF(B49="Monthly",1,12)</f>
        <v>513334.94059300609</v>
      </c>
      <c r="I49" s="50">
        <f>Assumptions!$B$14</f>
        <v>0.15</v>
      </c>
      <c r="J49" s="50">
        <f t="shared" si="6"/>
        <v>0.15000000000000002</v>
      </c>
      <c r="K49" s="51">
        <f t="shared" si="7"/>
        <v>0.16734324368961415</v>
      </c>
      <c r="L49" s="52">
        <f>H49*Assumptions!$B$7</f>
        <v>256667.47029650304</v>
      </c>
      <c r="M49" s="49">
        <f>L49*Assumptions!$B$11</f>
        <v>51333.49405930061</v>
      </c>
      <c r="N49" s="49">
        <f>H49*Assumptions!$B$11</f>
        <v>102666.98811860122</v>
      </c>
      <c r="O49" s="49">
        <f>N49*Assumptions!$B$12</f>
        <v>10266.698811860122</v>
      </c>
      <c r="P49" s="49">
        <f>H49*Assumptions!$B$9</f>
        <v>41066.795247440488</v>
      </c>
      <c r="Q49" s="49">
        <f>H49*Assumptions!$B$8</f>
        <v>25666.747029650305</v>
      </c>
      <c r="R49" s="52">
        <f>(R50)/((1+Assumptions!$B$21)^$E50)+H50/IF(H$3="EOP",((1+Assumptions!$B$21)^$E50),1)</f>
        <v>5040440.5528861629</v>
      </c>
      <c r="S49" s="49">
        <f>(S50)/((1+Assumptions!$B$21)^$E50)+L50/IF(L$3="EOP",((1+Assumptions!$B$21)^$E50),1)</f>
        <v>2458751.4892127626</v>
      </c>
      <c r="T49" s="49">
        <f>(T50)/((1+Assumptions!$B$21)^$E50)+M50/IF(M$3="EOP",((1+Assumptions!$B$21)^$E50),1)</f>
        <v>491750.29784255265</v>
      </c>
      <c r="U49" s="49">
        <f>(U50)/((1+Assumptions!$B$21)^$E50)+N50/IF(N$3="EOP",((1+Assumptions!$B$21)^$E50),1)</f>
        <v>1008088.1105772326</v>
      </c>
      <c r="V49" s="49">
        <f>(V50)/((1+Assumptions!$B$21)^$E50)+O50/IF(O$3="EOP",((1+Assumptions!$B$21)^$E50),1)</f>
        <v>100808.81105772329</v>
      </c>
      <c r="W49" s="49">
        <f>(W50)/((1+Assumptions!$B$21)^$E50)+P50/IF(P$3="EOP",((1+Assumptions!$B$21)^$E50),1)</f>
        <v>403235.24423089315</v>
      </c>
      <c r="X49" s="49">
        <f>(X50)/((1+Assumptions!$B$21)^$E50)+Q50/IF(Q$3="EOP",((1+Assumptions!$B$21)^$E50),1)</f>
        <v>245875.14892127633</v>
      </c>
      <c r="Y49" s="53">
        <f t="shared" si="2"/>
        <v>-1517049.6688442742</v>
      </c>
      <c r="Z49" s="52">
        <f>H50*Assumptions!$B$7*Assumptions!$B$25/$E50/12</f>
        <v>25002.910415259801</v>
      </c>
      <c r="AA49" s="49">
        <f>Z49*Assumptions!$B$11</f>
        <v>5000.5820830519606</v>
      </c>
      <c r="AB49" s="54">
        <f t="shared" si="8"/>
        <v>20002.328332207842</v>
      </c>
      <c r="AC49" s="89">
        <f t="shared" si="9"/>
        <v>-1497047.3405120664</v>
      </c>
      <c r="AD49" s="89">
        <f>Assumptions!$B$23*R49</f>
        <v>756066.08293292439</v>
      </c>
      <c r="AE49" s="89">
        <f t="shared" si="11"/>
        <v>-740981.25757914199</v>
      </c>
    </row>
    <row r="50" spans="1:31" x14ac:dyDescent="0.25">
      <c r="A50" s="44">
        <f t="shared" si="10"/>
        <v>45</v>
      </c>
      <c r="B50" s="45" t="s">
        <v>29</v>
      </c>
      <c r="C50" s="48">
        <f t="shared" si="12"/>
        <v>144</v>
      </c>
      <c r="D50" s="47">
        <f t="shared" si="1"/>
        <v>12</v>
      </c>
      <c r="E50" s="47">
        <f t="shared" si="4"/>
        <v>1</v>
      </c>
      <c r="F50" s="48">
        <f t="shared" si="5"/>
        <v>1</v>
      </c>
      <c r="G50" s="49">
        <f>(G49*($K49/$K48)-L49)*(1+Assumptions!$B$15)^$F50</f>
        <v>205887738.44467676</v>
      </c>
      <c r="H50" s="49">
        <f>$H$6/$G$6*G50*(1+Assumptions!$B$16)^INT((C50-1)/12)*IF(B50="Monthly",1,12)</f>
        <v>480055.87997298816</v>
      </c>
      <c r="I50" s="50">
        <f>Assumptions!$B$14</f>
        <v>0.15</v>
      </c>
      <c r="J50" s="50">
        <f t="shared" si="6"/>
        <v>0.15000000000000002</v>
      </c>
      <c r="K50" s="51">
        <f t="shared" si="7"/>
        <v>0.14224175713617201</v>
      </c>
      <c r="L50" s="52">
        <f>H50*Assumptions!$B$7</f>
        <v>240027.93998649408</v>
      </c>
      <c r="M50" s="49">
        <f>L50*Assumptions!$B$11</f>
        <v>48005.587997298819</v>
      </c>
      <c r="N50" s="49">
        <f>H50*Assumptions!$B$11</f>
        <v>96011.175994597637</v>
      </c>
      <c r="O50" s="49">
        <f>N50*Assumptions!$B$12</f>
        <v>9601.1175994597634</v>
      </c>
      <c r="P50" s="49">
        <f>H50*Assumptions!$B$9</f>
        <v>38404.470397839053</v>
      </c>
      <c r="Q50" s="49">
        <f>H50*Assumptions!$B$8</f>
        <v>24002.793998649409</v>
      </c>
      <c r="R50" s="52">
        <f>(R51)/((1+Assumptions!$B$21)^$E51)+H51/IF(H$3="EOP",((1+Assumptions!$B$21)^$E51),1)</f>
        <v>4674394.2897360036</v>
      </c>
      <c r="S50" s="49">
        <f>(S51)/((1+Assumptions!$B$21)^$E51)+L51/IF(L$3="EOP",((1+Assumptions!$B$21)^$E51),1)</f>
        <v>2280192.3364565871</v>
      </c>
      <c r="T50" s="49">
        <f>(T51)/((1+Assumptions!$B$21)^$E51)+M51/IF(M$3="EOP",((1+Assumptions!$B$21)^$E51),1)</f>
        <v>456038.46729131759</v>
      </c>
      <c r="U50" s="49">
        <f>(U51)/((1+Assumptions!$B$21)^$E51)+N51/IF(N$3="EOP",((1+Assumptions!$B$21)^$E51),1)</f>
        <v>934878.85794720077</v>
      </c>
      <c r="V50" s="49">
        <f>(V51)/((1+Assumptions!$B$21)^$E51)+O51/IF(O$3="EOP",((1+Assumptions!$B$21)^$E51),1)</f>
        <v>93487.885794720103</v>
      </c>
      <c r="W50" s="49">
        <f>(W51)/((1+Assumptions!$B$21)^$E51)+P51/IF(P$3="EOP",((1+Assumptions!$B$21)^$E51),1)</f>
        <v>373951.54317888041</v>
      </c>
      <c r="X50" s="49">
        <f>(X51)/((1+Assumptions!$B$21)^$E51)+Q51/IF(Q$3="EOP",((1+Assumptions!$B$21)^$E51),1)</f>
        <v>228019.23364565879</v>
      </c>
      <c r="Y50" s="53">
        <f t="shared" si="2"/>
        <v>-1406878.6715937143</v>
      </c>
      <c r="Z50" s="52">
        <f>H51*Assumptions!$B$7*Assumptions!$B$25/$E51/12</f>
        <v>23379.614789693645</v>
      </c>
      <c r="AA50" s="49">
        <f>Z50*Assumptions!$B$11</f>
        <v>4675.9229579387293</v>
      </c>
      <c r="AB50" s="54">
        <f t="shared" si="8"/>
        <v>18703.691831754917</v>
      </c>
      <c r="AC50" s="89">
        <f t="shared" si="9"/>
        <v>-1388174.9797619593</v>
      </c>
      <c r="AD50" s="89">
        <f>Assumptions!$B$23*R50</f>
        <v>701159.14346040052</v>
      </c>
      <c r="AE50" s="89">
        <f t="shared" si="11"/>
        <v>-687015.83630155877</v>
      </c>
    </row>
    <row r="51" spans="1:31" x14ac:dyDescent="0.25">
      <c r="A51" s="44">
        <f t="shared" si="10"/>
        <v>46</v>
      </c>
      <c r="B51" s="45" t="s">
        <v>29</v>
      </c>
      <c r="C51" s="48">
        <f t="shared" si="12"/>
        <v>156</v>
      </c>
      <c r="D51" s="47">
        <f t="shared" si="1"/>
        <v>13</v>
      </c>
      <c r="E51" s="47">
        <f t="shared" si="4"/>
        <v>1</v>
      </c>
      <c r="F51" s="48">
        <f t="shared" si="5"/>
        <v>1</v>
      </c>
      <c r="G51" s="49">
        <f>(G50*($K50/$K49)-L50)*(1+Assumptions!$B$15)^$F51</f>
        <v>178259840.73274851</v>
      </c>
      <c r="H51" s="49">
        <f>$H$6/$G$6*G51*(1+Assumptions!$B$16)^INT((C51-1)/12)*IF(B51="Monthly",1,12)</f>
        <v>448888.60396211804</v>
      </c>
      <c r="I51" s="50">
        <f>Assumptions!$B$14</f>
        <v>0.15</v>
      </c>
      <c r="J51" s="50">
        <f t="shared" si="6"/>
        <v>0.15000000000000002</v>
      </c>
      <c r="K51" s="51">
        <f t="shared" si="7"/>
        <v>0.1209054935657462</v>
      </c>
      <c r="L51" s="52">
        <f>H51*Assumptions!$B$7</f>
        <v>224444.30198105902</v>
      </c>
      <c r="M51" s="49">
        <f>L51*Assumptions!$B$11</f>
        <v>44888.860396211807</v>
      </c>
      <c r="N51" s="49">
        <f>H51*Assumptions!$B$11</f>
        <v>89777.720792423614</v>
      </c>
      <c r="O51" s="49">
        <f>N51*Assumptions!$B$12</f>
        <v>8977.7720792423625</v>
      </c>
      <c r="P51" s="49">
        <f>H51*Assumptions!$B$9</f>
        <v>35911.088316969443</v>
      </c>
      <c r="Q51" s="49">
        <f>H51*Assumptions!$B$8</f>
        <v>22444.430198105903</v>
      </c>
      <c r="R51" s="52">
        <f>(R52)/((1+Assumptions!$B$21)^$E52)+H52/IF(H$3="EOP",((1+Assumptions!$B$21)^$E52),1)</f>
        <v>4331143.3279182324</v>
      </c>
      <c r="S51" s="49">
        <f>(S52)/((1+Assumptions!$B$21)^$E52)+L52/IF(L$3="EOP",((1+Assumptions!$B$21)^$E52),1)</f>
        <v>2112752.8428869424</v>
      </c>
      <c r="T51" s="49">
        <f>(T52)/((1+Assumptions!$B$21)^$E52)+M52/IF(M$3="EOP",((1+Assumptions!$B$21)^$E52),1)</f>
        <v>422550.56857738865</v>
      </c>
      <c r="U51" s="49">
        <f>(U52)/((1+Assumptions!$B$21)^$E52)+N52/IF(N$3="EOP",((1+Assumptions!$B$21)^$E52),1)</f>
        <v>866228.66558364651</v>
      </c>
      <c r="V51" s="49">
        <f>(V52)/((1+Assumptions!$B$21)^$E52)+O52/IF(O$3="EOP",((1+Assumptions!$B$21)^$E52),1)</f>
        <v>86622.86655836468</v>
      </c>
      <c r="W51" s="49">
        <f>(W52)/((1+Assumptions!$B$21)^$E52)+P52/IF(P$3="EOP",((1+Assumptions!$B$21)^$E52),1)</f>
        <v>346491.46623345872</v>
      </c>
      <c r="X51" s="49">
        <f>(X52)/((1+Assumptions!$B$21)^$E52)+Q52/IF(Q$3="EOP",((1+Assumptions!$B$21)^$E52),1)</f>
        <v>211275.28428869433</v>
      </c>
      <c r="Y51" s="53">
        <f t="shared" si="2"/>
        <v>-1303568.5040612437</v>
      </c>
      <c r="Z51" s="52">
        <f>H52*Assumptions!$B$7*Assumptions!$B$25/$E52/12</f>
        <v>21859.30838938132</v>
      </c>
      <c r="AA51" s="49">
        <f>Z51*Assumptions!$B$11</f>
        <v>4371.8616778762644</v>
      </c>
      <c r="AB51" s="54">
        <f t="shared" si="8"/>
        <v>17487.446711505057</v>
      </c>
      <c r="AC51" s="89">
        <f t="shared" si="9"/>
        <v>-1286081.0573497387</v>
      </c>
      <c r="AD51" s="89">
        <f>Assumptions!$B$23*R51</f>
        <v>649671.49918773479</v>
      </c>
      <c r="AE51" s="89">
        <f t="shared" si="11"/>
        <v>-636409.55816200387</v>
      </c>
    </row>
    <row r="52" spans="1:31" x14ac:dyDescent="0.25">
      <c r="A52" s="44">
        <f t="shared" si="10"/>
        <v>47</v>
      </c>
      <c r="B52" s="45" t="s">
        <v>29</v>
      </c>
      <c r="C52" s="48">
        <f t="shared" si="12"/>
        <v>168</v>
      </c>
      <c r="D52" s="47">
        <f t="shared" si="1"/>
        <v>14</v>
      </c>
      <c r="E52" s="47">
        <f t="shared" si="4"/>
        <v>1</v>
      </c>
      <c r="F52" s="48">
        <f t="shared" si="5"/>
        <v>1</v>
      </c>
      <c r="G52" s="49">
        <f>(G51*($K51/$K50)-L51)*(1+Assumptions!$B$15)^$F52</f>
        <v>154322348.72727227</v>
      </c>
      <c r="H52" s="49">
        <f>$H$6/$G$6*G52*(1+Assumptions!$B$16)^INT((C52-1)/12)*IF(B52="Monthly",1,12)</f>
        <v>419698.72107612132</v>
      </c>
      <c r="I52" s="50">
        <f>Assumptions!$B$14</f>
        <v>0.15</v>
      </c>
      <c r="J52" s="50">
        <f t="shared" si="6"/>
        <v>0.15000000000000002</v>
      </c>
      <c r="K52" s="51">
        <f t="shared" si="7"/>
        <v>0.10276966953088428</v>
      </c>
      <c r="L52" s="52">
        <f>H52*Assumptions!$B$7</f>
        <v>209849.36053806066</v>
      </c>
      <c r="M52" s="49">
        <f>L52*Assumptions!$B$11</f>
        <v>41969.872107612136</v>
      </c>
      <c r="N52" s="49">
        <f>H52*Assumptions!$B$11</f>
        <v>83939.744215224273</v>
      </c>
      <c r="O52" s="49">
        <f>N52*Assumptions!$B$12</f>
        <v>8393.9744215224273</v>
      </c>
      <c r="P52" s="49">
        <f>H52*Assumptions!$B$9</f>
        <v>33575.897686089709</v>
      </c>
      <c r="Q52" s="49">
        <f>H52*Assumptions!$B$8</f>
        <v>20984.936053806068</v>
      </c>
      <c r="R52" s="52">
        <f>(R53)/((1+Assumptions!$B$21)^$E53)+H53/IF(H$3="EOP",((1+Assumptions!$B$21)^$E53),1)</f>
        <v>4009230.7220131638</v>
      </c>
      <c r="S52" s="49">
        <f>(S53)/((1+Assumptions!$B$21)^$E53)+L53/IF(L$3="EOP",((1+Assumptions!$B$21)^$E53),1)</f>
        <v>1955722.3034210554</v>
      </c>
      <c r="T52" s="49">
        <f>(T53)/((1+Assumptions!$B$21)^$E53)+M53/IF(M$3="EOP",((1+Assumptions!$B$21)^$E53),1)</f>
        <v>391144.46068421123</v>
      </c>
      <c r="U52" s="49">
        <f>(U53)/((1+Assumptions!$B$21)^$E53)+N53/IF(N$3="EOP",((1+Assumptions!$B$21)^$E53),1)</f>
        <v>801846.14440263272</v>
      </c>
      <c r="V52" s="49">
        <f>(V53)/((1+Assumptions!$B$21)^$E53)+O53/IF(O$3="EOP",((1+Assumptions!$B$21)^$E53),1)</f>
        <v>80184.614440263307</v>
      </c>
      <c r="W52" s="49">
        <f>(W53)/((1+Assumptions!$B$21)^$E53)+P53/IF(P$3="EOP",((1+Assumptions!$B$21)^$E53),1)</f>
        <v>320738.45776105323</v>
      </c>
      <c r="X52" s="49">
        <f>(X53)/((1+Assumptions!$B$21)^$E53)+Q53/IF(Q$3="EOP",((1+Assumptions!$B$21)^$E53),1)</f>
        <v>195572.23034210561</v>
      </c>
      <c r="Y52" s="53">
        <f t="shared" si="2"/>
        <v>-1206680.6612107912</v>
      </c>
      <c r="Z52" s="52">
        <f>H53*Assumptions!$B$7*Assumptions!$B$25/$E53/12</f>
        <v>20435.43744265279</v>
      </c>
      <c r="AA52" s="49">
        <f>Z52*Assumptions!$B$11</f>
        <v>4087.0874885305584</v>
      </c>
      <c r="AB52" s="54">
        <f t="shared" si="8"/>
        <v>16348.349954122232</v>
      </c>
      <c r="AC52" s="89">
        <f t="shared" si="9"/>
        <v>-1190332.311256669</v>
      </c>
      <c r="AD52" s="89">
        <f>Assumptions!$B$23*R52</f>
        <v>601384.6083019746</v>
      </c>
      <c r="AE52" s="89">
        <f t="shared" si="11"/>
        <v>-588947.7029546944</v>
      </c>
    </row>
    <row r="53" spans="1:31" x14ac:dyDescent="0.25">
      <c r="A53" s="44">
        <f t="shared" si="10"/>
        <v>48</v>
      </c>
      <c r="B53" s="45" t="s">
        <v>29</v>
      </c>
      <c r="C53" s="48">
        <f t="shared" si="12"/>
        <v>180</v>
      </c>
      <c r="D53" s="47">
        <f t="shared" si="1"/>
        <v>15</v>
      </c>
      <c r="E53" s="47">
        <f t="shared" si="4"/>
        <v>1</v>
      </c>
      <c r="F53" s="48">
        <f t="shared" si="5"/>
        <v>1</v>
      </c>
      <c r="G53" s="49">
        <f>(G52*($K52/$K51)-L52)*(1+Assumptions!$B$15)^$F53</f>
        <v>133583429.99879624</v>
      </c>
      <c r="H53" s="49">
        <f>$H$6/$G$6*G53*(1+Assumptions!$B$16)^INT((C53-1)/12)*IF(B53="Monthly",1,12)</f>
        <v>392360.39889893355</v>
      </c>
      <c r="I53" s="50">
        <f>Assumptions!$B$14</f>
        <v>0.15</v>
      </c>
      <c r="J53" s="50">
        <f t="shared" si="6"/>
        <v>0.15000000000000002</v>
      </c>
      <c r="K53" s="51">
        <f t="shared" si="7"/>
        <v>8.7354219101251629E-2</v>
      </c>
      <c r="L53" s="52">
        <f>H53*Assumptions!$B$7</f>
        <v>196180.19944946677</v>
      </c>
      <c r="M53" s="49">
        <f>L53*Assumptions!$B$11</f>
        <v>39236.039889893356</v>
      </c>
      <c r="N53" s="49">
        <f>H53*Assumptions!$B$11</f>
        <v>78472.079779786713</v>
      </c>
      <c r="O53" s="49">
        <f>N53*Assumptions!$B$12</f>
        <v>7847.2079779786718</v>
      </c>
      <c r="P53" s="49">
        <f>H53*Assumptions!$B$9</f>
        <v>31388.831911914684</v>
      </c>
      <c r="Q53" s="49">
        <f>H53*Assumptions!$B$8</f>
        <v>19618.019944946678</v>
      </c>
      <c r="R53" s="52">
        <f>(R54)/((1+Assumptions!$B$21)^$E54)+H54/IF(H$3="EOP",((1+Assumptions!$B$21)^$E54),1)</f>
        <v>3707292.0811920855</v>
      </c>
      <c r="S53" s="49">
        <f>(S54)/((1+Assumptions!$B$21)^$E54)+L54/IF(L$3="EOP",((1+Assumptions!$B$21)^$E54),1)</f>
        <v>1808435.1615571149</v>
      </c>
      <c r="T53" s="49">
        <f>(T54)/((1+Assumptions!$B$21)^$E54)+M54/IF(M$3="EOP",((1+Assumptions!$B$21)^$E54),1)</f>
        <v>361687.03231142316</v>
      </c>
      <c r="U53" s="49">
        <f>(U54)/((1+Assumptions!$B$21)^$E54)+N54/IF(N$3="EOP",((1+Assumptions!$B$21)^$E54),1)</f>
        <v>741458.41623841703</v>
      </c>
      <c r="V53" s="49">
        <f>(V54)/((1+Assumptions!$B$21)^$E54)+O54/IF(O$3="EOP",((1+Assumptions!$B$21)^$E54),1)</f>
        <v>74145.841623841741</v>
      </c>
      <c r="W53" s="49">
        <f>(W54)/((1+Assumptions!$B$21)^$E54)+P54/IF(P$3="EOP",((1+Assumptions!$B$21)^$E54),1)</f>
        <v>296583.36649536696</v>
      </c>
      <c r="X53" s="49">
        <f>(X54)/((1+Assumptions!$B$21)^$E54)+Q54/IF(Q$3="EOP",((1+Assumptions!$B$21)^$E54),1)</f>
        <v>180843.51615571158</v>
      </c>
      <c r="Y53" s="53">
        <f t="shared" si="2"/>
        <v>-1115804.4946807399</v>
      </c>
      <c r="Z53" s="52">
        <f>H54*Assumptions!$B$7*Assumptions!$B$25/$E54/12</f>
        <v>19101.865625422099</v>
      </c>
      <c r="AA53" s="49">
        <f>Z53*Assumptions!$B$11</f>
        <v>3820.3731250844198</v>
      </c>
      <c r="AB53" s="54">
        <f t="shared" si="8"/>
        <v>15281.492500337679</v>
      </c>
      <c r="AC53" s="89">
        <f t="shared" si="9"/>
        <v>-1100523.0021804022</v>
      </c>
      <c r="AD53" s="89">
        <f>Assumptions!$B$23*R53</f>
        <v>556093.8121788128</v>
      </c>
      <c r="AE53" s="89">
        <f t="shared" si="11"/>
        <v>-544429.19000158936</v>
      </c>
    </row>
    <row r="54" spans="1:31" x14ac:dyDescent="0.25">
      <c r="A54" s="44">
        <f t="shared" si="10"/>
        <v>49</v>
      </c>
      <c r="B54" s="45" t="s">
        <v>29</v>
      </c>
      <c r="C54" s="48">
        <f t="shared" si="12"/>
        <v>192</v>
      </c>
      <c r="D54" s="47">
        <f t="shared" si="1"/>
        <v>16</v>
      </c>
      <c r="E54" s="47">
        <f t="shared" si="4"/>
        <v>1</v>
      </c>
      <c r="F54" s="48">
        <f t="shared" si="5"/>
        <v>1</v>
      </c>
      <c r="G54" s="49">
        <f>(G53*($K53/$K52)-L53)*(1+Assumptions!$B$15)^$F54</f>
        <v>115616730.00551789</v>
      </c>
      <c r="H54" s="49">
        <f>$H$6/$G$6*G54*(1+Assumptions!$B$16)^INT((C54-1)/12)*IF(B54="Monthly",1,12)</f>
        <v>366755.82000810432</v>
      </c>
      <c r="I54" s="50">
        <f>Assumptions!$B$14</f>
        <v>0.15</v>
      </c>
      <c r="J54" s="50">
        <f t="shared" si="6"/>
        <v>0.15000000000000002</v>
      </c>
      <c r="K54" s="51">
        <f t="shared" si="7"/>
        <v>7.4251086236063885E-2</v>
      </c>
      <c r="L54" s="52">
        <f>H54*Assumptions!$B$7</f>
        <v>183377.91000405216</v>
      </c>
      <c r="M54" s="49">
        <f>L54*Assumptions!$B$11</f>
        <v>36675.582000810435</v>
      </c>
      <c r="N54" s="49">
        <f>H54*Assumptions!$B$11</f>
        <v>73351.164001620869</v>
      </c>
      <c r="O54" s="49">
        <f>N54*Assumptions!$B$12</f>
        <v>7335.1164001620873</v>
      </c>
      <c r="P54" s="49">
        <f>H54*Assumptions!$B$9</f>
        <v>29340.465600648346</v>
      </c>
      <c r="Q54" s="49">
        <f>H54*Assumptions!$B$8</f>
        <v>18337.791000405217</v>
      </c>
      <c r="R54" s="52">
        <f>(R55)/((1+Assumptions!$B$21)^$E55)+H55/IF(H$3="EOP",((1+Assumptions!$B$21)^$E55),1)</f>
        <v>3424049.6677135807</v>
      </c>
      <c r="S54" s="49">
        <f>(S55)/((1+Assumptions!$B$21)^$E55)+L55/IF(L$3="EOP",((1+Assumptions!$B$21)^$E55),1)</f>
        <v>1670268.1305919907</v>
      </c>
      <c r="T54" s="49">
        <f>(T55)/((1+Assumptions!$B$21)^$E55)+M55/IF(M$3="EOP",((1+Assumptions!$B$21)^$E55),1)</f>
        <v>334053.62611839827</v>
      </c>
      <c r="U54" s="49">
        <f>(U55)/((1+Assumptions!$B$21)^$E55)+N55/IF(N$3="EOP",((1+Assumptions!$B$21)^$E55),1)</f>
        <v>684809.93354271608</v>
      </c>
      <c r="V54" s="49">
        <f>(V55)/((1+Assumptions!$B$21)^$E55)+O55/IF(O$3="EOP",((1+Assumptions!$B$21)^$E55),1)</f>
        <v>68480.993354271632</v>
      </c>
      <c r="W54" s="49">
        <f>(W55)/((1+Assumptions!$B$21)^$E55)+P55/IF(P$3="EOP",((1+Assumptions!$B$21)^$E55),1)</f>
        <v>273923.97341708653</v>
      </c>
      <c r="X54" s="49">
        <f>(X55)/((1+Assumptions!$B$21)^$E55)+Q55/IF(Q$3="EOP",((1+Assumptions!$B$21)^$E55),1)</f>
        <v>167026.81305919914</v>
      </c>
      <c r="Y54" s="53">
        <f t="shared" si="2"/>
        <v>-1030555.4365752582</v>
      </c>
      <c r="Z54" s="52">
        <f>H55*Assumptions!$B$7*Assumptions!$B$25/$E55/12</f>
        <v>17852.847530053416</v>
      </c>
      <c r="AA54" s="49">
        <f>Z54*Assumptions!$B$11</f>
        <v>3570.5695060106832</v>
      </c>
      <c r="AB54" s="54">
        <f t="shared" si="8"/>
        <v>14282.278024042733</v>
      </c>
      <c r="AC54" s="89">
        <f t="shared" si="9"/>
        <v>-1016273.1585512154</v>
      </c>
      <c r="AD54" s="89">
        <f>Assumptions!$B$23*R54</f>
        <v>513607.45015703706</v>
      </c>
      <c r="AE54" s="89">
        <f t="shared" si="11"/>
        <v>-502665.70839417836</v>
      </c>
    </row>
    <row r="55" spans="1:31" x14ac:dyDescent="0.25">
      <c r="A55" s="44">
        <f t="shared" si="10"/>
        <v>50</v>
      </c>
      <c r="B55" s="45" t="s">
        <v>29</v>
      </c>
      <c r="C55" s="48">
        <f t="shared" si="12"/>
        <v>204</v>
      </c>
      <c r="D55" s="47">
        <f t="shared" si="1"/>
        <v>17</v>
      </c>
      <c r="E55" s="47">
        <f t="shared" si="4"/>
        <v>1</v>
      </c>
      <c r="F55" s="48">
        <f t="shared" si="5"/>
        <v>1</v>
      </c>
      <c r="G55" s="49">
        <f>(G54*($K54/$K53)-L54)*(1+Assumptions!$B$15)^$F55</f>
        <v>100052659.44657987</v>
      </c>
      <c r="H55" s="49">
        <f>$H$6/$G$6*G55*(1+Assumptions!$B$16)^INT((C55-1)/12)*IF(B55="Monthly",1,12)</f>
        <v>342774.6725770256</v>
      </c>
      <c r="I55" s="50">
        <f>Assumptions!$B$14</f>
        <v>0.15</v>
      </c>
      <c r="J55" s="50">
        <f t="shared" si="6"/>
        <v>0.15000000000000002</v>
      </c>
      <c r="K55" s="51">
        <f t="shared" si="7"/>
        <v>6.3113423300654295E-2</v>
      </c>
      <c r="L55" s="52">
        <f>H55*Assumptions!$B$7</f>
        <v>171387.3362885128</v>
      </c>
      <c r="M55" s="49">
        <f>L55*Assumptions!$B$11</f>
        <v>34277.467257702563</v>
      </c>
      <c r="N55" s="49">
        <f>H55*Assumptions!$B$11</f>
        <v>68554.934515405126</v>
      </c>
      <c r="O55" s="49">
        <f>N55*Assumptions!$B$12</f>
        <v>6855.493451540513</v>
      </c>
      <c r="P55" s="49">
        <f>H55*Assumptions!$B$9</f>
        <v>27421.973806162048</v>
      </c>
      <c r="Q55" s="49">
        <f>H55*Assumptions!$B$8</f>
        <v>17138.733628851282</v>
      </c>
      <c r="R55" s="52">
        <f>(R56)/((1+Assumptions!$B$21)^$E56)+H56/IF(H$3="EOP",((1+Assumptions!$B$21)^$E56),1)</f>
        <v>3158306.8700149688</v>
      </c>
      <c r="S55" s="49">
        <f>(S56)/((1+Assumptions!$B$21)^$E56)+L56/IF(L$3="EOP",((1+Assumptions!$B$21)^$E56),1)</f>
        <v>1540637.4975682776</v>
      </c>
      <c r="T55" s="49">
        <f>(T56)/((1+Assumptions!$B$21)^$E56)+M56/IF(M$3="EOP",((1+Assumptions!$B$21)^$E56),1)</f>
        <v>308127.49951365561</v>
      </c>
      <c r="U55" s="49">
        <f>(U56)/((1+Assumptions!$B$21)^$E56)+N56/IF(N$3="EOP",((1+Assumptions!$B$21)^$E56),1)</f>
        <v>631661.37400299369</v>
      </c>
      <c r="V55" s="49">
        <f>(V56)/((1+Assumptions!$B$21)^$E56)+O56/IF(O$3="EOP",((1+Assumptions!$B$21)^$E56),1)</f>
        <v>63166.137400299383</v>
      </c>
      <c r="W55" s="49">
        <f>(W56)/((1+Assumptions!$B$21)^$E56)+P56/IF(P$3="EOP",((1+Assumptions!$B$21)^$E56),1)</f>
        <v>252664.54960119753</v>
      </c>
      <c r="X55" s="49">
        <f>(X56)/((1+Assumptions!$B$21)^$E56)+Q56/IF(Q$3="EOP",((1+Assumptions!$B$21)^$E56),1)</f>
        <v>154063.7497568278</v>
      </c>
      <c r="Y55" s="53">
        <f t="shared" si="2"/>
        <v>-950573.33599962702</v>
      </c>
      <c r="Z55" s="52">
        <f>H56*Assumptions!$B$7*Assumptions!$B$25/$E56/12</f>
        <v>16683.003825563512</v>
      </c>
      <c r="AA55" s="49">
        <f>Z55*Assumptions!$B$11</f>
        <v>3336.6007651127024</v>
      </c>
      <c r="AB55" s="54">
        <f t="shared" si="8"/>
        <v>13346.40306045081</v>
      </c>
      <c r="AC55" s="89">
        <f t="shared" si="9"/>
        <v>-937226.93293917621</v>
      </c>
      <c r="AD55" s="89">
        <f>Assumptions!$B$23*R55</f>
        <v>473746.0305022453</v>
      </c>
      <c r="AE55" s="89">
        <f t="shared" si="11"/>
        <v>-463480.90243693092</v>
      </c>
    </row>
    <row r="56" spans="1:31" x14ac:dyDescent="0.25">
      <c r="A56" s="44">
        <f t="shared" si="10"/>
        <v>51</v>
      </c>
      <c r="B56" s="45" t="s">
        <v>29</v>
      </c>
      <c r="C56" s="48">
        <f t="shared" si="12"/>
        <v>216</v>
      </c>
      <c r="D56" s="47">
        <f t="shared" si="1"/>
        <v>18</v>
      </c>
      <c r="E56" s="47">
        <f t="shared" si="4"/>
        <v>1</v>
      </c>
      <c r="F56" s="48">
        <f t="shared" si="5"/>
        <v>1</v>
      </c>
      <c r="G56" s="49">
        <f>(G55*($K55/$K54)-L55)*(1+Assumptions!$B$15)^$F56</f>
        <v>86570840.65717046</v>
      </c>
      <c r="H56" s="49">
        <f>$H$6/$G$6*G56*(1+Assumptions!$B$16)^INT((C56-1)/12)*IF(B56="Monthly",1,12)</f>
        <v>320313.67345081939</v>
      </c>
      <c r="I56" s="50">
        <f>Assumptions!$B$14</f>
        <v>0.15</v>
      </c>
      <c r="J56" s="50">
        <f t="shared" si="6"/>
        <v>0.15000000000000002</v>
      </c>
      <c r="K56" s="51">
        <f t="shared" si="7"/>
        <v>5.3646409805556149E-2</v>
      </c>
      <c r="L56" s="52">
        <f>H56*Assumptions!$B$7</f>
        <v>160156.8367254097</v>
      </c>
      <c r="M56" s="49">
        <f>L56*Assumptions!$B$11</f>
        <v>32031.367345081941</v>
      </c>
      <c r="N56" s="49">
        <f>H56*Assumptions!$B$11</f>
        <v>64062.734690163881</v>
      </c>
      <c r="O56" s="49">
        <f>N56*Assumptions!$B$12</f>
        <v>6406.2734690163888</v>
      </c>
      <c r="P56" s="49">
        <f>H56*Assumptions!$B$9</f>
        <v>25625.093876065552</v>
      </c>
      <c r="Q56" s="49">
        <f>H56*Assumptions!$B$8</f>
        <v>16015.68367254097</v>
      </c>
      <c r="R56" s="52">
        <f>(R57)/((1+Assumptions!$B$21)^$E57)+H57/IF(H$3="EOP",((1+Assumptions!$B$21)^$E57),1)</f>
        <v>2908943.0264782528</v>
      </c>
      <c r="S56" s="49">
        <f>(S57)/((1+Assumptions!$B$21)^$E57)+L57/IF(L$3="EOP",((1+Assumptions!$B$21)^$E57),1)</f>
        <v>1418996.5982820748</v>
      </c>
      <c r="T56" s="49">
        <f>(T57)/((1+Assumptions!$B$21)^$E57)+M57/IF(M$3="EOP",((1+Assumptions!$B$21)^$E57),1)</f>
        <v>283799.31965641503</v>
      </c>
      <c r="U56" s="49">
        <f>(U57)/((1+Assumptions!$B$21)^$E57)+N57/IF(N$3="EOP",((1+Assumptions!$B$21)^$E57),1)</f>
        <v>581788.60529565054</v>
      </c>
      <c r="V56" s="49">
        <f>(V57)/((1+Assumptions!$B$21)^$E57)+O57/IF(O$3="EOP",((1+Assumptions!$B$21)^$E57),1)</f>
        <v>58178.86052956507</v>
      </c>
      <c r="W56" s="49">
        <f>(W57)/((1+Assumptions!$B$21)^$E57)+P57/IF(P$3="EOP",((1+Assumptions!$B$21)^$E57),1)</f>
        <v>232715.44211826028</v>
      </c>
      <c r="X56" s="49">
        <f>(X57)/((1+Assumptions!$B$21)^$E57)+Q57/IF(Q$3="EOP",((1+Assumptions!$B$21)^$E57),1)</f>
        <v>141899.65982820751</v>
      </c>
      <c r="Y56" s="53">
        <f t="shared" si="2"/>
        <v>-875520.90114003979</v>
      </c>
      <c r="Z56" s="52">
        <f>H57*Assumptions!$B$7*Assumptions!$B$25/$E57/12</f>
        <v>15587.298001722762</v>
      </c>
      <c r="AA56" s="49">
        <f>Z56*Assumptions!$B$11</f>
        <v>3117.4596003445527</v>
      </c>
      <c r="AB56" s="54">
        <f t="shared" si="8"/>
        <v>12469.838401378209</v>
      </c>
      <c r="AC56" s="89">
        <f t="shared" si="9"/>
        <v>-863051.06273866154</v>
      </c>
      <c r="AD56" s="89">
        <f>Assumptions!$B$23*R56</f>
        <v>436341.45397173794</v>
      </c>
      <c r="AE56" s="89">
        <f t="shared" si="11"/>
        <v>-426709.6087669236</v>
      </c>
    </row>
    <row r="57" spans="1:31" x14ac:dyDescent="0.25">
      <c r="A57" s="44">
        <f t="shared" si="10"/>
        <v>52</v>
      </c>
      <c r="B57" s="45" t="s">
        <v>29</v>
      </c>
      <c r="C57" s="48">
        <f t="shared" si="12"/>
        <v>228</v>
      </c>
      <c r="D57" s="47">
        <f t="shared" si="1"/>
        <v>19</v>
      </c>
      <c r="E57" s="47">
        <f t="shared" si="4"/>
        <v>1</v>
      </c>
      <c r="F57" s="48">
        <f t="shared" si="5"/>
        <v>1</v>
      </c>
      <c r="G57" s="49">
        <f>(G56*($K56/$K55)-L56)*(1+Assumptions!$B$15)^$F57</f>
        <v>74893558.876306862</v>
      </c>
      <c r="H57" s="49">
        <f>$H$6/$G$6*G57*(1+Assumptions!$B$16)^INT((C57-1)/12)*IF(B57="Monthly",1,12)</f>
        <v>299276.12163307704</v>
      </c>
      <c r="I57" s="50">
        <f>Assumptions!$B$14</f>
        <v>0.15</v>
      </c>
      <c r="J57" s="50">
        <f t="shared" si="6"/>
        <v>0.15000000000000002</v>
      </c>
      <c r="K57" s="51">
        <f t="shared" si="7"/>
        <v>4.5599448334722723E-2</v>
      </c>
      <c r="L57" s="52">
        <f>H57*Assumptions!$B$7</f>
        <v>149638.06081653852</v>
      </c>
      <c r="M57" s="49">
        <f>L57*Assumptions!$B$11</f>
        <v>29927.612163307705</v>
      </c>
      <c r="N57" s="49">
        <f>H57*Assumptions!$B$11</f>
        <v>59855.224326615411</v>
      </c>
      <c r="O57" s="49">
        <f>N57*Assumptions!$B$12</f>
        <v>5985.5224326615416</v>
      </c>
      <c r="P57" s="49">
        <f>H57*Assumptions!$B$9</f>
        <v>23942.089730646163</v>
      </c>
      <c r="Q57" s="49">
        <f>H57*Assumptions!$B$8</f>
        <v>14963.806081653853</v>
      </c>
      <c r="R57" s="52">
        <f>(R58)/((1+Assumptions!$B$21)^$E58)+H58/IF(H$3="EOP",((1+Assumptions!$B$21)^$E58),1)</f>
        <v>2674908.5774663049</v>
      </c>
      <c r="S57" s="49">
        <f>(S58)/((1+Assumptions!$B$21)^$E58)+L58/IF(L$3="EOP",((1+Assumptions!$B$21)^$E58),1)</f>
        <v>1304833.4524225881</v>
      </c>
      <c r="T57" s="49">
        <f>(T58)/((1+Assumptions!$B$21)^$E58)+M58/IF(M$3="EOP",((1+Assumptions!$B$21)^$E58),1)</f>
        <v>260966.69048451766</v>
      </c>
      <c r="U57" s="49">
        <f>(U58)/((1+Assumptions!$B$21)^$E58)+N58/IF(N$3="EOP",((1+Assumptions!$B$21)^$E58),1)</f>
        <v>534981.715493261</v>
      </c>
      <c r="V57" s="49">
        <f>(V58)/((1+Assumptions!$B$21)^$E58)+O58/IF(O$3="EOP",((1+Assumptions!$B$21)^$E58),1)</f>
        <v>53498.171549326114</v>
      </c>
      <c r="W57" s="49">
        <f>(W58)/((1+Assumptions!$B$21)^$E58)+P58/IF(P$3="EOP",((1+Assumptions!$B$21)^$E58),1)</f>
        <v>213992.68619730446</v>
      </c>
      <c r="X57" s="49">
        <f>(X58)/((1+Assumptions!$B$21)^$E58)+Q58/IF(Q$3="EOP",((1+Assumptions!$B$21)^$E58),1)</f>
        <v>130483.34524225883</v>
      </c>
      <c r="Y57" s="53">
        <f t="shared" si="2"/>
        <v>-805082.24014473637</v>
      </c>
      <c r="Z57" s="52">
        <f>H58*Assumptions!$B$7*Assumptions!$B$25/$E58/12</f>
        <v>14561.014596460756</v>
      </c>
      <c r="AA57" s="49">
        <f>Z57*Assumptions!$B$11</f>
        <v>2912.2029192921514</v>
      </c>
      <c r="AB57" s="54">
        <f t="shared" si="8"/>
        <v>11648.811677168605</v>
      </c>
      <c r="AC57" s="89">
        <f t="shared" si="9"/>
        <v>-793433.42846756778</v>
      </c>
      <c r="AD57" s="89">
        <f>Assumptions!$B$23*R57</f>
        <v>401236.28661994572</v>
      </c>
      <c r="AE57" s="89">
        <f t="shared" si="11"/>
        <v>-392197.14184762206</v>
      </c>
    </row>
    <row r="58" spans="1:31" x14ac:dyDescent="0.25">
      <c r="A58" s="44">
        <f t="shared" si="10"/>
        <v>53</v>
      </c>
      <c r="B58" s="45" t="s">
        <v>29</v>
      </c>
      <c r="C58" s="48">
        <f t="shared" si="12"/>
        <v>240</v>
      </c>
      <c r="D58" s="47">
        <f t="shared" si="1"/>
        <v>20</v>
      </c>
      <c r="E58" s="47">
        <f t="shared" si="4"/>
        <v>1</v>
      </c>
      <c r="F58" s="48">
        <f t="shared" si="5"/>
        <v>1</v>
      </c>
      <c r="G58" s="49">
        <f>(G57*($K57/$K56)-L57)*(1+Assumptions!$B$15)^$F58</f>
        <v>64780084.723725177</v>
      </c>
      <c r="H58" s="49">
        <f>$H$6/$G$6*G58*(1+Assumptions!$B$16)^INT((C58-1)/12)*IF(B58="Monthly",1,12)</f>
        <v>279571.48025204649</v>
      </c>
      <c r="I58" s="50">
        <f>Assumptions!$B$14</f>
        <v>0.15</v>
      </c>
      <c r="J58" s="50">
        <f t="shared" si="6"/>
        <v>0.15000000000000002</v>
      </c>
      <c r="K58" s="51">
        <f t="shared" si="7"/>
        <v>3.8759531084514312E-2</v>
      </c>
      <c r="L58" s="52">
        <f>H58*Assumptions!$B$7</f>
        <v>139785.74012602324</v>
      </c>
      <c r="M58" s="49">
        <f>L58*Assumptions!$B$11</f>
        <v>27957.148025204649</v>
      </c>
      <c r="N58" s="49">
        <f>H58*Assumptions!$B$11</f>
        <v>55914.296050409299</v>
      </c>
      <c r="O58" s="49">
        <f>N58*Assumptions!$B$12</f>
        <v>5591.4296050409303</v>
      </c>
      <c r="P58" s="49">
        <f>H58*Assumptions!$B$9</f>
        <v>22365.718420163721</v>
      </c>
      <c r="Q58" s="49">
        <f>H58*Assumptions!$B$8</f>
        <v>13978.574012602325</v>
      </c>
      <c r="R58" s="52">
        <f>(R59)/((1+Assumptions!$B$21)^$E59)+H59/IF(H$3="EOP",((1+Assumptions!$B$21)^$E59),1)</f>
        <v>2455220.5246446147</v>
      </c>
      <c r="S58" s="49">
        <f>(S59)/((1+Assumptions!$B$21)^$E59)+L59/IF(L$3="EOP",((1+Assumptions!$B$21)^$E59),1)</f>
        <v>1197668.5486071294</v>
      </c>
      <c r="T58" s="49">
        <f>(T59)/((1+Assumptions!$B$21)^$E59)+M59/IF(M$3="EOP",((1+Assumptions!$B$21)^$E59),1)</f>
        <v>239533.70972142593</v>
      </c>
      <c r="U58" s="49">
        <f>(U59)/((1+Assumptions!$B$21)^$E59)+N59/IF(N$3="EOP",((1+Assumptions!$B$21)^$E59),1)</f>
        <v>491044.10492892301</v>
      </c>
      <c r="V58" s="49">
        <f>(V59)/((1+Assumptions!$B$21)^$E59)+O59/IF(O$3="EOP",((1+Assumptions!$B$21)^$E59),1)</f>
        <v>49104.410492892304</v>
      </c>
      <c r="W58" s="49">
        <f>(W59)/((1+Assumptions!$B$21)^$E59)+P59/IF(P$3="EOP",((1+Assumptions!$B$21)^$E59),1)</f>
        <v>196417.64197156922</v>
      </c>
      <c r="X58" s="49">
        <f>(X59)/((1+Assumptions!$B$21)^$E59)+Q59/IF(Q$3="EOP",((1+Assumptions!$B$21)^$E59),1)</f>
        <v>119766.85486071296</v>
      </c>
      <c r="Y58" s="53">
        <f t="shared" si="2"/>
        <v>-738961.49449059833</v>
      </c>
      <c r="Z58" s="52">
        <f>H59*Assumptions!$B$7*Assumptions!$B$25/$E59/12</f>
        <v>13599.738812389405</v>
      </c>
      <c r="AA58" s="49">
        <f>Z58*Assumptions!$B$11</f>
        <v>2719.947762477881</v>
      </c>
      <c r="AB58" s="54">
        <f t="shared" si="8"/>
        <v>10879.791049911524</v>
      </c>
      <c r="AC58" s="89">
        <f t="shared" si="9"/>
        <v>-728081.7034406868</v>
      </c>
      <c r="AD58" s="89">
        <f>Assumptions!$B$23*R58</f>
        <v>368283.07869669219</v>
      </c>
      <c r="AE58" s="89">
        <f t="shared" si="11"/>
        <v>-359798.62474399462</v>
      </c>
    </row>
    <row r="59" spans="1:31" x14ac:dyDescent="0.25">
      <c r="A59" s="44">
        <f t="shared" si="10"/>
        <v>54</v>
      </c>
      <c r="B59" s="45" t="s">
        <v>29</v>
      </c>
      <c r="C59" s="48">
        <f t="shared" si="12"/>
        <v>252</v>
      </c>
      <c r="D59" s="47">
        <f t="shared" si="1"/>
        <v>21</v>
      </c>
      <c r="E59" s="47">
        <f t="shared" si="4"/>
        <v>1</v>
      </c>
      <c r="F59" s="48">
        <f t="shared" si="5"/>
        <v>1</v>
      </c>
      <c r="G59" s="49">
        <f>(G58*($K58/$K57)-L58)*(1+Assumptions!$B$15)^$F59</f>
        <v>56021752.000541188</v>
      </c>
      <c r="H59" s="49">
        <f>$H$6/$G$6*G59*(1+Assumptions!$B$16)^INT((C59-1)/12)*IF(B59="Monthly",1,12)</f>
        <v>261114.98519787658</v>
      </c>
      <c r="I59" s="50">
        <f>Assumptions!$B$14</f>
        <v>0.15</v>
      </c>
      <c r="J59" s="50">
        <f t="shared" si="6"/>
        <v>0.15000000000000002</v>
      </c>
      <c r="K59" s="51">
        <f t="shared" si="7"/>
        <v>3.2945601421837167E-2</v>
      </c>
      <c r="L59" s="52">
        <f>H59*Assumptions!$B$7</f>
        <v>130557.49259893829</v>
      </c>
      <c r="M59" s="49">
        <f>L59*Assumptions!$B$11</f>
        <v>26111.498519787659</v>
      </c>
      <c r="N59" s="49">
        <f>H59*Assumptions!$B$11</f>
        <v>52222.997039575319</v>
      </c>
      <c r="O59" s="49">
        <f>N59*Assumptions!$B$12</f>
        <v>5222.2997039575321</v>
      </c>
      <c r="P59" s="49">
        <f>H59*Assumptions!$B$9</f>
        <v>20889.198815830128</v>
      </c>
      <c r="Q59" s="49">
        <f>H59*Assumptions!$B$8</f>
        <v>13055.74925989383</v>
      </c>
      <c r="R59" s="52">
        <f>(R60)/((1+Assumptions!$B$21)^$E60)+H60/IF(H$3="EOP",((1+Assumptions!$B$21)^$E60),1)</f>
        <v>2248958.1779329064</v>
      </c>
      <c r="S59" s="49">
        <f>(S60)/((1+Assumptions!$B$21)^$E60)+L60/IF(L$3="EOP",((1+Assumptions!$B$21)^$E60),1)</f>
        <v>1097052.7697233693</v>
      </c>
      <c r="T59" s="49">
        <f>(T60)/((1+Assumptions!$B$21)^$E60)+M60/IF(M$3="EOP",((1+Assumptions!$B$21)^$E60),1)</f>
        <v>219410.55394467388</v>
      </c>
      <c r="U59" s="49">
        <f>(U60)/((1+Assumptions!$B$21)^$E60)+N60/IF(N$3="EOP",((1+Assumptions!$B$21)^$E60),1)</f>
        <v>449791.63558658137</v>
      </c>
      <c r="V59" s="49">
        <f>(V60)/((1+Assumptions!$B$21)^$E60)+O60/IF(O$3="EOP",((1+Assumptions!$B$21)^$E60),1)</f>
        <v>44979.163558658132</v>
      </c>
      <c r="W59" s="49">
        <f>(W60)/((1+Assumptions!$B$21)^$E60)+P60/IF(P$3="EOP",((1+Assumptions!$B$21)^$E60),1)</f>
        <v>179916.65423463253</v>
      </c>
      <c r="X59" s="49">
        <f>(X60)/((1+Assumptions!$B$21)^$E60)+Q60/IF(Q$3="EOP",((1+Assumptions!$B$21)^$E60),1)</f>
        <v>109705.27697233694</v>
      </c>
      <c r="Y59" s="53">
        <f t="shared" si="2"/>
        <v>-676881.55891931825</v>
      </c>
      <c r="Z59" s="52">
        <f>H60*Assumptions!$B$7*Assumptions!$B$25/$E60/12</f>
        <v>12699.337434254483</v>
      </c>
      <c r="AA59" s="49">
        <f>Z59*Assumptions!$B$11</f>
        <v>2539.867486850897</v>
      </c>
      <c r="AB59" s="54">
        <f t="shared" si="8"/>
        <v>10159.469947403586</v>
      </c>
      <c r="AC59" s="89">
        <f t="shared" si="9"/>
        <v>-666722.08897191472</v>
      </c>
      <c r="AD59" s="89">
        <f>Assumptions!$B$23*R59</f>
        <v>337343.72668993595</v>
      </c>
      <c r="AE59" s="89">
        <f t="shared" si="11"/>
        <v>-329378.36228197877</v>
      </c>
    </row>
    <row r="60" spans="1:31" x14ac:dyDescent="0.25">
      <c r="A60" s="44">
        <f t="shared" si="10"/>
        <v>55</v>
      </c>
      <c r="B60" s="45" t="s">
        <v>29</v>
      </c>
      <c r="C60" s="48">
        <f t="shared" si="12"/>
        <v>264</v>
      </c>
      <c r="D60" s="47">
        <f t="shared" si="1"/>
        <v>22</v>
      </c>
      <c r="E60" s="47">
        <f t="shared" si="4"/>
        <v>1</v>
      </c>
      <c r="F60" s="48">
        <f t="shared" si="5"/>
        <v>1</v>
      </c>
      <c r="G60" s="49">
        <f>(G59*($K59/$K58)-L59)*(1+Assumptions!$B$15)^$F60</f>
        <v>48437690.342018306</v>
      </c>
      <c r="H60" s="49">
        <f>$H$6/$G$6*G60*(1+Assumptions!$B$16)^INT((C60-1)/12)*IF(B60="Monthly",1,12)</f>
        <v>243827.27873768605</v>
      </c>
      <c r="I60" s="50">
        <f>Assumptions!$B$14</f>
        <v>0.15</v>
      </c>
      <c r="J60" s="50">
        <f t="shared" si="6"/>
        <v>0.15000000000000002</v>
      </c>
      <c r="K60" s="51">
        <f t="shared" si="7"/>
        <v>2.800376120856159E-2</v>
      </c>
      <c r="L60" s="52">
        <f>H60*Assumptions!$B$7</f>
        <v>121913.63936884303</v>
      </c>
      <c r="M60" s="49">
        <f>L60*Assumptions!$B$11</f>
        <v>24382.727873768607</v>
      </c>
      <c r="N60" s="49">
        <f>H60*Assumptions!$B$11</f>
        <v>48765.455747537213</v>
      </c>
      <c r="O60" s="49">
        <f>N60*Assumptions!$B$12</f>
        <v>4876.5455747537217</v>
      </c>
      <c r="P60" s="49">
        <f>H60*Assumptions!$B$9</f>
        <v>19506.182299014883</v>
      </c>
      <c r="Q60" s="49">
        <f>H60*Assumptions!$B$8</f>
        <v>12191.363936884303</v>
      </c>
      <c r="R60" s="52">
        <f>(R61)/((1+Assumptions!$B$21)^$E61)+H61/IF(H$3="EOP",((1+Assumptions!$B$21)^$E61),1)</f>
        <v>2055259.1716751007</v>
      </c>
      <c r="S60" s="49">
        <f>(S61)/((1+Assumptions!$B$21)^$E61)+L61/IF(L$3="EOP",((1+Assumptions!$B$21)^$E61),1)</f>
        <v>1002565.4495976104</v>
      </c>
      <c r="T60" s="49">
        <f>(T61)/((1+Assumptions!$B$21)^$E61)+M61/IF(M$3="EOP",((1+Assumptions!$B$21)^$E61),1)</f>
        <v>200513.08991952211</v>
      </c>
      <c r="U60" s="49">
        <f>(U61)/((1+Assumptions!$B$21)^$E61)+N61/IF(N$3="EOP",((1+Assumptions!$B$21)^$E61),1)</f>
        <v>411051.83433502022</v>
      </c>
      <c r="V60" s="49">
        <f>(V61)/((1+Assumptions!$B$21)^$E61)+O61/IF(O$3="EOP",((1+Assumptions!$B$21)^$E61),1)</f>
        <v>41105.183433502018</v>
      </c>
      <c r="W60" s="49">
        <f>(W61)/((1+Assumptions!$B$21)^$E61)+P61/IF(P$3="EOP",((1+Assumptions!$B$21)^$E61),1)</f>
        <v>164420.73373400807</v>
      </c>
      <c r="X60" s="49">
        <f>(X61)/((1+Assumptions!$B$21)^$E61)+Q61/IF(Q$3="EOP",((1+Assumptions!$B$21)^$E61),1)</f>
        <v>100256.54495976106</v>
      </c>
      <c r="Y60" s="53">
        <f t="shared" si="2"/>
        <v>-618582.88240172504</v>
      </c>
      <c r="Z60" s="52">
        <f>H61*Assumptions!$B$7*Assumptions!$B$25/$E61/12</f>
        <v>11855.94096473959</v>
      </c>
      <c r="AA60" s="49">
        <f>Z60*Assumptions!$B$11</f>
        <v>2371.1881929479182</v>
      </c>
      <c r="AB60" s="54">
        <f t="shared" si="8"/>
        <v>9484.752771791671</v>
      </c>
      <c r="AC60" s="89">
        <f t="shared" si="9"/>
        <v>-609098.12962993339</v>
      </c>
      <c r="AD60" s="89">
        <f>Assumptions!$B$23*R60</f>
        <v>308288.87575126509</v>
      </c>
      <c r="AE60" s="89">
        <f t="shared" si="11"/>
        <v>-300809.2538786683</v>
      </c>
    </row>
    <row r="61" spans="1:31" x14ac:dyDescent="0.25">
      <c r="A61" s="44">
        <f t="shared" si="10"/>
        <v>56</v>
      </c>
      <c r="B61" s="45" t="s">
        <v>29</v>
      </c>
      <c r="C61" s="48">
        <f t="shared" si="12"/>
        <v>276</v>
      </c>
      <c r="D61" s="47">
        <f t="shared" si="1"/>
        <v>23</v>
      </c>
      <c r="E61" s="47">
        <f t="shared" si="4"/>
        <v>1</v>
      </c>
      <c r="F61" s="48">
        <f t="shared" si="5"/>
        <v>1</v>
      </c>
      <c r="G61" s="49">
        <f>(G60*($K60/$K59)-L60)*(1+Assumptions!$B$15)^$F61</f>
        <v>41871125.614373654</v>
      </c>
      <c r="H61" s="49">
        <f>$H$6/$G$6*G61*(1+Assumptions!$B$16)^INT((C61-1)/12)*IF(B61="Monthly",1,12)</f>
        <v>227634.06652300013</v>
      </c>
      <c r="I61" s="50">
        <f>Assumptions!$B$14</f>
        <v>0.15</v>
      </c>
      <c r="J61" s="50">
        <f t="shared" si="6"/>
        <v>0.15000000000000002</v>
      </c>
      <c r="K61" s="51">
        <f t="shared" si="7"/>
        <v>2.3803197027277352E-2</v>
      </c>
      <c r="L61" s="52">
        <f>H61*Assumptions!$B$7</f>
        <v>113817.03326150007</v>
      </c>
      <c r="M61" s="49">
        <f>L61*Assumptions!$B$11</f>
        <v>22763.406652300015</v>
      </c>
      <c r="N61" s="49">
        <f>H61*Assumptions!$B$11</f>
        <v>45526.813304600029</v>
      </c>
      <c r="O61" s="49">
        <f>N61*Assumptions!$B$12</f>
        <v>4552.6813304600028</v>
      </c>
      <c r="P61" s="49">
        <f>H61*Assumptions!$B$9</f>
        <v>18210.725321840011</v>
      </c>
      <c r="Q61" s="49">
        <f>H61*Assumptions!$B$8</f>
        <v>11381.703326150007</v>
      </c>
      <c r="R61" s="52">
        <f>(R62)/((1+Assumptions!$B$21)^$E62)+H62/IF(H$3="EOP",((1+Assumptions!$B$21)^$E62),1)</f>
        <v>1873315.7327809029</v>
      </c>
      <c r="S61" s="49">
        <f>(S62)/((1+Assumptions!$B$21)^$E62)+L62/IF(L$3="EOP",((1+Assumptions!$B$21)^$E62),1)</f>
        <v>913812.5525760504</v>
      </c>
      <c r="T61" s="49">
        <f>(T62)/((1+Assumptions!$B$21)^$E62)+M62/IF(M$3="EOP",((1+Assumptions!$B$21)^$E62),1)</f>
        <v>182762.51051521013</v>
      </c>
      <c r="U61" s="49">
        <f>(U62)/((1+Assumptions!$B$21)^$E62)+N62/IF(N$3="EOP",((1+Assumptions!$B$21)^$E62),1)</f>
        <v>374663.14655618067</v>
      </c>
      <c r="V61" s="49">
        <f>(V62)/((1+Assumptions!$B$21)^$E62)+O62/IF(O$3="EOP",((1+Assumptions!$B$21)^$E62),1)</f>
        <v>37466.314655618065</v>
      </c>
      <c r="W61" s="49">
        <f>(W62)/((1+Assumptions!$B$21)^$E62)+P62/IF(P$3="EOP",((1+Assumptions!$B$21)^$E62),1)</f>
        <v>149865.25862247226</v>
      </c>
      <c r="X61" s="49">
        <f>(X62)/((1+Assumptions!$B$21)^$E62)+Q62/IF(Q$3="EOP",((1+Assumptions!$B$21)^$E62),1)</f>
        <v>91381.255257605066</v>
      </c>
      <c r="Y61" s="53">
        <f t="shared" si="2"/>
        <v>-563822.34493942268</v>
      </c>
      <c r="Z61" s="52">
        <f>H62*Assumptions!$B$7*Assumptions!$B$25/$E62/12</f>
        <v>11065.926901300592</v>
      </c>
      <c r="AA61" s="49">
        <f>Z61*Assumptions!$B$11</f>
        <v>2213.1853802601186</v>
      </c>
      <c r="AB61" s="54">
        <f t="shared" si="8"/>
        <v>8852.7415210404743</v>
      </c>
      <c r="AC61" s="89">
        <f t="shared" si="9"/>
        <v>-554969.60341838223</v>
      </c>
      <c r="AD61" s="89">
        <f>Assumptions!$B$23*R61</f>
        <v>280997.35991713544</v>
      </c>
      <c r="AE61" s="89">
        <f t="shared" si="11"/>
        <v>-273972.24350124679</v>
      </c>
    </row>
    <row r="62" spans="1:31" x14ac:dyDescent="0.25">
      <c r="A62" s="44">
        <f t="shared" si="10"/>
        <v>57</v>
      </c>
      <c r="B62" s="45" t="s">
        <v>29</v>
      </c>
      <c r="C62" s="48">
        <f t="shared" si="12"/>
        <v>288</v>
      </c>
      <c r="D62" s="47">
        <f t="shared" si="1"/>
        <v>24</v>
      </c>
      <c r="E62" s="47">
        <f t="shared" si="4"/>
        <v>1</v>
      </c>
      <c r="F62" s="48">
        <f t="shared" si="5"/>
        <v>1</v>
      </c>
      <c r="G62" s="49">
        <f>(G61*($K61/$K60)-L61)*(1+Assumptions!$B$15)^$F62</f>
        <v>36186172.533735223</v>
      </c>
      <c r="H62" s="49">
        <f>$H$6/$G$6*G62*(1+Assumptions!$B$16)^INT((C62-1)/12)*IF(B62="Monthly",1,12)</f>
        <v>212465.7965049714</v>
      </c>
      <c r="I62" s="50">
        <f>Assumptions!$B$14</f>
        <v>0.15</v>
      </c>
      <c r="J62" s="50">
        <f t="shared" si="6"/>
        <v>0.15000000000000002</v>
      </c>
      <c r="K62" s="51">
        <f t="shared" si="7"/>
        <v>2.0232717473185748E-2</v>
      </c>
      <c r="L62" s="52">
        <f>H62*Assumptions!$B$7</f>
        <v>106232.8982524857</v>
      </c>
      <c r="M62" s="49">
        <f>L62*Assumptions!$B$11</f>
        <v>21246.57965049714</v>
      </c>
      <c r="N62" s="49">
        <f>H62*Assumptions!$B$11</f>
        <v>42493.159300994281</v>
      </c>
      <c r="O62" s="49">
        <f>N62*Assumptions!$B$12</f>
        <v>4249.3159300994284</v>
      </c>
      <c r="P62" s="49">
        <f>H62*Assumptions!$B$9</f>
        <v>16997.263720397714</v>
      </c>
      <c r="Q62" s="49">
        <f>H62*Assumptions!$B$8</f>
        <v>10623.28982524857</v>
      </c>
      <c r="R62" s="52">
        <f>(R63)/((1+Assumptions!$B$21)^$E63)+H63/IF(H$3="EOP",((1+Assumptions!$B$21)^$E63),1)</f>
        <v>1702371.1846828298</v>
      </c>
      <c r="S62" s="49">
        <f>(S63)/((1+Assumptions!$B$21)^$E63)+L63/IF(L$3="EOP",((1+Assumptions!$B$21)^$E63),1)</f>
        <v>830424.96813796577</v>
      </c>
      <c r="T62" s="49">
        <f>(T63)/((1+Assumptions!$B$21)^$E63)+M63/IF(M$3="EOP",((1+Assumptions!$B$21)^$E63),1)</f>
        <v>166084.99362759321</v>
      </c>
      <c r="U62" s="49">
        <f>(U63)/((1+Assumptions!$B$21)^$E63)+N63/IF(N$3="EOP",((1+Assumptions!$B$21)^$E63),1)</f>
        <v>340474.23693656601</v>
      </c>
      <c r="V62" s="49">
        <f>(V63)/((1+Assumptions!$B$21)^$E63)+O63/IF(O$3="EOP",((1+Assumptions!$B$21)^$E63),1)</f>
        <v>34047.423693656601</v>
      </c>
      <c r="W62" s="49">
        <f>(W63)/((1+Assumptions!$B$21)^$E63)+P63/IF(P$3="EOP",((1+Assumptions!$B$21)^$E63),1)</f>
        <v>136189.6947746264</v>
      </c>
      <c r="X62" s="49">
        <f>(X63)/((1+Assumptions!$B$21)^$E63)+Q63/IF(Q$3="EOP",((1+Assumptions!$B$21)^$E63),1)</f>
        <v>83042.496813796606</v>
      </c>
      <c r="Y62" s="53">
        <f t="shared" si="2"/>
        <v>-512372.20534112479</v>
      </c>
      <c r="Z62" s="52">
        <f>H63*Assumptions!$B$7*Assumptions!$B$25/$E63/12</f>
        <v>10325.904081623643</v>
      </c>
      <c r="AA62" s="49">
        <f>Z62*Assumptions!$B$11</f>
        <v>2065.1808163247288</v>
      </c>
      <c r="AB62" s="54">
        <f t="shared" si="8"/>
        <v>8260.7232652989151</v>
      </c>
      <c r="AC62" s="89">
        <f t="shared" si="9"/>
        <v>-504111.48207582586</v>
      </c>
      <c r="AD62" s="89">
        <f>Assumptions!$B$23*R62</f>
        <v>255355.67770242447</v>
      </c>
      <c r="AE62" s="89">
        <f t="shared" si="11"/>
        <v>-248755.80437340139</v>
      </c>
    </row>
    <row r="63" spans="1:31" x14ac:dyDescent="0.25">
      <c r="A63" s="44">
        <f t="shared" si="10"/>
        <v>58</v>
      </c>
      <c r="B63" s="45" t="s">
        <v>29</v>
      </c>
      <c r="C63" s="48">
        <f t="shared" si="12"/>
        <v>300</v>
      </c>
      <c r="D63" s="47">
        <f t="shared" si="1"/>
        <v>25</v>
      </c>
      <c r="E63" s="47">
        <f t="shared" si="4"/>
        <v>1</v>
      </c>
      <c r="F63" s="48">
        <f t="shared" si="5"/>
        <v>1</v>
      </c>
      <c r="G63" s="49">
        <f>(G62*($K62/$K61)-L62)*(1+Assumptions!$B$15)^$F63</f>
        <v>31265054.0305309</v>
      </c>
      <c r="H63" s="49">
        <f>$H$6/$G$6*G63*(1+Assumptions!$B$16)^INT((C63-1)/12)*IF(B63="Monthly",1,12)</f>
        <v>198257.35836717396</v>
      </c>
      <c r="I63" s="50">
        <f>Assumptions!$B$14</f>
        <v>0.15</v>
      </c>
      <c r="J63" s="50">
        <f t="shared" si="6"/>
        <v>0.15000000000000002</v>
      </c>
      <c r="K63" s="51">
        <f t="shared" si="7"/>
        <v>1.7197809852207886E-2</v>
      </c>
      <c r="L63" s="52">
        <f>H63*Assumptions!$B$7</f>
        <v>99128.679183586981</v>
      </c>
      <c r="M63" s="49">
        <f>L63*Assumptions!$B$11</f>
        <v>19825.735836717398</v>
      </c>
      <c r="N63" s="49">
        <f>H63*Assumptions!$B$11</f>
        <v>39651.471673434797</v>
      </c>
      <c r="O63" s="49">
        <f>N63*Assumptions!$B$12</f>
        <v>3965.1471673434799</v>
      </c>
      <c r="P63" s="49">
        <f>H63*Assumptions!$B$9</f>
        <v>15860.588669373918</v>
      </c>
      <c r="Q63" s="49">
        <f>H63*Assumptions!$B$8</f>
        <v>9912.8679183586992</v>
      </c>
      <c r="R63" s="52">
        <f>(R64)/((1+Assumptions!$B$21)^$E64)+H64/IF(H$3="EOP",((1+Assumptions!$B$21)^$E64),1)</f>
        <v>1541716.6719735472</v>
      </c>
      <c r="S63" s="49">
        <f>(S64)/((1+Assumptions!$B$21)^$E64)+L64/IF(L$3="EOP",((1+Assumptions!$B$21)^$E64),1)</f>
        <v>752056.91315782792</v>
      </c>
      <c r="T63" s="49">
        <f>(T64)/((1+Assumptions!$B$21)^$E64)+M64/IF(M$3="EOP",((1+Assumptions!$B$21)^$E64),1)</f>
        <v>150411.38263156562</v>
      </c>
      <c r="U63" s="49">
        <f>(U64)/((1+Assumptions!$B$21)^$E64)+N64/IF(N$3="EOP",((1+Assumptions!$B$21)^$E64),1)</f>
        <v>308343.3343947095</v>
      </c>
      <c r="V63" s="49">
        <f>(V64)/((1+Assumptions!$B$21)^$E64)+O64/IF(O$3="EOP",((1+Assumptions!$B$21)^$E64),1)</f>
        <v>30834.333439470949</v>
      </c>
      <c r="W63" s="49">
        <f>(W64)/((1+Assumptions!$B$21)^$E64)+P64/IF(P$3="EOP",((1+Assumptions!$B$21)^$E64),1)</f>
        <v>123337.3337578838</v>
      </c>
      <c r="X63" s="49">
        <f>(X64)/((1+Assumptions!$B$21)^$E64)+Q64/IF(Q$3="EOP",((1+Assumptions!$B$21)^$E64),1)</f>
        <v>75205.691315782809</v>
      </c>
      <c r="Y63" s="53">
        <f t="shared" si="2"/>
        <v>-464019.11541837989</v>
      </c>
      <c r="Z63" s="52">
        <f>H64*Assumptions!$B$7*Assumptions!$B$25/$E64/12</f>
        <v>9632.6980298985309</v>
      </c>
      <c r="AA63" s="49">
        <f>Z63*Assumptions!$B$11</f>
        <v>1926.5396059797063</v>
      </c>
      <c r="AB63" s="54">
        <f t="shared" si="8"/>
        <v>7706.1584239188251</v>
      </c>
      <c r="AC63" s="89">
        <f t="shared" si="9"/>
        <v>-456312.95699446107</v>
      </c>
      <c r="AD63" s="89">
        <f>Assumptions!$B$23*R63</f>
        <v>231257.50079603208</v>
      </c>
      <c r="AE63" s="89">
        <f t="shared" si="11"/>
        <v>-225055.45619842899</v>
      </c>
    </row>
    <row r="64" spans="1:31" x14ac:dyDescent="0.25">
      <c r="A64" s="44">
        <f t="shared" si="10"/>
        <v>59</v>
      </c>
      <c r="B64" s="45" t="s">
        <v>29</v>
      </c>
      <c r="C64" s="48">
        <f t="shared" si="12"/>
        <v>312</v>
      </c>
      <c r="D64" s="47">
        <f t="shared" si="1"/>
        <v>26</v>
      </c>
      <c r="E64" s="47">
        <f t="shared" si="4"/>
        <v>1</v>
      </c>
      <c r="F64" s="48">
        <f t="shared" si="5"/>
        <v>1</v>
      </c>
      <c r="G64" s="49">
        <f>(G63*($K63/$K62)-L63)*(1+Assumptions!$B$15)^$F64</f>
        <v>27005690.591703031</v>
      </c>
      <c r="H64" s="49">
        <f>$H$6/$G$6*G64*(1+Assumptions!$B$16)^INT((C64-1)/12)*IF(B64="Monthly",1,12)</f>
        <v>184947.80217405182</v>
      </c>
      <c r="I64" s="50">
        <f>Assumptions!$B$14</f>
        <v>0.15</v>
      </c>
      <c r="J64" s="50">
        <f t="shared" si="6"/>
        <v>0.15000000000000002</v>
      </c>
      <c r="K64" s="51">
        <f t="shared" si="7"/>
        <v>1.4618138374376703E-2</v>
      </c>
      <c r="L64" s="52">
        <f>H64*Assumptions!$B$7</f>
        <v>92473.901087025908</v>
      </c>
      <c r="M64" s="49">
        <f>L64*Assumptions!$B$11</f>
        <v>18494.780217405183</v>
      </c>
      <c r="N64" s="49">
        <f>H64*Assumptions!$B$11</f>
        <v>36989.560434810366</v>
      </c>
      <c r="O64" s="49">
        <f>N64*Assumptions!$B$12</f>
        <v>3698.9560434810369</v>
      </c>
      <c r="P64" s="49">
        <f>H64*Assumptions!$B$9</f>
        <v>14795.824173924146</v>
      </c>
      <c r="Q64" s="49">
        <f>H64*Assumptions!$B$8</f>
        <v>9247.3901087025915</v>
      </c>
      <c r="R64" s="52">
        <f>(R65)/((1+Assumptions!$B$21)^$E65)+H65/IF(H$3="EOP",((1+Assumptions!$B$21)^$E65),1)</f>
        <v>1390688.0915444826</v>
      </c>
      <c r="S64" s="49">
        <f>(S65)/((1+Assumptions!$B$21)^$E65)+L65/IF(L$3="EOP",((1+Assumptions!$B$21)^$E65),1)</f>
        <v>678384.43489974772</v>
      </c>
      <c r="T64" s="49">
        <f>(T65)/((1+Assumptions!$B$21)^$E65)+M65/IF(M$3="EOP",((1+Assumptions!$B$21)^$E65),1)</f>
        <v>135676.88697994954</v>
      </c>
      <c r="U64" s="49">
        <f>(U65)/((1+Assumptions!$B$21)^$E65)+N65/IF(N$3="EOP",((1+Assumptions!$B$21)^$E65),1)</f>
        <v>278137.61830889661</v>
      </c>
      <c r="V64" s="49">
        <f>(V65)/((1+Assumptions!$B$21)^$E65)+O65/IF(O$3="EOP",((1+Assumptions!$B$21)^$E65),1)</f>
        <v>27813.761830889656</v>
      </c>
      <c r="W64" s="49">
        <f>(W65)/((1+Assumptions!$B$21)^$E65)+P65/IF(P$3="EOP",((1+Assumptions!$B$21)^$E65),1)</f>
        <v>111255.04732355863</v>
      </c>
      <c r="X64" s="49">
        <f>(X65)/((1+Assumptions!$B$21)^$E65)+Q65/IF(Q$3="EOP",((1+Assumptions!$B$21)^$E65),1)</f>
        <v>67838.443489974772</v>
      </c>
      <c r="Y64" s="53">
        <f t="shared" si="2"/>
        <v>-418563.19633314403</v>
      </c>
      <c r="Z64" s="52">
        <f>H65*Assumptions!$B$7*Assumptions!$B$25/$E65/12</f>
        <v>8983.3372403992253</v>
      </c>
      <c r="AA64" s="49">
        <f>Z64*Assumptions!$B$11</f>
        <v>1796.6674480798451</v>
      </c>
      <c r="AB64" s="54">
        <f t="shared" si="8"/>
        <v>7186.6697923193806</v>
      </c>
      <c r="AC64" s="89">
        <f t="shared" si="9"/>
        <v>-411376.52654082468</v>
      </c>
      <c r="AD64" s="89">
        <f>Assumptions!$B$23*R64</f>
        <v>208603.21373167238</v>
      </c>
      <c r="AE64" s="89">
        <f t="shared" si="11"/>
        <v>-202773.3128091523</v>
      </c>
    </row>
    <row r="65" spans="1:31" x14ac:dyDescent="0.25">
      <c r="A65" s="44">
        <f t="shared" si="10"/>
        <v>60</v>
      </c>
      <c r="B65" s="45" t="s">
        <v>29</v>
      </c>
      <c r="C65" s="48">
        <f t="shared" si="12"/>
        <v>324</v>
      </c>
      <c r="D65" s="47">
        <f t="shared" si="1"/>
        <v>27</v>
      </c>
      <c r="E65" s="47">
        <f t="shared" si="4"/>
        <v>1</v>
      </c>
      <c r="F65" s="48">
        <f t="shared" si="5"/>
        <v>1</v>
      </c>
      <c r="G65" s="49">
        <f>(G64*($K64/$K63)-L64)*(1+Assumptions!$B$15)^$F65</f>
        <v>23319610.363897759</v>
      </c>
      <c r="H65" s="49">
        <f>$H$6/$G$6*G65*(1+Assumptions!$B$16)^INT((C65-1)/12)*IF(B65="Monthly",1,12)</f>
        <v>172480.07501566512</v>
      </c>
      <c r="I65" s="50">
        <f>Assumptions!$B$14</f>
        <v>0.15</v>
      </c>
      <c r="J65" s="50">
        <f t="shared" si="6"/>
        <v>0.15000000000000002</v>
      </c>
      <c r="K65" s="51">
        <f t="shared" si="7"/>
        <v>1.2425417618220197E-2</v>
      </c>
      <c r="L65" s="52">
        <f>H65*Assumptions!$B$7</f>
        <v>86240.03750783256</v>
      </c>
      <c r="M65" s="49">
        <f>L65*Assumptions!$B$11</f>
        <v>17248.007501566513</v>
      </c>
      <c r="N65" s="49">
        <f>H65*Assumptions!$B$11</f>
        <v>34496.015003133027</v>
      </c>
      <c r="O65" s="49">
        <f>N65*Assumptions!$B$12</f>
        <v>3449.6015003133029</v>
      </c>
      <c r="P65" s="49">
        <f>H65*Assumptions!$B$9</f>
        <v>13798.40600125321</v>
      </c>
      <c r="Q65" s="49">
        <f>H65*Assumptions!$B$8</f>
        <v>8624.0037507832567</v>
      </c>
      <c r="R65" s="52">
        <f>(R66)/((1+Assumptions!$B$21)^$E66)+H66/IF(H$3="EOP",((1+Assumptions!$B$21)^$E66),1)</f>
        <v>1248663.2169420379</v>
      </c>
      <c r="S65" s="49">
        <f>(S66)/((1+Assumptions!$B$21)^$E66)+L66/IF(L$3="EOP",((1+Assumptions!$B$21)^$E66),1)</f>
        <v>609104.0082644088</v>
      </c>
      <c r="T65" s="49">
        <f>(T66)/((1+Assumptions!$B$21)^$E66)+M66/IF(M$3="EOP",((1+Assumptions!$B$21)^$E66),1)</f>
        <v>121820.80165288175</v>
      </c>
      <c r="U65" s="49">
        <f>(U66)/((1+Assumptions!$B$21)^$E66)+N66/IF(N$3="EOP",((1+Assumptions!$B$21)^$E66),1)</f>
        <v>249732.64338840763</v>
      </c>
      <c r="V65" s="49">
        <f>(V66)/((1+Assumptions!$B$21)^$E66)+O66/IF(O$3="EOP",((1+Assumptions!$B$21)^$E66),1)</f>
        <v>24973.26433884076</v>
      </c>
      <c r="W65" s="49">
        <f>(W66)/((1+Assumptions!$B$21)^$E66)+P66/IF(P$3="EOP",((1+Assumptions!$B$21)^$E66),1)</f>
        <v>99893.057355363038</v>
      </c>
      <c r="X65" s="49">
        <f>(X66)/((1+Assumptions!$B$21)^$E66)+Q66/IF(Q$3="EOP",((1+Assumptions!$B$21)^$E66),1)</f>
        <v>60910.400826440877</v>
      </c>
      <c r="Y65" s="53">
        <f t="shared" si="2"/>
        <v>-375817.17309914005</v>
      </c>
      <c r="Z65" s="52">
        <f>H66*Assumptions!$B$7*Assumptions!$B$25/$E66/12</f>
        <v>8375.0403388835493</v>
      </c>
      <c r="AA65" s="49">
        <f>Z65*Assumptions!$B$11</f>
        <v>1675.00806777671</v>
      </c>
      <c r="AB65" s="54">
        <f t="shared" si="8"/>
        <v>6700.0322711068393</v>
      </c>
      <c r="AC65" s="89">
        <f t="shared" si="9"/>
        <v>-369117.14082803321</v>
      </c>
      <c r="AD65" s="89">
        <f>Assumptions!$B$23*R65</f>
        <v>187299.48254130568</v>
      </c>
      <c r="AE65" s="89">
        <f t="shared" si="11"/>
        <v>-181817.65828672753</v>
      </c>
    </row>
    <row r="66" spans="1:31" x14ac:dyDescent="0.25">
      <c r="A66" s="44">
        <f t="shared" si="10"/>
        <v>61</v>
      </c>
      <c r="B66" s="45" t="s">
        <v>29</v>
      </c>
      <c r="C66" s="48">
        <f t="shared" si="12"/>
        <v>336</v>
      </c>
      <c r="D66" s="47">
        <f t="shared" si="1"/>
        <v>28</v>
      </c>
      <c r="E66" s="47">
        <f t="shared" si="4"/>
        <v>1</v>
      </c>
      <c r="F66" s="48">
        <f t="shared" si="5"/>
        <v>1</v>
      </c>
      <c r="G66" s="49">
        <f>(G65*($K65/$K64)-L65)*(1+Assumptions!$B$15)^$F66</f>
        <v>20130137.347241368</v>
      </c>
      <c r="H66" s="49">
        <f>$H$6/$G$6*G66*(1+Assumptions!$B$16)^INT((C66-1)/12)*IF(B66="Monthly",1,12)</f>
        <v>160800.77450656416</v>
      </c>
      <c r="I66" s="50">
        <f>Assumptions!$B$14</f>
        <v>0.15</v>
      </c>
      <c r="J66" s="50">
        <f t="shared" si="6"/>
        <v>0.15000000000000002</v>
      </c>
      <c r="K66" s="51">
        <f t="shared" si="7"/>
        <v>1.0561604975487167E-2</v>
      </c>
      <c r="L66" s="52">
        <f>H66*Assumptions!$B$7</f>
        <v>80400.387253282082</v>
      </c>
      <c r="M66" s="49">
        <f>L66*Assumptions!$B$11</f>
        <v>16080.077450656418</v>
      </c>
      <c r="N66" s="49">
        <f>H66*Assumptions!$B$11</f>
        <v>32160.154901312835</v>
      </c>
      <c r="O66" s="49">
        <f>N66*Assumptions!$B$12</f>
        <v>3216.0154901312835</v>
      </c>
      <c r="P66" s="49">
        <f>H66*Assumptions!$B$9</f>
        <v>12864.061960525134</v>
      </c>
      <c r="Q66" s="49">
        <f>H66*Assumptions!$B$8</f>
        <v>8040.0387253282088</v>
      </c>
      <c r="R66" s="52">
        <f>(R67)/((1+Assumptions!$B$21)^$E67)+H67/IF(H$3="EOP",((1+Assumptions!$B$21)^$E67),1)</f>
        <v>1115059.0034963605</v>
      </c>
      <c r="S66" s="49">
        <f>(S67)/((1+Assumptions!$B$21)^$E67)+L67/IF(L$3="EOP",((1+Assumptions!$B$21)^$E67),1)</f>
        <v>543931.22121773683</v>
      </c>
      <c r="T66" s="49">
        <f>(T67)/((1+Assumptions!$B$21)^$E67)+M67/IF(M$3="EOP",((1+Assumptions!$B$21)^$E67),1)</f>
        <v>108786.24424354736</v>
      </c>
      <c r="U66" s="49">
        <f>(U67)/((1+Assumptions!$B$21)^$E67)+N67/IF(N$3="EOP",((1+Assumptions!$B$21)^$E67),1)</f>
        <v>223011.80069927213</v>
      </c>
      <c r="V66" s="49">
        <f>(V67)/((1+Assumptions!$B$21)^$E67)+O67/IF(O$3="EOP",((1+Assumptions!$B$21)^$E67),1)</f>
        <v>22301.180069927213</v>
      </c>
      <c r="W66" s="49">
        <f>(W67)/((1+Assumptions!$B$21)^$E67)+P67/IF(P$3="EOP",((1+Assumptions!$B$21)^$E67),1)</f>
        <v>89204.720279708839</v>
      </c>
      <c r="X66" s="49">
        <f>(X67)/((1+Assumptions!$B$21)^$E67)+Q67/IF(Q$3="EOP",((1+Assumptions!$B$21)^$E67),1)</f>
        <v>54393.122121773682</v>
      </c>
      <c r="Y66" s="53">
        <f t="shared" si="2"/>
        <v>-335605.56349134352</v>
      </c>
      <c r="Z66" s="52">
        <f>H67*Assumptions!$B$7*Assumptions!$B$25/$E67/12</f>
        <v>7805.2040660801767</v>
      </c>
      <c r="AA66" s="49">
        <f>Z66*Assumptions!$B$11</f>
        <v>1561.0408132160355</v>
      </c>
      <c r="AB66" s="54">
        <f t="shared" si="8"/>
        <v>6244.1632528641412</v>
      </c>
      <c r="AC66" s="89">
        <f t="shared" si="9"/>
        <v>-329361.40023847937</v>
      </c>
      <c r="AD66" s="89">
        <f>Assumptions!$B$23*R66</f>
        <v>167258.85052445406</v>
      </c>
      <c r="AE66" s="89">
        <f t="shared" si="11"/>
        <v>-162102.54971402531</v>
      </c>
    </row>
    <row r="67" spans="1:31" x14ac:dyDescent="0.25">
      <c r="A67" s="44">
        <f t="shared" si="10"/>
        <v>62</v>
      </c>
      <c r="B67" s="45" t="s">
        <v>29</v>
      </c>
      <c r="C67" s="48">
        <f t="shared" si="12"/>
        <v>348</v>
      </c>
      <c r="D67" s="47">
        <f t="shared" si="1"/>
        <v>29</v>
      </c>
      <c r="E67" s="47">
        <f t="shared" si="4"/>
        <v>1</v>
      </c>
      <c r="F67" s="48">
        <f t="shared" si="5"/>
        <v>1</v>
      </c>
      <c r="G67" s="49">
        <f>(G66*($K66/$K65)-L66)*(1+Assumptions!$B$15)^$F67</f>
        <v>17370820.68505992</v>
      </c>
      <c r="H67" s="49">
        <f>$H$6/$G$6*G67*(1+Assumptions!$B$16)^INT((C67-1)/12)*IF(B67="Monthly",1,12)</f>
        <v>149859.91806873941</v>
      </c>
      <c r="I67" s="50">
        <f>Assumptions!$B$14</f>
        <v>0.15</v>
      </c>
      <c r="J67" s="50">
        <f t="shared" si="6"/>
        <v>0.15000000000000002</v>
      </c>
      <c r="K67" s="51">
        <f t="shared" si="7"/>
        <v>8.977364229164092E-3</v>
      </c>
      <c r="L67" s="52">
        <f>H67*Assumptions!$B$7</f>
        <v>74929.959034369705</v>
      </c>
      <c r="M67" s="49">
        <f>L67*Assumptions!$B$11</f>
        <v>14985.991806873943</v>
      </c>
      <c r="N67" s="49">
        <f>H67*Assumptions!$B$11</f>
        <v>29971.983613747885</v>
      </c>
      <c r="O67" s="49">
        <f>N67*Assumptions!$B$12</f>
        <v>2997.1983613747889</v>
      </c>
      <c r="P67" s="49">
        <f>H67*Assumptions!$B$9</f>
        <v>11988.793445499154</v>
      </c>
      <c r="Q67" s="49">
        <f>H67*Assumptions!$B$8</f>
        <v>7492.9959034369713</v>
      </c>
      <c r="R67" s="52">
        <f>(R68)/((1+Assumptions!$B$21)^$E68)+H68/IF(H$3="EOP",((1+Assumptions!$B$21)^$E68),1)</f>
        <v>989329.06256331143</v>
      </c>
      <c r="S67" s="49">
        <f>(S68)/((1+Assumptions!$B$21)^$E68)+L68/IF(L$3="EOP",((1+Assumptions!$B$21)^$E68),1)</f>
        <v>482599.54271381052</v>
      </c>
      <c r="T67" s="49">
        <f>(T68)/((1+Assumptions!$B$21)^$E68)+M68/IF(M$3="EOP",((1+Assumptions!$B$21)^$E68),1)</f>
        <v>96519.908542762103</v>
      </c>
      <c r="U67" s="49">
        <f>(U68)/((1+Assumptions!$B$21)^$E68)+N68/IF(N$3="EOP",((1+Assumptions!$B$21)^$E68),1)</f>
        <v>197865.81251266232</v>
      </c>
      <c r="V67" s="49">
        <f>(V68)/((1+Assumptions!$B$21)^$E68)+O68/IF(O$3="EOP",((1+Assumptions!$B$21)^$E68),1)</f>
        <v>19786.581251266234</v>
      </c>
      <c r="W67" s="49">
        <f>(W68)/((1+Assumptions!$B$21)^$E68)+P68/IF(P$3="EOP",((1+Assumptions!$B$21)^$E68),1)</f>
        <v>79146.325005064922</v>
      </c>
      <c r="X67" s="49">
        <f>(X68)/((1+Assumptions!$B$21)^$E68)+Q68/IF(Q$3="EOP",((1+Assumptions!$B$21)^$E68),1)</f>
        <v>48259.954271381052</v>
      </c>
      <c r="Y67" s="53">
        <f t="shared" si="2"/>
        <v>-297763.91785442096</v>
      </c>
      <c r="Z67" s="52">
        <f>H68*Assumptions!$B$7*Assumptions!$B$25/$E68/12</f>
        <v>7271.3920310391468</v>
      </c>
      <c r="AA67" s="49">
        <f>Z67*Assumptions!$B$11</f>
        <v>1454.2784062078294</v>
      </c>
      <c r="AB67" s="54">
        <f t="shared" si="8"/>
        <v>5817.1136248313178</v>
      </c>
      <c r="AC67" s="89">
        <f t="shared" si="9"/>
        <v>-291946.80422958964</v>
      </c>
      <c r="AD67" s="89">
        <f>Assumptions!$B$23*R67</f>
        <v>148399.3593844967</v>
      </c>
      <c r="AE67" s="89">
        <f t="shared" si="11"/>
        <v>-143547.44484509295</v>
      </c>
    </row>
    <row r="68" spans="1:31" x14ac:dyDescent="0.25">
      <c r="A68" s="44">
        <f t="shared" si="10"/>
        <v>63</v>
      </c>
      <c r="B68" s="45" t="s">
        <v>29</v>
      </c>
      <c r="C68" s="48">
        <f t="shared" si="12"/>
        <v>360</v>
      </c>
      <c r="D68" s="47">
        <f t="shared" si="1"/>
        <v>30</v>
      </c>
      <c r="E68" s="47">
        <f t="shared" si="4"/>
        <v>1</v>
      </c>
      <c r="F68" s="48">
        <f t="shared" si="5"/>
        <v>1</v>
      </c>
      <c r="G68" s="49">
        <f>(G67*($K67/$K66)-L67)*(1+Assumptions!$B$15)^$F68</f>
        <v>14984072.975731893</v>
      </c>
      <c r="H68" s="49">
        <f>$H$6/$G$6*G68*(1+Assumptions!$B$16)^INT((C68-1)/12)*IF(B68="Monthly",1,12)</f>
        <v>139610.72699595161</v>
      </c>
      <c r="I68" s="50">
        <f>Assumptions!$B$14</f>
        <v>0.15</v>
      </c>
      <c r="J68" s="50">
        <f t="shared" si="6"/>
        <v>0.15000000000000002</v>
      </c>
      <c r="K68" s="51">
        <f t="shared" si="7"/>
        <v>7.6307595947894781E-3</v>
      </c>
      <c r="L68" s="52">
        <f>H68*Assumptions!$B$7</f>
        <v>69805.363497975806</v>
      </c>
      <c r="M68" s="49">
        <f>L68*Assumptions!$B$11</f>
        <v>13961.072699595163</v>
      </c>
      <c r="N68" s="49">
        <f>H68*Assumptions!$B$11</f>
        <v>27922.145399190325</v>
      </c>
      <c r="O68" s="49">
        <f>N68*Assumptions!$B$12</f>
        <v>2792.2145399190326</v>
      </c>
      <c r="P68" s="49">
        <f>H68*Assumptions!$B$9</f>
        <v>11168.858159676129</v>
      </c>
      <c r="Q68" s="49">
        <f>H68*Assumptions!$B$8</f>
        <v>6980.5363497975814</v>
      </c>
      <c r="R68" s="52">
        <f>(R69)/((1+Assumptions!$B$21)^$E69)+H69/IF(H$3="EOP",((1+Assumptions!$B$21)^$E69),1)</f>
        <v>870961.29395654378</v>
      </c>
      <c r="S68" s="49">
        <f>(S69)/((1+Assumptions!$B$21)^$E69)+L69/IF(L$3="EOP",((1+Assumptions!$B$21)^$E69),1)</f>
        <v>424859.16778367996</v>
      </c>
      <c r="T68" s="49">
        <f>(T69)/((1+Assumptions!$B$21)^$E69)+M69/IF(M$3="EOP",((1+Assumptions!$B$21)^$E69),1)</f>
        <v>84971.83355673599</v>
      </c>
      <c r="U68" s="49">
        <f>(U69)/((1+Assumptions!$B$21)^$E69)+N69/IF(N$3="EOP",((1+Assumptions!$B$21)^$E69),1)</f>
        <v>174192.25879130879</v>
      </c>
      <c r="V68" s="49">
        <f>(V69)/((1+Assumptions!$B$21)^$E69)+O69/IF(O$3="EOP",((1+Assumptions!$B$21)^$E69),1)</f>
        <v>17419.225879130878</v>
      </c>
      <c r="W68" s="49">
        <f>(W69)/((1+Assumptions!$B$21)^$E69)+P69/IF(P$3="EOP",((1+Assumptions!$B$21)^$E69),1)</f>
        <v>69676.903516523496</v>
      </c>
      <c r="X68" s="49">
        <f>(X69)/((1+Assumptions!$B$21)^$E69)+Q69/IF(Q$3="EOP",((1+Assumptions!$B$21)^$E69),1)</f>
        <v>42485.916778367995</v>
      </c>
      <c r="Y68" s="53">
        <f t="shared" si="2"/>
        <v>-262138.10652253038</v>
      </c>
      <c r="Z68" s="52">
        <f>H69*Assumptions!$B$7*Assumptions!$B$25/$E69/12</f>
        <v>6771.3241853955269</v>
      </c>
      <c r="AA68" s="49">
        <f>Z68*Assumptions!$B$11</f>
        <v>1354.2648370791055</v>
      </c>
      <c r="AB68" s="54">
        <f t="shared" si="8"/>
        <v>5417.0593483164212</v>
      </c>
      <c r="AC68" s="89">
        <f t="shared" si="9"/>
        <v>-256721.04717421395</v>
      </c>
      <c r="AD68" s="89">
        <f>Assumptions!$B$23*R68</f>
        <v>130644.19409348156</v>
      </c>
      <c r="AE68" s="89">
        <f t="shared" si="11"/>
        <v>-126076.85308073238</v>
      </c>
    </row>
    <row r="69" spans="1:31" x14ac:dyDescent="0.25">
      <c r="A69" s="44">
        <f t="shared" si="10"/>
        <v>64</v>
      </c>
      <c r="B69" s="45" t="s">
        <v>29</v>
      </c>
      <c r="C69" s="48">
        <f t="shared" si="12"/>
        <v>372</v>
      </c>
      <c r="D69" s="47">
        <f t="shared" si="1"/>
        <v>31</v>
      </c>
      <c r="E69" s="47">
        <f t="shared" si="4"/>
        <v>1</v>
      </c>
      <c r="F69" s="48">
        <f t="shared" si="5"/>
        <v>1</v>
      </c>
      <c r="G69" s="49">
        <f>(G68*($K68/$K67)-L68)*(1+Assumptions!$B$15)^$F69</f>
        <v>12919989.799191616</v>
      </c>
      <c r="H69" s="49">
        <f>$H$6/$G$6*G69*(1+Assumptions!$B$16)^INT((C69-1)/12)*IF(B69="Monthly",1,12)</f>
        <v>130009.42435959412</v>
      </c>
      <c r="I69" s="50">
        <f>Assumptions!$B$14</f>
        <v>0.15</v>
      </c>
      <c r="J69" s="50">
        <f t="shared" si="6"/>
        <v>0.15000000000000002</v>
      </c>
      <c r="K69" s="51">
        <f t="shared" si="7"/>
        <v>6.4861456555710562E-3</v>
      </c>
      <c r="L69" s="52">
        <f>H69*Assumptions!$B$7</f>
        <v>65004.712179797061</v>
      </c>
      <c r="M69" s="49">
        <f>L69*Assumptions!$B$11</f>
        <v>13000.942435959412</v>
      </c>
      <c r="N69" s="49">
        <f>H69*Assumptions!$B$11</f>
        <v>26001.884871918825</v>
      </c>
      <c r="O69" s="49">
        <f>N69*Assumptions!$B$12</f>
        <v>2600.1884871918828</v>
      </c>
      <c r="P69" s="49">
        <f>H69*Assumptions!$B$9</f>
        <v>10400.753948767529</v>
      </c>
      <c r="Q69" s="49">
        <f>H69*Assumptions!$B$8</f>
        <v>6500.4712179797061</v>
      </c>
      <c r="R69" s="52">
        <f>(R70)/((1+Assumptions!$B$21)^$E70)+H70/IF(H$3="EOP",((1+Assumptions!$B$21)^$E70),1)</f>
        <v>759475.66633687331</v>
      </c>
      <c r="S69" s="49">
        <f>(S70)/((1+Assumptions!$B$21)^$E70)+L70/IF(L$3="EOP",((1+Assumptions!$B$21)^$E70),1)</f>
        <v>370475.93479847483</v>
      </c>
      <c r="T69" s="49">
        <f>(T70)/((1+Assumptions!$B$21)^$E70)+M70/IF(M$3="EOP",((1+Assumptions!$B$21)^$E70),1)</f>
        <v>74095.186959694969</v>
      </c>
      <c r="U69" s="49">
        <f>(U70)/((1+Assumptions!$B$21)^$E70)+N70/IF(N$3="EOP",((1+Assumptions!$B$21)^$E70),1)</f>
        <v>151895.13326737471</v>
      </c>
      <c r="V69" s="49">
        <f>(V70)/((1+Assumptions!$B$21)^$E70)+O70/IF(O$3="EOP",((1+Assumptions!$B$21)^$E70),1)</f>
        <v>15189.513326737468</v>
      </c>
      <c r="W69" s="49">
        <f>(W70)/((1+Assumptions!$B$21)^$E70)+P70/IF(P$3="EOP",((1+Assumptions!$B$21)^$E70),1)</f>
        <v>60758.053306949863</v>
      </c>
      <c r="X69" s="49">
        <f>(X70)/((1+Assumptions!$B$21)^$E70)+Q70/IF(Q$3="EOP",((1+Assumptions!$B$21)^$E70),1)</f>
        <v>37047.593479847485</v>
      </c>
      <c r="Y69" s="53">
        <f t="shared" si="2"/>
        <v>-228583.65177065885</v>
      </c>
      <c r="Z69" s="52">
        <f>H70*Assumptions!$B$7*Assumptions!$B$25/$E70/12</f>
        <v>6302.8669726481139</v>
      </c>
      <c r="AA69" s="49">
        <f>Z69*Assumptions!$B$11</f>
        <v>1260.5733945296229</v>
      </c>
      <c r="AB69" s="54">
        <f t="shared" si="8"/>
        <v>5042.2935781184915</v>
      </c>
      <c r="AC69" s="89">
        <f t="shared" si="9"/>
        <v>-223541.35819254036</v>
      </c>
      <c r="AD69" s="89">
        <f>Assumptions!$B$23*R69</f>
        <v>113921.34995053099</v>
      </c>
      <c r="AE69" s="89">
        <f t="shared" si="11"/>
        <v>-109620.00824200937</v>
      </c>
    </row>
    <row r="70" spans="1:31" x14ac:dyDescent="0.25">
      <c r="A70" s="44">
        <f t="shared" si="10"/>
        <v>65</v>
      </c>
      <c r="B70" s="45" t="s">
        <v>29</v>
      </c>
      <c r="C70" s="48">
        <f t="shared" si="12"/>
        <v>384</v>
      </c>
      <c r="D70" s="47">
        <f t="shared" ref="D70:D78" si="13">C70/12</f>
        <v>32</v>
      </c>
      <c r="E70" s="47">
        <f t="shared" si="4"/>
        <v>1</v>
      </c>
      <c r="F70" s="48">
        <f t="shared" si="5"/>
        <v>1</v>
      </c>
      <c r="G70" s="49">
        <f>(G69*($K69/$K68)-L69)*(1+Assumptions!$B$15)^$F70</f>
        <v>11135326.34947574</v>
      </c>
      <c r="H70" s="49">
        <f>$H$6/$G$6*G70*(1+Assumptions!$B$16)^INT((C70-1)/12)*IF(B70="Monthly",1,12)</f>
        <v>121015.04587484378</v>
      </c>
      <c r="I70" s="50">
        <f>Assumptions!$B$14</f>
        <v>0.15</v>
      </c>
      <c r="J70" s="50">
        <f t="shared" si="6"/>
        <v>0.15000000000000002</v>
      </c>
      <c r="K70" s="51">
        <f t="shared" si="7"/>
        <v>5.5132238072353977E-3</v>
      </c>
      <c r="L70" s="52">
        <f>H70*Assumptions!$B$7</f>
        <v>60507.522937421891</v>
      </c>
      <c r="M70" s="49">
        <f>L70*Assumptions!$B$11</f>
        <v>12101.504587484378</v>
      </c>
      <c r="N70" s="49">
        <f>H70*Assumptions!$B$11</f>
        <v>24203.009174968756</v>
      </c>
      <c r="O70" s="49">
        <f>N70*Assumptions!$B$12</f>
        <v>2420.3009174968756</v>
      </c>
      <c r="P70" s="49">
        <f>H70*Assumptions!$B$9</f>
        <v>9681.2036699875025</v>
      </c>
      <c r="Q70" s="49">
        <f>H70*Assumptions!$B$8</f>
        <v>6050.7522937421891</v>
      </c>
      <c r="R70" s="52">
        <f>(R71)/((1+Assumptions!$B$21)^$E71)+H71/IF(H$3="EOP",((1+Assumptions!$B$21)^$E71),1)</f>
        <v>654422.13597358018</v>
      </c>
      <c r="S70" s="49">
        <f>(S71)/((1+Assumptions!$B$21)^$E71)+L71/IF(L$3="EOP",((1+Assumptions!$B$21)^$E71),1)</f>
        <v>319230.3102310148</v>
      </c>
      <c r="T70" s="49">
        <f>(T71)/((1+Assumptions!$B$21)^$E71)+M71/IF(M$3="EOP",((1+Assumptions!$B$21)^$E71),1)</f>
        <v>63846.062046202955</v>
      </c>
      <c r="U70" s="49">
        <f>(U71)/((1+Assumptions!$B$21)^$E71)+N71/IF(N$3="EOP",((1+Assumptions!$B$21)^$E71),1)</f>
        <v>130884.42719471607</v>
      </c>
      <c r="V70" s="49">
        <f>(V71)/((1+Assumptions!$B$21)^$E71)+O71/IF(O$3="EOP",((1+Assumptions!$B$21)^$E71),1)</f>
        <v>13088.442719471606</v>
      </c>
      <c r="W70" s="49">
        <f>(W71)/((1+Assumptions!$B$21)^$E71)+P71/IF(P$3="EOP",((1+Assumptions!$B$21)^$E71),1)</f>
        <v>52353.770877886418</v>
      </c>
      <c r="X70" s="49">
        <f>(X71)/((1+Assumptions!$B$21)^$E71)+Q71/IF(Q$3="EOP",((1+Assumptions!$B$21)^$E71),1)</f>
        <v>31923.031023101477</v>
      </c>
      <c r="Y70" s="53">
        <f t="shared" ref="Y70:Y78" si="14">-R70+S70-T70+U70-V70+W70+X70</f>
        <v>-196965.10141253597</v>
      </c>
      <c r="Z70" s="52">
        <f>H71*Assumptions!$B$7*Assumptions!$B$25/$E71/12</f>
        <v>5864.0241093976001</v>
      </c>
      <c r="AA70" s="49">
        <f>Z70*Assumptions!$B$11</f>
        <v>1172.80482187952</v>
      </c>
      <c r="AB70" s="54">
        <f t="shared" si="8"/>
        <v>4691.2192875180799</v>
      </c>
      <c r="AC70" s="89">
        <f t="shared" si="9"/>
        <v>-192273.88212501787</v>
      </c>
      <c r="AD70" s="89">
        <f>Assumptions!$B$23*R70</f>
        <v>98163.32039603703</v>
      </c>
      <c r="AE70" s="89">
        <f t="shared" si="11"/>
        <v>-94110.561728980843</v>
      </c>
    </row>
    <row r="71" spans="1:31" x14ac:dyDescent="0.25">
      <c r="A71" s="44">
        <f t="shared" si="10"/>
        <v>66</v>
      </c>
      <c r="B71" s="45" t="s">
        <v>29</v>
      </c>
      <c r="C71" s="48">
        <f t="shared" si="12"/>
        <v>396</v>
      </c>
      <c r="D71" s="47">
        <f t="shared" si="13"/>
        <v>33</v>
      </c>
      <c r="E71" s="47">
        <f t="shared" ref="E71:E78" si="15">D71-D70</f>
        <v>1</v>
      </c>
      <c r="F71" s="48">
        <f t="shared" ref="F71:F78" si="16">IF(E71&lt;1,IF(MOD(C71-1,12)=0,1,0),1)</f>
        <v>1</v>
      </c>
      <c r="G71" s="49">
        <f>(G70*($K70/$K69)-L70)*(1+Assumptions!$B$15)^$F71</f>
        <v>9592610.2715992946</v>
      </c>
      <c r="H71" s="49">
        <f>$H$6/$G$6*G71*(1+Assumptions!$B$16)^INT((C71-1)/12)*IF(B71="Monthly",1,12)</f>
        <v>112589.26290043391</v>
      </c>
      <c r="I71" s="50">
        <f>Assumptions!$B$14</f>
        <v>0.15</v>
      </c>
      <c r="J71" s="50">
        <f t="shared" ref="J71:J78" si="17">1-(1-I71)^$E71</f>
        <v>0.15000000000000002</v>
      </c>
      <c r="K71" s="51">
        <f t="shared" ref="K71:K77" si="18">K70*(1-J71)</f>
        <v>4.6862402361500877E-3</v>
      </c>
      <c r="L71" s="52">
        <f>H71*Assumptions!$B$7</f>
        <v>56294.631450216955</v>
      </c>
      <c r="M71" s="49">
        <f>L71*Assumptions!$B$11</f>
        <v>11258.926290043391</v>
      </c>
      <c r="N71" s="49">
        <f>H71*Assumptions!$B$11</f>
        <v>22517.852580086783</v>
      </c>
      <c r="O71" s="49">
        <f>N71*Assumptions!$B$12</f>
        <v>2251.7852580086783</v>
      </c>
      <c r="P71" s="49">
        <f>H71*Assumptions!$B$9</f>
        <v>9007.1410320347131</v>
      </c>
      <c r="Q71" s="49">
        <f>H71*Assumptions!$B$8</f>
        <v>5629.4631450216957</v>
      </c>
      <c r="R71" s="52">
        <f>(R72)/((1+Assumptions!$B$21)^$E72)+H72/IF(H$3="EOP",((1+Assumptions!$B$21)^$E72),1)</f>
        <v>555378.69489997497</v>
      </c>
      <c r="S71" s="49">
        <f>(S72)/((1+Assumptions!$B$21)^$E72)+L72/IF(L$3="EOP",((1+Assumptions!$B$21)^$E72),1)</f>
        <v>270916.43653657316</v>
      </c>
      <c r="T71" s="49">
        <f>(T72)/((1+Assumptions!$B$21)^$E72)+M72/IF(M$3="EOP",((1+Assumptions!$B$21)^$E72),1)</f>
        <v>54183.287307314633</v>
      </c>
      <c r="U71" s="49">
        <f>(U72)/((1+Assumptions!$B$21)^$E72)+N72/IF(N$3="EOP",((1+Assumptions!$B$21)^$E72),1)</f>
        <v>111075.73897999502</v>
      </c>
      <c r="V71" s="49">
        <f>(V72)/((1+Assumptions!$B$21)^$E72)+O72/IF(O$3="EOP",((1+Assumptions!$B$21)^$E72),1)</f>
        <v>11107.5738979995</v>
      </c>
      <c r="W71" s="49">
        <f>(W72)/((1+Assumptions!$B$21)^$E72)+P72/IF(P$3="EOP",((1+Assumptions!$B$21)^$E72),1)</f>
        <v>44430.295591997994</v>
      </c>
      <c r="X71" s="49">
        <f>(X72)/((1+Assumptions!$B$21)^$E72)+Q72/IF(Q$3="EOP",((1+Assumptions!$B$21)^$E72),1)</f>
        <v>27091.643653657316</v>
      </c>
      <c r="Y71" s="53">
        <f t="shared" si="14"/>
        <v>-167155.44134306561</v>
      </c>
      <c r="Z71" s="52">
        <f>H72*Assumptions!$B$7*Assumptions!$B$25/$E72/12</f>
        <v>5452.9279581328956</v>
      </c>
      <c r="AA71" s="49">
        <f>Z71*Assumptions!$B$11</f>
        <v>1090.5855916265791</v>
      </c>
      <c r="AB71" s="54">
        <f t="shared" ref="AB71:AB77" si="19">Z71-AA71</f>
        <v>4362.3423665063165</v>
      </c>
      <c r="AC71" s="89">
        <f t="shared" ref="AC71:AC78" si="20">Y71+AB71</f>
        <v>-162793.0989765593</v>
      </c>
      <c r="AD71" s="89">
        <f>Assumptions!$B$23*R71</f>
        <v>83306.804234996249</v>
      </c>
      <c r="AE71" s="89">
        <f t="shared" si="11"/>
        <v>-79486.294741563048</v>
      </c>
    </row>
    <row r="72" spans="1:31" x14ac:dyDescent="0.25">
      <c r="A72" s="44">
        <f t="shared" ref="A72:A78" si="21">A71+1</f>
        <v>67</v>
      </c>
      <c r="B72" s="45" t="s">
        <v>29</v>
      </c>
      <c r="C72" s="48">
        <f t="shared" si="12"/>
        <v>408</v>
      </c>
      <c r="D72" s="47">
        <f t="shared" si="13"/>
        <v>34</v>
      </c>
      <c r="E72" s="47">
        <f t="shared" si="15"/>
        <v>1</v>
      </c>
      <c r="F72" s="48">
        <f t="shared" si="16"/>
        <v>1</v>
      </c>
      <c r="G72" s="49">
        <f>(G71*($K71/$K70)-L71)*(1+Assumptions!$B$15)^$F72</f>
        <v>8259372.5813973667</v>
      </c>
      <c r="H72" s="49">
        <f>$H$6/$G$6*G72*(1+Assumptions!$B$16)^INT((C72-1)/12)*IF(B72="Monthly",1,12)</f>
        <v>104696.2167961516</v>
      </c>
      <c r="I72" s="50">
        <f>Assumptions!$B$14</f>
        <v>0.15</v>
      </c>
      <c r="J72" s="50">
        <f t="shared" si="17"/>
        <v>0.15000000000000002</v>
      </c>
      <c r="K72" s="51">
        <f t="shared" si="18"/>
        <v>3.9833042007275743E-3</v>
      </c>
      <c r="L72" s="52">
        <f>H72*Assumptions!$B$7</f>
        <v>52348.108398075798</v>
      </c>
      <c r="M72" s="49">
        <f>L72*Assumptions!$B$11</f>
        <v>10469.62167961516</v>
      </c>
      <c r="N72" s="49">
        <f>H72*Assumptions!$B$11</f>
        <v>20939.24335923032</v>
      </c>
      <c r="O72" s="49">
        <f>N72*Assumptions!$B$12</f>
        <v>2093.9243359230322</v>
      </c>
      <c r="P72" s="49">
        <f>H72*Assumptions!$B$9</f>
        <v>8375.6973436921271</v>
      </c>
      <c r="Q72" s="49">
        <f>H72*Assumptions!$B$8</f>
        <v>5234.8108398075801</v>
      </c>
      <c r="R72" s="52">
        <f>(R73)/((1+Assumptions!$B$21)^$E73)+H73/IF(H$3="EOP",((1+Assumptions!$B$21)^$E73),1)</f>
        <v>461949.54005641892</v>
      </c>
      <c r="S72" s="49">
        <f>(S73)/((1+Assumptions!$B$21)^$E73)+L73/IF(L$3="EOP",((1+Assumptions!$B$21)^$E73),1)</f>
        <v>225341.23905191169</v>
      </c>
      <c r="T72" s="49">
        <f>(T73)/((1+Assumptions!$B$21)^$E73)+M73/IF(M$3="EOP",((1+Assumptions!$B$21)^$E73),1)</f>
        <v>45068.247810382338</v>
      </c>
      <c r="U72" s="49">
        <f>(U73)/((1+Assumptions!$B$21)^$E73)+N73/IF(N$3="EOP",((1+Assumptions!$B$21)^$E73),1)</f>
        <v>92389.908011283798</v>
      </c>
      <c r="V72" s="49">
        <f>(V73)/((1+Assumptions!$B$21)^$E73)+O73/IF(O$3="EOP",((1+Assumptions!$B$21)^$E73),1)</f>
        <v>9238.9908011283787</v>
      </c>
      <c r="W72" s="49">
        <f>(W73)/((1+Assumptions!$B$21)^$E73)+P73/IF(P$3="EOP",((1+Assumptions!$B$21)^$E73),1)</f>
        <v>36955.963204513515</v>
      </c>
      <c r="X72" s="49">
        <f>(X73)/((1+Assumptions!$B$21)^$E73)+Q73/IF(Q$3="EOP",((1+Assumptions!$B$21)^$E73),1)</f>
        <v>22534.123905191169</v>
      </c>
      <c r="Y72" s="53">
        <f t="shared" si="14"/>
        <v>-139035.54449502949</v>
      </c>
      <c r="Z72" s="52">
        <f>H73*Assumptions!$B$7*Assumptions!$B$25/$E73/12</f>
        <v>5067.831453609454</v>
      </c>
      <c r="AA72" s="49">
        <f>Z72*Assumptions!$B$11</f>
        <v>1013.5662907218908</v>
      </c>
      <c r="AB72" s="54">
        <f t="shared" si="19"/>
        <v>4054.2651628875633</v>
      </c>
      <c r="AC72" s="89">
        <f t="shared" si="20"/>
        <v>-134981.27933214192</v>
      </c>
      <c r="AD72" s="89">
        <f>Assumptions!$B$23*R72</f>
        <v>69292.431008462838</v>
      </c>
      <c r="AE72" s="89">
        <f t="shared" ref="AE72:AE78" si="22">AC72+AD72</f>
        <v>-65688.848323679078</v>
      </c>
    </row>
    <row r="73" spans="1:31" x14ac:dyDescent="0.25">
      <c r="A73" s="44">
        <f t="shared" si="21"/>
        <v>68</v>
      </c>
      <c r="B73" s="45" t="s">
        <v>29</v>
      </c>
      <c r="C73" s="48">
        <f t="shared" si="12"/>
        <v>420</v>
      </c>
      <c r="D73" s="47">
        <f t="shared" si="13"/>
        <v>35</v>
      </c>
      <c r="E73" s="47">
        <f t="shared" si="15"/>
        <v>1</v>
      </c>
      <c r="F73" s="48">
        <f t="shared" si="16"/>
        <v>1</v>
      </c>
      <c r="G73" s="49">
        <f>(G72*($K72/$K71)-L72)*(1+Assumptions!$B$15)^$F73</f>
        <v>7107480.9575054785</v>
      </c>
      <c r="H73" s="49">
        <f>$H$6/$G$6*G73*(1+Assumptions!$B$16)^INT((C73-1)/12)*IF(B73="Monthly",1,12)</f>
        <v>97302.363909301508</v>
      </c>
      <c r="I73" s="50">
        <f>Assumptions!$B$14</f>
        <v>0.15</v>
      </c>
      <c r="J73" s="50">
        <f t="shared" si="17"/>
        <v>0.15000000000000002</v>
      </c>
      <c r="K73" s="51">
        <f t="shared" si="18"/>
        <v>3.3858085706184381E-3</v>
      </c>
      <c r="L73" s="52">
        <f>H73*Assumptions!$B$7</f>
        <v>48651.181954650754</v>
      </c>
      <c r="M73" s="49">
        <f>L73*Assumptions!$B$11</f>
        <v>9730.2363909301512</v>
      </c>
      <c r="N73" s="49">
        <f>H73*Assumptions!$B$11</f>
        <v>19460.472781860302</v>
      </c>
      <c r="O73" s="49">
        <f>N73*Assumptions!$B$12</f>
        <v>1946.0472781860303</v>
      </c>
      <c r="P73" s="49">
        <f>H73*Assumptions!$B$9</f>
        <v>7784.1891127441204</v>
      </c>
      <c r="Q73" s="49">
        <f>H73*Assumptions!$B$8</f>
        <v>4865.1181954650756</v>
      </c>
      <c r="R73" s="52">
        <f>(R74)/((1+Assumptions!$B$21)^$E74)+H74/IF(H$3="EOP",((1+Assumptions!$B$21)^$E74),1)</f>
        <v>373763.35555079533</v>
      </c>
      <c r="S73" s="49">
        <f>(S74)/((1+Assumptions!$B$21)^$E74)+L74/IF(L$3="EOP",((1+Assumptions!$B$21)^$E74),1)</f>
        <v>182323.58807355873</v>
      </c>
      <c r="T73" s="49">
        <f>(T74)/((1+Assumptions!$B$21)^$E74)+M74/IF(M$3="EOP",((1+Assumptions!$B$21)^$E74),1)</f>
        <v>36464.717614711742</v>
      </c>
      <c r="U73" s="49">
        <f>(U74)/((1+Assumptions!$B$21)^$E74)+N74/IF(N$3="EOP",((1+Assumptions!$B$21)^$E74),1)</f>
        <v>74752.671110159077</v>
      </c>
      <c r="V73" s="49">
        <f>(V74)/((1+Assumptions!$B$21)^$E74)+O74/IF(O$3="EOP",((1+Assumptions!$B$21)^$E74),1)</f>
        <v>7475.2671110159072</v>
      </c>
      <c r="W73" s="49">
        <f>(W74)/((1+Assumptions!$B$21)^$E74)+P74/IF(P$3="EOP",((1+Assumptions!$B$21)^$E74),1)</f>
        <v>29901.068444063629</v>
      </c>
      <c r="X73" s="49">
        <f>(X74)/((1+Assumptions!$B$21)^$E74)+Q74/IF(Q$3="EOP",((1+Assumptions!$B$21)^$E74),1)</f>
        <v>18232.358807355871</v>
      </c>
      <c r="Y73" s="53">
        <f t="shared" si="14"/>
        <v>-112493.65384138571</v>
      </c>
      <c r="Z73" s="52">
        <f>H74*Assumptions!$B$7*Assumptions!$B$25/$E74/12</f>
        <v>4707.1005471394756</v>
      </c>
      <c r="AA73" s="49">
        <f>Z73*Assumptions!$B$11</f>
        <v>941.42010942789511</v>
      </c>
      <c r="AB73" s="54">
        <f t="shared" si="19"/>
        <v>3765.6804377115805</v>
      </c>
      <c r="AC73" s="89">
        <f t="shared" si="20"/>
        <v>-108727.97340367413</v>
      </c>
      <c r="AD73" s="89">
        <f>Assumptions!$B$23*R73</f>
        <v>56064.503332619301</v>
      </c>
      <c r="AE73" s="89">
        <f t="shared" si="22"/>
        <v>-52663.470071054828</v>
      </c>
    </row>
    <row r="74" spans="1:31" x14ac:dyDescent="0.25">
      <c r="A74" s="44">
        <f t="shared" si="21"/>
        <v>69</v>
      </c>
      <c r="B74" s="45" t="s">
        <v>29</v>
      </c>
      <c r="C74" s="48">
        <f t="shared" si="12"/>
        <v>432</v>
      </c>
      <c r="D74" s="47">
        <f t="shared" si="13"/>
        <v>36</v>
      </c>
      <c r="E74" s="47">
        <f t="shared" si="15"/>
        <v>1</v>
      </c>
      <c r="F74" s="48">
        <f t="shared" si="16"/>
        <v>1</v>
      </c>
      <c r="G74" s="49">
        <f>(G73*($K73/$K72)-L73)*(1+Assumptions!$B$15)^$F74</f>
        <v>6112561.784563506</v>
      </c>
      <c r="H74" s="49">
        <f>$H$6/$G$6*G74*(1+Assumptions!$B$16)^INT((C74-1)/12)*IF(B74="Monthly",1,12)</f>
        <v>90376.330505077931</v>
      </c>
      <c r="I74" s="50">
        <f>Assumptions!$B$14</f>
        <v>0.15</v>
      </c>
      <c r="J74" s="50">
        <f t="shared" si="17"/>
        <v>0.15000000000000002</v>
      </c>
      <c r="K74" s="51">
        <f t="shared" si="18"/>
        <v>2.8779372850256725E-3</v>
      </c>
      <c r="L74" s="52">
        <f>H74*Assumptions!$B$7</f>
        <v>45188.165252538965</v>
      </c>
      <c r="M74" s="49">
        <f>L74*Assumptions!$B$11</f>
        <v>9037.6330505077931</v>
      </c>
      <c r="N74" s="49">
        <f>H74*Assumptions!$B$11</f>
        <v>18075.266101015586</v>
      </c>
      <c r="O74" s="49">
        <f>N74*Assumptions!$B$12</f>
        <v>1807.5266101015586</v>
      </c>
      <c r="P74" s="49">
        <f>H74*Assumptions!$B$9</f>
        <v>7230.1064404062345</v>
      </c>
      <c r="Q74" s="49">
        <f>H74*Assumptions!$B$8</f>
        <v>4518.8165252538965</v>
      </c>
      <c r="R74" s="52">
        <f>(R75)/((1+Assumptions!$B$21)^$E75)+H75/IF(H$3="EOP",((1+Assumptions!$B$21)^$E75),1)</f>
        <v>290471.70067186031</v>
      </c>
      <c r="S74" s="49">
        <f>(S75)/((1+Assumptions!$B$21)^$E75)+L75/IF(L$3="EOP",((1+Assumptions!$B$21)^$E75),1)</f>
        <v>141693.51252285871</v>
      </c>
      <c r="T74" s="49">
        <f>(T75)/((1+Assumptions!$B$21)^$E75)+M75/IF(M$3="EOP",((1+Assumptions!$B$21)^$E75),1)</f>
        <v>28338.702504571738</v>
      </c>
      <c r="U74" s="49">
        <f>(U75)/((1+Assumptions!$B$21)^$E75)+N75/IF(N$3="EOP",((1+Assumptions!$B$21)^$E75),1)</f>
        <v>58094.340134372069</v>
      </c>
      <c r="V74" s="49">
        <f>(V75)/((1+Assumptions!$B$21)^$E75)+O75/IF(O$3="EOP",((1+Assumptions!$B$21)^$E75),1)</f>
        <v>5809.4340134372069</v>
      </c>
      <c r="W74" s="49">
        <f>(W75)/((1+Assumptions!$B$21)^$E75)+P75/IF(P$3="EOP",((1+Assumptions!$B$21)^$E75),1)</f>
        <v>23237.736053748828</v>
      </c>
      <c r="X74" s="49">
        <f>(X75)/((1+Assumptions!$B$21)^$E75)+Q75/IF(Q$3="EOP",((1+Assumptions!$B$21)^$E75),1)</f>
        <v>14169.351252285869</v>
      </c>
      <c r="Y74" s="53">
        <f t="shared" si="14"/>
        <v>-87424.897226603774</v>
      </c>
      <c r="Z74" s="52">
        <f>H75*Assumptions!$B$7*Assumptions!$B$25/$E75/12</f>
        <v>4369.2071352181529</v>
      </c>
      <c r="AA74" s="49">
        <f>Z74*Assumptions!$B$11</f>
        <v>873.84142704363057</v>
      </c>
      <c r="AB74" s="54">
        <f t="shared" si="19"/>
        <v>3495.3657081745223</v>
      </c>
      <c r="AC74" s="89">
        <f t="shared" si="20"/>
        <v>-83929.531518429256</v>
      </c>
      <c r="AD74" s="89">
        <f>Assumptions!$B$23*R74</f>
        <v>43570.755100779046</v>
      </c>
      <c r="AE74" s="89">
        <f t="shared" si="22"/>
        <v>-40358.77641765021</v>
      </c>
    </row>
    <row r="75" spans="1:31" x14ac:dyDescent="0.25">
      <c r="A75" s="44">
        <f t="shared" si="21"/>
        <v>70</v>
      </c>
      <c r="B75" s="45" t="s">
        <v>29</v>
      </c>
      <c r="C75" s="48">
        <f t="shared" si="12"/>
        <v>444</v>
      </c>
      <c r="D75" s="47">
        <f t="shared" si="13"/>
        <v>37</v>
      </c>
      <c r="E75" s="47">
        <f t="shared" si="15"/>
        <v>1</v>
      </c>
      <c r="F75" s="48">
        <f t="shared" si="16"/>
        <v>1</v>
      </c>
      <c r="G75" s="49">
        <f>(G74*($K74/$K73)-L74)*(1+Assumptions!$B$15)^$F75</f>
        <v>5253499.1386589697</v>
      </c>
      <c r="H75" s="49">
        <f>$H$6/$G$6*G75*(1+Assumptions!$B$16)^INT((C75-1)/12)*IF(B75="Monthly",1,12)</f>
        <v>83888.776996188535</v>
      </c>
      <c r="I75" s="50">
        <f>Assumptions!$B$14</f>
        <v>0.15</v>
      </c>
      <c r="J75" s="50">
        <f t="shared" si="17"/>
        <v>0.15000000000000002</v>
      </c>
      <c r="K75" s="51">
        <f t="shared" si="18"/>
        <v>2.4462466922718215E-3</v>
      </c>
      <c r="L75" s="52">
        <f>H75*Assumptions!$B$7</f>
        <v>41944.388498094268</v>
      </c>
      <c r="M75" s="49">
        <f>L75*Assumptions!$B$11</f>
        <v>8388.8776996188535</v>
      </c>
      <c r="N75" s="49">
        <f>H75*Assumptions!$B$11</f>
        <v>16777.755399237707</v>
      </c>
      <c r="O75" s="49">
        <f>N75*Assumptions!$B$12</f>
        <v>1677.7755399237708</v>
      </c>
      <c r="P75" s="49">
        <f>H75*Assumptions!$B$9</f>
        <v>6711.1021596950832</v>
      </c>
      <c r="Q75" s="49">
        <f>H75*Assumptions!$B$8</f>
        <v>4194.4388498094268</v>
      </c>
      <c r="R75" s="52">
        <f>(R76)/((1+Assumptions!$B$21)^$E76)+H76/IF(H$3="EOP",((1+Assumptions!$B$21)^$E76),1)</f>
        <v>211747.49676756354</v>
      </c>
      <c r="S75" s="49">
        <f>(S76)/((1+Assumptions!$B$21)^$E76)+L76/IF(L$3="EOP",((1+Assumptions!$B$21)^$E76),1)</f>
        <v>103291.4618378359</v>
      </c>
      <c r="T75" s="49">
        <f>(T76)/((1+Assumptions!$B$21)^$E76)+M76/IF(M$3="EOP",((1+Assumptions!$B$21)^$E76),1)</f>
        <v>20658.292367567177</v>
      </c>
      <c r="U75" s="49">
        <f>(U76)/((1+Assumptions!$B$21)^$E76)+N76/IF(N$3="EOP",((1+Assumptions!$B$21)^$E76),1)</f>
        <v>42349.499353512714</v>
      </c>
      <c r="V75" s="49">
        <f>(V76)/((1+Assumptions!$B$21)^$E76)+O76/IF(O$3="EOP",((1+Assumptions!$B$21)^$E76),1)</f>
        <v>4234.9499353512711</v>
      </c>
      <c r="W75" s="49">
        <f>(W76)/((1+Assumptions!$B$21)^$E76)+P76/IF(P$3="EOP",((1+Assumptions!$B$21)^$E76),1)</f>
        <v>16939.799741405084</v>
      </c>
      <c r="X75" s="49">
        <f>(X76)/((1+Assumptions!$B$21)^$E76)+Q76/IF(Q$3="EOP",((1+Assumptions!$B$21)^$E76),1)</f>
        <v>10329.146183783589</v>
      </c>
      <c r="Y75" s="53">
        <f t="shared" si="14"/>
        <v>-63730.831953944704</v>
      </c>
      <c r="Z75" s="52">
        <f>H76*Assumptions!$B$7*Assumptions!$B$25/$E76/12</f>
        <v>4052.7224408508878</v>
      </c>
      <c r="AA75" s="49">
        <f>Z75*Assumptions!$B$11</f>
        <v>810.5444881701776</v>
      </c>
      <c r="AB75" s="54">
        <f t="shared" si="19"/>
        <v>3242.1779526807104</v>
      </c>
      <c r="AC75" s="89">
        <f t="shared" si="20"/>
        <v>-60488.654001263996</v>
      </c>
      <c r="AD75" s="89">
        <f>Assumptions!$B$23*R75</f>
        <v>31762.124515134528</v>
      </c>
      <c r="AE75" s="89">
        <f t="shared" si="22"/>
        <v>-28726.529486129468</v>
      </c>
    </row>
    <row r="76" spans="1:31" x14ac:dyDescent="0.25">
      <c r="A76" s="44">
        <f t="shared" si="21"/>
        <v>71</v>
      </c>
      <c r="B76" s="45" t="s">
        <v>29</v>
      </c>
      <c r="C76" s="48">
        <f t="shared" si="12"/>
        <v>456</v>
      </c>
      <c r="D76" s="47">
        <f t="shared" si="13"/>
        <v>38</v>
      </c>
      <c r="E76" s="47">
        <f t="shared" si="15"/>
        <v>1</v>
      </c>
      <c r="F76" s="48">
        <f t="shared" si="16"/>
        <v>1</v>
      </c>
      <c r="G76" s="49">
        <f>(G75*($K75/$K74)-L75)*(1+Assumptions!$B$15)^$F76</f>
        <v>4512000.4769492708</v>
      </c>
      <c r="H76" s="49">
        <f>$H$6/$G$6*G76*(1+Assumptions!$B$16)^INT((C76-1)/12)*IF(B76="Monthly",1,12)</f>
        <v>77812.270864337042</v>
      </c>
      <c r="I76" s="50">
        <f>Assumptions!$B$14</f>
        <v>0.15</v>
      </c>
      <c r="J76" s="50">
        <f t="shared" si="17"/>
        <v>0.15000000000000002</v>
      </c>
      <c r="K76" s="51">
        <f t="shared" si="18"/>
        <v>2.0793096884310484E-3</v>
      </c>
      <c r="L76" s="52">
        <f>H76*Assumptions!$B$7</f>
        <v>38906.135432168521</v>
      </c>
      <c r="M76" s="49">
        <f>L76*Assumptions!$B$11</f>
        <v>7781.2270864337042</v>
      </c>
      <c r="N76" s="49">
        <f>H76*Assumptions!$B$11</f>
        <v>15562.454172867408</v>
      </c>
      <c r="O76" s="49">
        <f>N76*Assumptions!$B$12</f>
        <v>1556.245417286741</v>
      </c>
      <c r="P76" s="49">
        <f>H76*Assumptions!$B$9</f>
        <v>6224.9816691469632</v>
      </c>
      <c r="Q76" s="49">
        <f>H76*Assumptions!$B$8</f>
        <v>3890.6135432168521</v>
      </c>
      <c r="R76" s="52">
        <f>(R77)/((1+Assumptions!$B$21)^$E77)+H77/IF(H$3="EOP",((1+Assumptions!$B$21)^$E77),1)</f>
        <v>137283.60655080716</v>
      </c>
      <c r="S76" s="49">
        <f>(S77)/((1+Assumptions!$B$21)^$E77)+L77/IF(L$3="EOP",((1+Assumptions!$B$21)^$E77),1)</f>
        <v>66967.612951613264</v>
      </c>
      <c r="T76" s="49">
        <f>(T77)/((1+Assumptions!$B$21)^$E77)+M77/IF(M$3="EOP",((1+Assumptions!$B$21)^$E77),1)</f>
        <v>13393.522590322651</v>
      </c>
      <c r="U76" s="49">
        <f>(U77)/((1+Assumptions!$B$21)^$E77)+N77/IF(N$3="EOP",((1+Assumptions!$B$21)^$E77),1)</f>
        <v>27456.721310161432</v>
      </c>
      <c r="V76" s="49">
        <f>(V77)/((1+Assumptions!$B$21)^$E77)+O77/IF(O$3="EOP",((1+Assumptions!$B$21)^$E77),1)</f>
        <v>2745.6721310161433</v>
      </c>
      <c r="W76" s="49">
        <f>(W77)/((1+Assumptions!$B$21)^$E77)+P77/IF(P$3="EOP",((1+Assumptions!$B$21)^$E77),1)</f>
        <v>10982.688524064572</v>
      </c>
      <c r="X76" s="49">
        <f>(X77)/((1+Assumptions!$B$21)^$E77)+Q77/IF(Q$3="EOP",((1+Assumptions!$B$21)^$E77),1)</f>
        <v>6696.7612951613255</v>
      </c>
      <c r="Y76" s="53">
        <f t="shared" si="14"/>
        <v>-41319.017191145365</v>
      </c>
      <c r="Z76" s="52">
        <f>H77*Assumptions!$B$7*Assumptions!$B$25/$E77/12</f>
        <v>3756.3108177301579</v>
      </c>
      <c r="AA76" s="49">
        <f>Z76*Assumptions!$B$11</f>
        <v>751.26216354603162</v>
      </c>
      <c r="AB76" s="54">
        <f t="shared" si="19"/>
        <v>3005.0486541841265</v>
      </c>
      <c r="AC76" s="89">
        <f t="shared" si="20"/>
        <v>-38313.968536961242</v>
      </c>
      <c r="AD76" s="89">
        <f>Assumptions!$B$23*R76</f>
        <v>20592.540982621074</v>
      </c>
      <c r="AE76" s="89">
        <f t="shared" si="22"/>
        <v>-17721.427554340167</v>
      </c>
    </row>
    <row r="77" spans="1:31" x14ac:dyDescent="0.25">
      <c r="A77" s="44">
        <f t="shared" si="21"/>
        <v>72</v>
      </c>
      <c r="B77" s="45" t="s">
        <v>29</v>
      </c>
      <c r="C77" s="48">
        <f t="shared" si="12"/>
        <v>468</v>
      </c>
      <c r="D77" s="47">
        <f t="shared" si="13"/>
        <v>39</v>
      </c>
      <c r="E77" s="47">
        <f t="shared" si="15"/>
        <v>1</v>
      </c>
      <c r="F77" s="48">
        <f t="shared" si="16"/>
        <v>1</v>
      </c>
      <c r="G77" s="49">
        <f>(G76*($K76/$K75)-L76)*(1+Assumptions!$B$15)^$F77</f>
        <v>3872220.1553742066</v>
      </c>
      <c r="H77" s="49">
        <f>$H$6/$G$6*G77*(1+Assumptions!$B$16)^INT((C77-1)/12)*IF(B77="Monthly",1,12)</f>
        <v>72121.167700419028</v>
      </c>
      <c r="I77" s="50">
        <f>Assumptions!$B$14</f>
        <v>0.15</v>
      </c>
      <c r="J77" s="50">
        <f t="shared" si="17"/>
        <v>0.15000000000000002</v>
      </c>
      <c r="K77" s="51">
        <f t="shared" si="18"/>
        <v>1.7674132351663911E-3</v>
      </c>
      <c r="L77" s="52">
        <f>H77*Assumptions!$B$7</f>
        <v>36060.583850209514</v>
      </c>
      <c r="M77" s="49">
        <f>L77*Assumptions!$B$11</f>
        <v>7212.1167700419028</v>
      </c>
      <c r="N77" s="49">
        <f>H77*Assumptions!$B$11</f>
        <v>14424.233540083806</v>
      </c>
      <c r="O77" s="49">
        <f>N77*Assumptions!$B$12</f>
        <v>1442.4233540083806</v>
      </c>
      <c r="P77" s="49">
        <f>H77*Assumptions!$B$9</f>
        <v>5769.6934160335222</v>
      </c>
      <c r="Q77" s="49">
        <f>H77*Assumptions!$B$8</f>
        <v>3606.0583850209514</v>
      </c>
      <c r="R77" s="52">
        <f>(R78)/((1+Assumptions!$B$21)^$E78)+H78/IF(H$3="EOP",((1+Assumptions!$B$21)^$E78),1)</f>
        <v>66791.499821647827</v>
      </c>
      <c r="S77" s="49">
        <f>(S78)/((1+Assumptions!$B$21)^$E78)+L78/IF(L$3="EOP",((1+Assumptions!$B$21)^$E78),1)</f>
        <v>32581.219425194064</v>
      </c>
      <c r="T77" s="49">
        <f>(T78)/((1+Assumptions!$B$21)^$E78)+M78/IF(M$3="EOP",((1+Assumptions!$B$21)^$E78),1)</f>
        <v>6516.2438850388135</v>
      </c>
      <c r="U77" s="49">
        <f>(U78)/((1+Assumptions!$B$21)^$E78)+N78/IF(N$3="EOP",((1+Assumptions!$B$21)^$E78),1)</f>
        <v>13358.299964329566</v>
      </c>
      <c r="V77" s="49">
        <f>(V78)/((1+Assumptions!$B$21)^$E78)+O78/IF(O$3="EOP",((1+Assumptions!$B$21)^$E78),1)</f>
        <v>1335.8299964329567</v>
      </c>
      <c r="W77" s="49">
        <f>(W78)/((1+Assumptions!$B$21)^$E78)+P78/IF(P$3="EOP",((1+Assumptions!$B$21)^$E78),1)</f>
        <v>5343.3199857318259</v>
      </c>
      <c r="X77" s="49">
        <f>(X78)/((1+Assumptions!$B$21)^$E78)+Q78/IF(Q$3="EOP",((1+Assumptions!$B$21)^$E78),1)</f>
        <v>3258.1219425194067</v>
      </c>
      <c r="Y77" s="53">
        <f t="shared" si="14"/>
        <v>-20102.612385344732</v>
      </c>
      <c r="Z77" s="52">
        <f>H78*Assumptions!$B$7*Assumptions!$B$25/$E78/12</f>
        <v>3478.7239490441575</v>
      </c>
      <c r="AA77" s="49">
        <f>Z77*Assumptions!$B$11</f>
        <v>695.74478980883157</v>
      </c>
      <c r="AB77" s="54">
        <f t="shared" si="19"/>
        <v>2782.9791592353258</v>
      </c>
      <c r="AC77" s="89">
        <f t="shared" si="20"/>
        <v>-17319.633226109407</v>
      </c>
      <c r="AD77" s="89">
        <f>Assumptions!$B$23*R77</f>
        <v>10018.724973247174</v>
      </c>
      <c r="AE77" s="89">
        <f t="shared" si="22"/>
        <v>-7300.908252862233</v>
      </c>
    </row>
    <row r="78" spans="1:31" x14ac:dyDescent="0.25">
      <c r="A78" s="44">
        <f t="shared" si="21"/>
        <v>73</v>
      </c>
      <c r="B78" s="45" t="s">
        <v>29</v>
      </c>
      <c r="C78" s="48">
        <f t="shared" si="12"/>
        <v>480</v>
      </c>
      <c r="D78" s="47">
        <f t="shared" si="13"/>
        <v>40</v>
      </c>
      <c r="E78" s="47">
        <f t="shared" si="15"/>
        <v>1</v>
      </c>
      <c r="F78" s="48">
        <f t="shared" si="16"/>
        <v>1</v>
      </c>
      <c r="G78" s="49">
        <f>(G77*($K77/$K76)-L77)*(1+Assumptions!$B$15)^$F78</f>
        <v>3320433.0791822234</v>
      </c>
      <c r="H78" s="49">
        <f>$H$6/$G$6*G78*(1+Assumptions!$B$16)^INT((C78-1)/12)*IF(B78="Monthly",1,12)</f>
        <v>66791.499821647827</v>
      </c>
      <c r="I78" s="50">
        <f>Assumptions!$B$14</f>
        <v>0.15</v>
      </c>
      <c r="J78" s="50">
        <f t="shared" si="17"/>
        <v>0.15000000000000002</v>
      </c>
      <c r="K78" s="55">
        <v>0</v>
      </c>
      <c r="L78" s="52">
        <f>H78*Assumptions!$B$7</f>
        <v>33395.749910823914</v>
      </c>
      <c r="M78" s="49">
        <f>L78*Assumptions!$B$11</f>
        <v>6679.1499821647831</v>
      </c>
      <c r="N78" s="49">
        <f>H78*Assumptions!$B$11</f>
        <v>13358.299964329566</v>
      </c>
      <c r="O78" s="49">
        <f>N78*Assumptions!$B$12</f>
        <v>1335.8299964329567</v>
      </c>
      <c r="P78" s="49">
        <f>H78*Assumptions!$B$9</f>
        <v>5343.3199857318259</v>
      </c>
      <c r="Q78" s="49">
        <f>H78*Assumptions!$B$8</f>
        <v>3339.5749910823915</v>
      </c>
      <c r="R78" s="56">
        <v>0</v>
      </c>
      <c r="S78" s="57">
        <v>0</v>
      </c>
      <c r="T78" s="57">
        <v>0</v>
      </c>
      <c r="U78" s="57">
        <v>0</v>
      </c>
      <c r="V78" s="57">
        <v>0</v>
      </c>
      <c r="W78" s="57">
        <v>0</v>
      </c>
      <c r="X78" s="57">
        <v>0</v>
      </c>
      <c r="Y78" s="53">
        <f t="shared" si="14"/>
        <v>0</v>
      </c>
      <c r="Z78" s="56">
        <v>0</v>
      </c>
      <c r="AA78" s="57">
        <v>0</v>
      </c>
      <c r="AB78" s="58">
        <v>0</v>
      </c>
      <c r="AC78" s="89">
        <f t="shared" si="20"/>
        <v>0</v>
      </c>
      <c r="AD78" s="89">
        <f>Assumptions!$B$23*R78</f>
        <v>0</v>
      </c>
      <c r="AE78" s="89">
        <f t="shared" si="22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3:E42"/>
  <sheetViews>
    <sheetView zoomScale="85" zoomScaleNormal="85" workbookViewId="0"/>
  </sheetViews>
  <sheetFormatPr defaultRowHeight="13.5" x14ac:dyDescent="0.25"/>
  <cols>
    <col min="1" max="1" width="9.33203125" style="1"/>
    <col min="2" max="2" width="48.5" style="1" bestFit="1" customWidth="1"/>
    <col min="3" max="3" width="20.83203125" style="1" bestFit="1" customWidth="1"/>
    <col min="4" max="16384" width="9.33203125" style="1"/>
  </cols>
  <sheetData>
    <row r="3" spans="2:5" x14ac:dyDescent="0.25">
      <c r="C3" s="106" t="s">
        <v>11</v>
      </c>
    </row>
    <row r="4" spans="2:5" x14ac:dyDescent="0.25">
      <c r="B4" s="1" t="s">
        <v>7</v>
      </c>
      <c r="C4" s="95">
        <f>'BE CFs'!$AC$5</f>
        <v>-3210584.6499815425</v>
      </c>
    </row>
    <row r="5" spans="2:5" x14ac:dyDescent="0.25">
      <c r="B5" s="1" t="s">
        <v>9</v>
      </c>
      <c r="C5" s="95">
        <f>'BE CFs'!$AB$5</f>
        <v>41666.666666666672</v>
      </c>
    </row>
    <row r="6" spans="2:5" x14ac:dyDescent="0.25">
      <c r="C6" s="95"/>
    </row>
    <row r="7" spans="2:5" x14ac:dyDescent="0.25">
      <c r="B7" s="1" t="s">
        <v>76</v>
      </c>
      <c r="C7" s="95">
        <f>'BE CFs'!$AE$5</f>
        <v>-1577087.8562761045</v>
      </c>
    </row>
    <row r="8" spans="2:5" x14ac:dyDescent="0.25">
      <c r="B8" s="1" t="s">
        <v>10</v>
      </c>
      <c r="C8" s="95">
        <f>MAX(C5,C4)</f>
        <v>41666.666666666672</v>
      </c>
    </row>
    <row r="9" spans="2:5" x14ac:dyDescent="0.25">
      <c r="B9" s="85" t="s">
        <v>83</v>
      </c>
      <c r="C9" s="96">
        <f>-(C8-C7)</f>
        <v>-1618754.5229427712</v>
      </c>
    </row>
    <row r="10" spans="2:5" x14ac:dyDescent="0.25">
      <c r="C10" s="95"/>
    </row>
    <row r="11" spans="2:5" x14ac:dyDescent="0.25">
      <c r="C11" s="95"/>
    </row>
    <row r="12" spans="2:5" x14ac:dyDescent="0.25">
      <c r="B12" s="1" t="s">
        <v>77</v>
      </c>
      <c r="C12" s="95">
        <f>'BE CFs_+Random'!$AC$5-'BE CFs'!$AC$5</f>
        <v>82005.343940451741</v>
      </c>
      <c r="D12" s="109"/>
      <c r="E12" s="109"/>
    </row>
    <row r="13" spans="2:5" x14ac:dyDescent="0.25">
      <c r="B13" s="1" t="s">
        <v>78</v>
      </c>
      <c r="C13" s="95">
        <f>'BE CFs_+Future'!$AC$5-'BE CFs'!$AC$5</f>
        <v>421413.36615846725</v>
      </c>
    </row>
    <row r="14" spans="2:5" x14ac:dyDescent="0.25">
      <c r="B14" s="1" t="s">
        <v>79</v>
      </c>
      <c r="C14" s="95">
        <f>'BE CFs_+Event'!$AC$5-'BE CFs'!$AC$5</f>
        <v>679609.60743197706</v>
      </c>
    </row>
    <row r="15" spans="2:5" x14ac:dyDescent="0.25">
      <c r="C15" s="95"/>
    </row>
    <row r="16" spans="2:5" x14ac:dyDescent="0.25">
      <c r="B16" s="85" t="s">
        <v>8</v>
      </c>
      <c r="C16" s="97">
        <f>SQRT(SUMSQ(C12:C14))/SUM(C12:C14)</f>
        <v>0.67948947091945644</v>
      </c>
    </row>
    <row r="17" spans="3:3" x14ac:dyDescent="0.25">
      <c r="C17" s="95"/>
    </row>
    <row r="18" spans="3:3" x14ac:dyDescent="0.25">
      <c r="C18" s="95"/>
    </row>
    <row r="19" spans="3:3" x14ac:dyDescent="0.25">
      <c r="C19" s="95"/>
    </row>
    <row r="20" spans="3:3" x14ac:dyDescent="0.25">
      <c r="C20" s="95"/>
    </row>
    <row r="21" spans="3:3" x14ac:dyDescent="0.25">
      <c r="C21" s="95"/>
    </row>
    <row r="22" spans="3:3" x14ac:dyDescent="0.25">
      <c r="C22" s="95"/>
    </row>
    <row r="23" spans="3:3" x14ac:dyDescent="0.25">
      <c r="C23" s="95"/>
    </row>
    <row r="24" spans="3:3" x14ac:dyDescent="0.25">
      <c r="C24" s="95"/>
    </row>
    <row r="25" spans="3:3" x14ac:dyDescent="0.25">
      <c r="C25" s="95"/>
    </row>
    <row r="26" spans="3:3" x14ac:dyDescent="0.25">
      <c r="C26" s="95"/>
    </row>
    <row r="27" spans="3:3" x14ac:dyDescent="0.25">
      <c r="C27" s="95"/>
    </row>
    <row r="28" spans="3:3" x14ac:dyDescent="0.25">
      <c r="C28" s="95"/>
    </row>
    <row r="29" spans="3:3" x14ac:dyDescent="0.25">
      <c r="C29" s="95"/>
    </row>
    <row r="30" spans="3:3" x14ac:dyDescent="0.25">
      <c r="C30" s="95"/>
    </row>
    <row r="31" spans="3:3" x14ac:dyDescent="0.25">
      <c r="C31" s="95"/>
    </row>
    <row r="32" spans="3:3" x14ac:dyDescent="0.25">
      <c r="C32" s="95"/>
    </row>
    <row r="33" spans="3:3" x14ac:dyDescent="0.25">
      <c r="C33" s="95"/>
    </row>
    <row r="34" spans="3:3" x14ac:dyDescent="0.25">
      <c r="C34" s="95"/>
    </row>
    <row r="35" spans="3:3" x14ac:dyDescent="0.25">
      <c r="C35" s="95"/>
    </row>
    <row r="36" spans="3:3" x14ac:dyDescent="0.25">
      <c r="C36" s="95"/>
    </row>
    <row r="37" spans="3:3" x14ac:dyDescent="0.25">
      <c r="C37" s="95"/>
    </row>
    <row r="38" spans="3:3" x14ac:dyDescent="0.25">
      <c r="C38" s="95"/>
    </row>
    <row r="39" spans="3:3" x14ac:dyDescent="0.25">
      <c r="C39" s="95"/>
    </row>
    <row r="40" spans="3:3" x14ac:dyDescent="0.25">
      <c r="C40" s="95"/>
    </row>
    <row r="41" spans="3:3" x14ac:dyDescent="0.25">
      <c r="C41" s="95"/>
    </row>
    <row r="42" spans="3:3" x14ac:dyDescent="0.25">
      <c r="C42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G78"/>
  <sheetViews>
    <sheetView showGridLines="0" zoomScale="85" zoomScaleNormal="8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defaultColWidth="9.33203125" defaultRowHeight="13.5" x14ac:dyDescent="0.25"/>
  <cols>
    <col min="1" max="2" width="11.83203125" style="1" customWidth="1"/>
    <col min="3" max="4" width="12.33203125" style="1" customWidth="1"/>
    <col min="5" max="5" width="11.83203125" style="1" customWidth="1"/>
    <col min="6" max="6" width="13.83203125" style="1" customWidth="1"/>
    <col min="7" max="7" width="14.6640625" style="1" customWidth="1"/>
    <col min="8" max="10" width="13.5" style="1" customWidth="1"/>
    <col min="11" max="11" width="13.83203125" style="1" customWidth="1"/>
    <col min="12" max="12" width="13.6640625" style="1" bestFit="1" customWidth="1"/>
    <col min="13" max="13" width="15.1640625" style="1" customWidth="1"/>
    <col min="14" max="16" width="14.83203125" style="1" customWidth="1"/>
    <col min="17" max="17" width="15.6640625" style="1" customWidth="1"/>
    <col min="18" max="24" width="14.33203125" style="1" customWidth="1"/>
    <col min="25" max="25" width="14.5" style="1" customWidth="1"/>
    <col min="26" max="28" width="9.6640625" style="1" customWidth="1"/>
    <col min="29" max="31" width="14.6640625" style="1" bestFit="1" customWidth="1"/>
    <col min="32" max="32" width="12.6640625" style="1" bestFit="1" customWidth="1"/>
    <col min="33" max="33" width="10.83203125" style="1" bestFit="1" customWidth="1"/>
    <col min="34" max="16384" width="9.33203125" style="1"/>
  </cols>
  <sheetData>
    <row r="1" spans="1:33" x14ac:dyDescent="0.25">
      <c r="H1" s="2"/>
      <c r="I1" s="2"/>
      <c r="J1" s="2"/>
      <c r="L1" s="3"/>
      <c r="R1" s="3"/>
      <c r="Y1" s="4"/>
      <c r="AB1" s="5"/>
      <c r="AC1" s="4"/>
      <c r="AD1" s="4"/>
      <c r="AE1" s="4"/>
    </row>
    <row r="2" spans="1:33" x14ac:dyDescent="0.25">
      <c r="G2" s="6"/>
      <c r="H2" s="2"/>
      <c r="I2" s="2"/>
      <c r="J2" s="2"/>
      <c r="L2" s="3"/>
      <c r="R2" s="3"/>
      <c r="Y2" s="4"/>
      <c r="AB2" s="5"/>
      <c r="AC2" s="4"/>
      <c r="AD2" s="4"/>
      <c r="AE2" s="4"/>
    </row>
    <row r="3" spans="1:33" s="15" customFormat="1" x14ac:dyDescent="0.25">
      <c r="A3" s="7" t="s">
        <v>43</v>
      </c>
      <c r="B3" s="8"/>
      <c r="C3" s="8"/>
      <c r="D3" s="8"/>
      <c r="E3" s="8"/>
      <c r="F3" s="9" t="s">
        <v>25</v>
      </c>
      <c r="G3" s="9" t="s">
        <v>25</v>
      </c>
      <c r="H3" s="9" t="s">
        <v>25</v>
      </c>
      <c r="I3" s="10"/>
      <c r="J3" s="10"/>
      <c r="K3" s="11" t="s">
        <v>26</v>
      </c>
      <c r="L3" s="12" t="s">
        <v>26</v>
      </c>
      <c r="M3" s="11" t="s">
        <v>26</v>
      </c>
      <c r="N3" s="9" t="s">
        <v>25</v>
      </c>
      <c r="O3" s="9" t="s">
        <v>25</v>
      </c>
      <c r="P3" s="9" t="s">
        <v>25</v>
      </c>
      <c r="Q3" s="11" t="s">
        <v>26</v>
      </c>
      <c r="R3" s="12" t="s">
        <v>26</v>
      </c>
      <c r="S3" s="11" t="s">
        <v>26</v>
      </c>
      <c r="T3" s="11" t="s">
        <v>26</v>
      </c>
      <c r="U3" s="11" t="s">
        <v>26</v>
      </c>
      <c r="V3" s="11" t="s">
        <v>26</v>
      </c>
      <c r="W3" s="11" t="s">
        <v>26</v>
      </c>
      <c r="X3" s="11" t="s">
        <v>26</v>
      </c>
      <c r="Y3" s="13" t="s">
        <v>26</v>
      </c>
      <c r="Z3" s="12" t="s">
        <v>26</v>
      </c>
      <c r="AA3" s="11" t="s">
        <v>26</v>
      </c>
      <c r="AB3" s="14" t="s">
        <v>26</v>
      </c>
      <c r="AC3" s="13" t="s">
        <v>26</v>
      </c>
      <c r="AD3" s="13" t="s">
        <v>26</v>
      </c>
      <c r="AE3" s="13" t="s">
        <v>26</v>
      </c>
    </row>
    <row r="4" spans="1:33" s="20" customFormat="1" ht="76.5" customHeight="1" x14ac:dyDescent="0.25">
      <c r="A4" s="16" t="s">
        <v>23</v>
      </c>
      <c r="B4" s="16" t="s">
        <v>27</v>
      </c>
      <c r="C4" s="16" t="s">
        <v>21</v>
      </c>
      <c r="D4" s="16" t="s">
        <v>22</v>
      </c>
      <c r="E4" s="16" t="s">
        <v>20</v>
      </c>
      <c r="F4" s="16" t="s">
        <v>24</v>
      </c>
      <c r="G4" s="16" t="s">
        <v>53</v>
      </c>
      <c r="H4" s="16" t="s">
        <v>54</v>
      </c>
      <c r="I4" s="16" t="s">
        <v>48</v>
      </c>
      <c r="J4" s="16" t="s">
        <v>49</v>
      </c>
      <c r="K4" s="16" t="s">
        <v>50</v>
      </c>
      <c r="L4" s="17" t="s">
        <v>55</v>
      </c>
      <c r="M4" s="16" t="s">
        <v>56</v>
      </c>
      <c r="N4" s="16" t="s">
        <v>57</v>
      </c>
      <c r="O4" s="16" t="s">
        <v>58</v>
      </c>
      <c r="P4" s="16" t="s">
        <v>59</v>
      </c>
      <c r="Q4" s="16" t="s">
        <v>70</v>
      </c>
      <c r="R4" s="17" t="str">
        <f>"PV of Modelled "&amp;H4</f>
        <v>PV of Modelled Office Premium
$</v>
      </c>
      <c r="S4" s="16" t="str">
        <f t="shared" ref="S4:X4" si="0">"PV of Modelled "&amp;L4</f>
        <v>PV of Modelled Gross Claim Incurred
$</v>
      </c>
      <c r="T4" s="16" t="str">
        <f t="shared" si="0"/>
        <v>PV of Modelled Reinsurance Recovery Incurred
$</v>
      </c>
      <c r="U4" s="16" t="str">
        <f t="shared" si="0"/>
        <v>PV of Modelled Gross Reinsurance Premium
$</v>
      </c>
      <c r="V4" s="16" t="str">
        <f t="shared" si="0"/>
        <v>PV of Modelled Reinsurance Commission
$</v>
      </c>
      <c r="W4" s="16" t="str">
        <f t="shared" si="0"/>
        <v>PV of Modelled Advisor Commission
$</v>
      </c>
      <c r="X4" s="16" t="str">
        <f t="shared" si="0"/>
        <v>PV of Modelled Maintenance Expenses
$</v>
      </c>
      <c r="Y4" s="17" t="s">
        <v>71</v>
      </c>
      <c r="Z4" s="17" t="s">
        <v>60</v>
      </c>
      <c r="AA4" s="16" t="s">
        <v>61</v>
      </c>
      <c r="AB4" s="19" t="s">
        <v>62</v>
      </c>
      <c r="AC4" s="18" t="s">
        <v>72</v>
      </c>
      <c r="AD4" s="18" t="s">
        <v>74</v>
      </c>
      <c r="AE4" s="18" t="s">
        <v>73</v>
      </c>
    </row>
    <row r="5" spans="1:33" s="21" customFormat="1" x14ac:dyDescent="0.25">
      <c r="C5" s="91">
        <v>0</v>
      </c>
      <c r="D5" s="22">
        <f>C5/12</f>
        <v>0</v>
      </c>
      <c r="E5" s="23"/>
      <c r="G5" s="24"/>
      <c r="H5" s="24"/>
      <c r="I5" s="24"/>
      <c r="J5" s="24"/>
      <c r="K5" s="25">
        <v>1</v>
      </c>
      <c r="L5" s="26"/>
      <c r="M5" s="24"/>
      <c r="N5" s="24"/>
      <c r="O5" s="24"/>
      <c r="P5" s="24"/>
      <c r="Q5" s="24"/>
      <c r="R5" s="26">
        <f>(R6)/((1+Assumptions!$B$21)^$E6)+H6/IF(H$3="EOP",((1+Assumptions!$B$21)^$E6),1)</f>
        <v>8560363.517187871</v>
      </c>
      <c r="S5" s="27">
        <f>(S6)/((1+Assumptions!$B$21)^$E6)+L6/IF(L$3="EOP",((1+Assumptions!$B$21)^$E6),1)</f>
        <v>5092010.6898161871</v>
      </c>
      <c r="T5" s="27">
        <f>(T6)/((1+Assumptions!$B$21)^$E6)+M6/IF(M$3="EOP",((1+Assumptions!$B$21)^$E6),1)</f>
        <v>1018402.1379632371</v>
      </c>
      <c r="U5" s="27">
        <f>(U6)/((1+Assumptions!$B$21)^$E6)+N6/IF(N$3="EOP",((1+Assumptions!$B$21)^$E6),1)</f>
        <v>1712072.7034375742</v>
      </c>
      <c r="V5" s="27">
        <f>(V6)/((1+Assumptions!$B$21)^$E6)+O6/IF(O$3="EOP",((1+Assumptions!$B$21)^$E6),1)</f>
        <v>171207.27034375732</v>
      </c>
      <c r="W5" s="27">
        <f>(W6)/((1+Assumptions!$B$21)^$E6)+P6/IF(P$3="EOP",((1+Assumptions!$B$21)^$E6),1)</f>
        <v>684829.08137502929</v>
      </c>
      <c r="X5" s="27">
        <f>(X6)/((1+Assumptions!$B$21)^$E6)+Q6/IF(Q$3="EOP",((1+Assumptions!$B$21)^$E6),1)</f>
        <v>431177.49468743033</v>
      </c>
      <c r="Y5" s="28">
        <f>-R5+S5-T5+U5-V5+W5+X5</f>
        <v>-1829882.9561786444</v>
      </c>
      <c r="Z5" s="94">
        <f>H6*Assumptions!$B$7*Assumptions!$B$25/$E6/12*(1
+Assumptions!$K$7*'Results (i) to (iii)'!$C$16*--($D5&lt;=1)
+Assumptions!$K$8*'Results (i) to (iii)'!$C$16*--($D5&lt;=Assumptions!$K$15/12))</f>
        <v>73317.379299566353</v>
      </c>
      <c r="AA5" s="27">
        <f>Z5*Assumptions!$B$11</f>
        <v>14663.475859913271</v>
      </c>
      <c r="AB5" s="29">
        <f>Z5-AA5</f>
        <v>58653.903439653084</v>
      </c>
      <c r="AC5" s="87">
        <f>Y5+AB5</f>
        <v>-1771229.0527389913</v>
      </c>
      <c r="AD5" s="87">
        <f>Assumptions!$B$23*R5</f>
        <v>1284054.5275781807</v>
      </c>
      <c r="AE5" s="87">
        <f>AC5+AD5</f>
        <v>-487174.52516081068</v>
      </c>
      <c r="AG5" s="24"/>
    </row>
    <row r="6" spans="1:33" x14ac:dyDescent="0.25">
      <c r="A6" s="1">
        <v>1</v>
      </c>
      <c r="B6" s="30" t="s">
        <v>28</v>
      </c>
      <c r="C6" s="31">
        <f>C5+1</f>
        <v>1</v>
      </c>
      <c r="D6" s="32">
        <f t="shared" ref="D6:D69" si="1">C6/12</f>
        <v>8.3333333333333329E-2</v>
      </c>
      <c r="E6" s="32">
        <f>D6-D5</f>
        <v>8.3333333333333329E-2</v>
      </c>
      <c r="F6" s="31">
        <f>IF(E6&lt;1,IF(MOD(C6-1,12)=0,1,0),1)</f>
        <v>1</v>
      </c>
      <c r="G6" s="33">
        <f>Assumptions!$B$19</f>
        <v>1000000000</v>
      </c>
      <c r="H6" s="33">
        <f>Assumptions!$B$18*$E6</f>
        <v>83333.333333333328</v>
      </c>
      <c r="I6" s="99">
        <f>Assumptions!$B$14*(1+Assumptions!$K$10*--($D6&lt;=Assumptions!$K$15/12))</f>
        <v>0.22499999999999998</v>
      </c>
      <c r="J6" s="34">
        <f>1-(1-I6)^$E6</f>
        <v>2.1017019131472581E-2</v>
      </c>
      <c r="K6" s="35">
        <f>K5*(1-J6)</f>
        <v>0.97898298086852742</v>
      </c>
      <c r="L6" s="93">
        <f>H6*Assumptions!$B$7*(1
+Assumptions!$K$7*'Results (i) to (iii)'!$C$16*--($D6&lt;=1)
+Assumptions!$K$8*'Results (i) to (iii)'!$C$16*--($D6&lt;=Assumptions!$K$15/12))
+$G6*Assumptions!$K$9*$E6*'Results (i) to (iii)'!$C$16*--($D6&lt;=2)</f>
        <v>86965.964727963757</v>
      </c>
      <c r="M6" s="36">
        <f>L6*Assumptions!$B$11</f>
        <v>17393.192945592753</v>
      </c>
      <c r="N6" s="36">
        <f>H6*Assumptions!$B$11</f>
        <v>16666.666666666668</v>
      </c>
      <c r="O6" s="36">
        <f>N6*Assumptions!$B$12</f>
        <v>1666.666666666667</v>
      </c>
      <c r="P6" s="36">
        <f>H6*Assumptions!$B$9</f>
        <v>6666.6666666666661</v>
      </c>
      <c r="Q6" s="103">
        <f>H6*Assumptions!$B$8*(1+Assumptions!$K$11*--($D6&lt;=Assumptions!$K$15/12))</f>
        <v>4583.3333333333339</v>
      </c>
      <c r="R6" s="37">
        <f>(R7)/((1+Assumptions!$B$21)^$E7)+H7/IF(H$3="EOP",((1+Assumptions!$B$21)^$E7),1)</f>
        <v>8494491.4780877922</v>
      </c>
      <c r="S6" s="36">
        <f>(S7)/((1+Assumptions!$B$21)^$E7)+L7/IF(L$3="EOP",((1+Assumptions!$B$21)^$E7),1)</f>
        <v>5015533.4333935333</v>
      </c>
      <c r="T6" s="36">
        <f>(T7)/((1+Assumptions!$B$21)^$E7)+M7/IF(M$3="EOP",((1+Assumptions!$B$21)^$E7),1)</f>
        <v>1003106.6866787064</v>
      </c>
      <c r="U6" s="36">
        <f>(U7)/((1+Assumptions!$B$21)^$E7)+N7/IF(N$3="EOP",((1+Assumptions!$B$21)^$E7),1)</f>
        <v>1698898.2956175585</v>
      </c>
      <c r="V6" s="36">
        <f>(V7)/((1+Assumptions!$B$21)^$E7)+O7/IF(O$3="EOP",((1+Assumptions!$B$21)^$E7),1)</f>
        <v>169889.82956175576</v>
      </c>
      <c r="W6" s="36">
        <f>(W7)/((1+Assumptions!$B$21)^$E7)+P7/IF(P$3="EOP",((1+Assumptions!$B$21)^$E7),1)</f>
        <v>679559.31824702304</v>
      </c>
      <c r="X6" s="36">
        <f>(X7)/((1+Assumptions!$B$21)^$E7)+Q7/IF(Q$3="EOP",((1+Assumptions!$B$21)^$E7),1)</f>
        <v>427482.3163963941</v>
      </c>
      <c r="Y6" s="38">
        <f t="shared" ref="Y6:Y69" si="2">-R6+S6-T6+U6-V6+W6+X6</f>
        <v>-1846014.6306737454</v>
      </c>
      <c r="Z6" s="93">
        <f>H7*Assumptions!$B$7*Assumptions!$B$25/$E7/12*(1
+Assumptions!$K$7*'Results (i) to (iii)'!$C$16*--($D6&lt;=1)
+Assumptions!$K$8*'Results (i) to (iii)'!$C$16*--($D6&lt;=Assumptions!$K$15/12))</f>
        <v>71770.090419535816</v>
      </c>
      <c r="AA6" s="36">
        <f>Z6*Assumptions!$B$11</f>
        <v>14354.018083907164</v>
      </c>
      <c r="AB6" s="39">
        <f>Z6-AA6</f>
        <v>57416.072335628654</v>
      </c>
      <c r="AC6" s="88">
        <f>Y6+AB6</f>
        <v>-1788598.5583381169</v>
      </c>
      <c r="AD6" s="88">
        <f>Assumptions!$B$23*R6</f>
        <v>1274173.7217131688</v>
      </c>
      <c r="AE6" s="88">
        <f>AC6+AD6</f>
        <v>-514424.83662494808</v>
      </c>
    </row>
    <row r="7" spans="1:33" x14ac:dyDescent="0.25">
      <c r="A7" s="1">
        <f>A6+1</f>
        <v>2</v>
      </c>
      <c r="B7" s="30" t="s">
        <v>28</v>
      </c>
      <c r="C7" s="31">
        <f t="shared" ref="C7:C41" si="3">C6+1</f>
        <v>2</v>
      </c>
      <c r="D7" s="32">
        <f t="shared" si="1"/>
        <v>0.16666666666666666</v>
      </c>
      <c r="E7" s="32">
        <f t="shared" ref="E7:E70" si="4">D7-D6</f>
        <v>8.3333333333333329E-2</v>
      </c>
      <c r="F7" s="31">
        <f t="shared" ref="F7:F70" si="5">IF(E7&lt;1,IF(MOD(C7-1,12)=0,1,0),1)</f>
        <v>0</v>
      </c>
      <c r="G7" s="36">
        <f>(G6*($K6/$K5)-L6)*(1+Assumptions!$B$15)^$F7</f>
        <v>978896014.90379941</v>
      </c>
      <c r="H7" s="36">
        <f>$H$6/$G$6*G7*(1+Assumptions!$B$16)^INT((C7-1)/12)*IF(B7="Monthly",1,12)</f>
        <v>81574.66790864995</v>
      </c>
      <c r="I7" s="100">
        <f>Assumptions!$B$14*(1+Assumptions!$K$10*--($D7&lt;=Assumptions!$K$15/12))</f>
        <v>0.22499999999999998</v>
      </c>
      <c r="J7" s="40">
        <f t="shared" ref="J7:J70" si="6">1-(1-I7)^$E7</f>
        <v>2.1017019131472581E-2</v>
      </c>
      <c r="K7" s="35">
        <f t="shared" ref="K7:K70" si="7">K6*(1-J7)</f>
        <v>0.95840767683022754</v>
      </c>
      <c r="L7" s="93">
        <f>H7*Assumptions!$B$7*(1
+Assumptions!$K$7*'Results (i) to (iii)'!$C$16*--($D7&lt;=1)
+Assumptions!$K$8*'Results (i) to (iii)'!$C$16*--($D7&lt;=Assumptions!$K$15/12))
+$G7*Assumptions!$K$9*$E7*'Results (i) to (iii)'!$C$16*--($D7&lt;=2)</f>
        <v>85130.63630446812</v>
      </c>
      <c r="M7" s="36">
        <f>L7*Assumptions!$B$11</f>
        <v>17026.127260893623</v>
      </c>
      <c r="N7" s="36">
        <f>H7*Assumptions!$B$11</f>
        <v>16314.933581729991</v>
      </c>
      <c r="O7" s="36">
        <f>N7*Assumptions!$B$12</f>
        <v>1631.4933581729993</v>
      </c>
      <c r="P7" s="36">
        <f>H7*Assumptions!$B$9</f>
        <v>6525.9734326919961</v>
      </c>
      <c r="Q7" s="103">
        <f>H7*Assumptions!$B$8*(1+Assumptions!$K$11*--($D7&lt;=Assumptions!$K$15/12))</f>
        <v>4486.6067349757477</v>
      </c>
      <c r="R7" s="37">
        <f>(R8)/((1+Assumptions!$B$21)^$E8)+H8/IF(H$3="EOP",((1+Assumptions!$B$21)^$E8),1)</f>
        <v>8430246.0413599182</v>
      </c>
      <c r="S7" s="36">
        <f>(S8)/((1+Assumptions!$B$21)^$E8)+L8/IF(L$3="EOP",((1+Assumptions!$B$21)^$E8),1)</f>
        <v>4940733.9747677781</v>
      </c>
      <c r="T7" s="36">
        <f>(T8)/((1+Assumptions!$B$21)^$E8)+M8/IF(M$3="EOP",((1+Assumptions!$B$21)^$E8),1)</f>
        <v>988146.79495355545</v>
      </c>
      <c r="U7" s="36">
        <f>(U8)/((1+Assumptions!$B$21)^$E8)+N8/IF(N$3="EOP",((1+Assumptions!$B$21)^$E8),1)</f>
        <v>1686049.208271984</v>
      </c>
      <c r="V7" s="36">
        <f>(V8)/((1+Assumptions!$B$21)^$E8)+O8/IF(O$3="EOP",((1+Assumptions!$B$21)^$E8),1)</f>
        <v>168604.92082719828</v>
      </c>
      <c r="W7" s="36">
        <f>(W8)/((1+Assumptions!$B$21)^$E8)+P8/IF(P$3="EOP",((1+Assumptions!$B$21)^$E8),1)</f>
        <v>674419.68330879312</v>
      </c>
      <c r="X7" s="36">
        <f>(X8)/((1+Assumptions!$B$21)^$E8)+Q8/IF(Q$3="EOP",((1+Assumptions!$B$21)^$E8),1)</f>
        <v>423876.25324144802</v>
      </c>
      <c r="Y7" s="38">
        <f t="shared" si="2"/>
        <v>-1861918.637550669</v>
      </c>
      <c r="Z7" s="93">
        <f>H8*Assumptions!$B$7*Assumptions!$B$25/$E8/12*(1
+Assumptions!$K$7*'Results (i) to (iii)'!$C$16*--($D7&lt;=1)
+Assumptions!$K$8*'Results (i) to (iii)'!$C$16*--($D7&lt;=Assumptions!$K$15/12))</f>
        <v>70255.45550096895</v>
      </c>
      <c r="AA7" s="36">
        <f>Z7*Assumptions!$B$11</f>
        <v>14051.091100193791</v>
      </c>
      <c r="AB7" s="39">
        <f t="shared" ref="AB7:AB70" si="8">Z7-AA7</f>
        <v>56204.364400775157</v>
      </c>
      <c r="AC7" s="88">
        <f t="shared" ref="AC7:AC70" si="9">Y7+AB7</f>
        <v>-1805714.2731498939</v>
      </c>
      <c r="AD7" s="88">
        <f>Assumptions!$B$23*R7</f>
        <v>1264536.9062039878</v>
      </c>
      <c r="AE7" s="88">
        <f>AC7+AD7</f>
        <v>-541177.36694590608</v>
      </c>
      <c r="AG7" s="92"/>
    </row>
    <row r="8" spans="1:33" x14ac:dyDescent="0.25">
      <c r="A8" s="1">
        <f t="shared" ref="A8:A71" si="10">A7+1</f>
        <v>3</v>
      </c>
      <c r="B8" s="30" t="s">
        <v>28</v>
      </c>
      <c r="C8" s="31">
        <f t="shared" si="3"/>
        <v>3</v>
      </c>
      <c r="D8" s="32">
        <f t="shared" si="1"/>
        <v>0.25</v>
      </c>
      <c r="E8" s="32">
        <f t="shared" si="4"/>
        <v>8.3333333333333343E-2</v>
      </c>
      <c r="F8" s="31">
        <f t="shared" si="5"/>
        <v>0</v>
      </c>
      <c r="G8" s="36">
        <f>(G7*($K7/$K6)-L7)*(1+Assumptions!$B$15)^$F8</f>
        <v>958237407.9945395</v>
      </c>
      <c r="H8" s="36">
        <f>$H$6/$G$6*G8*(1+Assumptions!$B$16)^INT((C8-1)/12)*IF(B8="Monthly",1,12)</f>
        <v>79853.11733287829</v>
      </c>
      <c r="I8" s="100">
        <f>Assumptions!$B$14*(1+Assumptions!$K$10*--($D8&lt;=Assumptions!$K$15/12))</f>
        <v>0.22499999999999998</v>
      </c>
      <c r="J8" s="40">
        <f t="shared" si="6"/>
        <v>2.1017019131472581E-2</v>
      </c>
      <c r="K8" s="35">
        <f t="shared" si="7"/>
        <v>0.9382648043505365</v>
      </c>
      <c r="L8" s="93">
        <f>H8*Assumptions!$B$7*(1
+Assumptions!$K$7*'Results (i) to (iii)'!$C$16*--($D8&lt;=1)
+Assumptions!$K$8*'Results (i) to (iii)'!$C$16*--($D8&lt;=Assumptions!$K$15/12))
+$G8*Assumptions!$K$9*$E8*'Results (i) to (iii)'!$C$16*--($D8&lt;=2)</f>
        <v>83334.040624668545</v>
      </c>
      <c r="M8" s="36">
        <f>L8*Assumptions!$B$11</f>
        <v>16666.808124933708</v>
      </c>
      <c r="N8" s="36">
        <f>H8*Assumptions!$B$11</f>
        <v>15970.623466575658</v>
      </c>
      <c r="O8" s="36">
        <f>N8*Assumptions!$B$12</f>
        <v>1597.062346657566</v>
      </c>
      <c r="P8" s="36">
        <f>H8*Assumptions!$B$9</f>
        <v>6388.249386630263</v>
      </c>
      <c r="Q8" s="103">
        <f>H8*Assumptions!$B$8*(1+Assumptions!$K$11*--($D8&lt;=Assumptions!$K$15/12))</f>
        <v>4391.9214533083068</v>
      </c>
      <c r="R8" s="37">
        <f>(R9)/((1+Assumptions!$B$21)^$E9)+H9/IF(H$3="EOP",((1+Assumptions!$B$21)^$E9),1)</f>
        <v>8367593.3662393894</v>
      </c>
      <c r="S8" s="36">
        <f>(S9)/((1+Assumptions!$B$21)^$E9)+L9/IF(L$3="EOP",((1+Assumptions!$B$21)^$E9),1)</f>
        <v>4867577.0371839805</v>
      </c>
      <c r="T8" s="36">
        <f>(T9)/((1+Assumptions!$B$21)^$E9)+M9/IF(M$3="EOP",((1+Assumptions!$B$21)^$E9),1)</f>
        <v>973515.40743679588</v>
      </c>
      <c r="U8" s="36">
        <f>(U9)/((1+Assumptions!$B$21)^$E9)+N9/IF(N$3="EOP",((1+Assumptions!$B$21)^$E9),1)</f>
        <v>1673518.673247878</v>
      </c>
      <c r="V8" s="36">
        <f>(V9)/((1+Assumptions!$B$21)^$E9)+O9/IF(O$3="EOP",((1+Assumptions!$B$21)^$E9),1)</f>
        <v>167351.86732478769</v>
      </c>
      <c r="W8" s="36">
        <f>(W9)/((1+Assumptions!$B$21)^$E9)+P9/IF(P$3="EOP",((1+Assumptions!$B$21)^$E9),1)</f>
        <v>669407.46929915075</v>
      </c>
      <c r="X8" s="36">
        <f>(X9)/((1+Assumptions!$B$21)^$E9)+Q9/IF(Q$3="EOP",((1+Assumptions!$B$21)^$E9),1)</f>
        <v>420357.4474684915</v>
      </c>
      <c r="Y8" s="38">
        <f t="shared" si="2"/>
        <v>-1877600.013801472</v>
      </c>
      <c r="Z8" s="93">
        <f>H9*Assumptions!$B$7*Assumptions!$B$25/$E9/12*(1
+Assumptions!$K$7*'Results (i) to (iii)'!$C$16*--($D8&lt;=1)
+Assumptions!$K$8*'Results (i) to (iii)'!$C$16*--($D8&lt;=Assumptions!$K$15/12))</f>
        <v>68772.785415149745</v>
      </c>
      <c r="AA8" s="36">
        <f>Z8*Assumptions!$B$11</f>
        <v>13754.557083029949</v>
      </c>
      <c r="AB8" s="39">
        <f t="shared" si="8"/>
        <v>55018.228332119797</v>
      </c>
      <c r="AC8" s="88">
        <f t="shared" si="9"/>
        <v>-1822581.7854693523</v>
      </c>
      <c r="AD8" s="88">
        <f>Assumptions!$B$23*R8</f>
        <v>1255139.0049359084</v>
      </c>
      <c r="AE8" s="88">
        <f t="shared" ref="AE8:AE71" si="11">AC8+AD8</f>
        <v>-567442.7805334439</v>
      </c>
    </row>
    <row r="9" spans="1:33" x14ac:dyDescent="0.25">
      <c r="A9" s="1">
        <f t="shared" si="10"/>
        <v>4</v>
      </c>
      <c r="B9" s="30" t="s">
        <v>28</v>
      </c>
      <c r="C9" s="31">
        <f t="shared" si="3"/>
        <v>4</v>
      </c>
      <c r="D9" s="32">
        <f t="shared" si="1"/>
        <v>0.33333333333333331</v>
      </c>
      <c r="E9" s="32">
        <f t="shared" si="4"/>
        <v>8.3333333333333315E-2</v>
      </c>
      <c r="F9" s="31">
        <f t="shared" si="5"/>
        <v>0</v>
      </c>
      <c r="G9" s="36">
        <f>(G8*($K8/$K7)-L8)*(1+Assumptions!$B$15)^$F9</f>
        <v>938014780.01760089</v>
      </c>
      <c r="H9" s="36">
        <f>$H$6/$G$6*G9*(1+Assumptions!$B$16)^INT((C9-1)/12)*IF(B9="Monthly",1,12)</f>
        <v>78167.898334800077</v>
      </c>
      <c r="I9" s="100">
        <f>Assumptions!$B$14*(1+Assumptions!$K$10*--($D9&lt;=Assumptions!$K$15/12))</f>
        <v>0.22499999999999998</v>
      </c>
      <c r="J9" s="40">
        <f t="shared" si="6"/>
        <v>2.1017019131472581E-2</v>
      </c>
      <c r="K9" s="35">
        <f t="shared" si="7"/>
        <v>0.91854527500711391</v>
      </c>
      <c r="L9" s="93">
        <f>H9*Assumptions!$B$7*(1
+Assumptions!$K$7*'Results (i) to (iii)'!$C$16*--($D9&lt;=1)
+Assumptions!$K$8*'Results (i) to (iii)'!$C$16*--($D9&lt;=Assumptions!$K$15/12))
+$G9*Assumptions!$K$9*$E9*'Results (i) to (iii)'!$C$16*--($D9&lt;=2)</f>
        <v>81575.360273319355</v>
      </c>
      <c r="M9" s="36">
        <f>L9*Assumptions!$B$11</f>
        <v>16315.072054663871</v>
      </c>
      <c r="N9" s="36">
        <f>H9*Assumptions!$B$11</f>
        <v>15633.579666960017</v>
      </c>
      <c r="O9" s="36">
        <f>N9*Assumptions!$B$12</f>
        <v>1563.3579666960018</v>
      </c>
      <c r="P9" s="36">
        <f>H9*Assumptions!$B$9</f>
        <v>6253.4318667840062</v>
      </c>
      <c r="Q9" s="103">
        <f>H9*Assumptions!$B$8*(1+Assumptions!$K$11*--($D9&lt;=Assumptions!$K$15/12))</f>
        <v>4299.234408414005</v>
      </c>
      <c r="R9" s="37">
        <f>(R10)/((1+Assumptions!$B$21)^$E10)+H10/IF(H$3="EOP",((1+Assumptions!$B$21)^$E10),1)</f>
        <v>8306500.3271395369</v>
      </c>
      <c r="S9" s="36">
        <f>(S10)/((1+Assumptions!$B$21)^$E10)+L10/IF(L$3="EOP",((1+Assumptions!$B$21)^$E10),1)</f>
        <v>4796028.0886381064</v>
      </c>
      <c r="T9" s="36">
        <f>(T10)/((1+Assumptions!$B$21)^$E10)+M10/IF(M$3="EOP",((1+Assumptions!$B$21)^$E10),1)</f>
        <v>959205.61772762099</v>
      </c>
      <c r="U9" s="36">
        <f>(U10)/((1+Assumptions!$B$21)^$E10)+N10/IF(N$3="EOP",((1+Assumptions!$B$21)^$E10),1)</f>
        <v>1661300.0654279075</v>
      </c>
      <c r="V9" s="36">
        <f>(V10)/((1+Assumptions!$B$21)^$E10)+O10/IF(O$3="EOP",((1+Assumptions!$B$21)^$E10),1)</f>
        <v>166130.00654279065</v>
      </c>
      <c r="W9" s="36">
        <f>(W10)/((1+Assumptions!$B$21)^$E10)+P10/IF(P$3="EOP",((1+Assumptions!$B$21)^$E10),1)</f>
        <v>664520.02617116261</v>
      </c>
      <c r="X9" s="36">
        <f>(X10)/((1+Assumptions!$B$21)^$E10)+Q10/IF(Q$3="EOP",((1+Assumptions!$B$21)^$E10),1)</f>
        <v>416924.08057667164</v>
      </c>
      <c r="Y9" s="38">
        <f t="shared" si="2"/>
        <v>-1893063.6905961004</v>
      </c>
      <c r="Z9" s="93">
        <f>H10*Assumptions!$B$7*Assumptions!$B$25/$E10/12*(1
+Assumptions!$K$7*'Results (i) to (iii)'!$C$16*--($D9&lt;=1)
+Assumptions!$K$8*'Results (i) to (iii)'!$C$16*--($D9&lt;=Assumptions!$K$15/12))</f>
        <v>67321.405576724195</v>
      </c>
      <c r="AA9" s="36">
        <f>Z9*Assumptions!$B$11</f>
        <v>13464.28111534484</v>
      </c>
      <c r="AB9" s="39">
        <f t="shared" si="8"/>
        <v>53857.124461379353</v>
      </c>
      <c r="AC9" s="88">
        <f t="shared" si="9"/>
        <v>-1839206.566134721</v>
      </c>
      <c r="AD9" s="88">
        <f>Assumptions!$B$23*R9</f>
        <v>1245975.0490709306</v>
      </c>
      <c r="AE9" s="88">
        <f t="shared" si="11"/>
        <v>-593231.51706379047</v>
      </c>
    </row>
    <row r="10" spans="1:33" x14ac:dyDescent="0.25">
      <c r="A10" s="1">
        <f t="shared" si="10"/>
        <v>5</v>
      </c>
      <c r="B10" s="30" t="s">
        <v>28</v>
      </c>
      <c r="C10" s="31">
        <f t="shared" si="3"/>
        <v>5</v>
      </c>
      <c r="D10" s="32">
        <f t="shared" si="1"/>
        <v>0.41666666666666669</v>
      </c>
      <c r="E10" s="32">
        <f t="shared" si="4"/>
        <v>8.333333333333337E-2</v>
      </c>
      <c r="F10" s="31">
        <f t="shared" si="5"/>
        <v>0</v>
      </c>
      <c r="G10" s="36">
        <f>(G9*($K9/$K8)-L9)*(1+Assumptions!$B$15)^$F10</f>
        <v>918218930.08009362</v>
      </c>
      <c r="H10" s="36">
        <f>$H$6/$G$6*G10*(1+Assumptions!$B$16)^INT((C10-1)/12)*IF(B10="Monthly",1,12)</f>
        <v>76518.24417334114</v>
      </c>
      <c r="I10" s="100">
        <f>Assumptions!$B$14*(1+Assumptions!$K$10*--($D10&lt;=Assumptions!$K$15/12))</f>
        <v>0.22499999999999998</v>
      </c>
      <c r="J10" s="40">
        <f t="shared" si="6"/>
        <v>2.1017019131472581E-2</v>
      </c>
      <c r="K10" s="35">
        <f t="shared" si="7"/>
        <v>0.89924019138916567</v>
      </c>
      <c r="L10" s="93">
        <f>H10*Assumptions!$B$7*(1
+Assumptions!$K$7*'Results (i) to (iii)'!$C$16*--($D10&lt;=1)
+Assumptions!$K$8*'Results (i) to (iii)'!$C$16*--($D10&lt;=Assumptions!$K$15/12))
+$G10*Assumptions!$K$9*$E10*'Results (i) to (iii)'!$C$16*--($D10&lt;=2)</f>
        <v>79853.79508589406</v>
      </c>
      <c r="M10" s="36">
        <f>L10*Assumptions!$B$11</f>
        <v>15970.759017178812</v>
      </c>
      <c r="N10" s="36">
        <f>H10*Assumptions!$B$11</f>
        <v>15303.648834668229</v>
      </c>
      <c r="O10" s="36">
        <f>N10*Assumptions!$B$12</f>
        <v>1530.3648834668229</v>
      </c>
      <c r="P10" s="36">
        <f>H10*Assumptions!$B$9</f>
        <v>6121.4595338672916</v>
      </c>
      <c r="Q10" s="103">
        <f>H10*Assumptions!$B$8*(1+Assumptions!$K$11*--($D10&lt;=Assumptions!$K$15/12))</f>
        <v>4208.5034295337637</v>
      </c>
      <c r="R10" s="37">
        <f>(R11)/((1+Assumptions!$B$21)^$E11)+H11/IF(H$3="EOP",((1+Assumptions!$B$21)^$E11),1)</f>
        <v>8246934.4985608449</v>
      </c>
      <c r="S10" s="36">
        <f>(S11)/((1+Assumptions!$B$21)^$E11)+L11/IF(L$3="EOP",((1+Assumptions!$B$21)^$E11),1)</f>
        <v>4726053.3261603732</v>
      </c>
      <c r="T10" s="36">
        <f>(T11)/((1+Assumptions!$B$21)^$E11)+M11/IF(M$3="EOP",((1+Assumptions!$B$21)^$E11),1)</f>
        <v>945210.66523207445</v>
      </c>
      <c r="U10" s="36">
        <f>(U11)/((1+Assumptions!$B$21)^$E11)+N11/IF(N$3="EOP",((1+Assumptions!$B$21)^$E11),1)</f>
        <v>1649386.8997121691</v>
      </c>
      <c r="V10" s="36">
        <f>(V11)/((1+Assumptions!$B$21)^$E11)+O11/IF(O$3="EOP",((1+Assumptions!$B$21)^$E11),1)</f>
        <v>164938.68997121681</v>
      </c>
      <c r="W10" s="36">
        <f>(W11)/((1+Assumptions!$B$21)^$E11)+P11/IF(P$3="EOP",((1+Assumptions!$B$21)^$E11),1)</f>
        <v>659754.75988486724</v>
      </c>
      <c r="X10" s="36">
        <f>(X11)/((1+Assumptions!$B$21)^$E11)+Q11/IF(Q$3="EOP",((1+Assumptions!$B$21)^$E11),1)</f>
        <v>413574.37249008054</v>
      </c>
      <c r="Y10" s="38">
        <f t="shared" si="2"/>
        <v>-1908314.4955166462</v>
      </c>
      <c r="Z10" s="93">
        <f>H11*Assumptions!$B$7*Assumptions!$B$25/$E11/12*(1
+Assumptions!$K$7*'Results (i) to (iii)'!$C$16*--($D10&lt;=1)
+Assumptions!$K$8*'Results (i) to (iii)'!$C$16*--($D10&lt;=Assumptions!$K$15/12))</f>
        <v>65900.655636777767</v>
      </c>
      <c r="AA10" s="36">
        <f>Z10*Assumptions!$B$11</f>
        <v>13180.131127355555</v>
      </c>
      <c r="AB10" s="39">
        <f t="shared" si="8"/>
        <v>52720.524509422212</v>
      </c>
      <c r="AC10" s="88">
        <f t="shared" si="9"/>
        <v>-1855593.9710072239</v>
      </c>
      <c r="AD10" s="88">
        <f>Assumptions!$B$23*R10</f>
        <v>1237040.1747841267</v>
      </c>
      <c r="AE10" s="88">
        <f t="shared" si="11"/>
        <v>-618553.79622309725</v>
      </c>
    </row>
    <row r="11" spans="1:33" x14ac:dyDescent="0.25">
      <c r="A11" s="1">
        <f t="shared" si="10"/>
        <v>6</v>
      </c>
      <c r="B11" s="30" t="s">
        <v>28</v>
      </c>
      <c r="C11" s="31">
        <f t="shared" si="3"/>
        <v>6</v>
      </c>
      <c r="D11" s="32">
        <f t="shared" si="1"/>
        <v>0.5</v>
      </c>
      <c r="E11" s="32">
        <f t="shared" si="4"/>
        <v>8.3333333333333315E-2</v>
      </c>
      <c r="F11" s="31">
        <f t="shared" si="5"/>
        <v>0</v>
      </c>
      <c r="G11" s="36">
        <f>(G10*($K10/$K9)-L10)*(1+Assumptions!$B$15)^$F11</f>
        <v>898840851.46463406</v>
      </c>
      <c r="H11" s="36">
        <f>$H$6/$G$6*G11*(1+Assumptions!$B$16)^INT((C11-1)/12)*IF(B11="Monthly",1,12)</f>
        <v>74903.404288719496</v>
      </c>
      <c r="I11" s="100">
        <f>Assumptions!$B$14*(1+Assumptions!$K$10*--($D11&lt;=Assumptions!$K$15/12))</f>
        <v>0.22499999999999998</v>
      </c>
      <c r="J11" s="40">
        <f t="shared" si="6"/>
        <v>2.1017019131472581E-2</v>
      </c>
      <c r="K11" s="35">
        <f t="shared" si="7"/>
        <v>0.88034084308295046</v>
      </c>
      <c r="L11" s="93">
        <f>H11*Assumptions!$B$7*(1
+Assumptions!$K$7*'Results (i) to (iii)'!$C$16*--($D11&lt;=1)
+Assumptions!$K$8*'Results (i) to (iii)'!$C$16*--($D11&lt;=Assumptions!$K$15/12))
+$G11*Assumptions!$K$9*$E11*'Results (i) to (iii)'!$C$16*--($D11&lt;=2)</f>
        <v>78168.561784526275</v>
      </c>
      <c r="M11" s="36">
        <f>L11*Assumptions!$B$11</f>
        <v>15633.712356905256</v>
      </c>
      <c r="N11" s="36">
        <f>H11*Assumptions!$B$11</f>
        <v>14980.680857743901</v>
      </c>
      <c r="O11" s="36">
        <f>N11*Assumptions!$B$12</f>
        <v>1498.0680857743901</v>
      </c>
      <c r="P11" s="36">
        <f>H11*Assumptions!$B$9</f>
        <v>5992.2723430975593</v>
      </c>
      <c r="Q11" s="103">
        <f>H11*Assumptions!$B$8*(1+Assumptions!$K$11*--($D11&lt;=Assumptions!$K$15/12))</f>
        <v>4119.6872358795727</v>
      </c>
      <c r="R11" s="37">
        <f>(R12)/((1+Assumptions!$B$21)^$E12)+H12/IF(H$3="EOP",((1+Assumptions!$B$21)^$E12),1)</f>
        <v>8188864.14031839</v>
      </c>
      <c r="S11" s="36">
        <f>(S12)/((1+Assumptions!$B$21)^$E12)+L12/IF(L$3="EOP",((1+Assumptions!$B$21)^$E12),1)</f>
        <v>4657619.6604302824</v>
      </c>
      <c r="T11" s="36">
        <f>(T12)/((1+Assumptions!$B$21)^$E12)+M12/IF(M$3="EOP",((1+Assumptions!$B$21)^$E12),1)</f>
        <v>931523.93208605645</v>
      </c>
      <c r="U11" s="36">
        <f>(U12)/((1+Assumptions!$B$21)^$E12)+N12/IF(N$3="EOP",((1+Assumptions!$B$21)^$E12),1)</f>
        <v>1637772.8280636782</v>
      </c>
      <c r="V11" s="36">
        <f>(V12)/((1+Assumptions!$B$21)^$E12)+O12/IF(O$3="EOP",((1+Assumptions!$B$21)^$E12),1)</f>
        <v>163777.2828063677</v>
      </c>
      <c r="W11" s="36">
        <f>(W12)/((1+Assumptions!$B$21)^$E12)+P12/IF(P$3="EOP",((1+Assumptions!$B$21)^$E12),1)</f>
        <v>655109.1312254708</v>
      </c>
      <c r="X11" s="36">
        <f>(X12)/((1+Assumptions!$B$21)^$E12)+Q12/IF(Q$3="EOP",((1+Assumptions!$B$21)^$E12),1)</f>
        <v>410306.58074693353</v>
      </c>
      <c r="Y11" s="38">
        <f t="shared" si="2"/>
        <v>-1923357.1547444488</v>
      </c>
      <c r="Z11" s="93">
        <f>H12*Assumptions!$B$7*Assumptions!$B$25/$E12/12*(1
+Assumptions!$K$7*'Results (i) to (iii)'!$C$16*--($D11&lt;=1)
+Assumptions!$K$8*'Results (i) to (iii)'!$C$16*--($D11&lt;=Assumptions!$K$15/12))</f>
        <v>64509.889182389321</v>
      </c>
      <c r="AA11" s="36">
        <f>Z11*Assumptions!$B$11</f>
        <v>12901.977836477865</v>
      </c>
      <c r="AB11" s="39">
        <f t="shared" si="8"/>
        <v>51607.91134591146</v>
      </c>
      <c r="AC11" s="88">
        <f t="shared" si="9"/>
        <v>-1871749.2433985374</v>
      </c>
      <c r="AD11" s="88">
        <f>Assumptions!$B$23*R11</f>
        <v>1228329.6210477585</v>
      </c>
      <c r="AE11" s="88">
        <f t="shared" si="11"/>
        <v>-643419.6223507789</v>
      </c>
    </row>
    <row r="12" spans="1:33" x14ac:dyDescent="0.25">
      <c r="A12" s="1">
        <f t="shared" si="10"/>
        <v>7</v>
      </c>
      <c r="B12" s="30" t="s">
        <v>28</v>
      </c>
      <c r="C12" s="31">
        <f t="shared" si="3"/>
        <v>7</v>
      </c>
      <c r="D12" s="32">
        <f t="shared" si="1"/>
        <v>0.58333333333333337</v>
      </c>
      <c r="E12" s="32">
        <f t="shared" si="4"/>
        <v>8.333333333333337E-2</v>
      </c>
      <c r="F12" s="31">
        <f t="shared" si="5"/>
        <v>0</v>
      </c>
      <c r="G12" s="36">
        <f>(G11*($K11/$K10)-L11)*(1+Assumptions!$B$15)^$F12</f>
        <v>879871727.53146827</v>
      </c>
      <c r="H12" s="36">
        <f>$H$6/$G$6*G12*(1+Assumptions!$B$16)^INT((C12-1)/12)*IF(B12="Monthly",1,12)</f>
        <v>73322.643960955684</v>
      </c>
      <c r="I12" s="100">
        <f>Assumptions!$B$14*(1+Assumptions!$K$10*--($D12&lt;=Assumptions!$K$15/12))</f>
        <v>0.22499999999999998</v>
      </c>
      <c r="J12" s="40">
        <f t="shared" si="6"/>
        <v>2.1017019131472581E-2</v>
      </c>
      <c r="K12" s="35">
        <f t="shared" si="7"/>
        <v>0.86183870274165941</v>
      </c>
      <c r="L12" s="93">
        <f>H12*Assumptions!$B$7*(1
+Assumptions!$K$7*'Results (i) to (iii)'!$C$16*--($D12&lt;=1)
+Assumptions!$K$8*'Results (i) to (iii)'!$C$16*--($D12&lt;=Assumptions!$K$15/12))
+$G12*Assumptions!$K$9*$E12*'Results (i) to (iii)'!$C$16*--($D12&lt;=2)</f>
        <v>76518.893621634226</v>
      </c>
      <c r="M12" s="36">
        <f>L12*Assumptions!$B$11</f>
        <v>15303.778724326847</v>
      </c>
      <c r="N12" s="36">
        <f>H12*Assumptions!$B$11</f>
        <v>14664.528792191137</v>
      </c>
      <c r="O12" s="36">
        <f>N12*Assumptions!$B$12</f>
        <v>1466.4528792191138</v>
      </c>
      <c r="P12" s="36">
        <f>H12*Assumptions!$B$9</f>
        <v>5865.8115168764552</v>
      </c>
      <c r="Q12" s="103">
        <f>H12*Assumptions!$B$8*(1+Assumptions!$K$11*--($D12&lt;=Assumptions!$K$15/12))</f>
        <v>4032.7454178525632</v>
      </c>
      <c r="R12" s="37">
        <f>(R13)/((1+Assumptions!$B$21)^$E13)+H13/IF(H$3="EOP",((1+Assumptions!$B$21)^$E13),1)</f>
        <v>8132258.1830810457</v>
      </c>
      <c r="S12" s="36">
        <f>(S13)/((1+Assumptions!$B$21)^$E13)+L13/IF(L$3="EOP",((1+Assumptions!$B$21)^$E13),1)</f>
        <v>4590694.7007163344</v>
      </c>
      <c r="T12" s="36">
        <f>(T13)/((1+Assumptions!$B$21)^$E13)+M13/IF(M$3="EOP",((1+Assumptions!$B$21)^$E13),1)</f>
        <v>918138.94014326704</v>
      </c>
      <c r="U12" s="36">
        <f>(U13)/((1+Assumptions!$B$21)^$E13)+N13/IF(N$3="EOP",((1+Assumptions!$B$21)^$E13),1)</f>
        <v>1626451.6366162093</v>
      </c>
      <c r="V12" s="36">
        <f>(V13)/((1+Assumptions!$B$21)^$E13)+O13/IF(O$3="EOP",((1+Assumptions!$B$21)^$E13),1)</f>
        <v>162645.16366162081</v>
      </c>
      <c r="W12" s="36">
        <f>(W13)/((1+Assumptions!$B$21)^$E13)+P13/IF(P$3="EOP",((1+Assumptions!$B$21)^$E13),1)</f>
        <v>650580.65464648325</v>
      </c>
      <c r="X12" s="36">
        <f>(X13)/((1+Assumptions!$B$21)^$E13)+Q13/IF(Q$3="EOP",((1+Assumptions!$B$21)^$E13),1)</f>
        <v>407118.99970585865</v>
      </c>
      <c r="Y12" s="38">
        <f t="shared" si="2"/>
        <v>-1938196.2952010473</v>
      </c>
      <c r="Z12" s="93">
        <f>H13*Assumptions!$B$7*Assumptions!$B$25/$E13/12*(1
+Assumptions!$K$7*'Results (i) to (iii)'!$C$16*--($D12&lt;=1)
+Assumptions!$K$8*'Results (i) to (iii)'!$C$16*--($D12&lt;=Assumptions!$K$15/12))</f>
        <v>63148.473442526702</v>
      </c>
      <c r="AA12" s="36">
        <f>Z12*Assumptions!$B$11</f>
        <v>12629.69468850534</v>
      </c>
      <c r="AB12" s="39">
        <f t="shared" si="8"/>
        <v>50518.778754021361</v>
      </c>
      <c r="AC12" s="88">
        <f t="shared" si="9"/>
        <v>-1887677.516447026</v>
      </c>
      <c r="AD12" s="88">
        <f>Assumptions!$B$23*R12</f>
        <v>1219838.7274621569</v>
      </c>
      <c r="AE12" s="88">
        <f t="shared" si="11"/>
        <v>-667838.78898486914</v>
      </c>
    </row>
    <row r="13" spans="1:33" x14ac:dyDescent="0.25">
      <c r="A13" s="1">
        <f t="shared" si="10"/>
        <v>8</v>
      </c>
      <c r="B13" s="30" t="s">
        <v>28</v>
      </c>
      <c r="C13" s="31">
        <f t="shared" si="3"/>
        <v>8</v>
      </c>
      <c r="D13" s="32">
        <f t="shared" si="1"/>
        <v>0.66666666666666663</v>
      </c>
      <c r="E13" s="32">
        <f t="shared" si="4"/>
        <v>8.3333333333333259E-2</v>
      </c>
      <c r="F13" s="31">
        <f t="shared" si="5"/>
        <v>0</v>
      </c>
      <c r="G13" s="36">
        <f>(G12*($K12/$K11)-L12)*(1+Assumptions!$B$15)^$F13</f>
        <v>861302927.70707583</v>
      </c>
      <c r="H13" s="36">
        <f>$H$6/$G$6*G13*(1+Assumptions!$B$16)^INT((C13-1)/12)*IF(B13="Monthly",1,12)</f>
        <v>71775.243975589648</v>
      </c>
      <c r="I13" s="100">
        <f>Assumptions!$B$14*(1+Assumptions!$K$10*--($D13&lt;=Assumptions!$K$15/12))</f>
        <v>0.22499999999999998</v>
      </c>
      <c r="J13" s="40">
        <f t="shared" si="6"/>
        <v>2.1017019131472581E-2</v>
      </c>
      <c r="K13" s="35">
        <f t="shared" si="7"/>
        <v>0.84372542223789448</v>
      </c>
      <c r="L13" s="93">
        <f>H13*Assumptions!$B$7*(1
+Assumptions!$K$7*'Results (i) to (iii)'!$C$16*--($D13&lt;=1)
+Assumptions!$K$8*'Results (i) to (iii)'!$C$16*--($D13&lt;=Assumptions!$K$15/12))
+$G13*Assumptions!$K$9*$E13*'Results (i) to (iii)'!$C$16*--($D13&lt;=2)</f>
        <v>74904.040031065451</v>
      </c>
      <c r="M13" s="36">
        <f>L13*Assumptions!$B$11</f>
        <v>14980.80800621309</v>
      </c>
      <c r="N13" s="36">
        <f>H13*Assumptions!$B$11</f>
        <v>14355.048795117931</v>
      </c>
      <c r="O13" s="36">
        <f>N13*Assumptions!$B$12</f>
        <v>1435.5048795117932</v>
      </c>
      <c r="P13" s="36">
        <f>H13*Assumptions!$B$9</f>
        <v>5742.0195180471719</v>
      </c>
      <c r="Q13" s="103">
        <f>H13*Assumptions!$B$8*(1+Assumptions!$K$11*--($D13&lt;=Assumptions!$K$15/12))</f>
        <v>3947.6384186574314</v>
      </c>
      <c r="R13" s="37">
        <f>(R14)/((1+Assumptions!$B$21)^$E14)+H14/IF(H$3="EOP",((1+Assumptions!$B$21)^$E14),1)</f>
        <v>8077086.2142158737</v>
      </c>
      <c r="S13" s="36">
        <f>(S14)/((1+Assumptions!$B$21)^$E14)+L14/IF(L$3="EOP",((1+Assumptions!$B$21)^$E14),1)</f>
        <v>4525246.7401335798</v>
      </c>
      <c r="T13" s="36">
        <f>(T14)/((1+Assumptions!$B$21)^$E14)+M14/IF(M$3="EOP",((1+Assumptions!$B$21)^$E14),1)</f>
        <v>905049.34802671603</v>
      </c>
      <c r="U13" s="36">
        <f>(U14)/((1+Assumptions!$B$21)^$E14)+N14/IF(N$3="EOP",((1+Assumptions!$B$21)^$E14),1)</f>
        <v>1615417.2428431748</v>
      </c>
      <c r="V13" s="36">
        <f>(V14)/((1+Assumptions!$B$21)^$E14)+O14/IF(O$3="EOP",((1+Assumptions!$B$21)^$E14),1)</f>
        <v>161541.72428431737</v>
      </c>
      <c r="W13" s="36">
        <f>(W14)/((1+Assumptions!$B$21)^$E14)+P14/IF(P$3="EOP",((1+Assumptions!$B$21)^$E14),1)</f>
        <v>646166.89713726949</v>
      </c>
      <c r="X13" s="36">
        <f>(X14)/((1+Assumptions!$B$21)^$E14)+Q14/IF(Q$3="EOP",((1+Assumptions!$B$21)^$E14),1)</f>
        <v>404009.95976893744</v>
      </c>
      <c r="Y13" s="38">
        <f t="shared" si="2"/>
        <v>-1952836.4466439458</v>
      </c>
      <c r="Z13" s="93">
        <f>H14*Assumptions!$B$7*Assumptions!$B$25/$E14/12*(1
+Assumptions!$K$7*'Results (i) to (iii)'!$C$16*--($D13&lt;=1)
+Assumptions!$K$8*'Results (i) to (iii)'!$C$16*--($D13&lt;=Assumptions!$K$15/12))</f>
        <v>61815.789000147735</v>
      </c>
      <c r="AA13" s="36">
        <f>Z13*Assumptions!$B$11</f>
        <v>12363.157800029549</v>
      </c>
      <c r="AB13" s="39">
        <f t="shared" si="8"/>
        <v>49452.631200118187</v>
      </c>
      <c r="AC13" s="88">
        <f t="shared" si="9"/>
        <v>-1903383.8154438275</v>
      </c>
      <c r="AD13" s="88">
        <f>Assumptions!$B$23*R13</f>
        <v>1211562.932132381</v>
      </c>
      <c r="AE13" s="88">
        <f t="shared" si="11"/>
        <v>-691820.88331144652</v>
      </c>
    </row>
    <row r="14" spans="1:33" x14ac:dyDescent="0.25">
      <c r="A14" s="1">
        <f t="shared" si="10"/>
        <v>9</v>
      </c>
      <c r="B14" s="30" t="s">
        <v>28</v>
      </c>
      <c r="C14" s="31">
        <f t="shared" si="3"/>
        <v>9</v>
      </c>
      <c r="D14" s="32">
        <f t="shared" si="1"/>
        <v>0.75</v>
      </c>
      <c r="E14" s="32">
        <f t="shared" si="4"/>
        <v>8.333333333333337E-2</v>
      </c>
      <c r="F14" s="31">
        <f t="shared" si="5"/>
        <v>0</v>
      </c>
      <c r="G14" s="36">
        <f>(G13*($K13/$K12)-L13)*(1+Assumptions!$B$15)^$F14</f>
        <v>843126003.55743182</v>
      </c>
      <c r="H14" s="36">
        <f>$H$6/$G$6*G14*(1+Assumptions!$B$16)^INT((C14-1)/12)*IF(B14="Monthly",1,12)</f>
        <v>70260.50029645265</v>
      </c>
      <c r="I14" s="100">
        <f>Assumptions!$B$14*(1+Assumptions!$K$10*--($D14&lt;=Assumptions!$K$15/12))</f>
        <v>0.22499999999999998</v>
      </c>
      <c r="J14" s="40">
        <f t="shared" si="6"/>
        <v>2.1017019131472581E-2</v>
      </c>
      <c r="K14" s="35">
        <f t="shared" si="7"/>
        <v>0.82599282889701087</v>
      </c>
      <c r="L14" s="93">
        <f>H14*Assumptions!$B$7*(1
+Assumptions!$K$7*'Results (i) to (iii)'!$C$16*--($D14&lt;=1)
+Assumptions!$K$8*'Results (i) to (iii)'!$C$16*--($D14&lt;=Assumptions!$K$15/12))
+$G14*Assumptions!$K$9*$E14*'Results (i) to (iii)'!$C$16*--($D14&lt;=2)</f>
        <v>73323.266286604674</v>
      </c>
      <c r="M14" s="36">
        <f>L14*Assumptions!$B$11</f>
        <v>14664.653257320935</v>
      </c>
      <c r="N14" s="36">
        <f>H14*Assumptions!$B$11</f>
        <v>14052.100059290531</v>
      </c>
      <c r="O14" s="36">
        <f>N14*Assumptions!$B$12</f>
        <v>1405.2100059290533</v>
      </c>
      <c r="P14" s="36">
        <f>H14*Assumptions!$B$9</f>
        <v>5620.8400237162123</v>
      </c>
      <c r="Q14" s="103">
        <f>H14*Assumptions!$B$8*(1+Assumptions!$K$11*--($D14&lt;=Assumptions!$K$15/12))</f>
        <v>3864.3275163048966</v>
      </c>
      <c r="R14" s="37">
        <f>(R15)/((1+Assumptions!$B$21)^$E15)+H15/IF(H$3="EOP",((1+Assumptions!$B$21)^$E15),1)</f>
        <v>8023318.4639312616</v>
      </c>
      <c r="S14" s="36">
        <f>(S15)/((1+Assumptions!$B$21)^$E15)+L15/IF(L$3="EOP",((1+Assumptions!$B$21)^$E15),1)</f>
        <v>4461244.7412122907</v>
      </c>
      <c r="T14" s="36">
        <f>(T15)/((1+Assumptions!$B$21)^$E15)+M15/IF(M$3="EOP",((1+Assumptions!$B$21)^$E15),1)</f>
        <v>892248.94824245805</v>
      </c>
      <c r="U14" s="36">
        <f>(U15)/((1+Assumptions!$B$21)^$E15)+N15/IF(N$3="EOP",((1+Assumptions!$B$21)^$E15),1)</f>
        <v>1604663.6927862526</v>
      </c>
      <c r="V14" s="36">
        <f>(V15)/((1+Assumptions!$B$21)^$E15)+O15/IF(O$3="EOP",((1+Assumptions!$B$21)^$E15),1)</f>
        <v>160466.36927862515</v>
      </c>
      <c r="W14" s="36">
        <f>(W15)/((1+Assumptions!$B$21)^$E15)+P15/IF(P$3="EOP",((1+Assumptions!$B$21)^$E15),1)</f>
        <v>641865.47711450059</v>
      </c>
      <c r="X14" s="36">
        <f>(X15)/((1+Assumptions!$B$21)^$E15)+Q15/IF(Q$3="EOP",((1+Assumptions!$B$21)^$E15),1)</f>
        <v>400977.82662114227</v>
      </c>
      <c r="Y14" s="38">
        <f t="shared" si="2"/>
        <v>-1967282.0437181583</v>
      </c>
      <c r="Z14" s="93">
        <f>H15*Assumptions!$B$7*Assumptions!$B$25/$E15/12*(1
+Assumptions!$K$7*'Results (i) to (iii)'!$C$16*--($D14&lt;=1)
+Assumptions!$K$8*'Results (i) to (iii)'!$C$16*--($D14&lt;=Assumptions!$K$15/12))</f>
        <v>60511.229510378726</v>
      </c>
      <c r="AA14" s="36">
        <f>Z14*Assumptions!$B$11</f>
        <v>12102.245902075745</v>
      </c>
      <c r="AB14" s="39">
        <f t="shared" si="8"/>
        <v>48408.98360830298</v>
      </c>
      <c r="AC14" s="88">
        <f t="shared" si="9"/>
        <v>-1918873.0601098554</v>
      </c>
      <c r="AD14" s="88">
        <f>Assumptions!$B$23*R14</f>
        <v>1203497.7695896891</v>
      </c>
      <c r="AE14" s="88">
        <f t="shared" si="11"/>
        <v>-715375.29052016628</v>
      </c>
    </row>
    <row r="15" spans="1:33" x14ac:dyDescent="0.25">
      <c r="A15" s="1">
        <f t="shared" si="10"/>
        <v>10</v>
      </c>
      <c r="B15" s="30" t="s">
        <v>28</v>
      </c>
      <c r="C15" s="31">
        <f t="shared" si="3"/>
        <v>10</v>
      </c>
      <c r="D15" s="32">
        <f t="shared" si="1"/>
        <v>0.83333333333333337</v>
      </c>
      <c r="E15" s="32">
        <f t="shared" si="4"/>
        <v>8.333333333333337E-2</v>
      </c>
      <c r="F15" s="31">
        <f t="shared" si="5"/>
        <v>0</v>
      </c>
      <c r="G15" s="36">
        <f>(G14*($K14/$K13)-L14)*(1+Assumptions!$B$15)^$F15</f>
        <v>825332684.94413662</v>
      </c>
      <c r="H15" s="36">
        <f>$H$6/$G$6*G15*(1+Assumptions!$B$16)^INT((C15-1)/12)*IF(B15="Monthly",1,12)</f>
        <v>68777.723745344716</v>
      </c>
      <c r="I15" s="100">
        <f>Assumptions!$B$14*(1+Assumptions!$K$10*--($D15&lt;=Assumptions!$K$15/12))</f>
        <v>0.22499999999999998</v>
      </c>
      <c r="J15" s="40">
        <f t="shared" si="6"/>
        <v>2.1017019131472581E-2</v>
      </c>
      <c r="K15" s="35">
        <f t="shared" si="7"/>
        <v>0.80863292180962321</v>
      </c>
      <c r="L15" s="93">
        <f>H15*Assumptions!$B$7*(1
+Assumptions!$K$7*'Results (i) to (iii)'!$C$16*--($D15&lt;=1)
+Assumptions!$K$8*'Results (i) to (iii)'!$C$16*--($D15&lt;=Assumptions!$K$15/12))
+$G15*Assumptions!$K$9*$E15*'Results (i) to (iii)'!$C$16*--($D15&lt;=2)</f>
        <v>71775.853167687426</v>
      </c>
      <c r="M15" s="36">
        <f>L15*Assumptions!$B$11</f>
        <v>14355.170633537486</v>
      </c>
      <c r="N15" s="36">
        <f>H15*Assumptions!$B$11</f>
        <v>13755.544749068944</v>
      </c>
      <c r="O15" s="36">
        <f>N15*Assumptions!$B$12</f>
        <v>1375.5544749068945</v>
      </c>
      <c r="P15" s="36">
        <f>H15*Assumptions!$B$9</f>
        <v>5502.217899627577</v>
      </c>
      <c r="Q15" s="103">
        <f>H15*Assumptions!$B$8*(1+Assumptions!$K$11*--($D15&lt;=Assumptions!$K$15/12))</f>
        <v>3782.7748059939599</v>
      </c>
      <c r="R15" s="37">
        <f>(R16)/((1+Assumptions!$B$21)^$E16)+H16/IF(H$3="EOP",((1+Assumptions!$B$21)^$E16),1)</f>
        <v>7970925.7917124927</v>
      </c>
      <c r="S15" s="36">
        <f>(S16)/((1+Assumptions!$B$21)^$E16)+L16/IF(L$3="EOP",((1+Assumptions!$B$21)^$E16),1)</f>
        <v>4398658.321771197</v>
      </c>
      <c r="T15" s="36">
        <f>(T16)/((1+Assumptions!$B$21)^$E16)+M16/IF(M$3="EOP",((1+Assumptions!$B$21)^$E16),1)</f>
        <v>879731.66435423947</v>
      </c>
      <c r="U15" s="36">
        <f>(U16)/((1+Assumptions!$B$21)^$E16)+N16/IF(N$3="EOP",((1+Assumptions!$B$21)^$E16),1)</f>
        <v>1594185.1583424988</v>
      </c>
      <c r="V15" s="36">
        <f>(V16)/((1+Assumptions!$B$21)^$E16)+O16/IF(O$3="EOP",((1+Assumptions!$B$21)^$E16),1)</f>
        <v>159418.51583424976</v>
      </c>
      <c r="W15" s="36">
        <f>(W16)/((1+Assumptions!$B$21)^$E16)+P16/IF(P$3="EOP",((1+Assumptions!$B$21)^$E16),1)</f>
        <v>637674.06333699904</v>
      </c>
      <c r="X15" s="36">
        <f>(X16)/((1+Assumptions!$B$21)^$E16)+Q16/IF(Q$3="EOP",((1+Assumptions!$B$21)^$E16),1)</f>
        <v>398021.00048582524</v>
      </c>
      <c r="Y15" s="38">
        <f t="shared" si="2"/>
        <v>-1981537.4279644615</v>
      </c>
      <c r="Z15" s="93">
        <f>H16*Assumptions!$B$7*Assumptions!$B$25/$E16/12*(1
+Assumptions!$K$7*'Results (i) to (iii)'!$C$16*--($D15&lt;=1)
+Assumptions!$K$8*'Results (i) to (iii)'!$C$16*--($D15&lt;=Assumptions!$K$15/12))</f>
        <v>59234.20142463901</v>
      </c>
      <c r="AA15" s="36">
        <f>Z15*Assumptions!$B$11</f>
        <v>11846.840284927803</v>
      </c>
      <c r="AB15" s="39">
        <f t="shared" si="8"/>
        <v>47387.361139711211</v>
      </c>
      <c r="AC15" s="88">
        <f t="shared" si="9"/>
        <v>-1934150.0668247503</v>
      </c>
      <c r="AD15" s="88">
        <f>Assumptions!$B$23*R15</f>
        <v>1195638.8687568738</v>
      </c>
      <c r="AE15" s="88">
        <f t="shared" si="11"/>
        <v>-738511.19806787651</v>
      </c>
    </row>
    <row r="16" spans="1:33" x14ac:dyDescent="0.25">
      <c r="A16" s="1">
        <f t="shared" si="10"/>
        <v>11</v>
      </c>
      <c r="B16" s="30" t="s">
        <v>28</v>
      </c>
      <c r="C16" s="31">
        <f t="shared" si="3"/>
        <v>11</v>
      </c>
      <c r="D16" s="32">
        <f t="shared" si="1"/>
        <v>0.91666666666666663</v>
      </c>
      <c r="E16" s="32">
        <f t="shared" si="4"/>
        <v>8.3333333333333259E-2</v>
      </c>
      <c r="F16" s="31">
        <f t="shared" si="5"/>
        <v>0</v>
      </c>
      <c r="G16" s="36">
        <f>(G15*($K15/$K14)-L15)*(1+Assumptions!$B$15)^$F16</f>
        <v>807914876.26166844</v>
      </c>
      <c r="H16" s="36">
        <f>$H$6/$G$6*G16*(1+Assumptions!$B$16)^INT((C16-1)/12)*IF(B16="Monthly",1,12)</f>
        <v>67326.239688472371</v>
      </c>
      <c r="I16" s="100">
        <f>Assumptions!$B$14*(1+Assumptions!$K$10*--($D16&lt;=Assumptions!$K$15/12))</f>
        <v>0.22499999999999998</v>
      </c>
      <c r="J16" s="40">
        <f t="shared" si="6"/>
        <v>2.1017019131472581E-2</v>
      </c>
      <c r="K16" s="35">
        <f t="shared" si="7"/>
        <v>0.79163786822161175</v>
      </c>
      <c r="L16" s="93">
        <f>H16*Assumptions!$B$7*(1
+Assumptions!$K$7*'Results (i) to (iii)'!$C$16*--($D16&lt;=1)
+Assumptions!$K$8*'Results (i) to (iii)'!$C$16*--($D16&lt;=Assumptions!$K$15/12))
+$G16*Assumptions!$K$9*$E16*'Results (i) to (iii)'!$C$16*--($D16&lt;=2)</f>
        <v>70261.096632169443</v>
      </c>
      <c r="M16" s="36">
        <f>L16*Assumptions!$B$11</f>
        <v>14052.219326433889</v>
      </c>
      <c r="N16" s="36">
        <f>H16*Assumptions!$B$11</f>
        <v>13465.247937694476</v>
      </c>
      <c r="O16" s="36">
        <f>N16*Assumptions!$B$12</f>
        <v>1346.5247937694476</v>
      </c>
      <c r="P16" s="36">
        <f>H16*Assumptions!$B$9</f>
        <v>5386.0991750777894</v>
      </c>
      <c r="Q16" s="103">
        <f>H16*Assumptions!$B$8*(1+Assumptions!$K$11*--($D16&lt;=Assumptions!$K$15/12))</f>
        <v>3702.9431828659813</v>
      </c>
      <c r="R16" s="37">
        <f>(R17)/((1+Assumptions!$B$21)^$E17)+H17/IF(H$3="EOP",((1+Assumptions!$B$21)^$E17),1)</f>
        <v>7919879.6730435919</v>
      </c>
      <c r="S16" s="36">
        <f>(S17)/((1+Assumptions!$B$21)^$E17)+L17/IF(L$3="EOP",((1+Assumptions!$B$21)^$E17),1)</f>
        <v>4337457.7410888569</v>
      </c>
      <c r="T16" s="36">
        <f>(T17)/((1+Assumptions!$B$21)^$E17)+M17/IF(M$3="EOP",((1+Assumptions!$B$21)^$E17),1)</f>
        <v>867491.54821777146</v>
      </c>
      <c r="U16" s="36">
        <f>(U17)/((1+Assumptions!$B$21)^$E17)+N17/IF(N$3="EOP",((1+Assumptions!$B$21)^$E17),1)</f>
        <v>1583975.9346087188</v>
      </c>
      <c r="V16" s="36">
        <f>(V17)/((1+Assumptions!$B$21)^$E17)+O17/IF(O$3="EOP",((1+Assumptions!$B$21)^$E17),1)</f>
        <v>158397.59346087175</v>
      </c>
      <c r="W16" s="36">
        <f>(W17)/((1+Assumptions!$B$21)^$E17)+P17/IF(P$3="EOP",((1+Assumptions!$B$21)^$E17),1)</f>
        <v>633590.373843487</v>
      </c>
      <c r="X16" s="36">
        <f>(X17)/((1+Assumptions!$B$21)^$E17)+Q17/IF(Q$3="EOP",((1+Assumptions!$B$21)^$E17),1)</f>
        <v>395137.91539591906</v>
      </c>
      <c r="Y16" s="38">
        <f t="shared" si="2"/>
        <v>-1995606.8497852536</v>
      </c>
      <c r="Z16" s="93">
        <f>H17*Assumptions!$B$7*Assumptions!$B$25/$E17/12*(1
+Assumptions!$K$7*'Results (i) to (iii)'!$C$16*--($D16&lt;=1)
+Assumptions!$K$8*'Results (i) to (iii)'!$C$16*--($D16&lt;=Assumptions!$K$15/12))</f>
        <v>57984.123720588017</v>
      </c>
      <c r="AA16" s="36">
        <f>Z16*Assumptions!$B$11</f>
        <v>11596.824744117604</v>
      </c>
      <c r="AB16" s="39">
        <f t="shared" si="8"/>
        <v>46387.298976470411</v>
      </c>
      <c r="AC16" s="88">
        <f t="shared" si="9"/>
        <v>-1949219.5508087832</v>
      </c>
      <c r="AD16" s="88">
        <f>Assumptions!$B$23*R16</f>
        <v>1187981.9509565388</v>
      </c>
      <c r="AE16" s="88">
        <f t="shared" si="11"/>
        <v>-761237.59985224437</v>
      </c>
    </row>
    <row r="17" spans="1:31" s="21" customFormat="1" x14ac:dyDescent="0.25">
      <c r="A17" s="21">
        <f t="shared" si="10"/>
        <v>12</v>
      </c>
      <c r="B17" s="41" t="s">
        <v>28</v>
      </c>
      <c r="C17" s="23">
        <f t="shared" si="3"/>
        <v>12</v>
      </c>
      <c r="D17" s="22">
        <f t="shared" si="1"/>
        <v>1</v>
      </c>
      <c r="E17" s="22">
        <f t="shared" si="4"/>
        <v>8.333333333333337E-2</v>
      </c>
      <c r="F17" s="23">
        <f t="shared" si="5"/>
        <v>0</v>
      </c>
      <c r="G17" s="27">
        <f>(G16*($K16/$K15)-L16)*(1+Assumptions!$B$15)^$F17</f>
        <v>790864652.75404358</v>
      </c>
      <c r="H17" s="27">
        <f>$H$6/$G$6*G17*(1+Assumptions!$B$16)^INT((C17-1)/12)*IF(B17="Monthly",1,12)</f>
        <v>65905.387729503636</v>
      </c>
      <c r="I17" s="101">
        <f>Assumptions!$B$14*(1+Assumptions!$K$10*--($D17&lt;=Assumptions!$K$15/12))</f>
        <v>0.22499999999999998</v>
      </c>
      <c r="J17" s="42">
        <f t="shared" si="6"/>
        <v>2.1017019131472581E-2</v>
      </c>
      <c r="K17" s="43">
        <f t="shared" si="7"/>
        <v>0.77500000000000002</v>
      </c>
      <c r="L17" s="94">
        <f>H17*Assumptions!$B$7*(1
+Assumptions!$K$7*'Results (i) to (iii)'!$C$16*--($D17&lt;=1)
+Assumptions!$K$8*'Results (i) to (iii)'!$C$16*--($D17&lt;=Assumptions!$K$15/12))
+$G17*Assumptions!$K$9*$E17*'Results (i) to (iii)'!$C$16*--($D17&lt;=2)</f>
        <v>68778.307496001478</v>
      </c>
      <c r="M17" s="27">
        <f>L17*Assumptions!$B$11</f>
        <v>13755.661499200296</v>
      </c>
      <c r="N17" s="27">
        <f>H17*Assumptions!$B$11</f>
        <v>13181.077545900727</v>
      </c>
      <c r="O17" s="27">
        <f>N17*Assumptions!$B$12</f>
        <v>1318.1077545900728</v>
      </c>
      <c r="P17" s="27">
        <f>H17*Assumptions!$B$9</f>
        <v>5272.4310183602911</v>
      </c>
      <c r="Q17" s="104">
        <f>H17*Assumptions!$B$8*(1+Assumptions!$K$11*--($D17&lt;=Assumptions!$K$15/12))</f>
        <v>3624.7963251227002</v>
      </c>
      <c r="R17" s="26">
        <f>(R18)/((1+Assumptions!$B$21)^$E18)+H18/IF(H$3="EOP",((1+Assumptions!$B$21)^$E18),1)</f>
        <v>7870152.1864093905</v>
      </c>
      <c r="S17" s="27">
        <f>(S18)/((1+Assumptions!$B$21)^$E18)+L18/IF(L$3="EOP",((1+Assumptions!$B$21)^$E18),1)</f>
        <v>4277613.8863668609</v>
      </c>
      <c r="T17" s="27">
        <f>(T18)/((1+Assumptions!$B$21)^$E18)+M18/IF(M$3="EOP",((1+Assumptions!$B$21)^$E18),1)</f>
        <v>855522.77727337216</v>
      </c>
      <c r="U17" s="27">
        <f>(U18)/((1+Assumptions!$B$21)^$E18)+N18/IF(N$3="EOP",((1+Assumptions!$B$21)^$E18),1)</f>
        <v>1574030.4372818784</v>
      </c>
      <c r="V17" s="27">
        <f>(V18)/((1+Assumptions!$B$21)^$E18)+O18/IF(O$3="EOP",((1+Assumptions!$B$21)^$E18),1)</f>
        <v>157403.04372818771</v>
      </c>
      <c r="W17" s="27">
        <f>(W18)/((1+Assumptions!$B$21)^$E18)+P18/IF(P$3="EOP",((1+Assumptions!$B$21)^$E18),1)</f>
        <v>629612.17491275084</v>
      </c>
      <c r="X17" s="27">
        <f>(X18)/((1+Assumptions!$B$21)^$E18)+Q18/IF(Q$3="EOP",((1+Assumptions!$B$21)^$E18),1)</f>
        <v>392327.03848051897</v>
      </c>
      <c r="Y17" s="28">
        <f t="shared" si="2"/>
        <v>-2009494.4703689408</v>
      </c>
      <c r="Z17" s="94">
        <f>H18*Assumptions!$B$7*Assumptions!$B$25/$E18/12*(1
+Assumptions!$K$7*'Results (i) to (iii)'!$C$16*--($D17&lt;=1)
+Assumptions!$K$8*'Results (i) to (iii)'!$C$16*--($D17&lt;=Assumptions!$K$15/12))</f>
        <v>62527.287085770251</v>
      </c>
      <c r="AA17" s="27">
        <f>Z17*Assumptions!$B$11</f>
        <v>12505.457417154052</v>
      </c>
      <c r="AB17" s="29">
        <f t="shared" si="8"/>
        <v>50021.829668616199</v>
      </c>
      <c r="AC17" s="87">
        <f t="shared" si="9"/>
        <v>-1959472.6407003247</v>
      </c>
      <c r="AD17" s="87">
        <f>Assumptions!$B$23*R17</f>
        <v>1180522.8279614085</v>
      </c>
      <c r="AE17" s="87">
        <f t="shared" si="11"/>
        <v>-778949.81273891614</v>
      </c>
    </row>
    <row r="18" spans="1:31" x14ac:dyDescent="0.25">
      <c r="A18" s="1">
        <f t="shared" si="10"/>
        <v>13</v>
      </c>
      <c r="B18" s="30" t="s">
        <v>28</v>
      </c>
      <c r="C18" s="31">
        <f t="shared" si="3"/>
        <v>13</v>
      </c>
      <c r="D18" s="32">
        <f t="shared" si="1"/>
        <v>1.0833333333333333</v>
      </c>
      <c r="E18" s="32">
        <f t="shared" si="4"/>
        <v>8.3333333333333259E-2</v>
      </c>
      <c r="F18" s="31">
        <f t="shared" si="5"/>
        <v>1</v>
      </c>
      <c r="G18" s="36">
        <f>(G17*($K17/$K16)-L17)*(1+Assumptions!$B$15)^$F18</f>
        <v>789657742.04739475</v>
      </c>
      <c r="H18" s="36">
        <f>$H$6/$G$6*G18*(1+Assumptions!$B$16)^INT((C18-1)/12)*IF(B18="Monthly",1,12)</f>
        <v>71069.196784265529</v>
      </c>
      <c r="I18" s="100">
        <f>Assumptions!$B$14*(1+Assumptions!$K$10*--($D18&lt;=Assumptions!$K$15/12))</f>
        <v>0.22499999999999998</v>
      </c>
      <c r="J18" s="40">
        <f t="shared" si="6"/>
        <v>2.1017019131472581E-2</v>
      </c>
      <c r="K18" s="35">
        <f t="shared" si="7"/>
        <v>0.75871181017310874</v>
      </c>
      <c r="L18" s="93">
        <f>H18*Assumptions!$B$7*(1
+Assumptions!$K$7*'Results (i) to (iii)'!$C$16*--($D18&lt;=1)
+Assumptions!$K$8*'Results (i) to (iii)'!$C$16*--($D18&lt;=Assumptions!$K$15/12))
+$G18*Assumptions!$K$9*$E18*'Results (i) to (iii)'!$C$16*--($D18&lt;=2)</f>
        <v>67549.590966089876</v>
      </c>
      <c r="M18" s="36">
        <f>L18*Assumptions!$B$11</f>
        <v>13509.918193217976</v>
      </c>
      <c r="N18" s="36">
        <f>H18*Assumptions!$B$11</f>
        <v>14213.839356853106</v>
      </c>
      <c r="O18" s="36">
        <f>N18*Assumptions!$B$12</f>
        <v>1421.3839356853107</v>
      </c>
      <c r="P18" s="36">
        <f>H18*Assumptions!$B$9</f>
        <v>5685.5357427412428</v>
      </c>
      <c r="Q18" s="103">
        <f>H18*Assumptions!$B$8*(1+Assumptions!$K$11*--($D18&lt;=Assumptions!$K$15/12))</f>
        <v>3908.8058231346045</v>
      </c>
      <c r="R18" s="37">
        <f>(R19)/((1+Assumptions!$B$21)^$E19)+H19/IF(H$3="EOP",((1+Assumptions!$B$21)^$E19),1)</f>
        <v>7815147.8236386683</v>
      </c>
      <c r="S18" s="36">
        <f>(S19)/((1+Assumptions!$B$21)^$E19)+L19/IF(L$3="EOP",((1+Assumptions!$B$21)^$E19),1)</f>
        <v>4218875.4796322919</v>
      </c>
      <c r="T18" s="36">
        <f>(T19)/((1+Assumptions!$B$21)^$E19)+M19/IF(M$3="EOP",((1+Assumptions!$B$21)^$E19),1)</f>
        <v>843775.09592645848</v>
      </c>
      <c r="U18" s="36">
        <f>(U19)/((1+Assumptions!$B$21)^$E19)+N19/IF(N$3="EOP",((1+Assumptions!$B$21)^$E19),1)</f>
        <v>1563029.5647277338</v>
      </c>
      <c r="V18" s="36">
        <f>(V19)/((1+Assumptions!$B$21)^$E19)+O19/IF(O$3="EOP",((1+Assumptions!$B$21)^$E19),1)</f>
        <v>156302.95647277328</v>
      </c>
      <c r="W18" s="36">
        <f>(W19)/((1+Assumptions!$B$21)^$E19)+P19/IF(P$3="EOP",((1+Assumptions!$B$21)^$E19),1)</f>
        <v>625211.82589109312</v>
      </c>
      <c r="X18" s="36">
        <f>(X19)/((1+Assumptions!$B$21)^$E19)+Q19/IF(Q$3="EOP",((1+Assumptions!$B$21)^$E19),1)</f>
        <v>389226.36212088657</v>
      </c>
      <c r="Y18" s="38">
        <f t="shared" si="2"/>
        <v>-2018882.6436658937</v>
      </c>
      <c r="Z18" s="93">
        <f>H19*Assumptions!$B$7*Assumptions!$B$25/$E19/12*(1
+Assumptions!$K$7*'Results (i) to (iii)'!$C$16*--($D18&lt;=1)
+Assumptions!$K$8*'Results (i) to (iii)'!$C$16*--($D18&lt;=Assumptions!$K$15/12))</f>
        <v>55298.837141391668</v>
      </c>
      <c r="AA18" s="36">
        <f>Z18*Assumptions!$B$11</f>
        <v>11059.767428278334</v>
      </c>
      <c r="AB18" s="39">
        <f t="shared" si="8"/>
        <v>44239.069713113335</v>
      </c>
      <c r="AC18" s="88">
        <f t="shared" si="9"/>
        <v>-1974643.5739527803</v>
      </c>
      <c r="AD18" s="88">
        <f>Assumptions!$B$23*R18</f>
        <v>1172272.1735458001</v>
      </c>
      <c r="AE18" s="88">
        <f t="shared" si="11"/>
        <v>-802371.40040698019</v>
      </c>
    </row>
    <row r="19" spans="1:31" x14ac:dyDescent="0.25">
      <c r="A19" s="1">
        <f t="shared" si="10"/>
        <v>14</v>
      </c>
      <c r="B19" s="30" t="s">
        <v>28</v>
      </c>
      <c r="C19" s="31">
        <f t="shared" si="3"/>
        <v>14</v>
      </c>
      <c r="D19" s="32">
        <f t="shared" si="1"/>
        <v>1.1666666666666667</v>
      </c>
      <c r="E19" s="32">
        <f t="shared" si="4"/>
        <v>8.3333333333333481E-2</v>
      </c>
      <c r="F19" s="31">
        <f t="shared" si="5"/>
        <v>0</v>
      </c>
      <c r="G19" s="36">
        <f>(G18*($K18/$K17)-L18)*(1+Assumptions!$B$15)^$F19</f>
        <v>772993940.58450305</v>
      </c>
      <c r="H19" s="36">
        <f>$H$6/$G$6*G19*(1+Assumptions!$B$16)^INT((C19-1)/12)*IF(B19="Monthly",1,12)</f>
        <v>69569.454652605273</v>
      </c>
      <c r="I19" s="100">
        <f>Assumptions!$B$14*(1+Assumptions!$K$10*--($D19&lt;=Assumptions!$K$15/12))</f>
        <v>0.22499999999999998</v>
      </c>
      <c r="J19" s="40">
        <f t="shared" si="6"/>
        <v>2.1017019131472581E-2</v>
      </c>
      <c r="K19" s="35">
        <f t="shared" si="7"/>
        <v>0.74276594954342634</v>
      </c>
      <c r="L19" s="93">
        <f>H19*Assumptions!$B$7*(1
+Assumptions!$K$7*'Results (i) to (iii)'!$C$16*--($D19&lt;=1)
+Assumptions!$K$8*'Results (i) to (iii)'!$C$16*--($D19&lt;=Assumptions!$K$15/12))
+$G19*Assumptions!$K$9*$E19*'Results (i) to (iii)'!$C$16*--($D19&lt;=2)</f>
        <v>66124.1215344347</v>
      </c>
      <c r="M19" s="36">
        <f>L19*Assumptions!$B$11</f>
        <v>13224.824306886941</v>
      </c>
      <c r="N19" s="36">
        <f>H19*Assumptions!$B$11</f>
        <v>13913.890930521055</v>
      </c>
      <c r="O19" s="36">
        <f>N19*Assumptions!$B$12</f>
        <v>1391.3890930521056</v>
      </c>
      <c r="P19" s="36">
        <f>H19*Assumptions!$B$9</f>
        <v>5565.5563722084216</v>
      </c>
      <c r="Q19" s="103">
        <f>H19*Assumptions!$B$8*(1+Assumptions!$K$11*--($D19&lt;=Assumptions!$K$15/12))</f>
        <v>3826.3200058932903</v>
      </c>
      <c r="R19" s="37">
        <f>(R20)/((1+Assumptions!$B$21)^$E20)+H20/IF(H$3="EOP",((1+Assumptions!$B$21)^$E20),1)</f>
        <v>7761532.9922414115</v>
      </c>
      <c r="S19" s="36">
        <f>(S20)/((1+Assumptions!$B$21)^$E20)+L20/IF(L$3="EOP",((1+Assumptions!$B$21)^$E20),1)</f>
        <v>4161441.5508287549</v>
      </c>
      <c r="T19" s="36">
        <f>(T20)/((1+Assumptions!$B$21)^$E20)+M20/IF(M$3="EOP",((1+Assumptions!$B$21)^$E20),1)</f>
        <v>832288.31016575103</v>
      </c>
      <c r="U19" s="36">
        <f>(U20)/((1+Assumptions!$B$21)^$E20)+N20/IF(N$3="EOP",((1+Assumptions!$B$21)^$E20),1)</f>
        <v>1552306.5984482826</v>
      </c>
      <c r="V19" s="36">
        <f>(V20)/((1+Assumptions!$B$21)^$E20)+O20/IF(O$3="EOP",((1+Assumptions!$B$21)^$E20),1)</f>
        <v>155230.65984482816</v>
      </c>
      <c r="W19" s="36">
        <f>(W20)/((1+Assumptions!$B$21)^$E20)+P20/IF(P$3="EOP",((1+Assumptions!$B$21)^$E20),1)</f>
        <v>620922.63937931263</v>
      </c>
      <c r="X19" s="36">
        <f>(X20)/((1+Assumptions!$B$21)^$E20)+Q20/IF(Q$3="EOP",((1+Assumptions!$B$21)^$E20),1)</f>
        <v>386201.78469286894</v>
      </c>
      <c r="Y19" s="38">
        <f t="shared" si="2"/>
        <v>-2028179.3889027713</v>
      </c>
      <c r="Z19" s="93">
        <f>H20*Assumptions!$B$7*Assumptions!$B$25/$E20/12*(1
+Assumptions!$K$7*'Results (i) to (iii)'!$C$16*--($D19&lt;=1)
+Assumptions!$K$8*'Results (i) to (iii)'!$C$16*--($D19&lt;=Assumptions!$K$15/12))</f>
        <v>54131.890001908665</v>
      </c>
      <c r="AA19" s="36">
        <f>Z19*Assumptions!$B$11</f>
        <v>10826.378000381734</v>
      </c>
      <c r="AB19" s="39">
        <f t="shared" si="8"/>
        <v>43305.512001526935</v>
      </c>
      <c r="AC19" s="88">
        <f t="shared" si="9"/>
        <v>-1984873.8769012443</v>
      </c>
      <c r="AD19" s="88">
        <f>Assumptions!$B$23*R19</f>
        <v>1164229.9488362116</v>
      </c>
      <c r="AE19" s="88">
        <f t="shared" si="11"/>
        <v>-820643.9280650327</v>
      </c>
    </row>
    <row r="20" spans="1:31" x14ac:dyDescent="0.25">
      <c r="A20" s="1">
        <f t="shared" si="10"/>
        <v>15</v>
      </c>
      <c r="B20" s="30" t="s">
        <v>28</v>
      </c>
      <c r="C20" s="31">
        <f t="shared" si="3"/>
        <v>15</v>
      </c>
      <c r="D20" s="32">
        <f t="shared" si="1"/>
        <v>1.25</v>
      </c>
      <c r="E20" s="32">
        <f t="shared" si="4"/>
        <v>8.3333333333333259E-2</v>
      </c>
      <c r="F20" s="31">
        <f t="shared" si="5"/>
        <v>0</v>
      </c>
      <c r="G20" s="36">
        <f>(G19*($K19/$K18)-L19)*(1+Assumptions!$B$15)^$F20</f>
        <v>756681788.02519166</v>
      </c>
      <c r="H20" s="36">
        <f>$H$6/$G$6*G20*(1+Assumptions!$B$16)^INT((C20-1)/12)*IF(B20="Monthly",1,12)</f>
        <v>68101.360922267253</v>
      </c>
      <c r="I20" s="100">
        <f>Assumptions!$B$14*(1+Assumptions!$K$10*--($D20&lt;=Assumptions!$K$15/12))</f>
        <v>0.22499999999999998</v>
      </c>
      <c r="J20" s="40">
        <f t="shared" si="6"/>
        <v>2.1017019131472581E-2</v>
      </c>
      <c r="K20" s="35">
        <f t="shared" si="7"/>
        <v>0.72715522337166572</v>
      </c>
      <c r="L20" s="93">
        <f>H20*Assumptions!$B$7*(1
+Assumptions!$K$7*'Results (i) to (iii)'!$C$16*--($D20&lt;=1)
+Assumptions!$K$8*'Results (i) to (iii)'!$C$16*--($D20&lt;=Assumptions!$K$15/12))
+$G20*Assumptions!$K$9*$E20*'Results (i) to (iii)'!$C$16*--($D20&lt;=2)</f>
        <v>64728.733159844611</v>
      </c>
      <c r="M20" s="36">
        <f>L20*Assumptions!$B$11</f>
        <v>12945.746631968923</v>
      </c>
      <c r="N20" s="36">
        <f>H20*Assumptions!$B$11</f>
        <v>13620.272184453452</v>
      </c>
      <c r="O20" s="36">
        <f>N20*Assumptions!$B$12</f>
        <v>1362.0272184453452</v>
      </c>
      <c r="P20" s="36">
        <f>H20*Assumptions!$B$9</f>
        <v>5448.1088737813807</v>
      </c>
      <c r="Q20" s="103">
        <f>H20*Assumptions!$B$8*(1+Assumptions!$K$11*--($D20&lt;=Assumptions!$K$15/12))</f>
        <v>3745.5748507246994</v>
      </c>
      <c r="R20" s="37">
        <f>(R21)/((1+Assumptions!$B$21)^$E21)+H21/IF(H$3="EOP",((1+Assumptions!$B$21)^$E21),1)</f>
        <v>7709278.84083289</v>
      </c>
      <c r="S20" s="36">
        <f>(S21)/((1+Assumptions!$B$21)^$E21)+L21/IF(L$3="EOP",((1+Assumptions!$B$21)^$E21),1)</f>
        <v>4105284.7059101379</v>
      </c>
      <c r="T20" s="36">
        <f>(T21)/((1+Assumptions!$B$21)^$E21)+M21/IF(M$3="EOP",((1+Assumptions!$B$21)^$E21),1)</f>
        <v>821056.94118202757</v>
      </c>
      <c r="U20" s="36">
        <f>(U21)/((1+Assumptions!$B$21)^$E21)+N21/IF(N$3="EOP",((1+Assumptions!$B$21)^$E21),1)</f>
        <v>1541855.7681665784</v>
      </c>
      <c r="V20" s="36">
        <f>(V21)/((1+Assumptions!$B$21)^$E21)+O21/IF(O$3="EOP",((1+Assumptions!$B$21)^$E21),1)</f>
        <v>154185.57681665773</v>
      </c>
      <c r="W20" s="36">
        <f>(W21)/((1+Assumptions!$B$21)^$E21)+P21/IF(P$3="EOP",((1+Assumptions!$B$21)^$E21),1)</f>
        <v>616742.30726663093</v>
      </c>
      <c r="X20" s="36">
        <f>(X21)/((1+Assumptions!$B$21)^$E21)+Q21/IF(Q$3="EOP",((1+Assumptions!$B$21)^$E21),1)</f>
        <v>383251.72228573263</v>
      </c>
      <c r="Y20" s="38">
        <f t="shared" si="2"/>
        <v>-2037386.8552024951</v>
      </c>
      <c r="Z20" s="93">
        <f>H21*Assumptions!$B$7*Assumptions!$B$25/$E21/12*(1
+Assumptions!$K$7*'Results (i) to (iii)'!$C$16*--($D20&lt;=1)
+Assumptions!$K$8*'Results (i) to (iii)'!$C$16*--($D20&lt;=Assumptions!$K$15/12))</f>
        <v>52989.568436790956</v>
      </c>
      <c r="AA20" s="36">
        <f>Z20*Assumptions!$B$11</f>
        <v>10597.913687358192</v>
      </c>
      <c r="AB20" s="39">
        <f t="shared" si="8"/>
        <v>42391.654749432768</v>
      </c>
      <c r="AC20" s="88">
        <f t="shared" si="9"/>
        <v>-1994995.2004530623</v>
      </c>
      <c r="AD20" s="88">
        <f>Assumptions!$B$23*R20</f>
        <v>1156391.8261249335</v>
      </c>
      <c r="AE20" s="88">
        <f t="shared" si="11"/>
        <v>-838603.37432812876</v>
      </c>
    </row>
    <row r="21" spans="1:31" x14ac:dyDescent="0.25">
      <c r="A21" s="1">
        <f t="shared" si="10"/>
        <v>16</v>
      </c>
      <c r="B21" s="30" t="s">
        <v>28</v>
      </c>
      <c r="C21" s="31">
        <f t="shared" si="3"/>
        <v>16</v>
      </c>
      <c r="D21" s="32">
        <f t="shared" si="1"/>
        <v>1.3333333333333333</v>
      </c>
      <c r="E21" s="32">
        <f t="shared" si="4"/>
        <v>8.3333333333333259E-2</v>
      </c>
      <c r="F21" s="31">
        <f t="shared" si="5"/>
        <v>0</v>
      </c>
      <c r="G21" s="36">
        <f>(G20*($K20/$K19)-L20)*(1+Assumptions!$B$15)^$F21</f>
        <v>740713863.67666948</v>
      </c>
      <c r="H21" s="36">
        <f>$H$6/$G$6*G21*(1+Assumptions!$B$16)^INT((C21-1)/12)*IF(B21="Monthly",1,12)</f>
        <v>66664.247730900257</v>
      </c>
      <c r="I21" s="100">
        <f>Assumptions!$B$14*(1+Assumptions!$K$10*--($D21&lt;=Assumptions!$K$15/12))</f>
        <v>0.22499999999999998</v>
      </c>
      <c r="J21" s="40">
        <f t="shared" si="6"/>
        <v>2.1017019131472581E-2</v>
      </c>
      <c r="K21" s="35">
        <f t="shared" si="7"/>
        <v>0.71187258813051324</v>
      </c>
      <c r="L21" s="93">
        <f>H21*Assumptions!$B$7*(1
+Assumptions!$K$7*'Results (i) to (iii)'!$C$16*--($D21&lt;=1)
+Assumptions!$K$8*'Results (i) to (iii)'!$C$16*--($D21&lt;=Assumptions!$K$15/12))
+$G21*Assumptions!$K$9*$E21*'Results (i) to (iii)'!$C$16*--($D21&lt;=2)</f>
        <v>63362.791054947986</v>
      </c>
      <c r="M21" s="36">
        <f>L21*Assumptions!$B$11</f>
        <v>12672.558210989599</v>
      </c>
      <c r="N21" s="36">
        <f>H21*Assumptions!$B$11</f>
        <v>13332.849546180052</v>
      </c>
      <c r="O21" s="36">
        <f>N21*Assumptions!$B$12</f>
        <v>1333.2849546180053</v>
      </c>
      <c r="P21" s="36">
        <f>H21*Assumptions!$B$9</f>
        <v>5333.139818472021</v>
      </c>
      <c r="Q21" s="103">
        <f>H21*Assumptions!$B$8*(1+Assumptions!$K$11*--($D21&lt;=Assumptions!$K$15/12))</f>
        <v>3666.5336251995145</v>
      </c>
      <c r="R21" s="37">
        <f>(R22)/((1+Assumptions!$B$21)^$E22)+H22/IF(H$3="EOP",((1+Assumptions!$B$21)^$E22),1)</f>
        <v>7658357.1278372901</v>
      </c>
      <c r="S21" s="36">
        <f>(S22)/((1+Assumptions!$B$21)^$E22)+L22/IF(L$3="EOP",((1+Assumptions!$B$21)^$E22),1)</f>
        <v>4050378.1291904543</v>
      </c>
      <c r="T21" s="36">
        <f>(T22)/((1+Assumptions!$B$21)^$E22)+M22/IF(M$3="EOP",((1+Assumptions!$B$21)^$E22),1)</f>
        <v>810075.6258380909</v>
      </c>
      <c r="U21" s="36">
        <f>(U22)/((1+Assumptions!$B$21)^$E22)+N22/IF(N$3="EOP",((1+Assumptions!$B$21)^$E22),1)</f>
        <v>1531671.4255674584</v>
      </c>
      <c r="V21" s="36">
        <f>(V22)/((1+Assumptions!$B$21)^$E22)+O22/IF(O$3="EOP",((1+Assumptions!$B$21)^$E22),1)</f>
        <v>153167.14255674576</v>
      </c>
      <c r="W21" s="36">
        <f>(W22)/((1+Assumptions!$B$21)^$E22)+P22/IF(P$3="EOP",((1+Assumptions!$B$21)^$E22),1)</f>
        <v>612668.57022698305</v>
      </c>
      <c r="X21" s="36">
        <f>(X22)/((1+Assumptions!$B$21)^$E22)+Q22/IF(Q$3="EOP",((1+Assumptions!$B$21)^$E22),1)</f>
        <v>380374.62445857696</v>
      </c>
      <c r="Y21" s="38">
        <f t="shared" si="2"/>
        <v>-2046507.1467886535</v>
      </c>
      <c r="Z21" s="93">
        <f>H22*Assumptions!$B$7*Assumptions!$B$25/$E22/12*(1
+Assumptions!$K$7*'Results (i) to (iii)'!$C$16*--($D21&lt;=1)
+Assumptions!$K$8*'Results (i) to (iii)'!$C$16*--($D21&lt;=Assumptions!$K$15/12))</f>
        <v>51871.35278332865</v>
      </c>
      <c r="AA21" s="36">
        <f>Z21*Assumptions!$B$11</f>
        <v>10374.270556665731</v>
      </c>
      <c r="AB21" s="39">
        <f t="shared" si="8"/>
        <v>41497.082226662918</v>
      </c>
      <c r="AC21" s="88">
        <f t="shared" si="9"/>
        <v>-2005010.0645619906</v>
      </c>
      <c r="AD21" s="88">
        <f>Assumptions!$B$23*R21</f>
        <v>1148753.5691755936</v>
      </c>
      <c r="AE21" s="88">
        <f t="shared" si="11"/>
        <v>-856256.495386397</v>
      </c>
    </row>
    <row r="22" spans="1:31" x14ac:dyDescent="0.25">
      <c r="A22" s="1">
        <f t="shared" si="10"/>
        <v>17</v>
      </c>
      <c r="B22" s="30" t="s">
        <v>28</v>
      </c>
      <c r="C22" s="31">
        <f t="shared" si="3"/>
        <v>17</v>
      </c>
      <c r="D22" s="32">
        <f t="shared" si="1"/>
        <v>1.4166666666666667</v>
      </c>
      <c r="E22" s="32">
        <f t="shared" si="4"/>
        <v>8.3333333333333481E-2</v>
      </c>
      <c r="F22" s="31">
        <f t="shared" si="5"/>
        <v>0</v>
      </c>
      <c r="G22" s="36">
        <f>(G21*($K21/$K20)-L21)*(1+Assumptions!$B$15)^$F22</f>
        <v>725082903.44177508</v>
      </c>
      <c r="H22" s="36">
        <f>$H$6/$G$6*G22*(1+Assumptions!$B$16)^INT((C22-1)/12)*IF(B22="Monthly",1,12)</f>
        <v>65257.461309759761</v>
      </c>
      <c r="I22" s="100">
        <f>Assumptions!$B$14*(1+Assumptions!$K$10*--($D22&lt;=Assumptions!$K$15/12))</f>
        <v>0.22499999999999998</v>
      </c>
      <c r="J22" s="40">
        <f t="shared" si="6"/>
        <v>2.1017019131472581E-2</v>
      </c>
      <c r="K22" s="35">
        <f t="shared" si="7"/>
        <v>0.69691114832660339</v>
      </c>
      <c r="L22" s="93">
        <f>H22*Assumptions!$B$7*(1
+Assumptions!$K$7*'Results (i) to (iii)'!$C$16*--($D22&lt;=1)
+Assumptions!$K$8*'Results (i) to (iii)'!$C$16*--($D22&lt;=Assumptions!$K$15/12))
+$G22*Assumptions!$K$9*$E22*'Results (i) to (iii)'!$C$16*--($D22&lt;=2)</f>
        <v>62025.673828012819</v>
      </c>
      <c r="M22" s="36">
        <f>L22*Assumptions!$B$11</f>
        <v>12405.134765602565</v>
      </c>
      <c r="N22" s="36">
        <f>H22*Assumptions!$B$11</f>
        <v>13051.492261951953</v>
      </c>
      <c r="O22" s="36">
        <f>N22*Assumptions!$B$12</f>
        <v>1305.1492261951953</v>
      </c>
      <c r="P22" s="36">
        <f>H22*Assumptions!$B$9</f>
        <v>5220.5969047807812</v>
      </c>
      <c r="Q22" s="103">
        <f>H22*Assumptions!$B$8*(1+Assumptions!$K$11*--($D22&lt;=Assumptions!$K$15/12))</f>
        <v>3589.1603720367875</v>
      </c>
      <c r="R22" s="37">
        <f>(R23)/((1+Assumptions!$B$21)^$E23)+H23/IF(H$3="EOP",((1+Assumptions!$B$21)^$E23),1)</f>
        <v>7608740.208621176</v>
      </c>
      <c r="S22" s="36">
        <f>(S23)/((1+Assumptions!$B$21)^$E23)+L23/IF(L$3="EOP",((1+Assumptions!$B$21)^$E23),1)</f>
        <v>3996695.5711395266</v>
      </c>
      <c r="T22" s="36">
        <f>(T23)/((1+Assumptions!$B$21)^$E23)+M23/IF(M$3="EOP",((1+Assumptions!$B$21)^$E23),1)</f>
        <v>799339.11422790529</v>
      </c>
      <c r="U22" s="36">
        <f>(U23)/((1+Assumptions!$B$21)^$E23)+N23/IF(N$3="EOP",((1+Assumptions!$B$21)^$E23),1)</f>
        <v>1521748.0417242355</v>
      </c>
      <c r="V22" s="36">
        <f>(V23)/((1+Assumptions!$B$21)^$E23)+O23/IF(O$3="EOP",((1+Assumptions!$B$21)^$E23),1)</f>
        <v>152174.80417242346</v>
      </c>
      <c r="W22" s="36">
        <f>(W23)/((1+Assumptions!$B$21)^$E23)+P23/IF(P$3="EOP",((1+Assumptions!$B$21)^$E23),1)</f>
        <v>608699.21668969386</v>
      </c>
      <c r="X22" s="36">
        <f>(X23)/((1+Assumptions!$B$21)^$E23)+Q23/IF(Q$3="EOP",((1+Assumptions!$B$21)^$E23),1)</f>
        <v>377568.97353412781</v>
      </c>
      <c r="Y22" s="38">
        <f t="shared" si="2"/>
        <v>-2055542.3239339208</v>
      </c>
      <c r="Z22" s="93">
        <f>H23*Assumptions!$B$7*Assumptions!$B$25/$E23/12*(1
+Assumptions!$K$7*'Results (i) to (iii)'!$C$16*--($D22&lt;=1)
+Assumptions!$K$8*'Results (i) to (iii)'!$C$16*--($D22&lt;=Assumptions!$K$15/12))</f>
        <v>50776.734345026794</v>
      </c>
      <c r="AA22" s="36">
        <f>Z22*Assumptions!$B$11</f>
        <v>10155.34686900536</v>
      </c>
      <c r="AB22" s="39">
        <f t="shared" si="8"/>
        <v>40621.387476021438</v>
      </c>
      <c r="AC22" s="88">
        <f t="shared" si="9"/>
        <v>-2014920.9364578994</v>
      </c>
      <c r="AD22" s="88">
        <f>Assumptions!$B$23*R22</f>
        <v>1141311.0312931763</v>
      </c>
      <c r="AE22" s="88">
        <f t="shared" si="11"/>
        <v>-873609.90516472305</v>
      </c>
    </row>
    <row r="23" spans="1:31" x14ac:dyDescent="0.25">
      <c r="A23" s="1">
        <f t="shared" si="10"/>
        <v>18</v>
      </c>
      <c r="B23" s="30" t="s">
        <v>28</v>
      </c>
      <c r="C23" s="31">
        <f t="shared" si="3"/>
        <v>18</v>
      </c>
      <c r="D23" s="32">
        <f t="shared" si="1"/>
        <v>1.5</v>
      </c>
      <c r="E23" s="32">
        <f t="shared" si="4"/>
        <v>8.3333333333333259E-2</v>
      </c>
      <c r="F23" s="31">
        <f t="shared" si="5"/>
        <v>0</v>
      </c>
      <c r="G23" s="36">
        <f>(G22*($K22/$K21)-L22)*(1+Assumptions!$B$15)^$F23</f>
        <v>709781796.51440763</v>
      </c>
      <c r="H23" s="36">
        <f>$H$6/$G$6*G23*(1+Assumptions!$B$16)^INT((C23-1)/12)*IF(B23="Monthly",1,12)</f>
        <v>63880.361686296688</v>
      </c>
      <c r="I23" s="100">
        <f>Assumptions!$B$14*(1+Assumptions!$K$10*--($D23&lt;=Assumptions!$K$15/12))</f>
        <v>0.22499999999999998</v>
      </c>
      <c r="J23" s="40">
        <f t="shared" si="6"/>
        <v>2.1017019131472581E-2</v>
      </c>
      <c r="K23" s="35">
        <f t="shared" si="7"/>
        <v>0.68226415338928659</v>
      </c>
      <c r="L23" s="93">
        <f>H23*Assumptions!$B$7*(1
+Assumptions!$K$7*'Results (i) to (iii)'!$C$16*--($D23&lt;=1)
+Assumptions!$K$8*'Results (i) to (iii)'!$C$16*--($D23&lt;=Assumptions!$K$15/12))
+$G23*Assumptions!$K$9*$E23*'Results (i) to (iii)'!$C$16*--($D23&lt;=2)</f>
        <v>60716.77320026455</v>
      </c>
      <c r="M23" s="36">
        <f>L23*Assumptions!$B$11</f>
        <v>12143.35464005291</v>
      </c>
      <c r="N23" s="36">
        <f>H23*Assumptions!$B$11</f>
        <v>12776.072337259338</v>
      </c>
      <c r="O23" s="36">
        <f>N23*Assumptions!$B$12</f>
        <v>1277.6072337259338</v>
      </c>
      <c r="P23" s="36">
        <f>H23*Assumptions!$B$9</f>
        <v>5110.4289349037354</v>
      </c>
      <c r="Q23" s="103">
        <f>H23*Assumptions!$B$8*(1+Assumptions!$K$11*--($D23&lt;=Assumptions!$K$15/12))</f>
        <v>3513.4198927463185</v>
      </c>
      <c r="R23" s="37">
        <f>(R24)/((1+Assumptions!$B$21)^$E24)+H24/IF(H$3="EOP",((1+Assumptions!$B$21)^$E24),1)</f>
        <v>7560401.0228984756</v>
      </c>
      <c r="S23" s="36">
        <f>(S24)/((1+Assumptions!$B$21)^$E24)+L24/IF(L$3="EOP",((1+Assumptions!$B$21)^$E24),1)</f>
        <v>3944211.3364362153</v>
      </c>
      <c r="T23" s="36">
        <f>(T24)/((1+Assumptions!$B$21)^$E24)+M24/IF(M$3="EOP",((1+Assumptions!$B$21)^$E24),1)</f>
        <v>788842.26728724292</v>
      </c>
      <c r="U23" s="36">
        <f>(U24)/((1+Assumptions!$B$21)^$E24)+N24/IF(N$3="EOP",((1+Assumptions!$B$21)^$E24),1)</f>
        <v>1512080.2045796956</v>
      </c>
      <c r="V23" s="36">
        <f>(V24)/((1+Assumptions!$B$21)^$E24)+O24/IF(O$3="EOP",((1+Assumptions!$B$21)^$E24),1)</f>
        <v>151208.02045796948</v>
      </c>
      <c r="W23" s="36">
        <f>(W24)/((1+Assumptions!$B$21)^$E24)+P24/IF(P$3="EOP",((1+Assumptions!$B$21)^$E24),1)</f>
        <v>604832.08183187793</v>
      </c>
      <c r="X23" s="36">
        <f>(X24)/((1+Assumptions!$B$21)^$E24)+Q24/IF(Q$3="EOP",((1+Assumptions!$B$21)^$E24),1)</f>
        <v>374833.28390743438</v>
      </c>
      <c r="Y23" s="38">
        <f t="shared" si="2"/>
        <v>-2064494.4038884644</v>
      </c>
      <c r="Z23" s="93">
        <f>H24*Assumptions!$B$7*Assumptions!$B$25/$E24/12*(1
+Assumptions!$K$7*'Results (i) to (iii)'!$C$16*--($D23&lt;=1)
+Assumptions!$K$8*'Results (i) to (iii)'!$C$16*--($D23&lt;=Assumptions!$K$15/12))</f>
        <v>49705.215160188942</v>
      </c>
      <c r="AA23" s="36">
        <f>Z23*Assumptions!$B$11</f>
        <v>9941.0430320377891</v>
      </c>
      <c r="AB23" s="39">
        <f t="shared" si="8"/>
        <v>39764.172128151156</v>
      </c>
      <c r="AC23" s="88">
        <f t="shared" si="9"/>
        <v>-2024730.2317603133</v>
      </c>
      <c r="AD23" s="88">
        <f>Assumptions!$B$23*R23</f>
        <v>1134060.1534347713</v>
      </c>
      <c r="AE23" s="88">
        <f t="shared" si="11"/>
        <v>-890670.07832554192</v>
      </c>
    </row>
    <row r="24" spans="1:31" x14ac:dyDescent="0.25">
      <c r="A24" s="1">
        <f t="shared" si="10"/>
        <v>19</v>
      </c>
      <c r="B24" s="30" t="s">
        <v>28</v>
      </c>
      <c r="C24" s="31">
        <f t="shared" si="3"/>
        <v>19</v>
      </c>
      <c r="D24" s="32">
        <f t="shared" si="1"/>
        <v>1.5833333333333333</v>
      </c>
      <c r="E24" s="32">
        <f t="shared" si="4"/>
        <v>8.3333333333333259E-2</v>
      </c>
      <c r="F24" s="31">
        <f t="shared" si="5"/>
        <v>0</v>
      </c>
      <c r="G24" s="36">
        <f>(G23*($K23/$K22)-L23)*(1+Assumptions!$B$15)^$F24</f>
        <v>694803582.14469302</v>
      </c>
      <c r="H24" s="36">
        <f>$H$6/$G$6*G24*(1+Assumptions!$B$16)^INT((C24-1)/12)*IF(B24="Monthly",1,12)</f>
        <v>62532.322393022376</v>
      </c>
      <c r="I24" s="100">
        <f>Assumptions!$B$14*(1+Assumptions!$K$10*--($D24&lt;=Assumptions!$K$15/12))</f>
        <v>0.22499999999999998</v>
      </c>
      <c r="J24" s="40">
        <f t="shared" si="6"/>
        <v>2.1017019131472581E-2</v>
      </c>
      <c r="K24" s="35">
        <f t="shared" si="7"/>
        <v>0.66792499462478605</v>
      </c>
      <c r="L24" s="93">
        <f>H24*Assumptions!$B$7*(1
+Assumptions!$K$7*'Results (i) to (iii)'!$C$16*--($D24&lt;=1)
+Assumptions!$K$8*'Results (i) to (iii)'!$C$16*--($D24&lt;=Assumptions!$K$15/12))
+$G24*Assumptions!$K$9*$E24*'Results (i) to (iii)'!$C$16*--($D24&lt;=2)</f>
        <v>59435.493729169459</v>
      </c>
      <c r="M24" s="36">
        <f>L24*Assumptions!$B$11</f>
        <v>11887.098745833893</v>
      </c>
      <c r="N24" s="36">
        <f>H24*Assumptions!$B$11</f>
        <v>12506.464478604476</v>
      </c>
      <c r="O24" s="36">
        <f>N24*Assumptions!$B$12</f>
        <v>1250.6464478604476</v>
      </c>
      <c r="P24" s="36">
        <f>H24*Assumptions!$B$9</f>
        <v>5002.5857914417902</v>
      </c>
      <c r="Q24" s="103">
        <f>H24*Assumptions!$B$8*(1+Assumptions!$K$11*--($D24&lt;=Assumptions!$K$15/12))</f>
        <v>3439.277731616231</v>
      </c>
      <c r="R24" s="37">
        <f>(R25)/((1+Assumptions!$B$21)^$E25)+H25/IF(H$3="EOP",((1+Assumptions!$B$21)^$E25),1)</f>
        <v>7513313.0824012728</v>
      </c>
      <c r="S24" s="36">
        <f>(S25)/((1+Assumptions!$B$21)^$E25)+L25/IF(L$3="EOP",((1+Assumptions!$B$21)^$E25),1)</f>
        <v>3892900.2722737622</v>
      </c>
      <c r="T24" s="36">
        <f>(T25)/((1+Assumptions!$B$21)^$E25)+M25/IF(M$3="EOP",((1+Assumptions!$B$21)^$E25),1)</f>
        <v>778580.05445475224</v>
      </c>
      <c r="U24" s="36">
        <f>(U25)/((1+Assumptions!$B$21)^$E25)+N25/IF(N$3="EOP",((1+Assumptions!$B$21)^$E25),1)</f>
        <v>1502662.616480255</v>
      </c>
      <c r="V24" s="36">
        <f>(V25)/((1+Assumptions!$B$21)^$E25)+O25/IF(O$3="EOP",((1+Assumptions!$B$21)^$E25),1)</f>
        <v>150266.26164802542</v>
      </c>
      <c r="W24" s="36">
        <f>(W25)/((1+Assumptions!$B$21)^$E25)+P25/IF(P$3="EOP",((1+Assumptions!$B$21)^$E25),1)</f>
        <v>601065.04659210169</v>
      </c>
      <c r="X24" s="36">
        <f>(X25)/((1+Assumptions!$B$21)^$E25)+Q25/IF(Q$3="EOP",((1+Assumptions!$B$21)^$E25),1)</f>
        <v>372166.10136915493</v>
      </c>
      <c r="Y24" s="38">
        <f t="shared" si="2"/>
        <v>-2073365.3617887765</v>
      </c>
      <c r="Z24" s="93">
        <f>H25*Assumptions!$B$7*Assumptions!$B$25/$E25/12*(1
+Assumptions!$K$7*'Results (i) to (iii)'!$C$16*--($D24&lt;=1)
+Assumptions!$K$8*'Results (i) to (iii)'!$C$16*--($D24&lt;=Assumptions!$K$15/12))</f>
        <v>48656.307775386682</v>
      </c>
      <c r="AA24" s="36">
        <f>Z24*Assumptions!$B$11</f>
        <v>9731.2615550773371</v>
      </c>
      <c r="AB24" s="39">
        <f t="shared" si="8"/>
        <v>38925.046220309348</v>
      </c>
      <c r="AC24" s="88">
        <f t="shared" si="9"/>
        <v>-2034440.3155684671</v>
      </c>
      <c r="AD24" s="88">
        <f>Assumptions!$B$23*R24</f>
        <v>1126996.9623601909</v>
      </c>
      <c r="AE24" s="88">
        <f t="shared" si="11"/>
        <v>-907443.35320827621</v>
      </c>
    </row>
    <row r="25" spans="1:31" x14ac:dyDescent="0.25">
      <c r="A25" s="1">
        <f t="shared" si="10"/>
        <v>20</v>
      </c>
      <c r="B25" s="30" t="s">
        <v>28</v>
      </c>
      <c r="C25" s="31">
        <f t="shared" si="3"/>
        <v>20</v>
      </c>
      <c r="D25" s="32">
        <f t="shared" si="1"/>
        <v>1.6666666666666667</v>
      </c>
      <c r="E25" s="32">
        <f t="shared" si="4"/>
        <v>8.3333333333333481E-2</v>
      </c>
      <c r="F25" s="31">
        <f t="shared" si="5"/>
        <v>0</v>
      </c>
      <c r="G25" s="36">
        <f>(G24*($K24/$K23)-L24)*(1+Assumptions!$B$15)^$F25</f>
        <v>680141446.4724133</v>
      </c>
      <c r="H25" s="36">
        <f>$H$6/$G$6*G25*(1+Assumptions!$B$16)^INT((C25-1)/12)*IF(B25="Monthly",1,12)</f>
        <v>61212.730182517204</v>
      </c>
      <c r="I25" s="100">
        <f>Assumptions!$B$14*(1+Assumptions!$K$10*--($D25&lt;=Assumptions!$K$15/12))</f>
        <v>0.22499999999999998</v>
      </c>
      <c r="J25" s="40">
        <f t="shared" si="6"/>
        <v>2.1017019131472581E-2</v>
      </c>
      <c r="K25" s="35">
        <f t="shared" si="7"/>
        <v>0.65388720223436825</v>
      </c>
      <c r="L25" s="93">
        <f>H25*Assumptions!$B$7*(1
+Assumptions!$K$7*'Results (i) to (iii)'!$C$16*--($D25&lt;=1)
+Assumptions!$K$8*'Results (i) to (iii)'!$C$16*--($D25&lt;=Assumptions!$K$15/12))
+$G25*Assumptions!$K$9*$E25*'Results (i) to (iii)'!$C$16*--($D25&lt;=2)</f>
        <v>58181.252537556698</v>
      </c>
      <c r="M25" s="36">
        <f>L25*Assumptions!$B$11</f>
        <v>11636.25050751134</v>
      </c>
      <c r="N25" s="36">
        <f>H25*Assumptions!$B$11</f>
        <v>12242.546036503441</v>
      </c>
      <c r="O25" s="36">
        <f>N25*Assumptions!$B$12</f>
        <v>1224.2546036503443</v>
      </c>
      <c r="P25" s="36">
        <f>H25*Assumptions!$B$9</f>
        <v>4897.0184146013762</v>
      </c>
      <c r="Q25" s="103">
        <f>H25*Assumptions!$B$8*(1+Assumptions!$K$11*--($D25&lt;=Assumptions!$K$15/12))</f>
        <v>3366.7001600384465</v>
      </c>
      <c r="R25" s="37">
        <f>(R26)/((1+Assumptions!$B$21)^$E26)+H26/IF(H$3="EOP",((1+Assumptions!$B$21)^$E26),1)</f>
        <v>7467450.4588107653</v>
      </c>
      <c r="S25" s="36">
        <f>(S26)/((1+Assumptions!$B$21)^$E26)+L26/IF(L$3="EOP",((1+Assumptions!$B$21)^$E26),1)</f>
        <v>3842737.7569119167</v>
      </c>
      <c r="T25" s="36">
        <f>(T26)/((1+Assumptions!$B$21)^$E26)+M26/IF(M$3="EOP",((1+Assumptions!$B$21)^$E26),1)</f>
        <v>768547.5513823831</v>
      </c>
      <c r="U25" s="36">
        <f>(U26)/((1+Assumptions!$B$21)^$E26)+N26/IF(N$3="EOP",((1+Assumptions!$B$21)^$E26),1)</f>
        <v>1493490.0917621534</v>
      </c>
      <c r="V25" s="36">
        <f>(V26)/((1+Assumptions!$B$21)^$E26)+O26/IF(O$3="EOP",((1+Assumptions!$B$21)^$E26),1)</f>
        <v>149349.00917621527</v>
      </c>
      <c r="W25" s="36">
        <f>(W26)/((1+Assumptions!$B$21)^$E26)+P26/IF(P$3="EOP",((1+Assumptions!$B$21)^$E26),1)</f>
        <v>597396.03670486109</v>
      </c>
      <c r="X25" s="36">
        <f>(X26)/((1+Assumptions!$B$21)^$E26)+Q26/IF(Q$3="EOP",((1+Assumptions!$B$21)^$E26),1)</f>
        <v>369566.00244312268</v>
      </c>
      <c r="Y25" s="38">
        <f t="shared" si="2"/>
        <v>-2082157.1315473099</v>
      </c>
      <c r="Z25" s="93">
        <f>H26*Assumptions!$B$7*Assumptions!$B$25/$E26/12*(1
+Assumptions!$K$7*'Results (i) to (iii)'!$C$16*--($D25&lt;=1)
+Assumptions!$K$8*'Results (i) to (iii)'!$C$16*--($D25&lt;=Assumptions!$K$15/12))</f>
        <v>47629.535023708107</v>
      </c>
      <c r="AA25" s="36">
        <f>Z25*Assumptions!$B$11</f>
        <v>9525.9070047416226</v>
      </c>
      <c r="AB25" s="39">
        <f t="shared" si="8"/>
        <v>38103.628018966483</v>
      </c>
      <c r="AC25" s="88">
        <f t="shared" si="9"/>
        <v>-2044053.5035283435</v>
      </c>
      <c r="AD25" s="88">
        <f>Assumptions!$B$23*R25</f>
        <v>1120117.5688216148</v>
      </c>
      <c r="AE25" s="88">
        <f t="shared" si="11"/>
        <v>-923935.93470672867</v>
      </c>
    </row>
    <row r="26" spans="1:31" x14ac:dyDescent="0.25">
      <c r="A26" s="1">
        <f t="shared" si="10"/>
        <v>21</v>
      </c>
      <c r="B26" s="30" t="s">
        <v>28</v>
      </c>
      <c r="C26" s="31">
        <f t="shared" si="3"/>
        <v>21</v>
      </c>
      <c r="D26" s="32">
        <f t="shared" si="1"/>
        <v>1.75</v>
      </c>
      <c r="E26" s="32">
        <f t="shared" si="4"/>
        <v>8.3333333333333259E-2</v>
      </c>
      <c r="F26" s="31">
        <f t="shared" si="5"/>
        <v>0</v>
      </c>
      <c r="G26" s="36">
        <f>(G25*($K25/$K24)-L25)*(1+Assumptions!$B$15)^$F26</f>
        <v>665788719.42725766</v>
      </c>
      <c r="H26" s="36">
        <f>$H$6/$G$6*G26*(1+Assumptions!$B$16)^INT((C26-1)/12)*IF(B26="Monthly",1,12)</f>
        <v>59920.984748453193</v>
      </c>
      <c r="I26" s="100">
        <f>Assumptions!$B$14*(1+Assumptions!$K$10*--($D26&lt;=Assumptions!$K$15/12))</f>
        <v>0.22499999999999998</v>
      </c>
      <c r="J26" s="40">
        <f t="shared" si="6"/>
        <v>2.1017019131472581E-2</v>
      </c>
      <c r="K26" s="35">
        <f t="shared" si="7"/>
        <v>0.64014444239518342</v>
      </c>
      <c r="L26" s="93">
        <f>H26*Assumptions!$B$7*(1
+Assumptions!$K$7*'Results (i) to (iii)'!$C$16*--($D26&lt;=1)
+Assumptions!$K$8*'Results (i) to (iii)'!$C$16*--($D26&lt;=Assumptions!$K$15/12))
+$G26*Assumptions!$K$9*$E26*'Results (i) to (iii)'!$C$16*--($D26&lt;=2)</f>
        <v>56953.479048456844</v>
      </c>
      <c r="M26" s="36">
        <f>L26*Assumptions!$B$11</f>
        <v>11390.69580969137</v>
      </c>
      <c r="N26" s="36">
        <f>H26*Assumptions!$B$11</f>
        <v>11984.196949690639</v>
      </c>
      <c r="O26" s="36">
        <f>N26*Assumptions!$B$12</f>
        <v>1198.4196949690638</v>
      </c>
      <c r="P26" s="36">
        <f>H26*Assumptions!$B$9</f>
        <v>4793.6787798762552</v>
      </c>
      <c r="Q26" s="103">
        <f>H26*Assumptions!$B$8*(1+Assumptions!$K$11*--($D26&lt;=Assumptions!$K$15/12))</f>
        <v>3295.6541611649259</v>
      </c>
      <c r="R26" s="37">
        <f>(R27)/((1+Assumptions!$B$21)^$E27)+H27/IF(H$3="EOP",((1+Assumptions!$B$21)^$E27),1)</f>
        <v>7422787.7719429154</v>
      </c>
      <c r="S26" s="36">
        <f>(S27)/((1+Assumptions!$B$21)^$E27)+L27/IF(L$3="EOP",((1+Assumptions!$B$21)^$E27),1)</f>
        <v>3793699.6884706412</v>
      </c>
      <c r="T26" s="36">
        <f>(T27)/((1+Assumptions!$B$21)^$E27)+M27/IF(M$3="EOP",((1+Assumptions!$B$21)^$E27),1)</f>
        <v>758739.93769412802</v>
      </c>
      <c r="U26" s="36">
        <f>(U27)/((1+Assumptions!$B$21)^$E27)+N27/IF(N$3="EOP",((1+Assumptions!$B$21)^$E27),1)</f>
        <v>1484557.5543885834</v>
      </c>
      <c r="V26" s="36">
        <f>(V27)/((1+Assumptions!$B$21)^$E27)+O27/IF(O$3="EOP",((1+Assumptions!$B$21)^$E27),1)</f>
        <v>148455.75543885826</v>
      </c>
      <c r="W26" s="36">
        <f>(W27)/((1+Assumptions!$B$21)^$E27)+P27/IF(P$3="EOP",((1+Assumptions!$B$21)^$E27),1)</f>
        <v>593823.02175543306</v>
      </c>
      <c r="X26" s="36">
        <f>(X27)/((1+Assumptions!$B$21)^$E27)+Q27/IF(Q$3="EOP",((1+Assumptions!$B$21)^$E27),1)</f>
        <v>367031.59373789089</v>
      </c>
      <c r="Y26" s="38">
        <f t="shared" si="2"/>
        <v>-2090871.6067233523</v>
      </c>
      <c r="Z26" s="93">
        <f>H27*Assumptions!$B$7*Assumptions!$B$25/$E27/12*(1
+Assumptions!$K$7*'Results (i) to (iii)'!$C$16*--($D26&lt;=1)
+Assumptions!$K$8*'Results (i) to (iii)'!$C$16*--($D26&lt;=Assumptions!$K$15/12))</f>
        <v>46624.429807684937</v>
      </c>
      <c r="AA26" s="36">
        <f>Z26*Assumptions!$B$11</f>
        <v>9324.8859615369875</v>
      </c>
      <c r="AB26" s="39">
        <f t="shared" si="8"/>
        <v>37299.54384614795</v>
      </c>
      <c r="AC26" s="88">
        <f t="shared" si="9"/>
        <v>-2053572.0628772043</v>
      </c>
      <c r="AD26" s="88">
        <f>Assumptions!$B$23*R26</f>
        <v>1113418.1657914373</v>
      </c>
      <c r="AE26" s="88">
        <f t="shared" si="11"/>
        <v>-940153.89708576701</v>
      </c>
    </row>
    <row r="27" spans="1:31" x14ac:dyDescent="0.25">
      <c r="A27" s="1">
        <f t="shared" si="10"/>
        <v>22</v>
      </c>
      <c r="B27" s="30" t="s">
        <v>28</v>
      </c>
      <c r="C27" s="31">
        <f t="shared" si="3"/>
        <v>22</v>
      </c>
      <c r="D27" s="32">
        <f t="shared" si="1"/>
        <v>1.8333333333333333</v>
      </c>
      <c r="E27" s="32">
        <f t="shared" si="4"/>
        <v>8.3333333333333259E-2</v>
      </c>
      <c r="F27" s="31">
        <f t="shared" si="5"/>
        <v>0</v>
      </c>
      <c r="G27" s="36">
        <f>(G26*($K26/$K25)-L26)*(1+Assumptions!$B$15)^$F27</f>
        <v>651738871.69448781</v>
      </c>
      <c r="H27" s="36">
        <f>$H$6/$G$6*G27*(1+Assumptions!$B$16)^INT((C27-1)/12)*IF(B27="Monthly",1,12)</f>
        <v>58656.498452503904</v>
      </c>
      <c r="I27" s="100">
        <f>Assumptions!$B$14*(1+Assumptions!$K$10*--($D27&lt;=Assumptions!$K$15/12))</f>
        <v>0.22499999999999998</v>
      </c>
      <c r="J27" s="40">
        <f t="shared" si="6"/>
        <v>2.1017019131472581E-2</v>
      </c>
      <c r="K27" s="35">
        <f t="shared" si="7"/>
        <v>0.62669051440245804</v>
      </c>
      <c r="L27" s="93">
        <f>H27*Assumptions!$B$7*(1
+Assumptions!$K$7*'Results (i) to (iii)'!$C$16*--($D27&lt;=1)
+Assumptions!$K$8*'Results (i) to (iii)'!$C$16*--($D27&lt;=Assumptions!$K$15/12))
+$G27*Assumptions!$K$9*$E27*'Results (i) to (iii)'!$C$16*--($D27&lt;=2)</f>
        <v>55751.614725536696</v>
      </c>
      <c r="M27" s="36">
        <f>L27*Assumptions!$B$11</f>
        <v>11150.32294510734</v>
      </c>
      <c r="N27" s="36">
        <f>H27*Assumptions!$B$11</f>
        <v>11731.299690500782</v>
      </c>
      <c r="O27" s="36">
        <f>N27*Assumptions!$B$12</f>
        <v>1173.1299690500782</v>
      </c>
      <c r="P27" s="36">
        <f>H27*Assumptions!$B$9</f>
        <v>4692.519876200312</v>
      </c>
      <c r="Q27" s="103">
        <f>H27*Assumptions!$B$8*(1+Assumptions!$K$11*--($D27&lt;=Assumptions!$K$15/12))</f>
        <v>3226.1074148877155</v>
      </c>
      <c r="R27" s="37">
        <f>(R28)/((1+Assumptions!$B$21)^$E28)+H28/IF(H$3="EOP",((1+Assumptions!$B$21)^$E28),1)</f>
        <v>7379300.1781834299</v>
      </c>
      <c r="S27" s="36">
        <f>(S28)/((1+Assumptions!$B$21)^$E28)+L28/IF(L$3="EOP",((1+Assumptions!$B$21)^$E28),1)</f>
        <v>3745762.4739603074</v>
      </c>
      <c r="T27" s="36">
        <f>(T28)/((1+Assumptions!$B$21)^$E28)+M28/IF(M$3="EOP",((1+Assumptions!$B$21)^$E28),1)</f>
        <v>749152.49479206128</v>
      </c>
      <c r="U27" s="36">
        <f>(U28)/((1+Assumptions!$B$21)^$E28)+N28/IF(N$3="EOP",((1+Assumptions!$B$21)^$E28),1)</f>
        <v>1475860.0356366863</v>
      </c>
      <c r="V27" s="36">
        <f>(V28)/((1+Assumptions!$B$21)^$E28)+O28/IF(O$3="EOP",((1+Assumptions!$B$21)^$E28),1)</f>
        <v>147586.00356366855</v>
      </c>
      <c r="W27" s="36">
        <f>(W28)/((1+Assumptions!$B$21)^$E28)+P28/IF(P$3="EOP",((1+Assumptions!$B$21)^$E28),1)</f>
        <v>590344.0142546742</v>
      </c>
      <c r="X27" s="36">
        <f>(X28)/((1+Assumptions!$B$21)^$E28)+Q28/IF(Q$3="EOP",((1+Assumptions!$B$21)^$E28),1)</f>
        <v>364561.51131196268</v>
      </c>
      <c r="Y27" s="38">
        <f t="shared" si="2"/>
        <v>-2099510.6413755286</v>
      </c>
      <c r="Z27" s="93">
        <f>H28*Assumptions!$B$7*Assumptions!$B$25/$E28/12*(1
+Assumptions!$K$7*'Results (i) to (iii)'!$C$16*--($D27&lt;=1)
+Assumptions!$K$8*'Results (i) to (iii)'!$C$16*--($D27&lt;=Assumptions!$K$15/12))</f>
        <v>45640.534886802539</v>
      </c>
      <c r="AA27" s="36">
        <f>Z27*Assumptions!$B$11</f>
        <v>9128.1069773605086</v>
      </c>
      <c r="AB27" s="39">
        <f t="shared" si="8"/>
        <v>36512.427909442034</v>
      </c>
      <c r="AC27" s="88">
        <f t="shared" si="9"/>
        <v>-2062998.2134660867</v>
      </c>
      <c r="AD27" s="88">
        <f>Assumptions!$B$23*R27</f>
        <v>1106895.0267275143</v>
      </c>
      <c r="AE27" s="88">
        <f t="shared" si="11"/>
        <v>-956103.18673857232</v>
      </c>
    </row>
    <row r="28" spans="1:31" x14ac:dyDescent="0.25">
      <c r="A28" s="1">
        <f t="shared" si="10"/>
        <v>23</v>
      </c>
      <c r="B28" s="30" t="s">
        <v>28</v>
      </c>
      <c r="C28" s="31">
        <f t="shared" si="3"/>
        <v>23</v>
      </c>
      <c r="D28" s="32">
        <f t="shared" si="1"/>
        <v>1.9166666666666667</v>
      </c>
      <c r="E28" s="32">
        <f t="shared" si="4"/>
        <v>8.3333333333333481E-2</v>
      </c>
      <c r="F28" s="31">
        <f t="shared" si="5"/>
        <v>0</v>
      </c>
      <c r="G28" s="36">
        <f>(G27*($K27/$K26)-L27)*(1+Assumptions!$B$15)^$F28</f>
        <v>637985511.74463487</v>
      </c>
      <c r="H28" s="36">
        <f>$H$6/$G$6*G28*(1+Assumptions!$B$16)^INT((C28-1)/12)*IF(B28="Monthly",1,12)</f>
        <v>57418.696057017136</v>
      </c>
      <c r="I28" s="100">
        <f>Assumptions!$B$14*(1+Assumptions!$K$10*--($D28&lt;=Assumptions!$K$15/12))</f>
        <v>0.22499999999999998</v>
      </c>
      <c r="J28" s="40">
        <f t="shared" si="6"/>
        <v>2.1017019131472581E-2</v>
      </c>
      <c r="K28" s="35">
        <f t="shared" si="7"/>
        <v>0.61351934787174922</v>
      </c>
      <c r="L28" s="93">
        <f>H28*Assumptions!$B$7*(1
+Assumptions!$K$7*'Results (i) to (iii)'!$C$16*--($D28&lt;=1)
+Assumptions!$K$8*'Results (i) to (iii)'!$C$16*--($D28&lt;=Assumptions!$K$15/12))
+$G28*Assumptions!$K$9*$E28*'Results (i) to (iii)'!$C$16*--($D28&lt;=2)</f>
        <v>54575.112819010494</v>
      </c>
      <c r="M28" s="36">
        <f>L28*Assumptions!$B$11</f>
        <v>10915.0225638021</v>
      </c>
      <c r="N28" s="36">
        <f>H28*Assumptions!$B$11</f>
        <v>11483.739211403428</v>
      </c>
      <c r="O28" s="36">
        <f>N28*Assumptions!$B$12</f>
        <v>1148.3739211403429</v>
      </c>
      <c r="P28" s="36">
        <f>H28*Assumptions!$B$9</f>
        <v>4593.4956845613706</v>
      </c>
      <c r="Q28" s="103">
        <f>H28*Assumptions!$B$8*(1+Assumptions!$K$11*--($D28&lt;=Assumptions!$K$15/12))</f>
        <v>3158.0282831359432</v>
      </c>
      <c r="R28" s="37">
        <f>(R29)/((1+Assumptions!$B$21)^$E29)+H29/IF(H$3="EOP",((1+Assumptions!$B$21)^$E29),1)</f>
        <v>7336963.3591667889</v>
      </c>
      <c r="S28" s="36">
        <f>(S29)/((1+Assumptions!$B$21)^$E29)+L29/IF(L$3="EOP",((1+Assumptions!$B$21)^$E29),1)</f>
        <v>3698903.0185433771</v>
      </c>
      <c r="T28" s="36">
        <f>(T29)/((1+Assumptions!$B$21)^$E29)+M29/IF(M$3="EOP",((1+Assumptions!$B$21)^$E29),1)</f>
        <v>739780.60370867513</v>
      </c>
      <c r="U28" s="36">
        <f>(U29)/((1+Assumptions!$B$21)^$E29)+N29/IF(N$3="EOP",((1+Assumptions!$B$21)^$E29),1)</f>
        <v>1467392.6718333578</v>
      </c>
      <c r="V28" s="36">
        <f>(V29)/((1+Assumptions!$B$21)^$E29)+O29/IF(O$3="EOP",((1+Assumptions!$B$21)^$E29),1)</f>
        <v>146739.26718333573</v>
      </c>
      <c r="W28" s="36">
        <f>(W29)/((1+Assumptions!$B$21)^$E29)+P29/IF(P$3="EOP",((1+Assumptions!$B$21)^$E29),1)</f>
        <v>586957.06873334292</v>
      </c>
      <c r="X28" s="36">
        <f>(X29)/((1+Assumptions!$B$21)^$E29)+Q29/IF(Q$3="EOP",((1+Assumptions!$B$21)^$E29),1)</f>
        <v>362154.42005241587</v>
      </c>
      <c r="Y28" s="38">
        <f t="shared" si="2"/>
        <v>-2108076.0508963065</v>
      </c>
      <c r="Z28" s="93">
        <f>H29*Assumptions!$B$7*Assumptions!$B$25/$E29/12*(1
+Assumptions!$K$7*'Results (i) to (iii)'!$C$16*--($D28&lt;=1)
+Assumptions!$K$8*'Results (i) to (iii)'!$C$16*--($D28&lt;=Assumptions!$K$15/12))</f>
        <v>44677.402669492993</v>
      </c>
      <c r="AA28" s="36">
        <f>Z28*Assumptions!$B$11</f>
        <v>8935.4805338985989</v>
      </c>
      <c r="AB28" s="39">
        <f t="shared" si="8"/>
        <v>35741.922135594396</v>
      </c>
      <c r="AC28" s="88">
        <f t="shared" si="9"/>
        <v>-2072334.1287607122</v>
      </c>
      <c r="AD28" s="88">
        <f>Assumptions!$B$23*R28</f>
        <v>1100544.5038750183</v>
      </c>
      <c r="AE28" s="88">
        <f t="shared" si="11"/>
        <v>-971789.62488569389</v>
      </c>
    </row>
    <row r="29" spans="1:31" s="21" customFormat="1" x14ac:dyDescent="0.25">
      <c r="A29" s="21">
        <f t="shared" si="10"/>
        <v>24</v>
      </c>
      <c r="B29" s="41" t="s">
        <v>28</v>
      </c>
      <c r="C29" s="23">
        <f t="shared" si="3"/>
        <v>24</v>
      </c>
      <c r="D29" s="22">
        <f t="shared" si="1"/>
        <v>2</v>
      </c>
      <c r="E29" s="22">
        <f t="shared" si="4"/>
        <v>8.3333333333333259E-2</v>
      </c>
      <c r="F29" s="23">
        <f t="shared" si="5"/>
        <v>0</v>
      </c>
      <c r="G29" s="27">
        <f>(G28*($K28/$K27)-L28)*(1+Assumptions!$B$15)^$F29</f>
        <v>624522382.92587662</v>
      </c>
      <c r="H29" s="27">
        <f>$H$6/$G$6*G29*(1+Assumptions!$B$16)^INT((C29-1)/12)*IF(B29="Monthly",1,12)</f>
        <v>56207.014463328895</v>
      </c>
      <c r="I29" s="101">
        <f>Assumptions!$B$14*(1+Assumptions!$K$10*--($D29&lt;=Assumptions!$K$15/12))</f>
        <v>0.22499999999999998</v>
      </c>
      <c r="J29" s="42">
        <f t="shared" si="6"/>
        <v>2.1017019131472581E-2</v>
      </c>
      <c r="K29" s="43">
        <f t="shared" si="7"/>
        <v>0.60062500000000008</v>
      </c>
      <c r="L29" s="94">
        <f>H29*Assumptions!$B$7*(1
+Assumptions!$K$7*'Results (i) to (iii)'!$C$16*--($D29&lt;=1)
+Assumptions!$K$8*'Results (i) to (iii)'!$C$16*--($D29&lt;=Assumptions!$K$15/12))
+$G29*Assumptions!$K$9*$E29*'Results (i) to (iii)'!$C$16*--($D29&lt;=2)</f>
        <v>53423.438116913603</v>
      </c>
      <c r="M29" s="27">
        <f>L29*Assumptions!$B$11</f>
        <v>10684.687623382721</v>
      </c>
      <c r="N29" s="27">
        <f>H29*Assumptions!$B$11</f>
        <v>11241.402892665779</v>
      </c>
      <c r="O29" s="27">
        <f>N29*Assumptions!$B$12</f>
        <v>1124.1402892665781</v>
      </c>
      <c r="P29" s="27">
        <f>H29*Assumptions!$B$9</f>
        <v>4496.5611570663114</v>
      </c>
      <c r="Q29" s="104">
        <f>H29*Assumptions!$B$8*(1+Assumptions!$K$11*--($D29&lt;=Assumptions!$K$15/12))</f>
        <v>3091.3857954830896</v>
      </c>
      <c r="R29" s="26">
        <f>(R30)/((1+Assumptions!$B$21)^$E30)+H30/IF(H$3="EOP",((1+Assumptions!$B$21)^$E30),1)</f>
        <v>7295753.5106941676</v>
      </c>
      <c r="S29" s="27">
        <f>(S30)/((1+Assumptions!$B$21)^$E30)+L30/IF(L$3="EOP",((1+Assumptions!$B$21)^$E30),1)</f>
        <v>3653098.7150226901</v>
      </c>
      <c r="T29" s="27">
        <f>(T30)/((1+Assumptions!$B$21)^$E30)+M30/IF(M$3="EOP",((1+Assumptions!$B$21)^$E30),1)</f>
        <v>730619.74300453777</v>
      </c>
      <c r="U29" s="27">
        <f>(U30)/((1+Assumptions!$B$21)^$E30)+N30/IF(N$3="EOP",((1+Assumptions!$B$21)^$E30),1)</f>
        <v>1459150.7021388337</v>
      </c>
      <c r="V29" s="27">
        <f>(V30)/((1+Assumptions!$B$21)^$E30)+O30/IF(O$3="EOP",((1+Assumptions!$B$21)^$E30),1)</f>
        <v>145915.07021388333</v>
      </c>
      <c r="W29" s="27">
        <f>(W30)/((1+Assumptions!$B$21)^$E30)+P30/IF(P$3="EOP",((1+Assumptions!$B$21)^$E30),1)</f>
        <v>583660.28085553332</v>
      </c>
      <c r="X29" s="27">
        <f>(X30)/((1+Assumptions!$B$21)^$E30)+Q30/IF(Q$3="EOP",((1+Assumptions!$B$21)^$E30),1)</f>
        <v>359809.01306664065</v>
      </c>
      <c r="Y29" s="28">
        <f t="shared" si="2"/>
        <v>-2116569.6128288908</v>
      </c>
      <c r="Z29" s="94">
        <f>H30*Assumptions!$B$7*Assumptions!$B$25/$E30/12*(1
+Assumptions!$K$7*'Results (i) to (iii)'!$C$16*--($D29&lt;=1)
+Assumptions!$K$8*'Results (i) to (iii)'!$C$16*--($D29&lt;=Assumptions!$K$15/12))</f>
        <v>48178.029862483178</v>
      </c>
      <c r="AA29" s="27">
        <f>Z29*Assumptions!$B$11</f>
        <v>9635.6059724966362</v>
      </c>
      <c r="AB29" s="29">
        <f t="shared" si="8"/>
        <v>38542.423889986545</v>
      </c>
      <c r="AC29" s="87">
        <f t="shared" si="9"/>
        <v>-2078027.1889389043</v>
      </c>
      <c r="AD29" s="87">
        <f>Assumptions!$B$23*R29</f>
        <v>1094363.026604125</v>
      </c>
      <c r="AE29" s="87">
        <f t="shared" si="11"/>
        <v>-983664.16233477928</v>
      </c>
    </row>
    <row r="30" spans="1:31" x14ac:dyDescent="0.25">
      <c r="A30" s="1">
        <f t="shared" si="10"/>
        <v>25</v>
      </c>
      <c r="B30" s="30" t="s">
        <v>28</v>
      </c>
      <c r="C30" s="31">
        <f t="shared" si="3"/>
        <v>25</v>
      </c>
      <c r="D30" s="32">
        <f t="shared" si="1"/>
        <v>2.0833333333333335</v>
      </c>
      <c r="E30" s="32">
        <f t="shared" si="4"/>
        <v>8.3333333333333481E-2</v>
      </c>
      <c r="F30" s="31">
        <f t="shared" si="5"/>
        <v>1</v>
      </c>
      <c r="G30" s="36">
        <f>(G29*($K29/$K28)-L29)*(1+Assumptions!$B$15)^$F30</f>
        <v>623570227.83012927</v>
      </c>
      <c r="H30" s="36">
        <f>$H$6/$G$6*G30*(1+Assumptions!$B$16)^INT((C30-1)/12)*IF(B30="Monthly",1,12)</f>
        <v>60611.026145088574</v>
      </c>
      <c r="I30" s="100">
        <f>Assumptions!$B$14*(1+Assumptions!$K$10*--($D30&lt;=Assumptions!$K$15/12))</f>
        <v>0.22499999999999998</v>
      </c>
      <c r="J30" s="40">
        <f t="shared" si="6"/>
        <v>2.1017019131472581E-2</v>
      </c>
      <c r="K30" s="35">
        <f t="shared" si="7"/>
        <v>0.5880016528841594</v>
      </c>
      <c r="L30" s="93">
        <f>H30*Assumptions!$B$7*(1
+Assumptions!$K$7*'Results (i) to (iii)'!$C$16*--($D30&lt;=1)
+Assumptions!$K$8*'Results (i) to (iii)'!$C$16*--($D30&lt;=Assumptions!$K$15/12))
+$G30*Assumptions!$K$9*$E30*'Results (i) to (iii)'!$C$16*--($D30&lt;=2)</f>
        <v>38542.423889986603</v>
      </c>
      <c r="M30" s="36">
        <f>L30*Assumptions!$B$11</f>
        <v>7708.4847779973206</v>
      </c>
      <c r="N30" s="36">
        <f>H30*Assumptions!$B$11</f>
        <v>12122.205229017716</v>
      </c>
      <c r="O30" s="36">
        <f>N30*Assumptions!$B$12</f>
        <v>1212.2205229017716</v>
      </c>
      <c r="P30" s="36">
        <f>H30*Assumptions!$B$9</f>
        <v>4848.8820916070863</v>
      </c>
      <c r="Q30" s="103">
        <f>H30*Assumptions!$B$8*(1+Assumptions!$K$11*--($D30&lt;=Assumptions!$K$15/12))</f>
        <v>3333.6064379798722</v>
      </c>
      <c r="R30" s="37">
        <f>(R31)/((1+Assumptions!$B$21)^$E31)+H31/IF(H$3="EOP",((1+Assumptions!$B$21)^$E31),1)</f>
        <v>7250045.6934562353</v>
      </c>
      <c r="S30" s="36">
        <f>(S31)/((1+Assumptions!$B$21)^$E31)+L31/IF(L$3="EOP",((1+Assumptions!$B$21)^$E31),1)</f>
        <v>3622081.0763632241</v>
      </c>
      <c r="T30" s="36">
        <f>(T31)/((1+Assumptions!$B$21)^$E31)+M31/IF(M$3="EOP",((1+Assumptions!$B$21)^$E31),1)</f>
        <v>724416.21527264453</v>
      </c>
      <c r="U30" s="36">
        <f>(U31)/((1+Assumptions!$B$21)^$E31)+N31/IF(N$3="EOP",((1+Assumptions!$B$21)^$E31),1)</f>
        <v>1450009.1386912472</v>
      </c>
      <c r="V30" s="36">
        <f>(V31)/((1+Assumptions!$B$21)^$E31)+O31/IF(O$3="EOP",((1+Assumptions!$B$21)^$E31),1)</f>
        <v>145000.91386912466</v>
      </c>
      <c r="W30" s="36">
        <f>(W31)/((1+Assumptions!$B$21)^$E31)+P31/IF(P$3="EOP",((1+Assumptions!$B$21)^$E31),1)</f>
        <v>580003.65547649865</v>
      </c>
      <c r="X30" s="36">
        <f>(X31)/((1+Assumptions!$B$21)^$E31)+Q31/IF(Q$3="EOP",((1+Assumptions!$B$21)^$E31),1)</f>
        <v>357216.55428399186</v>
      </c>
      <c r="Y30" s="38">
        <f t="shared" si="2"/>
        <v>-2110152.3977830433</v>
      </c>
      <c r="Z30" s="93">
        <f>H31*Assumptions!$B$7*Assumptions!$B$25/$E31/12*(1
+Assumptions!$K$7*'Results (i) to (iii)'!$C$16*--($D30&lt;=1)
+Assumptions!$K$8*'Results (i) to (iii)'!$C$16*--($D30&lt;=Assumptions!$K$15/12))</f>
        <v>47162.493438035068</v>
      </c>
      <c r="AA30" s="36">
        <f>Z30*Assumptions!$B$11</f>
        <v>9432.4986876070143</v>
      </c>
      <c r="AB30" s="39">
        <f t="shared" si="8"/>
        <v>37729.994750428057</v>
      </c>
      <c r="AC30" s="88">
        <f t="shared" si="9"/>
        <v>-2072422.4030326153</v>
      </c>
      <c r="AD30" s="88">
        <f>Assumptions!$B$23*R30</f>
        <v>1087506.8540184353</v>
      </c>
      <c r="AE30" s="88">
        <f t="shared" si="11"/>
        <v>-984915.54901417997</v>
      </c>
    </row>
    <row r="31" spans="1:31" x14ac:dyDescent="0.25">
      <c r="A31" s="1">
        <f t="shared" si="10"/>
        <v>26</v>
      </c>
      <c r="B31" s="30" t="s">
        <v>28</v>
      </c>
      <c r="C31" s="31">
        <f t="shared" si="3"/>
        <v>26</v>
      </c>
      <c r="D31" s="32">
        <f t="shared" si="1"/>
        <v>2.1666666666666665</v>
      </c>
      <c r="E31" s="32">
        <f t="shared" si="4"/>
        <v>8.3333333333333037E-2</v>
      </c>
      <c r="F31" s="31">
        <f t="shared" si="5"/>
        <v>0</v>
      </c>
      <c r="G31" s="36">
        <f>(G30*($K30/$K29)-L30)*(1+Assumptions!$B$15)^$F31</f>
        <v>610426097.99811685</v>
      </c>
      <c r="H31" s="36">
        <f>$H$6/$G$6*G31*(1+Assumptions!$B$16)^INT((C31-1)/12)*IF(B31="Monthly",1,12)</f>
        <v>59333.416725416959</v>
      </c>
      <c r="I31" s="100">
        <f>Assumptions!$B$14*(1+Assumptions!$K$10*--($D31&lt;=Assumptions!$K$15/12))</f>
        <v>0.22499999999999998</v>
      </c>
      <c r="J31" s="40">
        <f t="shared" si="6"/>
        <v>2.101701913147247E-2</v>
      </c>
      <c r="K31" s="35">
        <f t="shared" si="7"/>
        <v>0.57564361089615557</v>
      </c>
      <c r="L31" s="93">
        <f>H31*Assumptions!$B$7*(1
+Assumptions!$K$7*'Results (i) to (iii)'!$C$16*--($D31&lt;=1)
+Assumptions!$K$8*'Results (i) to (iii)'!$C$16*--($D31&lt;=Assumptions!$K$15/12))
+$G31*Assumptions!$K$9*$E31*'Results (i) to (iii)'!$C$16*--($D31&lt;=2)</f>
        <v>37729.994750427919</v>
      </c>
      <c r="M31" s="36">
        <f>L31*Assumptions!$B$11</f>
        <v>7545.9989500855845</v>
      </c>
      <c r="N31" s="36">
        <f>H31*Assumptions!$B$11</f>
        <v>11866.683345083393</v>
      </c>
      <c r="O31" s="36">
        <f>N31*Assumptions!$B$12</f>
        <v>1186.6683345083393</v>
      </c>
      <c r="P31" s="36">
        <f>H31*Assumptions!$B$9</f>
        <v>4746.6733380333571</v>
      </c>
      <c r="Q31" s="103">
        <f>H31*Assumptions!$B$8*(1+Assumptions!$K$11*--($D31&lt;=Assumptions!$K$15/12))</f>
        <v>3263.3379198979333</v>
      </c>
      <c r="R31" s="37">
        <f>(R32)/((1+Assumptions!$B$21)^$E32)+H32/IF(H$3="EOP",((1+Assumptions!$B$21)^$E32),1)</f>
        <v>7205523.9666844327</v>
      </c>
      <c r="S31" s="36">
        <f>(S32)/((1+Assumptions!$B$21)^$E32)+L32/IF(L$3="EOP",((1+Assumptions!$B$21)^$E32),1)</f>
        <v>3591811.9755862001</v>
      </c>
      <c r="T31" s="36">
        <f>(T32)/((1+Assumptions!$B$21)^$E32)+M32/IF(M$3="EOP",((1+Assumptions!$B$21)^$E32),1)</f>
        <v>718362.39511723968</v>
      </c>
      <c r="U31" s="36">
        <f>(U32)/((1+Assumptions!$B$21)^$E32)+N32/IF(N$3="EOP",((1+Assumptions!$B$21)^$E32),1)</f>
        <v>1441104.7933368864</v>
      </c>
      <c r="V31" s="36">
        <f>(V32)/((1+Assumptions!$B$21)^$E32)+O32/IF(O$3="EOP",((1+Assumptions!$B$21)^$E32),1)</f>
        <v>144110.47933368859</v>
      </c>
      <c r="W31" s="36">
        <f>(W32)/((1+Assumptions!$B$21)^$E32)+P32/IF(P$3="EOP",((1+Assumptions!$B$21)^$E32),1)</f>
        <v>576441.91733475437</v>
      </c>
      <c r="X31" s="36">
        <f>(X32)/((1+Assumptions!$B$21)^$E32)+Q32/IF(Q$3="EOP",((1+Assumptions!$B$21)^$E32),1)</f>
        <v>354689.02397879632</v>
      </c>
      <c r="Y31" s="38">
        <f t="shared" si="2"/>
        <v>-2103949.1308987238</v>
      </c>
      <c r="Z31" s="93">
        <f>H32*Assumptions!$B$7*Assumptions!$B$25/$E32/12*(1
+Assumptions!$K$7*'Results (i) to (iii)'!$C$16*--($D31&lt;=1)
+Assumptions!$K$8*'Results (i) to (iii)'!$C$16*--($D31&lt;=Assumptions!$K$15/12))</f>
        <v>46168.36333161826</v>
      </c>
      <c r="AA31" s="36">
        <f>Z31*Assumptions!$B$11</f>
        <v>9233.6726663236532</v>
      </c>
      <c r="AB31" s="39">
        <f t="shared" si="8"/>
        <v>36934.690665294605</v>
      </c>
      <c r="AC31" s="88">
        <f t="shared" si="9"/>
        <v>-2067014.4402334292</v>
      </c>
      <c r="AD31" s="88">
        <f>Assumptions!$B$23*R31</f>
        <v>1080828.595002665</v>
      </c>
      <c r="AE31" s="88">
        <f t="shared" si="11"/>
        <v>-986185.84523076424</v>
      </c>
    </row>
    <row r="32" spans="1:31" x14ac:dyDescent="0.25">
      <c r="A32" s="1">
        <f t="shared" si="10"/>
        <v>27</v>
      </c>
      <c r="B32" s="30" t="s">
        <v>28</v>
      </c>
      <c r="C32" s="31">
        <f t="shared" si="3"/>
        <v>27</v>
      </c>
      <c r="D32" s="32">
        <f t="shared" si="1"/>
        <v>2.25</v>
      </c>
      <c r="E32" s="32">
        <f t="shared" si="4"/>
        <v>8.3333333333333481E-2</v>
      </c>
      <c r="F32" s="31">
        <f t="shared" si="5"/>
        <v>0</v>
      </c>
      <c r="G32" s="36">
        <f>(G31*($K31/$K30)-L31)*(1+Assumptions!$B$15)^$F32</f>
        <v>597559031.02338994</v>
      </c>
      <c r="H32" s="36">
        <f>$H$6/$G$6*G32*(1+Assumptions!$B$16)^INT((C32-1)/12)*IF(B32="Monthly",1,12)</f>
        <v>58082.737815473505</v>
      </c>
      <c r="I32" s="100">
        <f>Assumptions!$B$14*(1+Assumptions!$K$10*--($D32&lt;=Assumptions!$K$15/12))</f>
        <v>0.22499999999999998</v>
      </c>
      <c r="J32" s="40">
        <f t="shared" si="6"/>
        <v>2.1017019131472581E-2</v>
      </c>
      <c r="K32" s="35">
        <f t="shared" si="7"/>
        <v>0.5635452981130411</v>
      </c>
      <c r="L32" s="93">
        <f>H32*Assumptions!$B$7*(1
+Assumptions!$K$7*'Results (i) to (iii)'!$C$16*--($D32&lt;=1)
+Assumptions!$K$8*'Results (i) to (iii)'!$C$16*--($D32&lt;=Assumptions!$K$15/12))
+$G32*Assumptions!$K$9*$E32*'Results (i) to (iii)'!$C$16*--($D32&lt;=2)</f>
        <v>36934.690665294671</v>
      </c>
      <c r="M32" s="36">
        <f>L32*Assumptions!$B$11</f>
        <v>7386.9381330589349</v>
      </c>
      <c r="N32" s="36">
        <f>H32*Assumptions!$B$11</f>
        <v>11616.547563094702</v>
      </c>
      <c r="O32" s="36">
        <f>N32*Assumptions!$B$12</f>
        <v>1161.6547563094703</v>
      </c>
      <c r="P32" s="36">
        <f>H32*Assumptions!$B$9</f>
        <v>4646.6190252378801</v>
      </c>
      <c r="Q32" s="103">
        <f>H32*Assumptions!$B$8*(1+Assumptions!$K$11*--($D32&lt;=Assumptions!$K$15/12))</f>
        <v>3194.5505798510435</v>
      </c>
      <c r="R32" s="37">
        <f>(R33)/((1+Assumptions!$B$21)^$E33)+H33/IF(H$3="EOP",((1+Assumptions!$B$21)^$E33),1)</f>
        <v>7162163.7875487544</v>
      </c>
      <c r="S32" s="36">
        <f>(S33)/((1+Assumptions!$B$21)^$E33)+L33/IF(L$3="EOP",((1+Assumptions!$B$21)^$E33),1)</f>
        <v>3562275.8295026743</v>
      </c>
      <c r="T32" s="36">
        <f>(T33)/((1+Assumptions!$B$21)^$E33)+M33/IF(M$3="EOP",((1+Assumptions!$B$21)^$E33),1)</f>
        <v>712455.16590053448</v>
      </c>
      <c r="U32" s="36">
        <f>(U33)/((1+Assumptions!$B$21)^$E33)+N33/IF(N$3="EOP",((1+Assumptions!$B$21)^$E33),1)</f>
        <v>1432432.7575097508</v>
      </c>
      <c r="V32" s="36">
        <f>(V33)/((1+Assumptions!$B$21)^$E33)+O33/IF(O$3="EOP",((1+Assumptions!$B$21)^$E33),1)</f>
        <v>143243.27575097504</v>
      </c>
      <c r="W32" s="36">
        <f>(W33)/((1+Assumptions!$B$21)^$E33)+P33/IF(P$3="EOP",((1+Assumptions!$B$21)^$E33),1)</f>
        <v>572973.10300390015</v>
      </c>
      <c r="X32" s="36">
        <f>(X33)/((1+Assumptions!$B$21)^$E33)+Q33/IF(Q$3="EOP",((1+Assumptions!$B$21)^$E33),1)</f>
        <v>352225.07471505197</v>
      </c>
      <c r="Y32" s="38">
        <f t="shared" si="2"/>
        <v>-2097955.4644688871</v>
      </c>
      <c r="Z32" s="93">
        <f>H33*Assumptions!$B$7*Assumptions!$B$25/$E33/12*(1
+Assumptions!$K$7*'Results (i) to (iii)'!$C$16*--($D32&lt;=1)
+Assumptions!$K$8*'Results (i) to (iii)'!$C$16*--($D32&lt;=Assumptions!$K$15/12))</f>
        <v>45195.188323128867</v>
      </c>
      <c r="AA32" s="36">
        <f>Z32*Assumptions!$B$11</f>
        <v>9039.0376646257737</v>
      </c>
      <c r="AB32" s="39">
        <f t="shared" si="8"/>
        <v>36156.150658503095</v>
      </c>
      <c r="AC32" s="88">
        <f t="shared" si="9"/>
        <v>-2061799.3138103839</v>
      </c>
      <c r="AD32" s="88">
        <f>Assumptions!$B$23*R32</f>
        <v>1074324.5681323132</v>
      </c>
      <c r="AE32" s="88">
        <f t="shared" si="11"/>
        <v>-987474.7456780707</v>
      </c>
    </row>
    <row r="33" spans="1:31" x14ac:dyDescent="0.25">
      <c r="A33" s="1">
        <f t="shared" si="10"/>
        <v>28</v>
      </c>
      <c r="B33" s="30" t="s">
        <v>28</v>
      </c>
      <c r="C33" s="31">
        <f t="shared" si="3"/>
        <v>28</v>
      </c>
      <c r="D33" s="32">
        <f t="shared" si="1"/>
        <v>2.3333333333333335</v>
      </c>
      <c r="E33" s="32">
        <f t="shared" si="4"/>
        <v>8.3333333333333481E-2</v>
      </c>
      <c r="F33" s="31">
        <f t="shared" si="5"/>
        <v>0</v>
      </c>
      <c r="G33" s="36">
        <f>(G32*($K32/$K31)-L32)*(1+Assumptions!$B$15)^$F33</f>
        <v>584963186.7455219</v>
      </c>
      <c r="H33" s="36">
        <f>$H$6/$G$6*G33*(1+Assumptions!$B$16)^INT((C33-1)/12)*IF(B33="Monthly",1,12)</f>
        <v>56858.421751664733</v>
      </c>
      <c r="I33" s="100">
        <f>Assumptions!$B$14*(1+Assumptions!$K$10*--($D33&lt;=Assumptions!$K$15/12))</f>
        <v>0.22499999999999998</v>
      </c>
      <c r="J33" s="40">
        <f t="shared" si="6"/>
        <v>2.1017019131472581E-2</v>
      </c>
      <c r="K33" s="35">
        <f t="shared" si="7"/>
        <v>0.55170125580114793</v>
      </c>
      <c r="L33" s="93">
        <f>H33*Assumptions!$B$7*(1
+Assumptions!$K$7*'Results (i) to (iii)'!$C$16*--($D33&lt;=1)
+Assumptions!$K$8*'Results (i) to (iii)'!$C$16*--($D33&lt;=Assumptions!$K$15/12))
+$G33*Assumptions!$K$9*$E33*'Results (i) to (iii)'!$C$16*--($D33&lt;=2)</f>
        <v>36156.150658503168</v>
      </c>
      <c r="M33" s="36">
        <f>L33*Assumptions!$B$11</f>
        <v>7231.230131700634</v>
      </c>
      <c r="N33" s="36">
        <f>H33*Assumptions!$B$11</f>
        <v>11371.684350332947</v>
      </c>
      <c r="O33" s="36">
        <f>N33*Assumptions!$B$12</f>
        <v>1137.1684350332948</v>
      </c>
      <c r="P33" s="36">
        <f>H33*Assumptions!$B$9</f>
        <v>4548.6737401331784</v>
      </c>
      <c r="Q33" s="103">
        <f>H33*Assumptions!$B$8*(1+Assumptions!$K$11*--($D33&lt;=Assumptions!$K$15/12))</f>
        <v>3127.2131963415609</v>
      </c>
      <c r="R33" s="37">
        <f>(R34)/((1+Assumptions!$B$21)^$E34)+H34/IF(H$3="EOP",((1+Assumptions!$B$21)^$E34),1)</f>
        <v>7119941.1314978683</v>
      </c>
      <c r="S33" s="36">
        <f>(S34)/((1+Assumptions!$B$21)^$E34)+L34/IF(L$3="EOP",((1+Assumptions!$B$21)^$E34),1)</f>
        <v>3533457.3838009657</v>
      </c>
      <c r="T33" s="36">
        <f>(T34)/((1+Assumptions!$B$21)^$E34)+M34/IF(M$3="EOP",((1+Assumptions!$B$21)^$E34),1)</f>
        <v>706691.47676019277</v>
      </c>
      <c r="U33" s="36">
        <f>(U34)/((1+Assumptions!$B$21)^$E34)+N34/IF(N$3="EOP",((1+Assumptions!$B$21)^$E34),1)</f>
        <v>1423988.2262995737</v>
      </c>
      <c r="V33" s="36">
        <f>(V34)/((1+Assumptions!$B$21)^$E34)+O34/IF(O$3="EOP",((1+Assumptions!$B$21)^$E34),1)</f>
        <v>142398.82262995731</v>
      </c>
      <c r="W33" s="36">
        <f>(W34)/((1+Assumptions!$B$21)^$E34)+P34/IF(P$3="EOP",((1+Assumptions!$B$21)^$E34),1)</f>
        <v>569595.29051982926</v>
      </c>
      <c r="X33" s="36">
        <f>(X34)/((1+Assumptions!$B$21)^$E34)+Q34/IF(Q$3="EOP",((1+Assumptions!$B$21)^$E34),1)</f>
        <v>349823.38750275661</v>
      </c>
      <c r="Y33" s="38">
        <f t="shared" si="2"/>
        <v>-2092167.1427648931</v>
      </c>
      <c r="Z33" s="93">
        <f>H34*Assumptions!$B$7*Assumptions!$B$25/$E34/12*(1
+Assumptions!$K$7*'Results (i) to (iii)'!$C$16*--($D33&lt;=1)
+Assumptions!$K$8*'Results (i) to (iii)'!$C$16*--($D33&lt;=Assumptions!$K$15/12))</f>
        <v>44242.52670365345</v>
      </c>
      <c r="AA33" s="36">
        <f>Z33*Assumptions!$B$11</f>
        <v>8848.5053407306896</v>
      </c>
      <c r="AB33" s="39">
        <f t="shared" si="8"/>
        <v>35394.021362922758</v>
      </c>
      <c r="AC33" s="88">
        <f t="shared" si="9"/>
        <v>-2056773.1214019703</v>
      </c>
      <c r="AD33" s="88">
        <f>Assumptions!$B$23*R33</f>
        <v>1067991.1697246803</v>
      </c>
      <c r="AE33" s="88">
        <f t="shared" si="11"/>
        <v>-988781.95167729002</v>
      </c>
    </row>
    <row r="34" spans="1:31" x14ac:dyDescent="0.25">
      <c r="A34" s="1">
        <f t="shared" si="10"/>
        <v>29</v>
      </c>
      <c r="B34" s="30" t="s">
        <v>28</v>
      </c>
      <c r="C34" s="31">
        <f t="shared" si="3"/>
        <v>29</v>
      </c>
      <c r="D34" s="32">
        <f t="shared" si="1"/>
        <v>2.4166666666666665</v>
      </c>
      <c r="E34" s="32">
        <f t="shared" si="4"/>
        <v>8.3333333333333037E-2</v>
      </c>
      <c r="F34" s="31">
        <f t="shared" si="5"/>
        <v>0</v>
      </c>
      <c r="G34" s="36">
        <f>(G33*($K33/$K32)-L33)*(1+Assumptions!$B$15)^$F34</f>
        <v>572632848.10782564</v>
      </c>
      <c r="H34" s="36">
        <f>$H$6/$G$6*G34*(1+Assumptions!$B$16)^INT((C34-1)/12)*IF(B34="Monthly",1,12)</f>
        <v>55659.912836080657</v>
      </c>
      <c r="I34" s="100">
        <f>Assumptions!$B$14*(1+Assumptions!$K$10*--($D34&lt;=Assumptions!$K$15/12))</f>
        <v>0.22499999999999998</v>
      </c>
      <c r="J34" s="40">
        <f t="shared" si="6"/>
        <v>2.101701913147247E-2</v>
      </c>
      <c r="K34" s="35">
        <f t="shared" si="7"/>
        <v>0.54010613995311785</v>
      </c>
      <c r="L34" s="93">
        <f>H34*Assumptions!$B$7*(1
+Assumptions!$K$7*'Results (i) to (iii)'!$C$16*--($D34&lt;=1)
+Assumptions!$K$8*'Results (i) to (iii)'!$C$16*--($D34&lt;=Assumptions!$K$15/12))
+$G34*Assumptions!$K$9*$E34*'Results (i) to (iii)'!$C$16*--($D34&lt;=2)</f>
        <v>35394.021362922635</v>
      </c>
      <c r="M34" s="36">
        <f>L34*Assumptions!$B$11</f>
        <v>7078.8042725845271</v>
      </c>
      <c r="N34" s="36">
        <f>H34*Assumptions!$B$11</f>
        <v>11131.982567216131</v>
      </c>
      <c r="O34" s="36">
        <f>N34*Assumptions!$B$12</f>
        <v>1113.1982567216132</v>
      </c>
      <c r="P34" s="36">
        <f>H34*Assumptions!$B$9</f>
        <v>4452.7930268864529</v>
      </c>
      <c r="Q34" s="103">
        <f>H34*Assumptions!$B$8*(1+Assumptions!$K$11*--($D34&lt;=Assumptions!$K$15/12))</f>
        <v>3061.2952059844365</v>
      </c>
      <c r="R34" s="37">
        <f>(R35)/((1+Assumptions!$B$21)^$E35)+H35/IF(H$3="EOP",((1+Assumptions!$B$21)^$E35),1)</f>
        <v>7078832.4813363561</v>
      </c>
      <c r="S34" s="36">
        <f>(S35)/((1+Assumptions!$B$21)^$E35)+L35/IF(L$3="EOP",((1+Assumptions!$B$21)^$E35),1)</f>
        <v>3505341.7061151396</v>
      </c>
      <c r="T34" s="36">
        <f>(T35)/((1+Assumptions!$B$21)^$E35)+M35/IF(M$3="EOP",((1+Assumptions!$B$21)^$E35),1)</f>
        <v>701068.34122302767</v>
      </c>
      <c r="U34" s="36">
        <f>(U35)/((1+Assumptions!$B$21)^$E35)+N35/IF(N$3="EOP",((1+Assumptions!$B$21)^$E35),1)</f>
        <v>1415766.4962672712</v>
      </c>
      <c r="V34" s="36">
        <f>(V35)/((1+Assumptions!$B$21)^$E35)+O35/IF(O$3="EOP",((1+Assumptions!$B$21)^$E35),1)</f>
        <v>141576.64962672707</v>
      </c>
      <c r="W34" s="36">
        <f>(W35)/((1+Assumptions!$B$21)^$E35)+P35/IF(P$3="EOP",((1+Assumptions!$B$21)^$E35),1)</f>
        <v>566306.59850690828</v>
      </c>
      <c r="X34" s="36">
        <f>(X35)/((1+Assumptions!$B$21)^$E35)+Q35/IF(Q$3="EOP",((1+Assumptions!$B$21)^$E35),1)</f>
        <v>347482.67119838955</v>
      </c>
      <c r="Y34" s="38">
        <f t="shared" si="2"/>
        <v>-2086580.0000984021</v>
      </c>
      <c r="Z34" s="93">
        <f>H35*Assumptions!$B$7*Assumptions!$B$25/$E35/12*(1
+Assumptions!$K$7*'Results (i) to (iii)'!$C$16*--($D34&lt;=1)
+Assumptions!$K$8*'Results (i) to (iii)'!$C$16*--($D34&lt;=Assumptions!$K$15/12))</f>
        <v>43309.946074984211</v>
      </c>
      <c r="AA34" s="36">
        <f>Z34*Assumptions!$B$11</f>
        <v>8661.9892149968418</v>
      </c>
      <c r="AB34" s="39">
        <f t="shared" si="8"/>
        <v>34647.956859987367</v>
      </c>
      <c r="AC34" s="88">
        <f t="shared" si="9"/>
        <v>-2051932.0432384147</v>
      </c>
      <c r="AD34" s="88">
        <f>Assumptions!$B$23*R34</f>
        <v>1061824.8722004534</v>
      </c>
      <c r="AE34" s="88">
        <f t="shared" si="11"/>
        <v>-990107.17103796126</v>
      </c>
    </row>
    <row r="35" spans="1:31" x14ac:dyDescent="0.25">
      <c r="A35" s="1">
        <f t="shared" si="10"/>
        <v>30</v>
      </c>
      <c r="B35" s="30" t="s">
        <v>28</v>
      </c>
      <c r="C35" s="31">
        <f t="shared" si="3"/>
        <v>30</v>
      </c>
      <c r="D35" s="32">
        <f t="shared" si="1"/>
        <v>2.5</v>
      </c>
      <c r="E35" s="32">
        <f t="shared" si="4"/>
        <v>8.3333333333333481E-2</v>
      </c>
      <c r="F35" s="31">
        <f t="shared" si="5"/>
        <v>0</v>
      </c>
      <c r="G35" s="36">
        <f>(G34*($K34/$K33)-L34)*(1+Assumptions!$B$15)^$F35</f>
        <v>560562418.56247103</v>
      </c>
      <c r="H35" s="36">
        <f>$H$6/$G$6*G35*(1+Assumptions!$B$16)^INT((C35-1)/12)*IF(B35="Monthly",1,12)</f>
        <v>54486.667084272187</v>
      </c>
      <c r="I35" s="100">
        <f>Assumptions!$B$14*(1+Assumptions!$K$10*--($D35&lt;=Assumptions!$K$15/12))</f>
        <v>0.22499999999999998</v>
      </c>
      <c r="J35" s="40">
        <f t="shared" si="6"/>
        <v>2.1017019131472581E-2</v>
      </c>
      <c r="K35" s="35">
        <f t="shared" si="7"/>
        <v>0.52875471887669734</v>
      </c>
      <c r="L35" s="93">
        <f>H35*Assumptions!$B$7*(1
+Assumptions!$K$7*'Results (i) to (iii)'!$C$16*--($D35&lt;=1)
+Assumptions!$K$8*'Results (i) to (iii)'!$C$16*--($D35&lt;=Assumptions!$K$15/12))
+$G35*Assumptions!$K$9*$E35*'Results (i) to (iii)'!$C$16*--($D35&lt;=2)</f>
        <v>34647.956859987426</v>
      </c>
      <c r="M35" s="36">
        <f>L35*Assumptions!$B$11</f>
        <v>6929.5913719974851</v>
      </c>
      <c r="N35" s="36">
        <f>H35*Assumptions!$B$11</f>
        <v>10897.333416854439</v>
      </c>
      <c r="O35" s="36">
        <f>N35*Assumptions!$B$12</f>
        <v>1089.733341685444</v>
      </c>
      <c r="P35" s="36">
        <f>H35*Assumptions!$B$9</f>
        <v>4358.933366741775</v>
      </c>
      <c r="Q35" s="103">
        <f>H35*Assumptions!$B$8*(1+Assumptions!$K$11*--($D35&lt;=Assumptions!$K$15/12))</f>
        <v>2996.766689634971</v>
      </c>
      <c r="R35" s="37">
        <f>(R36)/((1+Assumptions!$B$21)^$E36)+H36/IF(H$3="EOP",((1+Assumptions!$B$21)^$E36),1)</f>
        <v>7038814.8165322002</v>
      </c>
      <c r="S35" s="36">
        <f>(S36)/((1+Assumptions!$B$21)^$E36)+L36/IF(L$3="EOP",((1+Assumptions!$B$21)^$E36),1)</f>
        <v>3477914.1792396014</v>
      </c>
      <c r="T35" s="36">
        <f>(T36)/((1+Assumptions!$B$21)^$E36)+M36/IF(M$3="EOP",((1+Assumptions!$B$21)^$E36),1)</f>
        <v>695582.83584792004</v>
      </c>
      <c r="U35" s="36">
        <f>(U36)/((1+Assumptions!$B$21)^$E36)+N36/IF(N$3="EOP",((1+Assumptions!$B$21)^$E36),1)</f>
        <v>1407762.96330644</v>
      </c>
      <c r="V35" s="36">
        <f>(V36)/((1+Assumptions!$B$21)^$E36)+O36/IF(O$3="EOP",((1+Assumptions!$B$21)^$E36),1)</f>
        <v>140776.29633064396</v>
      </c>
      <c r="W35" s="36">
        <f>(W36)/((1+Assumptions!$B$21)^$E36)+P36/IF(P$3="EOP",((1+Assumptions!$B$21)^$E36),1)</f>
        <v>563105.18532257585</v>
      </c>
      <c r="X35" s="36">
        <f>(X36)/((1+Assumptions!$B$21)^$E36)+Q36/IF(Q$3="EOP",((1+Assumptions!$B$21)^$E36),1)</f>
        <v>345201.66191803094</v>
      </c>
      <c r="Y35" s="38">
        <f t="shared" si="2"/>
        <v>-2081189.9589241161</v>
      </c>
      <c r="Z35" s="93">
        <f>H36*Assumptions!$B$7*Assumptions!$B$25/$E36/12*(1
+Assumptions!$K$7*'Results (i) to (iii)'!$C$16*--($D35&lt;=1)
+Assumptions!$K$8*'Results (i) to (iii)'!$C$16*--($D35&lt;=Assumptions!$K$15/12))</f>
        <v>42397.02315336241</v>
      </c>
      <c r="AA35" s="36">
        <f>Z35*Assumptions!$B$11</f>
        <v>8479.4046306724831</v>
      </c>
      <c r="AB35" s="39">
        <f t="shared" si="8"/>
        <v>33917.618522689925</v>
      </c>
      <c r="AC35" s="88">
        <f t="shared" si="9"/>
        <v>-2047272.3404014262</v>
      </c>
      <c r="AD35" s="88">
        <f>Assumptions!$B$23*R35</f>
        <v>1055822.22247983</v>
      </c>
      <c r="AE35" s="88">
        <f t="shared" si="11"/>
        <v>-991450.11792159616</v>
      </c>
    </row>
    <row r="36" spans="1:31" x14ac:dyDescent="0.25">
      <c r="A36" s="1">
        <f t="shared" si="10"/>
        <v>31</v>
      </c>
      <c r="B36" s="30" t="s">
        <v>28</v>
      </c>
      <c r="C36" s="31">
        <f t="shared" si="3"/>
        <v>31</v>
      </c>
      <c r="D36" s="32">
        <f t="shared" si="1"/>
        <v>2.5833333333333335</v>
      </c>
      <c r="E36" s="32">
        <f t="shared" si="4"/>
        <v>8.3333333333333481E-2</v>
      </c>
      <c r="F36" s="31">
        <f t="shared" si="5"/>
        <v>0</v>
      </c>
      <c r="G36" s="36">
        <f>(G35*($K35/$K34)-L35)*(1+Assumptions!$B$15)^$F36</f>
        <v>548746419.53029907</v>
      </c>
      <c r="H36" s="36">
        <f>$H$6/$G$6*G36*(1+Assumptions!$B$16)^INT((C36-1)/12)*IF(B36="Monthly",1,12)</f>
        <v>53338.151978345079</v>
      </c>
      <c r="I36" s="100">
        <f>Assumptions!$B$14*(1+Assumptions!$K$10*--($D36&lt;=Assumptions!$K$15/12))</f>
        <v>0.22499999999999998</v>
      </c>
      <c r="J36" s="40">
        <f t="shared" si="6"/>
        <v>2.1017019131472581E-2</v>
      </c>
      <c r="K36" s="35">
        <f t="shared" si="7"/>
        <v>0.51764187083420943</v>
      </c>
      <c r="L36" s="93">
        <f>H36*Assumptions!$B$7*(1
+Assumptions!$K$7*'Results (i) to (iii)'!$C$16*--($D36&lt;=1)
+Assumptions!$K$8*'Results (i) to (iii)'!$C$16*--($D36&lt;=Assumptions!$K$15/12))
+$G36*Assumptions!$K$9*$E36*'Results (i) to (iii)'!$C$16*--($D36&lt;=2)</f>
        <v>33917.618522689991</v>
      </c>
      <c r="M36" s="36">
        <f>L36*Assumptions!$B$11</f>
        <v>6783.5237045379981</v>
      </c>
      <c r="N36" s="36">
        <f>H36*Assumptions!$B$11</f>
        <v>10667.630395669017</v>
      </c>
      <c r="O36" s="36">
        <f>N36*Assumptions!$B$12</f>
        <v>1066.7630395669019</v>
      </c>
      <c r="P36" s="36">
        <f>H36*Assumptions!$B$9</f>
        <v>4267.0521582676065</v>
      </c>
      <c r="Q36" s="103">
        <f>H36*Assumptions!$B$8*(1+Assumptions!$K$11*--($D36&lt;=Assumptions!$K$15/12))</f>
        <v>2933.5983588089798</v>
      </c>
      <c r="R36" s="37">
        <f>(R37)/((1+Assumptions!$B$21)^$E37)+H37/IF(H$3="EOP",((1+Assumptions!$B$21)^$E37),1)</f>
        <v>6999865.6027496448</v>
      </c>
      <c r="S36" s="36">
        <f>(S37)/((1+Assumptions!$B$21)^$E37)+L37/IF(L$3="EOP",((1+Assumptions!$B$21)^$E37),1)</f>
        <v>3451160.4944867101</v>
      </c>
      <c r="T36" s="36">
        <f>(T37)/((1+Assumptions!$B$21)^$E37)+M37/IF(M$3="EOP",((1+Assumptions!$B$21)^$E37),1)</f>
        <v>690232.09889734176</v>
      </c>
      <c r="U36" s="36">
        <f>(U37)/((1+Assumptions!$B$21)^$E37)+N37/IF(N$3="EOP",((1+Assumptions!$B$21)^$E37),1)</f>
        <v>1399973.1205499289</v>
      </c>
      <c r="V36" s="36">
        <f>(V37)/((1+Assumptions!$B$21)^$E37)+O37/IF(O$3="EOP",((1+Assumptions!$B$21)^$E37),1)</f>
        <v>139997.31205499286</v>
      </c>
      <c r="W36" s="36">
        <f>(W37)/((1+Assumptions!$B$21)^$E37)+P37/IF(P$3="EOP",((1+Assumptions!$B$21)^$E37),1)</f>
        <v>559989.24821997143</v>
      </c>
      <c r="X36" s="36">
        <f>(X37)/((1+Assumptions!$B$21)^$E37)+Q37/IF(Q$3="EOP",((1+Assumptions!$B$21)^$E37),1)</f>
        <v>342979.12246285082</v>
      </c>
      <c r="Y36" s="38">
        <f t="shared" si="2"/>
        <v>-2075993.0279825178</v>
      </c>
      <c r="Z36" s="93">
        <f>H37*Assumptions!$B$7*Assumptions!$B$25/$E37/12*(1
+Assumptions!$K$7*'Results (i) to (iii)'!$C$16*--($D36&lt;=1)
+Assumptions!$K$8*'Results (i) to (iii)'!$C$16*--($D36&lt;=Assumptions!$K$15/12))</f>
        <v>41503.343577354324</v>
      </c>
      <c r="AA36" s="36">
        <f>Z36*Assumptions!$B$11</f>
        <v>8300.6687154708652</v>
      </c>
      <c r="AB36" s="39">
        <f t="shared" si="8"/>
        <v>33202.674861883461</v>
      </c>
      <c r="AC36" s="88">
        <f t="shared" si="9"/>
        <v>-2042790.3531206343</v>
      </c>
      <c r="AD36" s="88">
        <f>Assumptions!$B$23*R36</f>
        <v>1049979.8404124468</v>
      </c>
      <c r="AE36" s="88">
        <f t="shared" si="11"/>
        <v>-992810.51270818757</v>
      </c>
    </row>
    <row r="37" spans="1:31" x14ac:dyDescent="0.25">
      <c r="A37" s="1">
        <f t="shared" si="10"/>
        <v>32</v>
      </c>
      <c r="B37" s="30" t="s">
        <v>28</v>
      </c>
      <c r="C37" s="31">
        <f t="shared" si="3"/>
        <v>32</v>
      </c>
      <c r="D37" s="32">
        <f t="shared" si="1"/>
        <v>2.6666666666666665</v>
      </c>
      <c r="E37" s="32">
        <f t="shared" si="4"/>
        <v>8.3333333333333037E-2</v>
      </c>
      <c r="F37" s="31">
        <f t="shared" si="5"/>
        <v>0</v>
      </c>
      <c r="G37" s="36">
        <f>(G36*($K36/$K35)-L36)*(1+Assumptions!$B$15)^$F37</f>
        <v>537179487.91418111</v>
      </c>
      <c r="H37" s="36">
        <f>$H$6/$G$6*G37*(1+Assumptions!$B$16)^INT((C37-1)/12)*IF(B37="Monthly",1,12)</f>
        <v>52213.846225258407</v>
      </c>
      <c r="I37" s="100">
        <f>Assumptions!$B$14*(1+Assumptions!$K$10*--($D37&lt;=Assumptions!$K$15/12))</f>
        <v>0.22499999999999998</v>
      </c>
      <c r="J37" s="40">
        <f t="shared" si="6"/>
        <v>2.101701913147247E-2</v>
      </c>
      <c r="K37" s="35">
        <f t="shared" si="7"/>
        <v>0.50676258173163569</v>
      </c>
      <c r="L37" s="93">
        <f>H37*Assumptions!$B$7*(1
+Assumptions!$K$7*'Results (i) to (iii)'!$C$16*--($D37&lt;=1)
+Assumptions!$K$8*'Results (i) to (iii)'!$C$16*--($D37&lt;=Assumptions!$K$15/12))
+$G37*Assumptions!$K$9*$E37*'Results (i) to (iii)'!$C$16*--($D37&lt;=2)</f>
        <v>33202.674861883344</v>
      </c>
      <c r="M37" s="36">
        <f>L37*Assumptions!$B$11</f>
        <v>6640.5349723766694</v>
      </c>
      <c r="N37" s="36">
        <f>H37*Assumptions!$B$11</f>
        <v>10442.769245051682</v>
      </c>
      <c r="O37" s="36">
        <f>N37*Assumptions!$B$12</f>
        <v>1044.2769245051684</v>
      </c>
      <c r="P37" s="36">
        <f>H37*Assumptions!$B$9</f>
        <v>4177.1076980206726</v>
      </c>
      <c r="Q37" s="103">
        <f>H37*Assumptions!$B$8*(1+Assumptions!$K$11*--($D37&lt;=Assumptions!$K$15/12))</f>
        <v>2871.761542389213</v>
      </c>
      <c r="R37" s="37">
        <f>(R38)/((1+Assumptions!$B$21)^$E38)+H38/IF(H$3="EOP",((1+Assumptions!$B$21)^$E38),1)</f>
        <v>6961962.7816027123</v>
      </c>
      <c r="S37" s="36">
        <f>(S38)/((1+Assumptions!$B$21)^$E38)+L38/IF(L$3="EOP",((1+Assumptions!$B$21)^$E38),1)</f>
        <v>3425066.6451844191</v>
      </c>
      <c r="T37" s="36">
        <f>(T38)/((1+Assumptions!$B$21)^$E38)+M38/IF(M$3="EOP",((1+Assumptions!$B$21)^$E38),1)</f>
        <v>685013.32903688343</v>
      </c>
      <c r="U37" s="36">
        <f>(U38)/((1+Assumptions!$B$21)^$E38)+N38/IF(N$3="EOP",((1+Assumptions!$B$21)^$E38),1)</f>
        <v>1392392.5563205422</v>
      </c>
      <c r="V37" s="36">
        <f>(V38)/((1+Assumptions!$B$21)^$E38)+O38/IF(O$3="EOP",((1+Assumptions!$B$21)^$E38),1)</f>
        <v>139239.25563205421</v>
      </c>
      <c r="W37" s="36">
        <f>(W38)/((1+Assumptions!$B$21)^$E38)+P38/IF(P$3="EOP",((1+Assumptions!$B$21)^$E38),1)</f>
        <v>556957.02252821682</v>
      </c>
      <c r="X37" s="36">
        <f>(X38)/((1+Assumptions!$B$21)^$E38)+Q38/IF(Q$3="EOP",((1+Assumptions!$B$21)^$E38),1)</f>
        <v>340813.84175670944</v>
      </c>
      <c r="Y37" s="38">
        <f t="shared" si="2"/>
        <v>-2070985.3004817618</v>
      </c>
      <c r="Z37" s="93">
        <f>H38*Assumptions!$B$7*Assumptions!$B$25/$E38/12*(1
+Assumptions!$K$7*'Results (i) to (iii)'!$C$16*--($D37&lt;=1)
+Assumptions!$K$8*'Results (i) to (iii)'!$C$16*--($D37&lt;=Assumptions!$K$15/12))</f>
        <v>40628.501719779139</v>
      </c>
      <c r="AA37" s="36">
        <f>Z37*Assumptions!$B$11</f>
        <v>8125.7003439558284</v>
      </c>
      <c r="AB37" s="39">
        <f t="shared" si="8"/>
        <v>32502.80137582331</v>
      </c>
      <c r="AC37" s="88">
        <f t="shared" si="9"/>
        <v>-2038482.4991059385</v>
      </c>
      <c r="AD37" s="88">
        <f>Assumptions!$B$23*R37</f>
        <v>1044294.4172404069</v>
      </c>
      <c r="AE37" s="88">
        <f t="shared" si="11"/>
        <v>-994188.08186553163</v>
      </c>
    </row>
    <row r="38" spans="1:31" x14ac:dyDescent="0.25">
      <c r="A38" s="1">
        <f t="shared" si="10"/>
        <v>33</v>
      </c>
      <c r="B38" s="30" t="s">
        <v>28</v>
      </c>
      <c r="C38" s="31">
        <f t="shared" si="3"/>
        <v>33</v>
      </c>
      <c r="D38" s="32">
        <f t="shared" si="1"/>
        <v>2.75</v>
      </c>
      <c r="E38" s="32">
        <f t="shared" si="4"/>
        <v>8.3333333333333481E-2</v>
      </c>
      <c r="F38" s="31">
        <f t="shared" si="5"/>
        <v>0</v>
      </c>
      <c r="G38" s="36">
        <f>(G37*($K37/$K36)-L37)*(1+Assumptions!$B$15)^$F38</f>
        <v>525856373.66479236</v>
      </c>
      <c r="H38" s="36">
        <f>$H$6/$G$6*G38*(1+Assumptions!$B$16)^INT((C38-1)/12)*IF(B38="Monthly",1,12)</f>
        <v>51113.239520217823</v>
      </c>
      <c r="I38" s="100">
        <f>Assumptions!$B$14*(1+Assumptions!$K$10*--($D38&lt;=Assumptions!$K$15/12))</f>
        <v>0.22499999999999998</v>
      </c>
      <c r="J38" s="40">
        <f t="shared" si="6"/>
        <v>2.1017019131472581E-2</v>
      </c>
      <c r="K38" s="35">
        <f t="shared" si="7"/>
        <v>0.49611194285626747</v>
      </c>
      <c r="L38" s="93">
        <f>H38*Assumptions!$B$7*(1
+Assumptions!$K$7*'Results (i) to (iii)'!$C$16*--($D38&lt;=1)
+Assumptions!$K$8*'Results (i) to (iii)'!$C$16*--($D38&lt;=Assumptions!$K$15/12))
+$G38*Assumptions!$K$9*$E38*'Results (i) to (iii)'!$C$16*--($D38&lt;=2)</f>
        <v>32502.801375823365</v>
      </c>
      <c r="M38" s="36">
        <f>L38*Assumptions!$B$11</f>
        <v>6500.5602751646729</v>
      </c>
      <c r="N38" s="36">
        <f>H38*Assumptions!$B$11</f>
        <v>10222.647904043566</v>
      </c>
      <c r="O38" s="36">
        <f>N38*Assumptions!$B$12</f>
        <v>1022.2647904043566</v>
      </c>
      <c r="P38" s="36">
        <f>H38*Assumptions!$B$9</f>
        <v>4089.0591616174261</v>
      </c>
      <c r="Q38" s="103">
        <f>H38*Assumptions!$B$8*(1+Assumptions!$K$11*--($D38&lt;=Assumptions!$K$15/12))</f>
        <v>2811.2281736119808</v>
      </c>
      <c r="R38" s="37">
        <f>(R39)/((1+Assumptions!$B$21)^$E39)+H39/IF(H$3="EOP",((1+Assumptions!$B$21)^$E39),1)</f>
        <v>6925084.760624703</v>
      </c>
      <c r="S38" s="36">
        <f>(S39)/((1+Assumptions!$B$21)^$E39)+L39/IF(L$3="EOP",((1+Assumptions!$B$21)^$E39),1)</f>
        <v>3399618.920310976</v>
      </c>
      <c r="T38" s="36">
        <f>(T39)/((1+Assumptions!$B$21)^$E39)+M39/IF(M$3="EOP",((1+Assumptions!$B$21)^$E39),1)</f>
        <v>679923.78406219487</v>
      </c>
      <c r="U38" s="36">
        <f>(U39)/((1+Assumptions!$B$21)^$E39)+N39/IF(N$3="EOP",((1+Assumptions!$B$21)^$E39),1)</f>
        <v>1385016.9521249405</v>
      </c>
      <c r="V38" s="36">
        <f>(V39)/((1+Assumptions!$B$21)^$E39)+O39/IF(O$3="EOP",((1+Assumptions!$B$21)^$E39),1)</f>
        <v>138501.69521249403</v>
      </c>
      <c r="W38" s="36">
        <f>(W39)/((1+Assumptions!$B$21)^$E39)+P39/IF(P$3="EOP",((1+Assumptions!$B$21)^$E39),1)</f>
        <v>554006.78084997612</v>
      </c>
      <c r="X38" s="36">
        <f>(X39)/((1+Assumptions!$B$21)^$E39)+Q39/IF(Q$3="EOP",((1+Assumptions!$B$21)^$E39),1)</f>
        <v>338704.63429561246</v>
      </c>
      <c r="Y38" s="38">
        <f t="shared" si="2"/>
        <v>-2066162.952317887</v>
      </c>
      <c r="Z38" s="93">
        <f>H39*Assumptions!$B$7*Assumptions!$B$25/$E39/12*(1
+Assumptions!$K$7*'Results (i) to (iii)'!$C$16*--($D38&lt;=1)
+Assumptions!$K$8*'Results (i) to (iii)'!$C$16*--($D38&lt;=Assumptions!$K$15/12))</f>
        <v>39772.100503603047</v>
      </c>
      <c r="AA38" s="36">
        <f>Z38*Assumptions!$B$11</f>
        <v>7954.4201007206102</v>
      </c>
      <c r="AB38" s="39">
        <f t="shared" si="8"/>
        <v>31817.680402882437</v>
      </c>
      <c r="AC38" s="88">
        <f t="shared" si="9"/>
        <v>-2034345.2719150046</v>
      </c>
      <c r="AD38" s="88">
        <f>Assumptions!$B$23*R38</f>
        <v>1038762.7140937054</v>
      </c>
      <c r="AE38" s="88">
        <f t="shared" si="11"/>
        <v>-995582.55782129918</v>
      </c>
    </row>
    <row r="39" spans="1:31" x14ac:dyDescent="0.25">
      <c r="A39" s="1">
        <f t="shared" si="10"/>
        <v>34</v>
      </c>
      <c r="B39" s="30" t="s">
        <v>28</v>
      </c>
      <c r="C39" s="31">
        <f t="shared" si="3"/>
        <v>34</v>
      </c>
      <c r="D39" s="32">
        <f t="shared" si="1"/>
        <v>2.8333333333333335</v>
      </c>
      <c r="E39" s="32">
        <f t="shared" si="4"/>
        <v>8.3333333333333481E-2</v>
      </c>
      <c r="F39" s="31">
        <f t="shared" si="5"/>
        <v>0</v>
      </c>
      <c r="G39" s="36">
        <f>(G38*($K38/$K37)-L38)*(1+Assumptions!$B$15)^$F39</f>
        <v>514771937.39769679</v>
      </c>
      <c r="H39" s="36">
        <f>$H$6/$G$6*G39*(1+Assumptions!$B$16)^INT((C39-1)/12)*IF(B39="Monthly",1,12)</f>
        <v>50035.832315056134</v>
      </c>
      <c r="I39" s="100">
        <f>Assumptions!$B$14*(1+Assumptions!$K$10*--($D39&lt;=Assumptions!$K$15/12))</f>
        <v>0.22499999999999998</v>
      </c>
      <c r="J39" s="40">
        <f t="shared" si="6"/>
        <v>2.1017019131472581E-2</v>
      </c>
      <c r="K39" s="35">
        <f t="shared" si="7"/>
        <v>0.48568514866190526</v>
      </c>
      <c r="L39" s="93">
        <f>H39*Assumptions!$B$7*(1
+Assumptions!$K$7*'Results (i) to (iii)'!$C$16*--($D39&lt;=1)
+Assumptions!$K$8*'Results (i) to (iii)'!$C$16*--($D39&lt;=Assumptions!$K$15/12))
+$G39*Assumptions!$K$9*$E39*'Results (i) to (iii)'!$C$16*--($D39&lt;=2)</f>
        <v>31817.680402882495</v>
      </c>
      <c r="M39" s="36">
        <f>L39*Assumptions!$B$11</f>
        <v>6363.5360805764994</v>
      </c>
      <c r="N39" s="36">
        <f>H39*Assumptions!$B$11</f>
        <v>10007.166463011228</v>
      </c>
      <c r="O39" s="36">
        <f>N39*Assumptions!$B$12</f>
        <v>1000.7166463011229</v>
      </c>
      <c r="P39" s="36">
        <f>H39*Assumptions!$B$9</f>
        <v>4002.866585204491</v>
      </c>
      <c r="Q39" s="103">
        <f>H39*Assumptions!$B$8*(1+Assumptions!$K$11*--($D39&lt;=Assumptions!$K$15/12))</f>
        <v>2751.9707773280879</v>
      </c>
      <c r="R39" s="37">
        <f>(R40)/((1+Assumptions!$B$21)^$E40)+H40/IF(H$3="EOP",((1+Assumptions!$B$21)^$E40),1)</f>
        <v>6889210.4034491237</v>
      </c>
      <c r="S39" s="36">
        <f>(S40)/((1+Assumptions!$B$21)^$E40)+L40/IF(L$3="EOP",((1+Assumptions!$B$21)^$E40),1)</f>
        <v>3374803.8982637944</v>
      </c>
      <c r="T39" s="36">
        <f>(T40)/((1+Assumptions!$B$21)^$E40)+M40/IF(M$3="EOP",((1+Assumptions!$B$21)^$E40),1)</f>
        <v>674960.77965275862</v>
      </c>
      <c r="U39" s="36">
        <f>(U40)/((1+Assumptions!$B$21)^$E40)+N40/IF(N$3="EOP",((1+Assumptions!$B$21)^$E40),1)</f>
        <v>1377842.0806898247</v>
      </c>
      <c r="V39" s="36">
        <f>(V40)/((1+Assumptions!$B$21)^$E40)+O40/IF(O$3="EOP",((1+Assumptions!$B$21)^$E40),1)</f>
        <v>137784.20806898244</v>
      </c>
      <c r="W39" s="36">
        <f>(W40)/((1+Assumptions!$B$21)^$E40)+P40/IF(P$3="EOP",((1+Assumptions!$B$21)^$E40),1)</f>
        <v>551136.83227592974</v>
      </c>
      <c r="X39" s="36">
        <f>(X40)/((1+Assumptions!$B$21)^$E40)+Q40/IF(Q$3="EOP",((1+Assumptions!$B$21)^$E40),1)</f>
        <v>336650.33960877039</v>
      </c>
      <c r="Y39" s="38">
        <f t="shared" si="2"/>
        <v>-2061522.2403325452</v>
      </c>
      <c r="Z39" s="93">
        <f>H40*Assumptions!$B$7*Assumptions!$B$25/$E40/12*(1
+Assumptions!$K$7*'Results (i) to (iii)'!$C$16*--($D39&lt;=1)
+Assumptions!$K$8*'Results (i) to (iii)'!$C$16*--($D39&lt;=Assumptions!$K$15/12))</f>
        <v>38933.751221710307</v>
      </c>
      <c r="AA39" s="36">
        <f>Z39*Assumptions!$B$11</f>
        <v>7786.7502443420617</v>
      </c>
      <c r="AB39" s="39">
        <f t="shared" si="8"/>
        <v>31147.000977368247</v>
      </c>
      <c r="AC39" s="88">
        <f t="shared" si="9"/>
        <v>-2030375.2393551769</v>
      </c>
      <c r="AD39" s="88">
        <f>Assumptions!$B$23*R39</f>
        <v>1033381.5605173685</v>
      </c>
      <c r="AE39" s="88">
        <f t="shared" si="11"/>
        <v>-996993.67883780843</v>
      </c>
    </row>
    <row r="40" spans="1:31" x14ac:dyDescent="0.25">
      <c r="A40" s="1">
        <f t="shared" si="10"/>
        <v>35</v>
      </c>
      <c r="B40" s="30" t="s">
        <v>28</v>
      </c>
      <c r="C40" s="31">
        <f t="shared" si="3"/>
        <v>35</v>
      </c>
      <c r="D40" s="32">
        <f t="shared" si="1"/>
        <v>2.9166666666666665</v>
      </c>
      <c r="E40" s="32">
        <f t="shared" si="4"/>
        <v>8.3333333333333037E-2</v>
      </c>
      <c r="F40" s="31">
        <f t="shared" si="5"/>
        <v>0</v>
      </c>
      <c r="G40" s="36">
        <f>(G39*($K39/$K38)-L39)*(1+Assumptions!$B$15)^$F40</f>
        <v>503921148.06066132</v>
      </c>
      <c r="H40" s="36">
        <f>$H$6/$G$6*G40*(1+Assumptions!$B$16)^INT((C40-1)/12)*IF(B40="Monthly",1,12)</f>
        <v>48981.135591496277</v>
      </c>
      <c r="I40" s="100">
        <f>Assumptions!$B$14*(1+Assumptions!$K$10*--($D40&lt;=Assumptions!$K$15/12))</f>
        <v>0.22499999999999998</v>
      </c>
      <c r="J40" s="40">
        <f t="shared" si="6"/>
        <v>2.101701913147247E-2</v>
      </c>
      <c r="K40" s="35">
        <f t="shared" si="7"/>
        <v>0.47547749460060595</v>
      </c>
      <c r="L40" s="93">
        <f>H40*Assumptions!$B$7*(1
+Assumptions!$K$7*'Results (i) to (iii)'!$C$16*--($D40&lt;=1)
+Assumptions!$K$8*'Results (i) to (iii)'!$C$16*--($D40&lt;=Assumptions!$K$15/12))
+$G40*Assumptions!$K$9*$E40*'Results (i) to (iii)'!$C$16*--($D40&lt;=2)</f>
        <v>31147.00097736813</v>
      </c>
      <c r="M40" s="36">
        <f>L40*Assumptions!$B$11</f>
        <v>6229.4001954736268</v>
      </c>
      <c r="N40" s="36">
        <f>H40*Assumptions!$B$11</f>
        <v>9796.2271182992554</v>
      </c>
      <c r="O40" s="36">
        <f>N40*Assumptions!$B$12</f>
        <v>979.62271182992561</v>
      </c>
      <c r="P40" s="36">
        <f>H40*Assumptions!$B$9</f>
        <v>3918.4908473197024</v>
      </c>
      <c r="Q40" s="103">
        <f>H40*Assumptions!$B$8*(1+Assumptions!$K$11*--($D40&lt;=Assumptions!$K$15/12))</f>
        <v>2693.9624575322955</v>
      </c>
      <c r="R40" s="37">
        <f>(R41)/((1+Assumptions!$B$21)^$E41)+H41/IF(H$3="EOP",((1+Assumptions!$B$21)^$E41),1)</f>
        <v>6854319.0201976001</v>
      </c>
      <c r="S40" s="36">
        <f>(S41)/((1+Assumptions!$B$21)^$E41)+L41/IF(L$3="EOP",((1+Assumptions!$B$21)^$E41),1)</f>
        <v>3350608.4407596765</v>
      </c>
      <c r="T40" s="36">
        <f>(T41)/((1+Assumptions!$B$21)^$E41)+M41/IF(M$3="EOP",((1+Assumptions!$B$21)^$E41),1)</f>
        <v>670121.68815193512</v>
      </c>
      <c r="U40" s="36">
        <f>(U41)/((1+Assumptions!$B$21)^$E41)+N41/IF(N$3="EOP",((1+Assumptions!$B$21)^$E41),1)</f>
        <v>1370863.80403952</v>
      </c>
      <c r="V40" s="36">
        <f>(V41)/((1+Assumptions!$B$21)^$E41)+O41/IF(O$3="EOP",((1+Assumptions!$B$21)^$E41),1)</f>
        <v>137086.38040395197</v>
      </c>
      <c r="W40" s="36">
        <f>(W41)/((1+Assumptions!$B$21)^$E41)+P41/IF(P$3="EOP",((1+Assumptions!$B$21)^$E41),1)</f>
        <v>548345.5216158079</v>
      </c>
      <c r="X40" s="36">
        <f>(X41)/((1+Assumptions!$B$21)^$E41)+Q41/IF(Q$3="EOP",((1+Assumptions!$B$21)^$E41),1)</f>
        <v>334649.82173101907</v>
      </c>
      <c r="Y40" s="38">
        <f t="shared" si="2"/>
        <v>-2057059.5006074633</v>
      </c>
      <c r="Z40" s="93">
        <f>H41*Assumptions!$B$7*Assumptions!$B$25/$E41/12*(1
+Assumptions!$K$7*'Results (i) to (iii)'!$C$16*--($D40&lt;=1)
+Assumptions!$K$8*'Results (i) to (iii)'!$C$16*--($D40&lt;=Assumptions!$K$15/12))</f>
        <v>38113.073360475137</v>
      </c>
      <c r="AA40" s="36">
        <f>Z40*Assumptions!$B$11</f>
        <v>7622.6146720950273</v>
      </c>
      <c r="AB40" s="39">
        <f t="shared" si="8"/>
        <v>30490.458688380109</v>
      </c>
      <c r="AC40" s="88">
        <f t="shared" si="9"/>
        <v>-2026569.0419190831</v>
      </c>
      <c r="AD40" s="88">
        <f>Assumptions!$B$23*R40</f>
        <v>1028147.8530296399</v>
      </c>
      <c r="AE40" s="88">
        <f t="shared" si="11"/>
        <v>-998421.18888944318</v>
      </c>
    </row>
    <row r="41" spans="1:31" s="21" customFormat="1" x14ac:dyDescent="0.25">
      <c r="A41" s="21">
        <f t="shared" si="10"/>
        <v>36</v>
      </c>
      <c r="B41" s="41" t="s">
        <v>28</v>
      </c>
      <c r="C41" s="23">
        <f t="shared" si="3"/>
        <v>36</v>
      </c>
      <c r="D41" s="22">
        <f t="shared" si="1"/>
        <v>3</v>
      </c>
      <c r="E41" s="22">
        <f t="shared" si="4"/>
        <v>8.3333333333333481E-2</v>
      </c>
      <c r="F41" s="23">
        <f t="shared" si="5"/>
        <v>0</v>
      </c>
      <c r="G41" s="27">
        <f>(G40*($K40/$K39)-L40)*(1+Assumptions!$B$15)^$F41</f>
        <v>493299080.65013945</v>
      </c>
      <c r="H41" s="27">
        <f>$H$6/$G$6*G41*(1+Assumptions!$B$16)^INT((C41-1)/12)*IF(B41="Monthly",1,12)</f>
        <v>47948.670639193559</v>
      </c>
      <c r="I41" s="101">
        <f>Assumptions!$B$14*(1+Assumptions!$K$10*--($D41&lt;=Assumptions!$K$15/12))</f>
        <v>0.22499999999999998</v>
      </c>
      <c r="J41" s="42">
        <f t="shared" si="6"/>
        <v>2.1017019131472581E-2</v>
      </c>
      <c r="K41" s="43">
        <f t="shared" si="7"/>
        <v>0.46548437500000039</v>
      </c>
      <c r="L41" s="94">
        <f>H41*Assumptions!$B$7*(1
+Assumptions!$K$7*'Results (i) to (iii)'!$C$16*--($D41&lt;=1)
+Assumptions!$K$8*'Results (i) to (iii)'!$C$16*--($D41&lt;=Assumptions!$K$15/12))
+$G41*Assumptions!$K$9*$E41*'Results (i) to (iii)'!$C$16*--($D41&lt;=2)</f>
        <v>30490.45868838016</v>
      </c>
      <c r="M41" s="27">
        <f>L41*Assumptions!$B$11</f>
        <v>6098.0917376760326</v>
      </c>
      <c r="N41" s="27">
        <f>H41*Assumptions!$B$11</f>
        <v>9589.7341278387121</v>
      </c>
      <c r="O41" s="27">
        <f>N41*Assumptions!$B$12</f>
        <v>958.97341278387125</v>
      </c>
      <c r="P41" s="27">
        <f>H41*Assumptions!$B$9</f>
        <v>3835.8936511354846</v>
      </c>
      <c r="Q41" s="104">
        <f>H41*Assumptions!$B$8*(1+Assumptions!$K$11*--($D41&lt;=Assumptions!$K$15/12))</f>
        <v>2637.1768851556462</v>
      </c>
      <c r="R41" s="26">
        <f>(R42)/((1+Assumptions!$B$21)^$E42)+H42/IF(H$3="EOP",((1+Assumptions!$B$21)^$E42),1)</f>
        <v>6820390.3580704108</v>
      </c>
      <c r="S41" s="27">
        <f>(S42)/((1+Assumptions!$B$21)^$E42)+L42/IF(L$3="EOP",((1+Assumptions!$B$21)^$E42),1)</f>
        <v>3327019.6868636147</v>
      </c>
      <c r="T41" s="27">
        <f>(T42)/((1+Assumptions!$B$21)^$E42)+M42/IF(M$3="EOP",((1+Assumptions!$B$21)^$E42),1)</f>
        <v>665403.9373727229</v>
      </c>
      <c r="U41" s="27">
        <f>(U42)/((1+Assumptions!$B$21)^$E42)+N42/IF(N$3="EOP",((1+Assumptions!$B$21)^$E42),1)</f>
        <v>1364078.0716140822</v>
      </c>
      <c r="V41" s="27">
        <f>(V42)/((1+Assumptions!$B$21)^$E42)+O42/IF(O$3="EOP",((1+Assumptions!$B$21)^$E42),1)</f>
        <v>136407.80716140819</v>
      </c>
      <c r="W41" s="27">
        <f>(W42)/((1+Assumptions!$B$21)^$E42)+P42/IF(P$3="EOP",((1+Assumptions!$B$21)^$E42),1)</f>
        <v>545631.22864563274</v>
      </c>
      <c r="X41" s="27">
        <f>(X42)/((1+Assumptions!$B$21)^$E42)+Q42/IF(Q$3="EOP",((1+Assumptions!$B$21)^$E42),1)</f>
        <v>332701.96868636145</v>
      </c>
      <c r="Y41" s="28">
        <f t="shared" si="2"/>
        <v>-2052771.1467948514</v>
      </c>
      <c r="Z41" s="94">
        <f>H42*Assumptions!$B$7*Assumptions!$B$25/$E42/12*(1
+Assumptions!$K$7*'Results (i) to (iii)'!$C$16*--($D41&lt;=1)
+Assumptions!$K$8*'Results (i) to (iii)'!$C$16*--($D41&lt;=Assumptions!$K$15/12))</f>
        <v>41100.359380843183</v>
      </c>
      <c r="AA41" s="27">
        <f>Z41*Assumptions!$B$11</f>
        <v>8220.0718761686367</v>
      </c>
      <c r="AB41" s="29">
        <f t="shared" si="8"/>
        <v>32880.287504674547</v>
      </c>
      <c r="AC41" s="87">
        <f t="shared" si="9"/>
        <v>-2019890.8592901768</v>
      </c>
      <c r="AD41" s="87">
        <f>Assumptions!$B$23*R41</f>
        <v>1023058.5537105616</v>
      </c>
      <c r="AE41" s="87">
        <f t="shared" si="11"/>
        <v>-996832.30557961517</v>
      </c>
    </row>
    <row r="42" spans="1:31" s="44" customFormat="1" x14ac:dyDescent="0.25">
      <c r="A42" s="44">
        <f t="shared" si="10"/>
        <v>37</v>
      </c>
      <c r="B42" s="45" t="s">
        <v>29</v>
      </c>
      <c r="C42" s="46">
        <f>C41+12</f>
        <v>48</v>
      </c>
      <c r="D42" s="47">
        <f t="shared" si="1"/>
        <v>4</v>
      </c>
      <c r="E42" s="47">
        <f t="shared" si="4"/>
        <v>1</v>
      </c>
      <c r="F42" s="48">
        <f t="shared" si="5"/>
        <v>1</v>
      </c>
      <c r="G42" s="49">
        <f>(G41*($K41/$K40)-L41)*(1+Assumptions!$B$15)^$F42</f>
        <v>492558932.25540704</v>
      </c>
      <c r="H42" s="49">
        <f>$H$6/$G$6*G42*(1+Assumptions!$B$16)^INT((C42-1)/12)*IF(B42="Monthly",1,12)</f>
        <v>620482.39766932337</v>
      </c>
      <c r="I42" s="102">
        <f>Assumptions!$B$14*(1+Assumptions!$K$10*--($D42&lt;=Assumptions!$K$15/12))</f>
        <v>0.15</v>
      </c>
      <c r="J42" s="50">
        <f t="shared" si="6"/>
        <v>0.15000000000000002</v>
      </c>
      <c r="K42" s="51">
        <f t="shared" si="7"/>
        <v>0.39566171875000034</v>
      </c>
      <c r="L42" s="98">
        <f>H42*Assumptions!$B$7*(1
+Assumptions!$K$7*'Results (i) to (iii)'!$C$16*--($D42&lt;=1)
+Assumptions!$K$8*'Results (i) to (iii)'!$C$16*--($D42&lt;=Assumptions!$K$15/12))
+$G42*Assumptions!$K$9*$E42*'Results (i) to (iii)'!$C$16*--($D42&lt;=2)</f>
        <v>310241.19883466169</v>
      </c>
      <c r="M42" s="49">
        <f>L42*Assumptions!$B$11</f>
        <v>62048.23976693234</v>
      </c>
      <c r="N42" s="49">
        <f>H42*Assumptions!$B$11</f>
        <v>124096.47953386468</v>
      </c>
      <c r="O42" s="49">
        <f>N42*Assumptions!$B$12</f>
        <v>12409.647953386469</v>
      </c>
      <c r="P42" s="49">
        <f>H42*Assumptions!$B$9</f>
        <v>49638.591813545871</v>
      </c>
      <c r="Q42" s="105">
        <f>H42*Assumptions!$B$8*(1+Assumptions!$K$11*--($D42&lt;=Assumptions!$K$15/12))</f>
        <v>31024.11988346617</v>
      </c>
      <c r="R42" s="52">
        <f>(R43)/((1+Assumptions!$B$21)^$E43)+H43/IF(H$3="EOP",((1+Assumptions!$B$21)^$E43),1)</f>
        <v>6354905.6594111137</v>
      </c>
      <c r="S42" s="49">
        <f>(S43)/((1+Assumptions!$B$21)^$E43)+L43/IF(L$3="EOP",((1+Assumptions!$B$21)^$E43),1)</f>
        <v>3099953.9802005431</v>
      </c>
      <c r="T42" s="49">
        <f>(T43)/((1+Assumptions!$B$21)^$E43)+M43/IF(M$3="EOP",((1+Assumptions!$B$21)^$E43),1)</f>
        <v>619990.79604010866</v>
      </c>
      <c r="U42" s="49">
        <f>(U43)/((1+Assumptions!$B$21)^$E43)+N43/IF(N$3="EOP",((1+Assumptions!$B$21)^$E43),1)</f>
        <v>1270981.1318822228</v>
      </c>
      <c r="V42" s="49">
        <f>(V43)/((1+Assumptions!$B$21)^$E43)+O43/IF(O$3="EOP",((1+Assumptions!$B$21)^$E43),1)</f>
        <v>127098.11318822225</v>
      </c>
      <c r="W42" s="49">
        <f>(W43)/((1+Assumptions!$B$21)^$E43)+P43/IF(P$3="EOP",((1+Assumptions!$B$21)^$E43),1)</f>
        <v>508392.45275288896</v>
      </c>
      <c r="X42" s="49">
        <f>(X43)/((1+Assumptions!$B$21)^$E43)+Q43/IF(Q$3="EOP",((1+Assumptions!$B$21)^$E43),1)</f>
        <v>309995.39802005433</v>
      </c>
      <c r="Y42" s="53">
        <f t="shared" si="2"/>
        <v>-1912671.6057837349</v>
      </c>
      <c r="Z42" s="98">
        <f>H43*Assumptions!$B$7*Assumptions!$B$25/$E43/12*(1
+Assumptions!$K$7*'Results (i) to (iii)'!$C$16*--($D42&lt;=1)
+Assumptions!$K$8*'Results (i) to (iii)'!$C$16*--($D42&lt;=Assumptions!$K$15/12))</f>
        <v>30237.727945894632</v>
      </c>
      <c r="AA42" s="49">
        <f>Z42*Assumptions!$B$11</f>
        <v>6047.545589178927</v>
      </c>
      <c r="AB42" s="54">
        <f t="shared" si="8"/>
        <v>24190.182356715704</v>
      </c>
      <c r="AC42" s="89">
        <f t="shared" si="9"/>
        <v>-1888481.4234270193</v>
      </c>
      <c r="AD42" s="89">
        <f>Assumptions!$B$23*R42</f>
        <v>953235.84891166701</v>
      </c>
      <c r="AE42" s="89">
        <f t="shared" si="11"/>
        <v>-935245.57451535226</v>
      </c>
    </row>
    <row r="43" spans="1:31" s="44" customFormat="1" x14ac:dyDescent="0.25">
      <c r="A43" s="44">
        <f t="shared" si="10"/>
        <v>38</v>
      </c>
      <c r="B43" s="45" t="s">
        <v>29</v>
      </c>
      <c r="C43" s="48">
        <f>C42+12</f>
        <v>60</v>
      </c>
      <c r="D43" s="47">
        <f t="shared" si="1"/>
        <v>5</v>
      </c>
      <c r="E43" s="47">
        <f t="shared" si="4"/>
        <v>1</v>
      </c>
      <c r="F43" s="48">
        <f t="shared" si="5"/>
        <v>1</v>
      </c>
      <c r="G43" s="49">
        <f>(G42*($K42/$K41)-L42)*(1+Assumptions!$B$15)^$F43</f>
        <v>426732148.24262655</v>
      </c>
      <c r="H43" s="49">
        <f>$H$6/$G$6*G43*(1+Assumptions!$B$16)^INT((C43-1)/12)*IF(B43="Monthly",1,12)</f>
        <v>580564.37656117696</v>
      </c>
      <c r="I43" s="102">
        <f>Assumptions!$B$14*(1+Assumptions!$K$10*--($D43&lt;=Assumptions!$K$15/12))</f>
        <v>0.15</v>
      </c>
      <c r="J43" s="50">
        <f t="shared" si="6"/>
        <v>0.15000000000000002</v>
      </c>
      <c r="K43" s="51">
        <f t="shared" si="7"/>
        <v>0.33631246093750028</v>
      </c>
      <c r="L43" s="98">
        <f>H43*Assumptions!$B$7*(1
+Assumptions!$K$7*'Results (i) to (iii)'!$C$16*--($D43&lt;=1)
+Assumptions!$K$8*'Results (i) to (iii)'!$C$16*--($D43&lt;=Assumptions!$K$15/12))
+$G43*Assumptions!$K$9*$E43*'Results (i) to (iii)'!$C$16*--($D43&lt;=2)</f>
        <v>290282.18828058848</v>
      </c>
      <c r="M43" s="49">
        <f>L43*Assumptions!$B$11</f>
        <v>58056.437656117698</v>
      </c>
      <c r="N43" s="49">
        <f>H43*Assumptions!$B$11</f>
        <v>116112.8753122354</v>
      </c>
      <c r="O43" s="49">
        <f>N43*Assumptions!$B$12</f>
        <v>11611.287531223541</v>
      </c>
      <c r="P43" s="49">
        <f>H43*Assumptions!$B$9</f>
        <v>46445.150124894157</v>
      </c>
      <c r="Q43" s="105">
        <f>H43*Assumptions!$B$8*(1+Assumptions!$K$11*--($D43&lt;=Assumptions!$K$15/12))</f>
        <v>29028.218828058849</v>
      </c>
      <c r="R43" s="52">
        <f>(R44)/((1+Assumptions!$B$21)^$E44)+H44/IF(H$3="EOP",((1+Assumptions!$B$21)^$E44),1)</f>
        <v>5918699.8149211844</v>
      </c>
      <c r="S43" s="49">
        <f>(S44)/((1+Assumptions!$B$21)^$E44)+L44/IF(L$3="EOP",((1+Assumptions!$B$21)^$E44),1)</f>
        <v>2887170.6414249679</v>
      </c>
      <c r="T43" s="49">
        <f>(T44)/((1+Assumptions!$B$21)^$E44)+M44/IF(M$3="EOP",((1+Assumptions!$B$21)^$E44),1)</f>
        <v>577434.12828499358</v>
      </c>
      <c r="U43" s="49">
        <f>(U44)/((1+Assumptions!$B$21)^$E44)+N44/IF(N$3="EOP",((1+Assumptions!$B$21)^$E44),1)</f>
        <v>1183739.9629842369</v>
      </c>
      <c r="V43" s="49">
        <f>(V44)/((1+Assumptions!$B$21)^$E44)+O44/IF(O$3="EOP",((1+Assumptions!$B$21)^$E44),1)</f>
        <v>118373.99629842368</v>
      </c>
      <c r="W43" s="49">
        <f>(W44)/((1+Assumptions!$B$21)^$E44)+P44/IF(P$3="EOP",((1+Assumptions!$B$21)^$E44),1)</f>
        <v>473495.98519369465</v>
      </c>
      <c r="X43" s="49">
        <f>(X44)/((1+Assumptions!$B$21)^$E44)+Q44/IF(Q$3="EOP",((1+Assumptions!$B$21)^$E44),1)</f>
        <v>288717.06414249679</v>
      </c>
      <c r="Y43" s="53">
        <f t="shared" si="2"/>
        <v>-1781384.2857592052</v>
      </c>
      <c r="Z43" s="98">
        <f>H44*Assumptions!$B$7*Assumptions!$B$25/$E44/12*(1
+Assumptions!$K$7*'Results (i) to (iii)'!$C$16*--($D43&lt;=1)
+Assumptions!$K$8*'Results (i) to (iii)'!$C$16*--($D43&lt;=Assumptions!$K$15/12))</f>
        <v>28290.740076666629</v>
      </c>
      <c r="AA43" s="49">
        <f>Z43*Assumptions!$B$11</f>
        <v>5658.1480153333259</v>
      </c>
      <c r="AB43" s="54">
        <f t="shared" si="8"/>
        <v>22632.592061333304</v>
      </c>
      <c r="AC43" s="89">
        <f t="shared" si="9"/>
        <v>-1758751.6936978719</v>
      </c>
      <c r="AD43" s="89">
        <f>Assumptions!$B$23*R43</f>
        <v>887804.97223817767</v>
      </c>
      <c r="AE43" s="89">
        <f t="shared" si="11"/>
        <v>-870946.72145969421</v>
      </c>
    </row>
    <row r="44" spans="1:31" x14ac:dyDescent="0.25">
      <c r="A44" s="44">
        <f t="shared" si="10"/>
        <v>39</v>
      </c>
      <c r="B44" s="45" t="s">
        <v>29</v>
      </c>
      <c r="C44" s="48">
        <f t="shared" ref="C44:C78" si="12">C43+12</f>
        <v>72</v>
      </c>
      <c r="D44" s="47">
        <f t="shared" si="1"/>
        <v>6</v>
      </c>
      <c r="E44" s="47">
        <f t="shared" si="4"/>
        <v>1</v>
      </c>
      <c r="F44" s="48">
        <f t="shared" si="5"/>
        <v>1</v>
      </c>
      <c r="G44" s="49">
        <f>(G43*($K43/$K42)-L43)*(1+Assumptions!$B$15)^$F44</f>
        <v>369680684.69431102</v>
      </c>
      <c r="H44" s="49">
        <f>$H$6/$G$6*G44*(1+Assumptions!$B$16)^INT((C44-1)/12)*IF(B44="Monthly",1,12)</f>
        <v>543182.20947199932</v>
      </c>
      <c r="I44" s="102">
        <f>Assumptions!$B$14*(1+Assumptions!$K$10*--($D44&lt;=Assumptions!$K$15/12))</f>
        <v>0.15</v>
      </c>
      <c r="J44" s="50">
        <f t="shared" si="6"/>
        <v>0.15000000000000002</v>
      </c>
      <c r="K44" s="51">
        <f t="shared" si="7"/>
        <v>0.28586559179687521</v>
      </c>
      <c r="L44" s="98">
        <f>H44*Assumptions!$B$7*(1
+Assumptions!$K$7*'Results (i) to (iii)'!$C$16*--($D44&lt;=1)
+Assumptions!$K$8*'Results (i) to (iii)'!$C$16*--($D44&lt;=Assumptions!$K$15/12))
+$G44*Assumptions!$K$9*$E44*'Results (i) to (iii)'!$C$16*--($D44&lt;=2)</f>
        <v>271591.10473599966</v>
      </c>
      <c r="M44" s="49">
        <f>L44*Assumptions!$B$11</f>
        <v>54318.220947199938</v>
      </c>
      <c r="N44" s="49">
        <f>H44*Assumptions!$B$11</f>
        <v>108636.44189439988</v>
      </c>
      <c r="O44" s="49">
        <f>N44*Assumptions!$B$12</f>
        <v>10863.644189439989</v>
      </c>
      <c r="P44" s="49">
        <f>H44*Assumptions!$B$9</f>
        <v>43454.576757759947</v>
      </c>
      <c r="Q44" s="105">
        <f>H44*Assumptions!$B$8*(1+Assumptions!$K$11*--($D44&lt;=Assumptions!$K$15/12))</f>
        <v>27159.110473599969</v>
      </c>
      <c r="R44" s="52">
        <f>(R45)/((1+Assumptions!$B$21)^$E45)+H45/IF(H$3="EOP",((1+Assumptions!$B$21)^$E45),1)</f>
        <v>5509905.5455854135</v>
      </c>
      <c r="S44" s="49">
        <f>(S45)/((1+Assumptions!$B$21)^$E45)+L45/IF(L$3="EOP",((1+Assumptions!$B$21)^$E45),1)</f>
        <v>2687758.8027245919</v>
      </c>
      <c r="T44" s="49">
        <f>(T45)/((1+Assumptions!$B$21)^$E45)+M45/IF(M$3="EOP",((1+Assumptions!$B$21)^$E45),1)</f>
        <v>537551.76054491848</v>
      </c>
      <c r="U44" s="49">
        <f>(U45)/((1+Assumptions!$B$21)^$E45)+N45/IF(N$3="EOP",((1+Assumptions!$B$21)^$E45),1)</f>
        <v>1101981.1091170828</v>
      </c>
      <c r="V44" s="49">
        <f>(V45)/((1+Assumptions!$B$21)^$E45)+O45/IF(O$3="EOP",((1+Assumptions!$B$21)^$E45),1)</f>
        <v>110198.11091170827</v>
      </c>
      <c r="W44" s="49">
        <f>(W45)/((1+Assumptions!$B$21)^$E45)+P45/IF(P$3="EOP",((1+Assumptions!$B$21)^$E45),1)</f>
        <v>440792.44364683301</v>
      </c>
      <c r="X44" s="49">
        <f>(X45)/((1+Assumptions!$B$21)^$E45)+Q45/IF(Q$3="EOP",((1+Assumptions!$B$21)^$E45),1)</f>
        <v>268775.88027245924</v>
      </c>
      <c r="Y44" s="53">
        <f t="shared" si="2"/>
        <v>-1658347.1812810733</v>
      </c>
      <c r="Z44" s="98">
        <f>H45*Assumptions!$B$7*Assumptions!$B$25/$E45/12*(1
+Assumptions!$K$7*'Results (i) to (iii)'!$C$16*--($D44&lt;=1)
+Assumptions!$K$8*'Results (i) to (iii)'!$C$16*--($D44&lt;=Assumptions!$K$15/12))</f>
        <v>26467.421515195147</v>
      </c>
      <c r="AA44" s="49">
        <f>Z44*Assumptions!$B$11</f>
        <v>5293.4843030390293</v>
      </c>
      <c r="AB44" s="54">
        <f t="shared" si="8"/>
        <v>21173.937212156117</v>
      </c>
      <c r="AC44" s="89">
        <f t="shared" si="9"/>
        <v>-1637173.2440689171</v>
      </c>
      <c r="AD44" s="89">
        <f>Assumptions!$B$23*R44</f>
        <v>826485.83183781197</v>
      </c>
      <c r="AE44" s="89">
        <f t="shared" si="11"/>
        <v>-810687.41223110515</v>
      </c>
    </row>
    <row r="45" spans="1:31" x14ac:dyDescent="0.25">
      <c r="A45" s="44">
        <f t="shared" si="10"/>
        <v>40</v>
      </c>
      <c r="B45" s="45" t="s">
        <v>29</v>
      </c>
      <c r="C45" s="48">
        <f t="shared" si="12"/>
        <v>84</v>
      </c>
      <c r="D45" s="47">
        <f t="shared" si="1"/>
        <v>7</v>
      </c>
      <c r="E45" s="47">
        <f t="shared" si="4"/>
        <v>1</v>
      </c>
      <c r="F45" s="48">
        <f t="shared" si="5"/>
        <v>1</v>
      </c>
      <c r="G45" s="49">
        <f>(G44*($K44/$K43)-L44)*(1+Assumptions!$B$15)^$F45</f>
        <v>320236130.70313692</v>
      </c>
      <c r="H45" s="49">
        <f>$H$6/$G$6*G45*(1+Assumptions!$B$16)^INT((C45-1)/12)*IF(B45="Monthly",1,12)</f>
        <v>508174.49309174682</v>
      </c>
      <c r="I45" s="102">
        <f>Assumptions!$B$14*(1+Assumptions!$K$10*--($D45&lt;=Assumptions!$K$15/12))</f>
        <v>0.15</v>
      </c>
      <c r="J45" s="50">
        <f t="shared" si="6"/>
        <v>0.15000000000000002</v>
      </c>
      <c r="K45" s="51">
        <f t="shared" si="7"/>
        <v>0.24298575302734393</v>
      </c>
      <c r="L45" s="98">
        <f>H45*Assumptions!$B$7*(1
+Assumptions!$K$7*'Results (i) to (iii)'!$C$16*--($D45&lt;=1)
+Assumptions!$K$8*'Results (i) to (iii)'!$C$16*--($D45&lt;=Assumptions!$K$15/12))
+$G45*Assumptions!$K$9*$E45*'Results (i) to (iii)'!$C$16*--($D45&lt;=2)</f>
        <v>254087.24654587341</v>
      </c>
      <c r="M45" s="49">
        <f>L45*Assumptions!$B$11</f>
        <v>50817.449309174684</v>
      </c>
      <c r="N45" s="49">
        <f>H45*Assumptions!$B$11</f>
        <v>101634.89861834937</v>
      </c>
      <c r="O45" s="49">
        <f>N45*Assumptions!$B$12</f>
        <v>10163.489861834938</v>
      </c>
      <c r="P45" s="49">
        <f>H45*Assumptions!$B$9</f>
        <v>40653.959447339745</v>
      </c>
      <c r="Q45" s="105">
        <f>H45*Assumptions!$B$8*(1+Assumptions!$K$11*--($D45&lt;=Assumptions!$K$15/12))</f>
        <v>25408.724654587342</v>
      </c>
      <c r="R45" s="52">
        <f>(R46)/((1+Assumptions!$B$21)^$E46)+H46/IF(H$3="EOP",((1+Assumptions!$B$21)^$E46),1)</f>
        <v>5126774.3288060073</v>
      </c>
      <c r="S45" s="49">
        <f>(S46)/((1+Assumptions!$B$21)^$E46)+L46/IF(L$3="EOP",((1+Assumptions!$B$21)^$E46),1)</f>
        <v>2500865.5262468331</v>
      </c>
      <c r="T45" s="49">
        <f>(T46)/((1+Assumptions!$B$21)^$E46)+M46/IF(M$3="EOP",((1+Assumptions!$B$21)^$E46),1)</f>
        <v>500173.10524936666</v>
      </c>
      <c r="U45" s="49">
        <f>(U46)/((1+Assumptions!$B$21)^$E46)+N46/IF(N$3="EOP",((1+Assumptions!$B$21)^$E46),1)</f>
        <v>1025354.8657612016</v>
      </c>
      <c r="V45" s="49">
        <f>(V46)/((1+Assumptions!$B$21)^$E46)+O46/IF(O$3="EOP",((1+Assumptions!$B$21)^$E46),1)</f>
        <v>102535.48657612015</v>
      </c>
      <c r="W45" s="49">
        <f>(W46)/((1+Assumptions!$B$21)^$E46)+P46/IF(P$3="EOP",((1+Assumptions!$B$21)^$E46),1)</f>
        <v>410141.94630448055</v>
      </c>
      <c r="X45" s="49">
        <f>(X46)/((1+Assumptions!$B$21)^$E46)+Q46/IF(Q$3="EOP",((1+Assumptions!$B$21)^$E46),1)</f>
        <v>250086.55262468333</v>
      </c>
      <c r="Y45" s="53">
        <f t="shared" si="2"/>
        <v>-1543034.029694296</v>
      </c>
      <c r="Z45" s="98">
        <f>H46*Assumptions!$B$7*Assumptions!$B$25/$E46/12*(1
+Assumptions!$K$7*'Results (i) to (iii)'!$C$16*--($D45&lt;=1)
+Assumptions!$K$8*'Results (i) to (iii)'!$C$16*--($D45&lt;=Assumptions!$K$15/12))</f>
        <v>24759.900950212508</v>
      </c>
      <c r="AA45" s="49">
        <f>Z45*Assumptions!$B$11</f>
        <v>4951.9801900425018</v>
      </c>
      <c r="AB45" s="54">
        <f t="shared" si="8"/>
        <v>19807.920760170007</v>
      </c>
      <c r="AC45" s="89">
        <f t="shared" si="9"/>
        <v>-1523226.1089341259</v>
      </c>
      <c r="AD45" s="89">
        <f>Assumptions!$B$23*R45</f>
        <v>769016.14932090102</v>
      </c>
      <c r="AE45" s="89">
        <f t="shared" si="11"/>
        <v>-754209.95961322484</v>
      </c>
    </row>
    <row r="46" spans="1:31" x14ac:dyDescent="0.25">
      <c r="A46" s="44">
        <f t="shared" si="10"/>
        <v>41</v>
      </c>
      <c r="B46" s="45" t="s">
        <v>29</v>
      </c>
      <c r="C46" s="48">
        <f t="shared" si="12"/>
        <v>96</v>
      </c>
      <c r="D46" s="47">
        <f t="shared" si="1"/>
        <v>8</v>
      </c>
      <c r="E46" s="47">
        <f t="shared" si="4"/>
        <v>1</v>
      </c>
      <c r="F46" s="48">
        <f t="shared" si="5"/>
        <v>1</v>
      </c>
      <c r="G46" s="49">
        <f>(G45*($K45/$K44)-L45)*(1+Assumptions!$B$15)^$F46</f>
        <v>277385556.32814294</v>
      </c>
      <c r="H46" s="49">
        <f>$H$6/$G$6*G46*(1+Assumptions!$B$16)^INT((C46-1)/12)*IF(B46="Monthly",1,12)</f>
        <v>475390.09824408009</v>
      </c>
      <c r="I46" s="102">
        <f>Assumptions!$B$14*(1+Assumptions!$K$10*--($D46&lt;=Assumptions!$K$15/12))</f>
        <v>0.15</v>
      </c>
      <c r="J46" s="50">
        <f t="shared" si="6"/>
        <v>0.15000000000000002</v>
      </c>
      <c r="K46" s="51">
        <f t="shared" si="7"/>
        <v>0.20653789007324233</v>
      </c>
      <c r="L46" s="98">
        <f>H46*Assumptions!$B$7*(1
+Assumptions!$K$7*'Results (i) to (iii)'!$C$16*--($D46&lt;=1)
+Assumptions!$K$8*'Results (i) to (iii)'!$C$16*--($D46&lt;=Assumptions!$K$15/12))
+$G46*Assumptions!$K$9*$E46*'Results (i) to (iii)'!$C$16*--($D46&lt;=2)</f>
        <v>237695.04912204004</v>
      </c>
      <c r="M46" s="49">
        <f>L46*Assumptions!$B$11</f>
        <v>47539.009824408015</v>
      </c>
      <c r="N46" s="49">
        <f>H46*Assumptions!$B$11</f>
        <v>95078.019648816029</v>
      </c>
      <c r="O46" s="49">
        <f>N46*Assumptions!$B$12</f>
        <v>9507.8019648816025</v>
      </c>
      <c r="P46" s="49">
        <f>H46*Assumptions!$B$9</f>
        <v>38031.20785952641</v>
      </c>
      <c r="Q46" s="105">
        <f>H46*Assumptions!$B$8*(1+Assumptions!$K$11*--($D46&lt;=Assumptions!$K$15/12))</f>
        <v>23769.504912204007</v>
      </c>
      <c r="R46" s="52">
        <f>(R47)/((1+Assumptions!$B$21)^$E47)+H47/IF(H$3="EOP",((1+Assumptions!$B$21)^$E47),1)</f>
        <v>4767668.8363259751</v>
      </c>
      <c r="S46" s="49">
        <f>(S47)/((1+Assumptions!$B$21)^$E47)+L47/IF(L$3="EOP",((1+Assumptions!$B$21)^$E47),1)</f>
        <v>2325692.1152809635</v>
      </c>
      <c r="T46" s="49">
        <f>(T47)/((1+Assumptions!$B$21)^$E47)+M47/IF(M$3="EOP",((1+Assumptions!$B$21)^$E47),1)</f>
        <v>465138.42305619275</v>
      </c>
      <c r="U46" s="49">
        <f>(U47)/((1+Assumptions!$B$21)^$E47)+N47/IF(N$3="EOP",((1+Assumptions!$B$21)^$E47),1)</f>
        <v>953533.76726519503</v>
      </c>
      <c r="V46" s="49">
        <f>(V47)/((1+Assumptions!$B$21)^$E47)+O47/IF(O$3="EOP",((1+Assumptions!$B$21)^$E47),1)</f>
        <v>95353.376726519506</v>
      </c>
      <c r="W46" s="49">
        <f>(W47)/((1+Assumptions!$B$21)^$E47)+P47/IF(P$3="EOP",((1+Assumptions!$B$21)^$E47),1)</f>
        <v>381413.50690607796</v>
      </c>
      <c r="X46" s="49">
        <f>(X47)/((1+Assumptions!$B$21)^$E47)+Q47/IF(Q$3="EOP",((1+Assumptions!$B$21)^$E47),1)</f>
        <v>232569.21152809638</v>
      </c>
      <c r="Y46" s="53">
        <f t="shared" si="2"/>
        <v>-1434952.0351283546</v>
      </c>
      <c r="Z46" s="98">
        <f>H47*Assumptions!$B$7*Assumptions!$B$25/$E47/12*(1
+Assumptions!$K$7*'Results (i) to (iii)'!$C$16*--($D46&lt;=1)
+Assumptions!$K$8*'Results (i) to (iii)'!$C$16*--($D46&lt;=Assumptions!$K$15/12))</f>
        <v>23160.808140918089</v>
      </c>
      <c r="AA46" s="49">
        <f>Z46*Assumptions!$B$11</f>
        <v>4632.1616281836177</v>
      </c>
      <c r="AB46" s="54">
        <f t="shared" si="8"/>
        <v>18528.646512734471</v>
      </c>
      <c r="AC46" s="89">
        <f t="shared" si="9"/>
        <v>-1416423.3886156201</v>
      </c>
      <c r="AD46" s="89">
        <f>Assumptions!$B$23*R46</f>
        <v>715150.32544889627</v>
      </c>
      <c r="AE46" s="89">
        <f t="shared" si="11"/>
        <v>-701273.06316672382</v>
      </c>
    </row>
    <row r="47" spans="1:31" x14ac:dyDescent="0.25">
      <c r="A47" s="44">
        <f t="shared" si="10"/>
        <v>42</v>
      </c>
      <c r="B47" s="45" t="s">
        <v>29</v>
      </c>
      <c r="C47" s="48">
        <f t="shared" si="12"/>
        <v>108</v>
      </c>
      <c r="D47" s="47">
        <f t="shared" si="1"/>
        <v>9</v>
      </c>
      <c r="E47" s="47">
        <f t="shared" si="4"/>
        <v>1</v>
      </c>
      <c r="F47" s="48">
        <f t="shared" si="5"/>
        <v>1</v>
      </c>
      <c r="G47" s="49">
        <f>(G46*($K46/$K45)-L46)*(1+Assumptions!$B$15)^$F47</f>
        <v>240250828.38639542</v>
      </c>
      <c r="H47" s="49">
        <f>$H$6/$G$6*G47*(1+Assumptions!$B$16)^INT((C47-1)/12)*IF(B47="Monthly",1,12)</f>
        <v>444687.5163056273</v>
      </c>
      <c r="I47" s="102">
        <f>Assumptions!$B$14*(1+Assumptions!$K$10*--($D47&lt;=Assumptions!$K$15/12))</f>
        <v>0.15</v>
      </c>
      <c r="J47" s="50">
        <f t="shared" si="6"/>
        <v>0.15000000000000002</v>
      </c>
      <c r="K47" s="51">
        <f t="shared" si="7"/>
        <v>0.17555720656225599</v>
      </c>
      <c r="L47" s="98">
        <f>H47*Assumptions!$B$7*(1
+Assumptions!$K$7*'Results (i) to (iii)'!$C$16*--($D47&lt;=1)
+Assumptions!$K$8*'Results (i) to (iii)'!$C$16*--($D47&lt;=Assumptions!$K$15/12))
+$G47*Assumptions!$K$9*$E47*'Results (i) to (iii)'!$C$16*--($D47&lt;=2)</f>
        <v>222343.75815281365</v>
      </c>
      <c r="M47" s="49">
        <f>L47*Assumptions!$B$11</f>
        <v>44468.751630562736</v>
      </c>
      <c r="N47" s="49">
        <f>H47*Assumptions!$B$11</f>
        <v>88937.503261125472</v>
      </c>
      <c r="O47" s="49">
        <f>N47*Assumptions!$B$12</f>
        <v>8893.7503261125476</v>
      </c>
      <c r="P47" s="49">
        <f>H47*Assumptions!$B$9</f>
        <v>35575.001304450183</v>
      </c>
      <c r="Q47" s="105">
        <f>H47*Assumptions!$B$8*(1+Assumptions!$K$11*--($D47&lt;=Assumptions!$K$15/12))</f>
        <v>22234.375815281368</v>
      </c>
      <c r="R47" s="52">
        <f>(R48)/((1+Assumptions!$B$21)^$E48)+H48/IF(H$3="EOP",((1+Assumptions!$B$21)^$E48),1)</f>
        <v>4431055.8530208562</v>
      </c>
      <c r="S47" s="49">
        <f>(S48)/((1+Assumptions!$B$21)^$E48)+L48/IF(L$3="EOP",((1+Assumptions!$B$21)^$E48),1)</f>
        <v>2161490.6600101739</v>
      </c>
      <c r="T47" s="49">
        <f>(T48)/((1+Assumptions!$B$21)^$E48)+M48/IF(M$3="EOP",((1+Assumptions!$B$21)^$E48),1)</f>
        <v>432298.13200203481</v>
      </c>
      <c r="U47" s="49">
        <f>(U48)/((1+Assumptions!$B$21)^$E48)+N48/IF(N$3="EOP",((1+Assumptions!$B$21)^$E48),1)</f>
        <v>886211.17060417123</v>
      </c>
      <c r="V47" s="49">
        <f>(V48)/((1+Assumptions!$B$21)^$E48)+O48/IF(O$3="EOP",((1+Assumptions!$B$21)^$E48),1)</f>
        <v>88621.11706041712</v>
      </c>
      <c r="W47" s="49">
        <f>(W48)/((1+Assumptions!$B$21)^$E48)+P48/IF(P$3="EOP",((1+Assumptions!$B$21)^$E48),1)</f>
        <v>354484.46824166848</v>
      </c>
      <c r="X47" s="49">
        <f>(X48)/((1+Assumptions!$B$21)^$E48)+Q48/IF(Q$3="EOP",((1+Assumptions!$B$21)^$E48),1)</f>
        <v>216149.0660010174</v>
      </c>
      <c r="Y47" s="53">
        <f t="shared" si="2"/>
        <v>-1333639.7372262769</v>
      </c>
      <c r="Z47" s="98">
        <f>H48*Assumptions!$B$7*Assumptions!$B$25/$E48/12*(1
+Assumptions!$K$7*'Results (i) to (iii)'!$C$16*--($D47&lt;=1)
+Assumptions!$K$8*'Results (i) to (iii)'!$C$16*--($D47&lt;=Assumptions!$K$15/12))</f>
        <v>21663.242043883063</v>
      </c>
      <c r="AA47" s="49">
        <f>Z47*Assumptions!$B$11</f>
        <v>4332.648408776613</v>
      </c>
      <c r="AB47" s="54">
        <f t="shared" si="8"/>
        <v>17330.593635106452</v>
      </c>
      <c r="AC47" s="89">
        <f t="shared" si="9"/>
        <v>-1316309.1435911704</v>
      </c>
      <c r="AD47" s="89">
        <f>Assumptions!$B$23*R47</f>
        <v>664658.37795312842</v>
      </c>
      <c r="AE47" s="89">
        <f t="shared" si="11"/>
        <v>-651650.76563804201</v>
      </c>
    </row>
    <row r="48" spans="1:31" x14ac:dyDescent="0.25">
      <c r="A48" s="44">
        <f t="shared" si="10"/>
        <v>43</v>
      </c>
      <c r="B48" s="45" t="s">
        <v>29</v>
      </c>
      <c r="C48" s="48">
        <f t="shared" si="12"/>
        <v>120</v>
      </c>
      <c r="D48" s="47">
        <f t="shared" si="1"/>
        <v>10</v>
      </c>
      <c r="E48" s="47">
        <f t="shared" si="4"/>
        <v>1</v>
      </c>
      <c r="F48" s="48">
        <f t="shared" si="5"/>
        <v>1</v>
      </c>
      <c r="G48" s="49">
        <f>(G47*($K47/$K46)-L47)*(1+Assumptions!$B$15)^$F48</f>
        <v>208070677.57768896</v>
      </c>
      <c r="H48" s="49">
        <f>$H$6/$G$6*G48*(1+Assumptions!$B$16)^INT((C48-1)/12)*IF(B48="Monthly",1,12)</f>
        <v>415934.24724255479</v>
      </c>
      <c r="I48" s="102">
        <f>Assumptions!$B$14*(1+Assumptions!$K$10*--($D48&lt;=Assumptions!$K$15/12))</f>
        <v>0.15</v>
      </c>
      <c r="J48" s="50">
        <f t="shared" si="6"/>
        <v>0.15000000000000002</v>
      </c>
      <c r="K48" s="51">
        <f t="shared" si="7"/>
        <v>0.14922362557791757</v>
      </c>
      <c r="L48" s="98">
        <f>H48*Assumptions!$B$7*(1
+Assumptions!$K$7*'Results (i) to (iii)'!$C$16*--($D48&lt;=1)
+Assumptions!$K$8*'Results (i) to (iii)'!$C$16*--($D48&lt;=Assumptions!$K$15/12))
+$G48*Assumptions!$K$9*$E48*'Results (i) to (iii)'!$C$16*--($D48&lt;=2)</f>
        <v>207967.12362127739</v>
      </c>
      <c r="M48" s="49">
        <f>L48*Assumptions!$B$11</f>
        <v>41593.424724255485</v>
      </c>
      <c r="N48" s="49">
        <f>H48*Assumptions!$B$11</f>
        <v>83186.84944851097</v>
      </c>
      <c r="O48" s="49">
        <f>N48*Assumptions!$B$12</f>
        <v>8318.6849448510966</v>
      </c>
      <c r="P48" s="49">
        <f>H48*Assumptions!$B$9</f>
        <v>33274.739779404386</v>
      </c>
      <c r="Q48" s="105">
        <f>H48*Assumptions!$B$8*(1+Assumptions!$K$11*--($D48&lt;=Assumptions!$K$15/12))</f>
        <v>20796.712362127742</v>
      </c>
      <c r="R48" s="52">
        <f>(R49)/((1+Assumptions!$B$21)^$E49)+H49/IF(H$3="EOP",((1+Assumptions!$B$21)^$E49),1)</f>
        <v>4115499.6459227586</v>
      </c>
      <c r="S48" s="49">
        <f>(S49)/((1+Assumptions!$B$21)^$E49)+L49/IF(L$3="EOP",((1+Assumptions!$B$21)^$E49),1)</f>
        <v>2007560.8028891508</v>
      </c>
      <c r="T48" s="49">
        <f>(T49)/((1+Assumptions!$B$21)^$E49)+M49/IF(M$3="EOP",((1+Assumptions!$B$21)^$E49),1)</f>
        <v>401512.16057783016</v>
      </c>
      <c r="U48" s="49">
        <f>(U49)/((1+Assumptions!$B$21)^$E49)+N49/IF(N$3="EOP",((1+Assumptions!$B$21)^$E49),1)</f>
        <v>823099.92918455182</v>
      </c>
      <c r="V48" s="49">
        <f>(V49)/((1+Assumptions!$B$21)^$E49)+O49/IF(O$3="EOP",((1+Assumptions!$B$21)^$E49),1)</f>
        <v>82309.992918455173</v>
      </c>
      <c r="W48" s="49">
        <f>(W49)/((1+Assumptions!$B$21)^$E49)+P49/IF(P$3="EOP",((1+Assumptions!$B$21)^$E49),1)</f>
        <v>329239.97167382069</v>
      </c>
      <c r="X48" s="49">
        <f>(X49)/((1+Assumptions!$B$21)^$E49)+Q49/IF(Q$3="EOP",((1+Assumptions!$B$21)^$E49),1)</f>
        <v>200756.08028891508</v>
      </c>
      <c r="Y48" s="53">
        <f t="shared" si="2"/>
        <v>-1238665.0153826056</v>
      </c>
      <c r="Z48" s="98">
        <f>H49*Assumptions!$B$7*Assumptions!$B$25/$E49/12*(1
+Assumptions!$K$7*'Results (i) to (iii)'!$C$16*--($D48&lt;=1)
+Assumptions!$K$8*'Results (i) to (iii)'!$C$16*--($D48&lt;=Assumptions!$K$15/12))</f>
        <v>20260.740969677383</v>
      </c>
      <c r="AA48" s="49">
        <f>Z48*Assumptions!$B$11</f>
        <v>4052.1481939354767</v>
      </c>
      <c r="AB48" s="54">
        <f t="shared" si="8"/>
        <v>16208.592775741907</v>
      </c>
      <c r="AC48" s="89">
        <f t="shared" si="9"/>
        <v>-1222456.4226068638</v>
      </c>
      <c r="AD48" s="89">
        <f>Assumptions!$B$23*R48</f>
        <v>617324.94688841375</v>
      </c>
      <c r="AE48" s="89">
        <f t="shared" si="11"/>
        <v>-605131.47571845003</v>
      </c>
    </row>
    <row r="49" spans="1:31" x14ac:dyDescent="0.25">
      <c r="A49" s="44">
        <f t="shared" si="10"/>
        <v>44</v>
      </c>
      <c r="B49" s="45" t="s">
        <v>29</v>
      </c>
      <c r="C49" s="48">
        <f t="shared" si="12"/>
        <v>132</v>
      </c>
      <c r="D49" s="47">
        <f t="shared" si="1"/>
        <v>11</v>
      </c>
      <c r="E49" s="47">
        <f t="shared" si="4"/>
        <v>1</v>
      </c>
      <c r="F49" s="48">
        <f t="shared" si="5"/>
        <v>1</v>
      </c>
      <c r="G49" s="49">
        <f>(G48*($K48/$K47)-L48)*(1+Assumptions!$B$15)^$F49</f>
        <v>180185150.99376261</v>
      </c>
      <c r="H49" s="49">
        <f>$H$6/$G$6*G49*(1+Assumptions!$B$16)^INT((C49-1)/12)*IF(B49="Monthly",1,12)</f>
        <v>389006.22661780578</v>
      </c>
      <c r="I49" s="102">
        <f>Assumptions!$B$14*(1+Assumptions!$K$10*--($D49&lt;=Assumptions!$K$15/12))</f>
        <v>0.15</v>
      </c>
      <c r="J49" s="50">
        <f t="shared" si="6"/>
        <v>0.15000000000000002</v>
      </c>
      <c r="K49" s="51">
        <f t="shared" si="7"/>
        <v>0.12684008174122993</v>
      </c>
      <c r="L49" s="98">
        <f>H49*Assumptions!$B$7*(1
+Assumptions!$K$7*'Results (i) to (iii)'!$C$16*--($D49&lt;=1)
+Assumptions!$K$8*'Results (i) to (iii)'!$C$16*--($D49&lt;=Assumptions!$K$15/12))
+$G49*Assumptions!$K$9*$E49*'Results (i) to (iii)'!$C$16*--($D49&lt;=2)</f>
        <v>194503.11330890289</v>
      </c>
      <c r="M49" s="49">
        <f>L49*Assumptions!$B$11</f>
        <v>38900.622661780581</v>
      </c>
      <c r="N49" s="49">
        <f>H49*Assumptions!$B$11</f>
        <v>77801.245323561161</v>
      </c>
      <c r="O49" s="49">
        <f>N49*Assumptions!$B$12</f>
        <v>7780.1245323561161</v>
      </c>
      <c r="P49" s="49">
        <f>H49*Assumptions!$B$9</f>
        <v>31120.498129424464</v>
      </c>
      <c r="Q49" s="105">
        <f>H49*Assumptions!$B$8*(1+Assumptions!$K$11*--($D49&lt;=Assumptions!$K$15/12))</f>
        <v>19450.31133089029</v>
      </c>
      <c r="R49" s="52">
        <f>(R50)/((1+Assumptions!$B$21)^$E50)+H50/IF(H$3="EOP",((1+Assumptions!$B$21)^$E50),1)</f>
        <v>3819655.7547875764</v>
      </c>
      <c r="S49" s="49">
        <f>(S50)/((1+Assumptions!$B$21)^$E50)+L50/IF(L$3="EOP",((1+Assumptions!$B$21)^$E50),1)</f>
        <v>1863246.7096524765</v>
      </c>
      <c r="T49" s="49">
        <f>(T50)/((1+Assumptions!$B$21)^$E50)+M50/IF(M$3="EOP",((1+Assumptions!$B$21)^$E50),1)</f>
        <v>372649.34193049534</v>
      </c>
      <c r="U49" s="49">
        <f>(U50)/((1+Assumptions!$B$21)^$E50)+N50/IF(N$3="EOP",((1+Assumptions!$B$21)^$E50),1)</f>
        <v>763931.15095751535</v>
      </c>
      <c r="V49" s="49">
        <f>(V50)/((1+Assumptions!$B$21)^$E50)+O50/IF(O$3="EOP",((1+Assumptions!$B$21)^$E50),1)</f>
        <v>76393.11509575152</v>
      </c>
      <c r="W49" s="49">
        <f>(W50)/((1+Assumptions!$B$21)^$E50)+P50/IF(P$3="EOP",((1+Assumptions!$B$21)^$E50),1)</f>
        <v>305572.46038300608</v>
      </c>
      <c r="X49" s="49">
        <f>(X50)/((1+Assumptions!$B$21)^$E50)+Q50/IF(Q$3="EOP",((1+Assumptions!$B$21)^$E50),1)</f>
        <v>186324.67096524767</v>
      </c>
      <c r="Y49" s="53">
        <f t="shared" si="2"/>
        <v>-1149623.2198555772</v>
      </c>
      <c r="Z49" s="98">
        <f>H50*Assumptions!$B$7*Assumptions!$B$25/$E50/12*(1
+Assumptions!$K$7*'Results (i) to (iii)'!$C$16*--($D49&lt;=1)
+Assumptions!$K$8*'Results (i) to (iii)'!$C$16*--($D49&lt;=Assumptions!$K$15/12))</f>
        <v>18947.254640152514</v>
      </c>
      <c r="AA49" s="49">
        <f>Z49*Assumptions!$B$11</f>
        <v>3789.4509280305028</v>
      </c>
      <c r="AB49" s="54">
        <f t="shared" si="8"/>
        <v>15157.803712122011</v>
      </c>
      <c r="AC49" s="89">
        <f t="shared" si="9"/>
        <v>-1134465.4161434553</v>
      </c>
      <c r="AD49" s="89">
        <f>Assumptions!$B$23*R49</f>
        <v>572948.36321813648</v>
      </c>
      <c r="AE49" s="89">
        <f t="shared" si="11"/>
        <v>-561517.05292531883</v>
      </c>
    </row>
    <row r="50" spans="1:31" x14ac:dyDescent="0.25">
      <c r="A50" s="44">
        <f t="shared" si="10"/>
        <v>45</v>
      </c>
      <c r="B50" s="45" t="s">
        <v>29</v>
      </c>
      <c r="C50" s="48">
        <f t="shared" si="12"/>
        <v>144</v>
      </c>
      <c r="D50" s="47">
        <f t="shared" si="1"/>
        <v>12</v>
      </c>
      <c r="E50" s="47">
        <f t="shared" si="4"/>
        <v>1</v>
      </c>
      <c r="F50" s="48">
        <f t="shared" si="5"/>
        <v>1</v>
      </c>
      <c r="G50" s="49">
        <f>(G49*($K49/$K48)-L49)*(1+Assumptions!$B$15)^$F50</f>
        <v>156022132.73601711</v>
      </c>
      <c r="H50" s="49">
        <f>$H$6/$G$6*G50*(1+Assumptions!$B$16)^INT((C50-1)/12)*IF(B50="Monthly",1,12)</f>
        <v>363787.28909092827</v>
      </c>
      <c r="I50" s="102">
        <f>Assumptions!$B$14*(1+Assumptions!$K$10*--($D50&lt;=Assumptions!$K$15/12))</f>
        <v>0.15</v>
      </c>
      <c r="J50" s="50">
        <f t="shared" si="6"/>
        <v>0.15000000000000002</v>
      </c>
      <c r="K50" s="51">
        <f t="shared" si="7"/>
        <v>0.10781406948004543</v>
      </c>
      <c r="L50" s="98">
        <f>H50*Assumptions!$B$7*(1
+Assumptions!$K$7*'Results (i) to (iii)'!$C$16*--($D50&lt;=1)
+Assumptions!$K$8*'Results (i) to (iii)'!$C$16*--($D50&lt;=Assumptions!$K$15/12))
+$G50*Assumptions!$K$9*$E50*'Results (i) to (iii)'!$C$16*--($D50&lt;=2)</f>
        <v>181893.64454546414</v>
      </c>
      <c r="M50" s="49">
        <f>L50*Assumptions!$B$11</f>
        <v>36378.728909092832</v>
      </c>
      <c r="N50" s="49">
        <f>H50*Assumptions!$B$11</f>
        <v>72757.457818185663</v>
      </c>
      <c r="O50" s="49">
        <f>N50*Assumptions!$B$12</f>
        <v>7275.7457818185667</v>
      </c>
      <c r="P50" s="49">
        <f>H50*Assumptions!$B$9</f>
        <v>29102.983127274263</v>
      </c>
      <c r="Q50" s="105">
        <f>H50*Assumptions!$B$8*(1+Assumptions!$K$11*--($D50&lt;=Assumptions!$K$15/12))</f>
        <v>18189.364454546416</v>
      </c>
      <c r="R50" s="52">
        <f>(R51)/((1+Assumptions!$B$21)^$E51)+H51/IF(H$3="EOP",((1+Assumptions!$B$21)^$E51),1)</f>
        <v>3542265.177339064</v>
      </c>
      <c r="S50" s="49">
        <f>(S51)/((1+Assumptions!$B$21)^$E51)+L51/IF(L$3="EOP",((1+Assumptions!$B$21)^$E51),1)</f>
        <v>1727934.2328483239</v>
      </c>
      <c r="T50" s="49">
        <f>(T51)/((1+Assumptions!$B$21)^$E51)+M51/IF(M$3="EOP",((1+Assumptions!$B$21)^$E51),1)</f>
        <v>345586.84656966483</v>
      </c>
      <c r="U50" s="49">
        <f>(U51)/((1+Assumptions!$B$21)^$E51)+N51/IF(N$3="EOP",((1+Assumptions!$B$21)^$E51),1)</f>
        <v>708453.03546781291</v>
      </c>
      <c r="V50" s="49">
        <f>(V51)/((1+Assumptions!$B$21)^$E51)+O51/IF(O$3="EOP",((1+Assumptions!$B$21)^$E51),1)</f>
        <v>70845.303546781273</v>
      </c>
      <c r="W50" s="49">
        <f>(W51)/((1+Assumptions!$B$21)^$E51)+P51/IF(P$3="EOP",((1+Assumptions!$B$21)^$E51),1)</f>
        <v>283381.21418712509</v>
      </c>
      <c r="X50" s="49">
        <f>(X51)/((1+Assumptions!$B$21)^$E51)+Q51/IF(Q$3="EOP",((1+Assumptions!$B$21)^$E51),1)</f>
        <v>172793.42328483242</v>
      </c>
      <c r="Y50" s="53">
        <f t="shared" si="2"/>
        <v>-1066135.4216674156</v>
      </c>
      <c r="Z50" s="98">
        <f>H51*Assumptions!$B$7*Assumptions!$B$25/$E51/12*(1
+Assumptions!$K$7*'Results (i) to (iii)'!$C$16*--($D50&lt;=1)
+Assumptions!$K$8*'Results (i) to (iii)'!$C$16*--($D50&lt;=Assumptions!$K$15/12))</f>
        <v>17717.118025533611</v>
      </c>
      <c r="AA50" s="49">
        <f>Z50*Assumptions!$B$11</f>
        <v>3543.4236051067223</v>
      </c>
      <c r="AB50" s="54">
        <f t="shared" si="8"/>
        <v>14173.694420426889</v>
      </c>
      <c r="AC50" s="89">
        <f t="shared" si="9"/>
        <v>-1051961.7272469888</v>
      </c>
      <c r="AD50" s="89">
        <f>Assumptions!$B$23*R50</f>
        <v>531339.77660085959</v>
      </c>
      <c r="AE50" s="89">
        <f t="shared" si="11"/>
        <v>-520621.9506461292</v>
      </c>
    </row>
    <row r="51" spans="1:31" x14ac:dyDescent="0.25">
      <c r="A51" s="44">
        <f t="shared" si="10"/>
        <v>46</v>
      </c>
      <c r="B51" s="45" t="s">
        <v>29</v>
      </c>
      <c r="C51" s="48">
        <f t="shared" si="12"/>
        <v>156</v>
      </c>
      <c r="D51" s="47">
        <f t="shared" si="1"/>
        <v>13</v>
      </c>
      <c r="E51" s="47">
        <f t="shared" si="4"/>
        <v>1</v>
      </c>
      <c r="F51" s="48">
        <f t="shared" si="5"/>
        <v>1</v>
      </c>
      <c r="G51" s="49">
        <f>(G50*($K50/$K49)-L50)*(1+Assumptions!$B$15)^$F51</f>
        <v>135085657.56469047</v>
      </c>
      <c r="H51" s="49">
        <f>$H$6/$G$6*G51*(1+Assumptions!$B$16)^INT((C51-1)/12)*IF(B51="Monthly",1,12)</f>
        <v>340168.6660902453</v>
      </c>
      <c r="I51" s="102">
        <f>Assumptions!$B$14*(1+Assumptions!$K$10*--($D51&lt;=Assumptions!$K$15/12))</f>
        <v>0.15</v>
      </c>
      <c r="J51" s="50">
        <f t="shared" si="6"/>
        <v>0.15000000000000002</v>
      </c>
      <c r="K51" s="51">
        <f t="shared" si="7"/>
        <v>9.1641959058038611E-2</v>
      </c>
      <c r="L51" s="98">
        <f>H51*Assumptions!$B$7*(1
+Assumptions!$K$7*'Results (i) to (iii)'!$C$16*--($D51&lt;=1)
+Assumptions!$K$8*'Results (i) to (iii)'!$C$16*--($D51&lt;=Assumptions!$K$15/12))
+$G51*Assumptions!$K$9*$E51*'Results (i) to (iii)'!$C$16*--($D51&lt;=2)</f>
        <v>170084.33304512265</v>
      </c>
      <c r="M51" s="49">
        <f>L51*Assumptions!$B$11</f>
        <v>34016.866609024531</v>
      </c>
      <c r="N51" s="49">
        <f>H51*Assumptions!$B$11</f>
        <v>68033.733218049063</v>
      </c>
      <c r="O51" s="49">
        <f>N51*Assumptions!$B$12</f>
        <v>6803.3733218049065</v>
      </c>
      <c r="P51" s="49">
        <f>H51*Assumptions!$B$9</f>
        <v>27213.493287219626</v>
      </c>
      <c r="Q51" s="105">
        <f>H51*Assumptions!$B$8*(1+Assumptions!$K$11*--($D51&lt;=Assumptions!$K$15/12))</f>
        <v>17008.433304512266</v>
      </c>
      <c r="R51" s="52">
        <f>(R52)/((1+Assumptions!$B$21)^$E52)+H52/IF(H$3="EOP",((1+Assumptions!$B$21)^$E52),1)</f>
        <v>3282148.924030039</v>
      </c>
      <c r="S51" s="49">
        <f>(S52)/((1+Assumptions!$B$21)^$E52)+L52/IF(L$3="EOP",((1+Assumptions!$B$21)^$E52),1)</f>
        <v>1601048.2556244091</v>
      </c>
      <c r="T51" s="49">
        <f>(T52)/((1+Assumptions!$B$21)^$E52)+M52/IF(M$3="EOP",((1+Assumptions!$B$21)^$E52),1)</f>
        <v>320209.65112488187</v>
      </c>
      <c r="U51" s="49">
        <f>(U52)/((1+Assumptions!$B$21)^$E52)+N52/IF(N$3="EOP",((1+Assumptions!$B$21)^$E52),1)</f>
        <v>656429.78480600787</v>
      </c>
      <c r="V51" s="49">
        <f>(V52)/((1+Assumptions!$B$21)^$E52)+O52/IF(O$3="EOP",((1+Assumptions!$B$21)^$E52),1)</f>
        <v>65642.978480600766</v>
      </c>
      <c r="W51" s="49">
        <f>(W52)/((1+Assumptions!$B$21)^$E52)+P52/IF(P$3="EOP",((1+Assumptions!$B$21)^$E52),1)</f>
        <v>262571.91392240307</v>
      </c>
      <c r="X51" s="49">
        <f>(X52)/((1+Assumptions!$B$21)^$E52)+Q52/IF(Q$3="EOP",((1+Assumptions!$B$21)^$E52),1)</f>
        <v>160104.82556244094</v>
      </c>
      <c r="Y51" s="53">
        <f t="shared" si="2"/>
        <v>-987846.77372026059</v>
      </c>
      <c r="Z51" s="98">
        <f>H52*Assumptions!$B$7*Assumptions!$B$25/$E52/12*(1
+Assumptions!$K$7*'Results (i) to (iii)'!$C$16*--($D51&lt;=1)
+Assumptions!$K$8*'Results (i) to (iii)'!$C$16*--($D51&lt;=Assumptions!$K$15/12))</f>
        <v>16565.026848172489</v>
      </c>
      <c r="AA51" s="49">
        <f>Z51*Assumptions!$B$11</f>
        <v>3313.005369634498</v>
      </c>
      <c r="AB51" s="54">
        <f t="shared" si="8"/>
        <v>13252.02147853799</v>
      </c>
      <c r="AC51" s="89">
        <f t="shared" si="9"/>
        <v>-974594.75224172266</v>
      </c>
      <c r="AD51" s="89">
        <f>Assumptions!$B$23*R51</f>
        <v>492322.33860450581</v>
      </c>
      <c r="AE51" s="89">
        <f t="shared" si="11"/>
        <v>-482272.41363721684</v>
      </c>
    </row>
    <row r="52" spans="1:31" x14ac:dyDescent="0.25">
      <c r="A52" s="44">
        <f t="shared" si="10"/>
        <v>47</v>
      </c>
      <c r="B52" s="45" t="s">
        <v>29</v>
      </c>
      <c r="C52" s="48">
        <f t="shared" si="12"/>
        <v>168</v>
      </c>
      <c r="D52" s="47">
        <f t="shared" si="1"/>
        <v>14</v>
      </c>
      <c r="E52" s="47">
        <f t="shared" si="4"/>
        <v>1</v>
      </c>
      <c r="F52" s="48">
        <f t="shared" si="5"/>
        <v>1</v>
      </c>
      <c r="G52" s="49">
        <f>(G51*($K51/$K50)-L51)*(1+Assumptions!$B$15)^$F52</f>
        <v>116945779.08888061</v>
      </c>
      <c r="H52" s="49">
        <f>$H$6/$G$6*G52*(1+Assumptions!$B$16)^INT((C52-1)/12)*IF(B52="Monthly",1,12)</f>
        <v>318048.51548491174</v>
      </c>
      <c r="I52" s="102">
        <f>Assumptions!$B$14*(1+Assumptions!$K$10*--($D52&lt;=Assumptions!$K$15/12))</f>
        <v>0.15</v>
      </c>
      <c r="J52" s="50">
        <f t="shared" si="6"/>
        <v>0.15000000000000002</v>
      </c>
      <c r="K52" s="51">
        <f t="shared" si="7"/>
        <v>7.7895665199332817E-2</v>
      </c>
      <c r="L52" s="98">
        <f>H52*Assumptions!$B$7*(1
+Assumptions!$K$7*'Results (i) to (iii)'!$C$16*--($D52&lt;=1)
+Assumptions!$K$8*'Results (i) to (iii)'!$C$16*--($D52&lt;=Assumptions!$K$15/12))
+$G52*Assumptions!$K$9*$E52*'Results (i) to (iii)'!$C$16*--($D52&lt;=2)</f>
        <v>159024.25774245587</v>
      </c>
      <c r="M52" s="49">
        <f>L52*Assumptions!$B$11</f>
        <v>31804.851548491177</v>
      </c>
      <c r="N52" s="49">
        <f>H52*Assumptions!$B$11</f>
        <v>63609.703096982354</v>
      </c>
      <c r="O52" s="49">
        <f>N52*Assumptions!$B$12</f>
        <v>6360.9703096982357</v>
      </c>
      <c r="P52" s="49">
        <f>H52*Assumptions!$B$9</f>
        <v>25443.881238792939</v>
      </c>
      <c r="Q52" s="105">
        <f>H52*Assumptions!$B$8*(1+Assumptions!$K$11*--($D52&lt;=Assumptions!$K$15/12))</f>
        <v>15902.425774245588</v>
      </c>
      <c r="R52" s="52">
        <f>(R53)/((1+Assumptions!$B$21)^$E53)+H53/IF(H$3="EOP",((1+Assumptions!$B$21)^$E53),1)</f>
        <v>3038202.9187587551</v>
      </c>
      <c r="S52" s="49">
        <f>(S53)/((1+Assumptions!$B$21)^$E53)+L53/IF(L$3="EOP",((1+Assumptions!$B$21)^$E53),1)</f>
        <v>1482050.2042725633</v>
      </c>
      <c r="T52" s="49">
        <f>(T53)/((1+Assumptions!$B$21)^$E53)+M53/IF(M$3="EOP",((1+Assumptions!$B$21)^$E53),1)</f>
        <v>296410.04085451271</v>
      </c>
      <c r="U52" s="49">
        <f>(U53)/((1+Assumptions!$B$21)^$E53)+N53/IF(N$3="EOP",((1+Assumptions!$B$21)^$E53),1)</f>
        <v>607640.58375175111</v>
      </c>
      <c r="V52" s="49">
        <f>(V53)/((1+Assumptions!$B$21)^$E53)+O53/IF(O$3="EOP",((1+Assumptions!$B$21)^$E53),1)</f>
        <v>60764.058375175089</v>
      </c>
      <c r="W52" s="49">
        <f>(W53)/((1+Assumptions!$B$21)^$E53)+P53/IF(P$3="EOP",((1+Assumptions!$B$21)^$E53),1)</f>
        <v>243056.23350070033</v>
      </c>
      <c r="X52" s="49">
        <f>(X53)/((1+Assumptions!$B$21)^$E53)+Q53/IF(Q$3="EOP",((1+Assumptions!$B$21)^$E53),1)</f>
        <v>148205.02042725636</v>
      </c>
      <c r="Y52" s="53">
        <f t="shared" si="2"/>
        <v>-914424.97603617189</v>
      </c>
      <c r="Z52" s="98">
        <f>H53*Assumptions!$B$7*Assumptions!$B$25/$E53/12*(1
+Assumptions!$K$7*'Results (i) to (iii)'!$C$16*--($D52&lt;=1)
+Assumptions!$K$8*'Results (i) to (iii)'!$C$16*--($D52&lt;=Assumptions!$K$15/12))</f>
        <v>15486.014647020298</v>
      </c>
      <c r="AA52" s="49">
        <f>Z52*Assumptions!$B$11</f>
        <v>3097.2029294040599</v>
      </c>
      <c r="AB52" s="54">
        <f t="shared" si="8"/>
        <v>12388.811717616238</v>
      </c>
      <c r="AC52" s="89">
        <f t="shared" si="9"/>
        <v>-902036.16431855562</v>
      </c>
      <c r="AD52" s="89">
        <f>Assumptions!$B$23*R52</f>
        <v>455730.43781381327</v>
      </c>
      <c r="AE52" s="89">
        <f t="shared" si="11"/>
        <v>-446305.72650474234</v>
      </c>
    </row>
    <row r="53" spans="1:31" x14ac:dyDescent="0.25">
      <c r="A53" s="44">
        <f t="shared" si="10"/>
        <v>48</v>
      </c>
      <c r="B53" s="45" t="s">
        <v>29</v>
      </c>
      <c r="C53" s="48">
        <f t="shared" si="12"/>
        <v>180</v>
      </c>
      <c r="D53" s="47">
        <f t="shared" si="1"/>
        <v>15</v>
      </c>
      <c r="E53" s="47">
        <f t="shared" si="4"/>
        <v>1</v>
      </c>
      <c r="F53" s="48">
        <f t="shared" si="5"/>
        <v>1</v>
      </c>
      <c r="G53" s="49">
        <f>(G52*($K52/$K51)-L52)*(1+Assumptions!$B$15)^$F53</f>
        <v>101229785.7271622</v>
      </c>
      <c r="H53" s="49">
        <f>$H$6/$G$6*G53*(1+Assumptions!$B$16)^INT((C53-1)/12)*IF(B53="Monthly",1,12)</f>
        <v>297331.48122278973</v>
      </c>
      <c r="I53" s="102">
        <f>Assumptions!$B$14*(1+Assumptions!$K$10*--($D53&lt;=Assumptions!$K$15/12))</f>
        <v>0.15</v>
      </c>
      <c r="J53" s="50">
        <f t="shared" si="6"/>
        <v>0.15000000000000002</v>
      </c>
      <c r="K53" s="51">
        <f t="shared" si="7"/>
        <v>6.6211315419432898E-2</v>
      </c>
      <c r="L53" s="98">
        <f>H53*Assumptions!$B$7*(1
+Assumptions!$K$7*'Results (i) to (iii)'!$C$16*--($D53&lt;=1)
+Assumptions!$K$8*'Results (i) to (iii)'!$C$16*--($D53&lt;=Assumptions!$K$15/12))
+$G53*Assumptions!$K$9*$E53*'Results (i) to (iii)'!$C$16*--($D53&lt;=2)</f>
        <v>148665.74061139487</v>
      </c>
      <c r="M53" s="49">
        <f>L53*Assumptions!$B$11</f>
        <v>29733.148122278973</v>
      </c>
      <c r="N53" s="49">
        <f>H53*Assumptions!$B$11</f>
        <v>59466.296244557947</v>
      </c>
      <c r="O53" s="49">
        <f>N53*Assumptions!$B$12</f>
        <v>5946.6296244557952</v>
      </c>
      <c r="P53" s="49">
        <f>H53*Assumptions!$B$9</f>
        <v>23786.518497823181</v>
      </c>
      <c r="Q53" s="105">
        <f>H53*Assumptions!$B$8*(1+Assumptions!$K$11*--($D53&lt;=Assumptions!$K$15/12))</f>
        <v>14866.574061139487</v>
      </c>
      <c r="R53" s="52">
        <f>(R54)/((1+Assumptions!$B$21)^$E54)+H54/IF(H$3="EOP",((1+Assumptions!$B$21)^$E54),1)</f>
        <v>2809393.2234743643</v>
      </c>
      <c r="S53" s="49">
        <f>(S54)/((1+Assumptions!$B$21)^$E54)+L54/IF(L$3="EOP",((1+Assumptions!$B$21)^$E54),1)</f>
        <v>1370435.7187679824</v>
      </c>
      <c r="T53" s="49">
        <f>(T54)/((1+Assumptions!$B$21)^$E54)+M54/IF(M$3="EOP",((1+Assumptions!$B$21)^$E54),1)</f>
        <v>274087.14375359652</v>
      </c>
      <c r="U53" s="49">
        <f>(U54)/((1+Assumptions!$B$21)^$E54)+N54/IF(N$3="EOP",((1+Assumptions!$B$21)^$E54),1)</f>
        <v>561878.6446948729</v>
      </c>
      <c r="V53" s="49">
        <f>(V54)/((1+Assumptions!$B$21)^$E54)+O54/IF(O$3="EOP",((1+Assumptions!$B$21)^$E54),1)</f>
        <v>56187.864469487271</v>
      </c>
      <c r="W53" s="49">
        <f>(W54)/((1+Assumptions!$B$21)^$E54)+P54/IF(P$3="EOP",((1+Assumptions!$B$21)^$E54),1)</f>
        <v>224751.45787794905</v>
      </c>
      <c r="X53" s="49">
        <f>(X54)/((1+Assumptions!$B$21)^$E54)+Q54/IF(Q$3="EOP",((1+Assumptions!$B$21)^$E54),1)</f>
        <v>137043.57187679826</v>
      </c>
      <c r="Y53" s="53">
        <f t="shared" si="2"/>
        <v>-845558.83847984532</v>
      </c>
      <c r="Z53" s="98">
        <f>H54*Assumptions!$B$7*Assumptions!$B$25/$E54/12*(1
+Assumptions!$K$7*'Results (i) to (iii)'!$C$16*--($D53&lt;=1)
+Assumptions!$K$8*'Results (i) to (iii)'!$C$16*--($D53&lt;=Assumptions!$K$15/12))</f>
        <v>14475.431303627627</v>
      </c>
      <c r="AA53" s="49">
        <f>Z53*Assumptions!$B$11</f>
        <v>2895.0862607255258</v>
      </c>
      <c r="AB53" s="54">
        <f t="shared" si="8"/>
        <v>11580.345042902101</v>
      </c>
      <c r="AC53" s="89">
        <f t="shared" si="9"/>
        <v>-833978.49343694327</v>
      </c>
      <c r="AD53" s="89">
        <f>Assumptions!$B$23*R53</f>
        <v>421408.98352115462</v>
      </c>
      <c r="AE53" s="89">
        <f t="shared" si="11"/>
        <v>-412569.50991578866</v>
      </c>
    </row>
    <row r="54" spans="1:31" x14ac:dyDescent="0.25">
      <c r="A54" s="44">
        <f t="shared" si="10"/>
        <v>49</v>
      </c>
      <c r="B54" s="45" t="s">
        <v>29</v>
      </c>
      <c r="C54" s="48">
        <f t="shared" si="12"/>
        <v>192</v>
      </c>
      <c r="D54" s="47">
        <f t="shared" si="1"/>
        <v>16</v>
      </c>
      <c r="E54" s="47">
        <f t="shared" si="4"/>
        <v>1</v>
      </c>
      <c r="F54" s="48">
        <f t="shared" si="5"/>
        <v>1</v>
      </c>
      <c r="G54" s="49">
        <f>(G53*($K53/$K52)-L53)*(1+Assumptions!$B$15)^$F54</f>
        <v>87614585.170026019</v>
      </c>
      <c r="H54" s="49">
        <f>$H$6/$G$6*G54*(1+Assumptions!$B$16)^INT((C54-1)/12)*IF(B54="Monthly",1,12)</f>
        <v>277928.28102965042</v>
      </c>
      <c r="I54" s="102">
        <f>Assumptions!$B$14*(1+Assumptions!$K$10*--($D54&lt;=Assumptions!$K$15/12))</f>
        <v>0.15</v>
      </c>
      <c r="J54" s="50">
        <f t="shared" si="6"/>
        <v>0.15000000000000002</v>
      </c>
      <c r="K54" s="51">
        <f t="shared" si="7"/>
        <v>5.6279618106517965E-2</v>
      </c>
      <c r="L54" s="98">
        <f>H54*Assumptions!$B$7*(1
+Assumptions!$K$7*'Results (i) to (iii)'!$C$16*--($D54&lt;=1)
+Assumptions!$K$8*'Results (i) to (iii)'!$C$16*--($D54&lt;=Assumptions!$K$15/12))
+$G54*Assumptions!$K$9*$E54*'Results (i) to (iii)'!$C$16*--($D54&lt;=2)</f>
        <v>138964.14051482521</v>
      </c>
      <c r="M54" s="49">
        <f>L54*Assumptions!$B$11</f>
        <v>27792.828102965042</v>
      </c>
      <c r="N54" s="49">
        <f>H54*Assumptions!$B$11</f>
        <v>55585.656205930085</v>
      </c>
      <c r="O54" s="49">
        <f>N54*Assumptions!$B$12</f>
        <v>5558.565620593009</v>
      </c>
      <c r="P54" s="49">
        <f>H54*Assumptions!$B$9</f>
        <v>22234.262482372033</v>
      </c>
      <c r="Q54" s="105">
        <f>H54*Assumptions!$B$8*(1+Assumptions!$K$11*--($D54&lt;=Assumptions!$K$15/12))</f>
        <v>13896.414051482521</v>
      </c>
      <c r="R54" s="52">
        <f>(R55)/((1+Assumptions!$B$21)^$E55)+H55/IF(H$3="EOP",((1+Assumptions!$B$21)^$E55),1)</f>
        <v>2594751.5660058316</v>
      </c>
      <c r="S54" s="49">
        <f>(S55)/((1+Assumptions!$B$21)^$E55)+L55/IF(L$3="EOP",((1+Assumptions!$B$21)^$E55),1)</f>
        <v>1265732.4712223567</v>
      </c>
      <c r="T54" s="49">
        <f>(T55)/((1+Assumptions!$B$21)^$E55)+M55/IF(M$3="EOP",((1+Assumptions!$B$21)^$E55),1)</f>
        <v>253146.4942444714</v>
      </c>
      <c r="U54" s="49">
        <f>(U55)/((1+Assumptions!$B$21)^$E55)+N55/IF(N$3="EOP",((1+Assumptions!$B$21)^$E55),1)</f>
        <v>518950.31320116634</v>
      </c>
      <c r="V54" s="49">
        <f>(V55)/((1+Assumptions!$B$21)^$E55)+O55/IF(O$3="EOP",((1+Assumptions!$B$21)^$E55),1)</f>
        <v>51895.031320116614</v>
      </c>
      <c r="W54" s="49">
        <f>(W55)/((1+Assumptions!$B$21)^$E55)+P55/IF(P$3="EOP",((1+Assumptions!$B$21)^$E55),1)</f>
        <v>207580.12528046643</v>
      </c>
      <c r="X54" s="49">
        <f>(X55)/((1+Assumptions!$B$21)^$E55)+Q55/IF(Q$3="EOP",((1+Assumptions!$B$21)^$E55),1)</f>
        <v>126573.2471222357</v>
      </c>
      <c r="Y54" s="53">
        <f t="shared" si="2"/>
        <v>-780956.93474419473</v>
      </c>
      <c r="Z54" s="98">
        <f>H55*Assumptions!$B$7*Assumptions!$B$25/$E55/12*(1
+Assumptions!$K$7*'Results (i) to (iii)'!$C$16*--($D54&lt;=1)
+Assumptions!$K$8*'Results (i) to (iii)'!$C$16*--($D54&lt;=Assumptions!$K$15/12))</f>
        <v>13528.92293679905</v>
      </c>
      <c r="AA54" s="49">
        <f>Z54*Assumptions!$B$11</f>
        <v>2705.7845873598103</v>
      </c>
      <c r="AB54" s="54">
        <f t="shared" si="8"/>
        <v>10823.138349439239</v>
      </c>
      <c r="AC54" s="89">
        <f t="shared" si="9"/>
        <v>-770133.79639475548</v>
      </c>
      <c r="AD54" s="89">
        <f>Assumptions!$B$23*R54</f>
        <v>389212.73490087473</v>
      </c>
      <c r="AE54" s="89">
        <f t="shared" si="11"/>
        <v>-380921.06149388076</v>
      </c>
    </row>
    <row r="55" spans="1:31" x14ac:dyDescent="0.25">
      <c r="A55" s="44">
        <f t="shared" si="10"/>
        <v>50</v>
      </c>
      <c r="B55" s="45" t="s">
        <v>29</v>
      </c>
      <c r="C55" s="48">
        <f t="shared" si="12"/>
        <v>204</v>
      </c>
      <c r="D55" s="47">
        <f t="shared" si="1"/>
        <v>17</v>
      </c>
      <c r="E55" s="47">
        <f t="shared" si="4"/>
        <v>1</v>
      </c>
      <c r="F55" s="48">
        <f t="shared" si="5"/>
        <v>1</v>
      </c>
      <c r="G55" s="49">
        <f>(G54*($K54/$K53)-L54)*(1+Assumptions!$B$15)^$F55</f>
        <v>75820101.91908744</v>
      </c>
      <c r="H55" s="49">
        <f>$H$6/$G$6*G55*(1+Assumptions!$B$16)^INT((C55-1)/12)*IF(B55="Monthly",1,12)</f>
        <v>259755.32038654177</v>
      </c>
      <c r="I55" s="102">
        <f>Assumptions!$B$14*(1+Assumptions!$K$10*--($D55&lt;=Assumptions!$K$15/12))</f>
        <v>0.15</v>
      </c>
      <c r="J55" s="50">
        <f t="shared" si="6"/>
        <v>0.15000000000000002</v>
      </c>
      <c r="K55" s="51">
        <f t="shared" si="7"/>
        <v>4.783767539054027E-2</v>
      </c>
      <c r="L55" s="98">
        <f>H55*Assumptions!$B$7*(1
+Assumptions!$K$7*'Results (i) to (iii)'!$C$16*--($D55&lt;=1)
+Assumptions!$K$8*'Results (i) to (iii)'!$C$16*--($D55&lt;=Assumptions!$K$15/12))
+$G55*Assumptions!$K$9*$E55*'Results (i) to (iii)'!$C$16*--($D55&lt;=2)</f>
        <v>129877.66019327089</v>
      </c>
      <c r="M55" s="49">
        <f>L55*Assumptions!$B$11</f>
        <v>25975.532038654179</v>
      </c>
      <c r="N55" s="49">
        <f>H55*Assumptions!$B$11</f>
        <v>51951.064077308358</v>
      </c>
      <c r="O55" s="49">
        <f>N55*Assumptions!$B$12</f>
        <v>5195.1064077308365</v>
      </c>
      <c r="P55" s="49">
        <f>H55*Assumptions!$B$9</f>
        <v>20780.425630923342</v>
      </c>
      <c r="Q55" s="105">
        <f>H55*Assumptions!$B$8*(1+Assumptions!$K$11*--($D55&lt;=Assumptions!$K$15/12))</f>
        <v>12987.766019327089</v>
      </c>
      <c r="R55" s="52">
        <f>(R56)/((1+Assumptions!$B$21)^$E56)+H56/IF(H$3="EOP",((1+Assumptions!$B$21)^$E56),1)</f>
        <v>2393371.1517597716</v>
      </c>
      <c r="S55" s="49">
        <f>(S56)/((1+Assumptions!$B$21)^$E56)+L56/IF(L$3="EOP",((1+Assumptions!$B$21)^$E56),1)</f>
        <v>1167498.1228096446</v>
      </c>
      <c r="T55" s="49">
        <f>(T56)/((1+Assumptions!$B$21)^$E56)+M56/IF(M$3="EOP",((1+Assumptions!$B$21)^$E56),1)</f>
        <v>233499.624561929</v>
      </c>
      <c r="U55" s="49">
        <f>(U56)/((1+Assumptions!$B$21)^$E56)+N56/IF(N$3="EOP",((1+Assumptions!$B$21)^$E56),1)</f>
        <v>478674.23035195441</v>
      </c>
      <c r="V55" s="49">
        <f>(V56)/((1+Assumptions!$B$21)^$E56)+O56/IF(O$3="EOP",((1+Assumptions!$B$21)^$E56),1)</f>
        <v>47867.423035195425</v>
      </c>
      <c r="W55" s="49">
        <f>(W56)/((1+Assumptions!$B$21)^$E56)+P56/IF(P$3="EOP",((1+Assumptions!$B$21)^$E56),1)</f>
        <v>191469.69214078164</v>
      </c>
      <c r="X55" s="49">
        <f>(X56)/((1+Assumptions!$B$21)^$E56)+Q56/IF(Q$3="EOP",((1+Assumptions!$B$21)^$E56),1)</f>
        <v>116749.8122809645</v>
      </c>
      <c r="Y55" s="53">
        <f t="shared" si="2"/>
        <v>-720346.34177355084</v>
      </c>
      <c r="Z55" s="98">
        <f>H56*Assumptions!$B$7*Assumptions!$B$25/$E56/12*(1
+Assumptions!$K$7*'Results (i) to (iii)'!$C$16*--($D55&lt;=1)
+Assumptions!$K$8*'Results (i) to (iii)'!$C$16*--($D55&lt;=Assumptions!$K$15/12))</f>
        <v>12642.413078945794</v>
      </c>
      <c r="AA55" s="49">
        <f>Z55*Assumptions!$B$11</f>
        <v>2528.4826157891589</v>
      </c>
      <c r="AB55" s="54">
        <f t="shared" si="8"/>
        <v>10113.930463156636</v>
      </c>
      <c r="AC55" s="89">
        <f t="shared" si="9"/>
        <v>-710232.41131039418</v>
      </c>
      <c r="AD55" s="89">
        <f>Assumptions!$B$23*R55</f>
        <v>359005.67276396573</v>
      </c>
      <c r="AE55" s="89">
        <f t="shared" si="11"/>
        <v>-351226.73854642845</v>
      </c>
    </row>
    <row r="56" spans="1:31" x14ac:dyDescent="0.25">
      <c r="A56" s="44">
        <f t="shared" si="10"/>
        <v>51</v>
      </c>
      <c r="B56" s="45" t="s">
        <v>29</v>
      </c>
      <c r="C56" s="48">
        <f t="shared" si="12"/>
        <v>216</v>
      </c>
      <c r="D56" s="47">
        <f t="shared" si="1"/>
        <v>18</v>
      </c>
      <c r="E56" s="47">
        <f t="shared" si="4"/>
        <v>1</v>
      </c>
      <c r="F56" s="48">
        <f t="shared" si="5"/>
        <v>1</v>
      </c>
      <c r="G56" s="49">
        <f>(G55*($K55/$K54)-L55)*(1+Assumptions!$B$15)^$F56</f>
        <v>65603553.150451668</v>
      </c>
      <c r="H56" s="49">
        <f>$H$6/$G$6*G56*(1+Assumptions!$B$16)^INT((C56-1)/12)*IF(B56="Monthly",1,12)</f>
        <v>242734.33111575927</v>
      </c>
      <c r="I56" s="102">
        <f>Assumptions!$B$14*(1+Assumptions!$K$10*--($D56&lt;=Assumptions!$K$15/12))</f>
        <v>0.15</v>
      </c>
      <c r="J56" s="50">
        <f t="shared" si="6"/>
        <v>0.15000000000000002</v>
      </c>
      <c r="K56" s="51">
        <f t="shared" si="7"/>
        <v>4.0662024081959229E-2</v>
      </c>
      <c r="L56" s="98">
        <f>H56*Assumptions!$B$7*(1
+Assumptions!$K$7*'Results (i) to (iii)'!$C$16*--($D56&lt;=1)
+Assumptions!$K$8*'Results (i) to (iii)'!$C$16*--($D56&lt;=Assumptions!$K$15/12))
+$G56*Assumptions!$K$9*$E56*'Results (i) to (iii)'!$C$16*--($D56&lt;=2)</f>
        <v>121367.16555787963</v>
      </c>
      <c r="M56" s="49">
        <f>L56*Assumptions!$B$11</f>
        <v>24273.433111575927</v>
      </c>
      <c r="N56" s="49">
        <f>H56*Assumptions!$B$11</f>
        <v>48546.866223151854</v>
      </c>
      <c r="O56" s="49">
        <f>N56*Assumptions!$B$12</f>
        <v>4854.6866223151856</v>
      </c>
      <c r="P56" s="49">
        <f>H56*Assumptions!$B$9</f>
        <v>19418.746489260742</v>
      </c>
      <c r="Q56" s="105">
        <f>H56*Assumptions!$B$8*(1+Assumptions!$K$11*--($D56&lt;=Assumptions!$K$15/12))</f>
        <v>12136.716555787963</v>
      </c>
      <c r="R56" s="52">
        <f>(R57)/((1+Assumptions!$B$21)^$E57)+H57/IF(H$3="EOP",((1+Assumptions!$B$21)^$E57),1)</f>
        <v>2204402.7411601124</v>
      </c>
      <c r="S56" s="49">
        <f>(S57)/((1+Assumptions!$B$21)^$E57)+L57/IF(L$3="EOP",((1+Assumptions!$B$21)^$E57),1)</f>
        <v>1075318.4103220059</v>
      </c>
      <c r="T56" s="49">
        <f>(T57)/((1+Assumptions!$B$21)^$E57)+M57/IF(M$3="EOP",((1+Assumptions!$B$21)^$E57),1)</f>
        <v>215063.68206440128</v>
      </c>
      <c r="U56" s="49">
        <f>(U57)/((1+Assumptions!$B$21)^$E57)+N57/IF(N$3="EOP",((1+Assumptions!$B$21)^$E57),1)</f>
        <v>440880.54823202256</v>
      </c>
      <c r="V56" s="49">
        <f>(V57)/((1+Assumptions!$B$21)^$E57)+O57/IF(O$3="EOP",((1+Assumptions!$B$21)^$E57),1)</f>
        <v>44088.054823202241</v>
      </c>
      <c r="W56" s="49">
        <f>(W57)/((1+Assumptions!$B$21)^$E57)+P57/IF(P$3="EOP",((1+Assumptions!$B$21)^$E57),1)</f>
        <v>176352.21929280891</v>
      </c>
      <c r="X56" s="49">
        <f>(X57)/((1+Assumptions!$B$21)^$E57)+Q57/IF(Q$3="EOP",((1+Assumptions!$B$21)^$E57),1)</f>
        <v>107531.84103220064</v>
      </c>
      <c r="Y56" s="53">
        <f t="shared" si="2"/>
        <v>-663471.45916867792</v>
      </c>
      <c r="Z56" s="98">
        <f>H57*Assumptions!$B$7*Assumptions!$B$25/$E57/12*(1
+Assumptions!$K$7*'Results (i) to (iii)'!$C$16*--($D56&lt;=1)
+Assumptions!$K$8*'Results (i) to (iii)'!$C$16*--($D56&lt;=Assumptions!$K$15/12))</f>
        <v>11812.085052719774</v>
      </c>
      <c r="AA56" s="49">
        <f>Z56*Assumptions!$B$11</f>
        <v>2362.4170105439548</v>
      </c>
      <c r="AB56" s="54">
        <f t="shared" si="8"/>
        <v>9449.6680421758192</v>
      </c>
      <c r="AC56" s="89">
        <f t="shared" si="9"/>
        <v>-654021.7911265021</v>
      </c>
      <c r="AD56" s="89">
        <f>Assumptions!$B$23*R56</f>
        <v>330660.41117401683</v>
      </c>
      <c r="AE56" s="89">
        <f t="shared" si="11"/>
        <v>-323361.37995248527</v>
      </c>
    </row>
    <row r="57" spans="1:31" x14ac:dyDescent="0.25">
      <c r="A57" s="44">
        <f t="shared" si="10"/>
        <v>52</v>
      </c>
      <c r="B57" s="45" t="s">
        <v>29</v>
      </c>
      <c r="C57" s="48">
        <f t="shared" si="12"/>
        <v>228</v>
      </c>
      <c r="D57" s="47">
        <f t="shared" si="1"/>
        <v>19</v>
      </c>
      <c r="E57" s="47">
        <f t="shared" si="4"/>
        <v>1</v>
      </c>
      <c r="F57" s="48">
        <f t="shared" si="5"/>
        <v>1</v>
      </c>
      <c r="G57" s="49">
        <f>(G56*($K56/$K55)-L56)*(1+Assumptions!$B$15)^$F57</f>
        <v>56754486.072572559</v>
      </c>
      <c r="H57" s="49">
        <f>$H$6/$G$6*G57*(1+Assumptions!$B$16)^INT((C57-1)/12)*IF(B57="Monthly",1,12)</f>
        <v>226792.03301221965</v>
      </c>
      <c r="I57" s="102">
        <f>Assumptions!$B$14*(1+Assumptions!$K$10*--($D57&lt;=Assumptions!$K$15/12))</f>
        <v>0.15</v>
      </c>
      <c r="J57" s="50">
        <f t="shared" si="6"/>
        <v>0.15000000000000002</v>
      </c>
      <c r="K57" s="51">
        <f t="shared" si="7"/>
        <v>3.4562720469665346E-2</v>
      </c>
      <c r="L57" s="98">
        <f>H57*Assumptions!$B$7*(1
+Assumptions!$K$7*'Results (i) to (iii)'!$C$16*--($D57&lt;=1)
+Assumptions!$K$8*'Results (i) to (iii)'!$C$16*--($D57&lt;=Assumptions!$K$15/12))
+$G57*Assumptions!$K$9*$E57*'Results (i) to (iii)'!$C$16*--($D57&lt;=2)</f>
        <v>113396.01650610982</v>
      </c>
      <c r="M57" s="49">
        <f>L57*Assumptions!$B$11</f>
        <v>22679.203301221965</v>
      </c>
      <c r="N57" s="49">
        <f>H57*Assumptions!$B$11</f>
        <v>45358.406602443931</v>
      </c>
      <c r="O57" s="49">
        <f>N57*Assumptions!$B$12</f>
        <v>4535.8406602443929</v>
      </c>
      <c r="P57" s="49">
        <f>H57*Assumptions!$B$9</f>
        <v>18143.362640977572</v>
      </c>
      <c r="Q57" s="105">
        <f>H57*Assumptions!$B$8*(1+Assumptions!$K$11*--($D57&lt;=Assumptions!$K$15/12))</f>
        <v>11339.601650610983</v>
      </c>
      <c r="R57" s="52">
        <f>(R58)/((1+Assumptions!$B$21)^$E58)+H58/IF(H$3="EOP",((1+Assumptions!$B$21)^$E58),1)</f>
        <v>2027050.9758515898</v>
      </c>
      <c r="S57" s="49">
        <f>(S58)/((1+Assumptions!$B$21)^$E58)+L58/IF(L$3="EOP",((1+Assumptions!$B$21)^$E58),1)</f>
        <v>988805.35407394613</v>
      </c>
      <c r="T57" s="49">
        <f>(T58)/((1+Assumptions!$B$21)^$E58)+M58/IF(M$3="EOP",((1+Assumptions!$B$21)^$E58),1)</f>
        <v>197761.0708147893</v>
      </c>
      <c r="U57" s="49">
        <f>(U58)/((1+Assumptions!$B$21)^$E58)+N58/IF(N$3="EOP",((1+Assumptions!$B$21)^$E58),1)</f>
        <v>405410.19517031801</v>
      </c>
      <c r="V57" s="49">
        <f>(V58)/((1+Assumptions!$B$21)^$E58)+O58/IF(O$3="EOP",((1+Assumptions!$B$21)^$E58),1)</f>
        <v>40541.019517031789</v>
      </c>
      <c r="W57" s="49">
        <f>(W58)/((1+Assumptions!$B$21)^$E58)+P58/IF(P$3="EOP",((1+Assumptions!$B$21)^$E58),1)</f>
        <v>162164.0780681271</v>
      </c>
      <c r="X57" s="49">
        <f>(X58)/((1+Assumptions!$B$21)^$E58)+Q58/IF(Q$3="EOP",((1+Assumptions!$B$21)^$E58),1)</f>
        <v>98880.535407394651</v>
      </c>
      <c r="Y57" s="53">
        <f t="shared" si="2"/>
        <v>-610092.90346362488</v>
      </c>
      <c r="Z57" s="98">
        <f>H58*Assumptions!$B$7*Assumptions!$B$25/$E58/12*(1
+Assumptions!$K$7*'Results (i) to (iii)'!$C$16*--($D57&lt;=1)
+Assumptions!$K$8*'Results (i) to (iii)'!$C$16*--($D57&lt;=Assumptions!$K$15/12))</f>
        <v>11034.365471698746</v>
      </c>
      <c r="AA57" s="49">
        <f>Z57*Assumptions!$B$11</f>
        <v>2206.8730943397491</v>
      </c>
      <c r="AB57" s="54">
        <f t="shared" si="8"/>
        <v>8827.4923773589962</v>
      </c>
      <c r="AC57" s="89">
        <f t="shared" si="9"/>
        <v>-601265.41108626593</v>
      </c>
      <c r="AD57" s="89">
        <f>Assumptions!$B$23*R57</f>
        <v>304057.64637773845</v>
      </c>
      <c r="AE57" s="89">
        <f t="shared" si="11"/>
        <v>-297207.76470852748</v>
      </c>
    </row>
    <row r="58" spans="1:31" x14ac:dyDescent="0.25">
      <c r="A58" s="44">
        <f t="shared" si="10"/>
        <v>53</v>
      </c>
      <c r="B58" s="45" t="s">
        <v>29</v>
      </c>
      <c r="C58" s="48">
        <f t="shared" si="12"/>
        <v>240</v>
      </c>
      <c r="D58" s="47">
        <f t="shared" si="1"/>
        <v>20</v>
      </c>
      <c r="E58" s="47">
        <f t="shared" si="4"/>
        <v>1</v>
      </c>
      <c r="F58" s="48">
        <f t="shared" si="5"/>
        <v>1</v>
      </c>
      <c r="G58" s="49">
        <f>(G57*($K57/$K56)-L57)*(1+Assumptions!$B$15)^$F58</f>
        <v>49090475.488084182</v>
      </c>
      <c r="H58" s="49">
        <f>$H$6/$G$6*G58*(1+Assumptions!$B$16)^INT((C58-1)/12)*IF(B58="Monthly",1,12)</f>
        <v>211859.81705661595</v>
      </c>
      <c r="I58" s="102">
        <f>Assumptions!$B$14*(1+Assumptions!$K$10*--($D58&lt;=Assumptions!$K$15/12))</f>
        <v>0.15</v>
      </c>
      <c r="J58" s="50">
        <f t="shared" si="6"/>
        <v>0.15000000000000002</v>
      </c>
      <c r="K58" s="51">
        <f t="shared" si="7"/>
        <v>2.9378312399215543E-2</v>
      </c>
      <c r="L58" s="98">
        <f>H58*Assumptions!$B$7*(1
+Assumptions!$K$7*'Results (i) to (iii)'!$C$16*--($D58&lt;=1)
+Assumptions!$K$8*'Results (i) to (iii)'!$C$16*--($D58&lt;=Assumptions!$K$15/12))
+$G58*Assumptions!$K$9*$E58*'Results (i) to (iii)'!$C$16*--($D58&lt;=2)</f>
        <v>105929.90852830798</v>
      </c>
      <c r="M58" s="49">
        <f>L58*Assumptions!$B$11</f>
        <v>21185.981705661598</v>
      </c>
      <c r="N58" s="49">
        <f>H58*Assumptions!$B$11</f>
        <v>42371.963411323195</v>
      </c>
      <c r="O58" s="49">
        <f>N58*Assumptions!$B$12</f>
        <v>4237.1963411323195</v>
      </c>
      <c r="P58" s="49">
        <f>H58*Assumptions!$B$9</f>
        <v>16948.785364529278</v>
      </c>
      <c r="Q58" s="105">
        <f>H58*Assumptions!$B$8*(1+Assumptions!$K$11*--($D58&lt;=Assumptions!$K$15/12))</f>
        <v>10592.990852830799</v>
      </c>
      <c r="R58" s="52">
        <f>(R59)/((1+Assumptions!$B$21)^$E59)+H59/IF(H$3="EOP",((1+Assumptions!$B$21)^$E59),1)</f>
        <v>1860570.9377648481</v>
      </c>
      <c r="S58" s="49">
        <f>(S59)/((1+Assumptions!$B$21)^$E59)+L59/IF(L$3="EOP",((1+Assumptions!$B$21)^$E59),1)</f>
        <v>907595.57939748676</v>
      </c>
      <c r="T58" s="49">
        <f>(T59)/((1+Assumptions!$B$21)^$E59)+M59/IF(M$3="EOP",((1+Assumptions!$B$21)^$E59),1)</f>
        <v>181519.1158794974</v>
      </c>
      <c r="U58" s="49">
        <f>(U59)/((1+Assumptions!$B$21)^$E59)+N59/IF(N$3="EOP",((1+Assumptions!$B$21)^$E59),1)</f>
        <v>372114.18755296967</v>
      </c>
      <c r="V58" s="49">
        <f>(V59)/((1+Assumptions!$B$21)^$E59)+O59/IF(O$3="EOP",((1+Assumptions!$B$21)^$E59),1)</f>
        <v>37211.418755296952</v>
      </c>
      <c r="W58" s="49">
        <f>(W59)/((1+Assumptions!$B$21)^$E59)+P59/IF(P$3="EOP",((1+Assumptions!$B$21)^$E59),1)</f>
        <v>148845.67502118778</v>
      </c>
      <c r="X58" s="49">
        <f>(X59)/((1+Assumptions!$B$21)^$E59)+Q59/IF(Q$3="EOP",((1+Assumptions!$B$21)^$E59),1)</f>
        <v>90759.557939748702</v>
      </c>
      <c r="Y58" s="53">
        <f t="shared" si="2"/>
        <v>-559986.47248824965</v>
      </c>
      <c r="Z58" s="98">
        <f>H59*Assumptions!$B$7*Assumptions!$B$25/$E59/12*(1
+Assumptions!$K$7*'Results (i) to (iii)'!$C$16*--($D58&lt;=1)
+Assumptions!$K$8*'Results (i) to (iii)'!$C$16*--($D58&lt;=Assumptions!$K$15/12))</f>
        <v>10305.908793747527</v>
      </c>
      <c r="AA58" s="49">
        <f>Z58*Assumptions!$B$11</f>
        <v>2061.1817587495057</v>
      </c>
      <c r="AB58" s="54">
        <f t="shared" si="8"/>
        <v>8244.7270349980208</v>
      </c>
      <c r="AC58" s="89">
        <f t="shared" si="9"/>
        <v>-551741.74545325164</v>
      </c>
      <c r="AD58" s="89">
        <f>Assumptions!$B$23*R58</f>
        <v>279085.64066472719</v>
      </c>
      <c r="AE58" s="89">
        <f t="shared" si="11"/>
        <v>-272656.10478852445</v>
      </c>
    </row>
    <row r="59" spans="1:31" x14ac:dyDescent="0.25">
      <c r="A59" s="44">
        <f t="shared" si="10"/>
        <v>54</v>
      </c>
      <c r="B59" s="45" t="s">
        <v>29</v>
      </c>
      <c r="C59" s="48">
        <f t="shared" si="12"/>
        <v>252</v>
      </c>
      <c r="D59" s="47">
        <f t="shared" si="1"/>
        <v>21</v>
      </c>
      <c r="E59" s="47">
        <f t="shared" si="4"/>
        <v>1</v>
      </c>
      <c r="F59" s="48">
        <f t="shared" si="5"/>
        <v>1</v>
      </c>
      <c r="G59" s="49">
        <f>(G58*($K58/$K57)-L58)*(1+Assumptions!$B$15)^$F59</f>
        <v>42453393.741470113</v>
      </c>
      <c r="H59" s="49">
        <f>$H$6/$G$6*G59*(1+Assumptions!$B$16)^INT((C59-1)/12)*IF(B59="Monthly",1,12)</f>
        <v>197873.44883995253</v>
      </c>
      <c r="I59" s="102">
        <f>Assumptions!$B$14*(1+Assumptions!$K$10*--($D59&lt;=Assumptions!$K$15/12))</f>
        <v>0.15</v>
      </c>
      <c r="J59" s="50">
        <f t="shared" si="6"/>
        <v>0.15000000000000002</v>
      </c>
      <c r="K59" s="51">
        <f t="shared" si="7"/>
        <v>2.4971565539333211E-2</v>
      </c>
      <c r="L59" s="98">
        <f>H59*Assumptions!$B$7*(1
+Assumptions!$K$7*'Results (i) to (iii)'!$C$16*--($D59&lt;=1)
+Assumptions!$K$8*'Results (i) to (iii)'!$C$16*--($D59&lt;=Assumptions!$K$15/12))
+$G59*Assumptions!$K$9*$E59*'Results (i) to (iii)'!$C$16*--($D59&lt;=2)</f>
        <v>98936.724419976264</v>
      </c>
      <c r="M59" s="49">
        <f>L59*Assumptions!$B$11</f>
        <v>19787.344883995254</v>
      </c>
      <c r="N59" s="49">
        <f>H59*Assumptions!$B$11</f>
        <v>39574.689767990509</v>
      </c>
      <c r="O59" s="49">
        <f>N59*Assumptions!$B$12</f>
        <v>3957.4689767990512</v>
      </c>
      <c r="P59" s="49">
        <f>H59*Assumptions!$B$9</f>
        <v>15829.875907196203</v>
      </c>
      <c r="Q59" s="105">
        <f>H59*Assumptions!$B$8*(1+Assumptions!$K$11*--($D59&lt;=Assumptions!$K$15/12))</f>
        <v>9893.6724419976272</v>
      </c>
      <c r="R59" s="52">
        <f>(R60)/((1+Assumptions!$B$21)^$E60)+H60/IF(H$3="EOP",((1+Assumptions!$B$21)^$E60),1)</f>
        <v>1704264.9261480179</v>
      </c>
      <c r="S59" s="49">
        <f>(S60)/((1+Assumptions!$B$21)^$E60)+L60/IF(L$3="EOP",((1+Assumptions!$B$21)^$E60),1)</f>
        <v>831348.74446244759</v>
      </c>
      <c r="T59" s="49">
        <f>(T60)/((1+Assumptions!$B$21)^$E60)+M60/IF(M$3="EOP",((1+Assumptions!$B$21)^$E60),1)</f>
        <v>166269.74889248956</v>
      </c>
      <c r="U59" s="49">
        <f>(U60)/((1+Assumptions!$B$21)^$E60)+N60/IF(N$3="EOP",((1+Assumptions!$B$21)^$E60),1)</f>
        <v>340852.9852296036</v>
      </c>
      <c r="V59" s="49">
        <f>(V60)/((1+Assumptions!$B$21)^$E60)+O60/IF(O$3="EOP",((1+Assumptions!$B$21)^$E60),1)</f>
        <v>34085.298522960351</v>
      </c>
      <c r="W59" s="49">
        <f>(W60)/((1+Assumptions!$B$21)^$E60)+P60/IF(P$3="EOP",((1+Assumptions!$B$21)^$E60),1)</f>
        <v>136341.19409184137</v>
      </c>
      <c r="X59" s="49">
        <f>(X60)/((1+Assumptions!$B$21)^$E60)+Q60/IF(Q$3="EOP",((1+Assumptions!$B$21)^$E60),1)</f>
        <v>83134.874446244779</v>
      </c>
      <c r="Y59" s="53">
        <f t="shared" si="2"/>
        <v>-512942.17533333052</v>
      </c>
      <c r="Z59" s="98">
        <f>H60*Assumptions!$B$7*Assumptions!$B$25/$E60/12*(1
+Assumptions!$K$7*'Results (i) to (iii)'!$C$16*--($D59&lt;=1)
+Assumptions!$K$8*'Results (i) to (iii)'!$C$16*--($D59&lt;=Assumptions!$K$15/12))</f>
        <v>9623.5828602252204</v>
      </c>
      <c r="AA59" s="49">
        <f>Z59*Assumptions!$B$11</f>
        <v>1924.7165720450441</v>
      </c>
      <c r="AB59" s="54">
        <f t="shared" si="8"/>
        <v>7698.8662881801765</v>
      </c>
      <c r="AC59" s="89">
        <f t="shared" si="9"/>
        <v>-505243.30904515035</v>
      </c>
      <c r="AD59" s="89">
        <f>Assumptions!$B$23*R59</f>
        <v>255639.73892220267</v>
      </c>
      <c r="AE59" s="89">
        <f t="shared" si="11"/>
        <v>-249603.57012294768</v>
      </c>
    </row>
    <row r="60" spans="1:31" x14ac:dyDescent="0.25">
      <c r="A60" s="44">
        <f t="shared" si="10"/>
        <v>55</v>
      </c>
      <c r="B60" s="45" t="s">
        <v>29</v>
      </c>
      <c r="C60" s="48">
        <f t="shared" si="12"/>
        <v>264</v>
      </c>
      <c r="D60" s="47">
        <f t="shared" si="1"/>
        <v>22</v>
      </c>
      <c r="E60" s="47">
        <f t="shared" si="4"/>
        <v>1</v>
      </c>
      <c r="F60" s="48">
        <f t="shared" si="5"/>
        <v>1</v>
      </c>
      <c r="G60" s="49">
        <f>(G59*($K59/$K58)-L59)*(1+Assumptions!$B$15)^$F60</f>
        <v>36706176.914946213</v>
      </c>
      <c r="H60" s="49">
        <f>$H$6/$G$6*G60*(1+Assumptions!$B$16)^INT((C60-1)/12)*IF(B60="Monthly",1,12)</f>
        <v>184772.79091632424</v>
      </c>
      <c r="I60" s="102">
        <f>Assumptions!$B$14*(1+Assumptions!$K$10*--($D60&lt;=Assumptions!$K$15/12))</f>
        <v>0.15</v>
      </c>
      <c r="J60" s="50">
        <f t="shared" si="6"/>
        <v>0.15000000000000002</v>
      </c>
      <c r="K60" s="51">
        <f t="shared" si="7"/>
        <v>2.122583070843323E-2</v>
      </c>
      <c r="L60" s="98">
        <f>H60*Assumptions!$B$7*(1
+Assumptions!$K$7*'Results (i) to (iii)'!$C$16*--($D60&lt;=1)
+Assumptions!$K$8*'Results (i) to (iii)'!$C$16*--($D60&lt;=Assumptions!$K$15/12))
+$G60*Assumptions!$K$9*$E60*'Results (i) to (iii)'!$C$16*--($D60&lt;=2)</f>
        <v>92386.395458162122</v>
      </c>
      <c r="M60" s="49">
        <f>L60*Assumptions!$B$11</f>
        <v>18477.279091632427</v>
      </c>
      <c r="N60" s="49">
        <f>H60*Assumptions!$B$11</f>
        <v>36954.558183264853</v>
      </c>
      <c r="O60" s="49">
        <f>N60*Assumptions!$B$12</f>
        <v>3695.4558183264853</v>
      </c>
      <c r="P60" s="49">
        <f>H60*Assumptions!$B$9</f>
        <v>14781.823273305939</v>
      </c>
      <c r="Q60" s="105">
        <f>H60*Assumptions!$B$8*(1+Assumptions!$K$11*--($D60&lt;=Assumptions!$K$15/12))</f>
        <v>9238.6395458162133</v>
      </c>
      <c r="R60" s="52">
        <f>(R61)/((1+Assumptions!$B$21)^$E61)+H61/IF(H$3="EOP",((1+Assumptions!$B$21)^$E61),1)</f>
        <v>1557479.438612486</v>
      </c>
      <c r="S60" s="49">
        <f>(S61)/((1+Assumptions!$B$21)^$E61)+L61/IF(L$3="EOP",((1+Assumptions!$B$21)^$E61),1)</f>
        <v>759746.06761584664</v>
      </c>
      <c r="T60" s="49">
        <f>(T61)/((1+Assumptions!$B$21)^$E61)+M61/IF(M$3="EOP",((1+Assumptions!$B$21)^$E61),1)</f>
        <v>151949.21352316934</v>
      </c>
      <c r="U60" s="49">
        <f>(U61)/((1+Assumptions!$B$21)^$E61)+N61/IF(N$3="EOP",((1+Assumptions!$B$21)^$E61),1)</f>
        <v>311495.88772249717</v>
      </c>
      <c r="V60" s="49">
        <f>(V61)/((1+Assumptions!$B$21)^$E61)+O61/IF(O$3="EOP",((1+Assumptions!$B$21)^$E61),1)</f>
        <v>31149.588772249706</v>
      </c>
      <c r="W60" s="49">
        <f>(W61)/((1+Assumptions!$B$21)^$E61)+P61/IF(P$3="EOP",((1+Assumptions!$B$21)^$E61),1)</f>
        <v>124598.35508899883</v>
      </c>
      <c r="X60" s="49">
        <f>(X61)/((1+Assumptions!$B$21)^$E61)+Q61/IF(Q$3="EOP",((1+Assumptions!$B$21)^$E61),1)</f>
        <v>75974.60676158467</v>
      </c>
      <c r="Y60" s="53">
        <f t="shared" si="2"/>
        <v>-468763.32371897786</v>
      </c>
      <c r="Z60" s="98">
        <f>H61*Assumptions!$B$7*Assumptions!$B$25/$E61/12*(1
+Assumptions!$K$7*'Results (i) to (iii)'!$C$16*--($D60&lt;=1)
+Assumptions!$K$8*'Results (i) to (iii)'!$C$16*--($D60&lt;=Assumptions!$K$15/12))</f>
        <v>8984.4553584624136</v>
      </c>
      <c r="AA60" s="49">
        <f>Z60*Assumptions!$B$11</f>
        <v>1796.8910716924829</v>
      </c>
      <c r="AB60" s="54">
        <f t="shared" si="8"/>
        <v>7187.5642867699307</v>
      </c>
      <c r="AC60" s="89">
        <f t="shared" si="9"/>
        <v>-461575.75943220791</v>
      </c>
      <c r="AD60" s="89">
        <f>Assumptions!$B$23*R60</f>
        <v>233621.91579187289</v>
      </c>
      <c r="AE60" s="89">
        <f t="shared" si="11"/>
        <v>-227953.84364033502</v>
      </c>
    </row>
    <row r="61" spans="1:31" x14ac:dyDescent="0.25">
      <c r="A61" s="44">
        <f t="shared" si="10"/>
        <v>56</v>
      </c>
      <c r="B61" s="45" t="s">
        <v>29</v>
      </c>
      <c r="C61" s="48">
        <f t="shared" si="12"/>
        <v>276</v>
      </c>
      <c r="D61" s="47">
        <f t="shared" si="1"/>
        <v>23</v>
      </c>
      <c r="E61" s="47">
        <f t="shared" si="4"/>
        <v>1</v>
      </c>
      <c r="F61" s="48">
        <f t="shared" si="5"/>
        <v>1</v>
      </c>
      <c r="G61" s="49">
        <f>(G60*($K60/$K59)-L60)*(1+Assumptions!$B$15)^$F61</f>
        <v>31730021.261891041</v>
      </c>
      <c r="H61" s="49">
        <f>$H$6/$G$6*G61*(1+Assumptions!$B$16)^INT((C61-1)/12)*IF(B61="Monthly",1,12)</f>
        <v>172501.54288247833</v>
      </c>
      <c r="I61" s="102">
        <f>Assumptions!$B$14*(1+Assumptions!$K$10*--($D61&lt;=Assumptions!$K$15/12))</f>
        <v>0.15</v>
      </c>
      <c r="J61" s="50">
        <f t="shared" si="6"/>
        <v>0.15000000000000002</v>
      </c>
      <c r="K61" s="51">
        <f t="shared" si="7"/>
        <v>1.8041956102168244E-2</v>
      </c>
      <c r="L61" s="98">
        <f>H61*Assumptions!$B$7*(1
+Assumptions!$K$7*'Results (i) to (iii)'!$C$16*--($D61&lt;=1)
+Assumptions!$K$8*'Results (i) to (iii)'!$C$16*--($D61&lt;=Assumptions!$K$15/12))
+$G61*Assumptions!$K$9*$E61*'Results (i) to (iii)'!$C$16*--($D61&lt;=2)</f>
        <v>86250.771441239165</v>
      </c>
      <c r="M61" s="49">
        <f>L61*Assumptions!$B$11</f>
        <v>17250.154288247835</v>
      </c>
      <c r="N61" s="49">
        <f>H61*Assumptions!$B$11</f>
        <v>34500.30857649567</v>
      </c>
      <c r="O61" s="49">
        <f>N61*Assumptions!$B$12</f>
        <v>3450.0308576495672</v>
      </c>
      <c r="P61" s="49">
        <f>H61*Assumptions!$B$9</f>
        <v>13800.123430598267</v>
      </c>
      <c r="Q61" s="105">
        <f>H61*Assumptions!$B$8*(1+Assumptions!$K$11*--($D61&lt;=Assumptions!$K$15/12))</f>
        <v>8625.0771441239176</v>
      </c>
      <c r="R61" s="52">
        <f>(R62)/((1+Assumptions!$B$21)^$E62)+H62/IF(H$3="EOP",((1+Assumptions!$B$21)^$E62),1)</f>
        <v>1419602.3431232576</v>
      </c>
      <c r="S61" s="49">
        <f>(S62)/((1+Assumptions!$B$21)^$E62)+L62/IF(L$3="EOP",((1+Assumptions!$B$21)^$E62),1)</f>
        <v>692488.94786500349</v>
      </c>
      <c r="T61" s="49">
        <f>(T62)/((1+Assumptions!$B$21)^$E62)+M62/IF(M$3="EOP",((1+Assumptions!$B$21)^$E62),1)</f>
        <v>138497.78957300071</v>
      </c>
      <c r="U61" s="49">
        <f>(U62)/((1+Assumptions!$B$21)^$E62)+N62/IF(N$3="EOP",((1+Assumptions!$B$21)^$E62),1)</f>
        <v>283920.46862465149</v>
      </c>
      <c r="V61" s="49">
        <f>(V62)/((1+Assumptions!$B$21)^$E62)+O62/IF(O$3="EOP",((1+Assumptions!$B$21)^$E62),1)</f>
        <v>28392.04686246514</v>
      </c>
      <c r="W61" s="49">
        <f>(W62)/((1+Assumptions!$B$21)^$E62)+P62/IF(P$3="EOP",((1+Assumptions!$B$21)^$E62),1)</f>
        <v>113568.18744986056</v>
      </c>
      <c r="X61" s="49">
        <f>(X62)/((1+Assumptions!$B$21)^$E62)+Q62/IF(Q$3="EOP",((1+Assumptions!$B$21)^$E62),1)</f>
        <v>69248.894786500357</v>
      </c>
      <c r="Y61" s="53">
        <f t="shared" si="2"/>
        <v>-427265.68083270761</v>
      </c>
      <c r="Z61" s="98">
        <f>H62*Assumptions!$B$7*Assumptions!$B$25/$E62/12*(1
+Assumptions!$K$7*'Results (i) to (iii)'!$C$16*--($D61&lt;=1)
+Assumptions!$K$8*'Results (i) to (iii)'!$C$16*--($D61&lt;=Assumptions!$K$15/12))</f>
        <v>8385.7811489134092</v>
      </c>
      <c r="AA61" s="49">
        <f>Z61*Assumptions!$B$11</f>
        <v>1677.156229782682</v>
      </c>
      <c r="AB61" s="54">
        <f t="shared" si="8"/>
        <v>6708.624919130727</v>
      </c>
      <c r="AC61" s="89">
        <f t="shared" si="9"/>
        <v>-420557.05591357691</v>
      </c>
      <c r="AD61" s="89">
        <f>Assumptions!$B$23*R61</f>
        <v>212940.35146848863</v>
      </c>
      <c r="AE61" s="89">
        <f t="shared" si="11"/>
        <v>-207616.70444508828</v>
      </c>
    </row>
    <row r="62" spans="1:31" x14ac:dyDescent="0.25">
      <c r="A62" s="44">
        <f t="shared" si="10"/>
        <v>57</v>
      </c>
      <c r="B62" s="45" t="s">
        <v>29</v>
      </c>
      <c r="C62" s="48">
        <f t="shared" si="12"/>
        <v>288</v>
      </c>
      <c r="D62" s="47">
        <f t="shared" si="1"/>
        <v>24</v>
      </c>
      <c r="E62" s="47">
        <f t="shared" si="4"/>
        <v>1</v>
      </c>
      <c r="F62" s="48">
        <f t="shared" si="5"/>
        <v>1</v>
      </c>
      <c r="G62" s="49">
        <f>(G61*($K61/$K60)-L61)*(1+Assumptions!$B$15)^$F62</f>
        <v>27421952.647189468</v>
      </c>
      <c r="H62" s="49">
        <f>$H$6/$G$6*G62*(1+Assumptions!$B$16)^INT((C62-1)/12)*IF(B62="Monthly",1,12)</f>
        <v>161006.99805913743</v>
      </c>
      <c r="I62" s="102">
        <f>Assumptions!$B$14*(1+Assumptions!$K$10*--($D62&lt;=Assumptions!$K$15/12))</f>
        <v>0.15</v>
      </c>
      <c r="J62" s="50">
        <f t="shared" si="6"/>
        <v>0.15000000000000002</v>
      </c>
      <c r="K62" s="51">
        <f t="shared" si="7"/>
        <v>1.5335662686843008E-2</v>
      </c>
      <c r="L62" s="98">
        <f>H62*Assumptions!$B$7*(1
+Assumptions!$K$7*'Results (i) to (iii)'!$C$16*--($D62&lt;=1)
+Assumptions!$K$8*'Results (i) to (iii)'!$C$16*--($D62&lt;=Assumptions!$K$15/12))
+$G62*Assumptions!$K$9*$E62*'Results (i) to (iii)'!$C$16*--($D62&lt;=2)</f>
        <v>80503.499029568717</v>
      </c>
      <c r="M62" s="49">
        <f>L62*Assumptions!$B$11</f>
        <v>16100.699805913744</v>
      </c>
      <c r="N62" s="49">
        <f>H62*Assumptions!$B$11</f>
        <v>32201.399611827488</v>
      </c>
      <c r="O62" s="49">
        <f>N62*Assumptions!$B$12</f>
        <v>3220.1399611827492</v>
      </c>
      <c r="P62" s="49">
        <f>H62*Assumptions!$B$9</f>
        <v>12880.559844730995</v>
      </c>
      <c r="Q62" s="105">
        <f>H62*Assumptions!$B$8*(1+Assumptions!$K$11*--($D62&lt;=Assumptions!$K$15/12))</f>
        <v>8050.349902956872</v>
      </c>
      <c r="R62" s="52">
        <f>(R63)/((1+Assumptions!$B$21)^$E63)+H63/IF(H$3="EOP",((1+Assumptions!$B$21)^$E63),1)</f>
        <v>1290060.228690723</v>
      </c>
      <c r="S62" s="49">
        <f>(S63)/((1+Assumptions!$B$21)^$E63)+L63/IF(L$3="EOP",((1+Assumptions!$B$21)^$E63),1)</f>
        <v>629297.67253205983</v>
      </c>
      <c r="T62" s="49">
        <f>(T63)/((1+Assumptions!$B$21)^$E63)+M63/IF(M$3="EOP",((1+Assumptions!$B$21)^$E63),1)</f>
        <v>125859.53450641196</v>
      </c>
      <c r="U62" s="49">
        <f>(U63)/((1+Assumptions!$B$21)^$E63)+N63/IF(N$3="EOP",((1+Assumptions!$B$21)^$E63),1)</f>
        <v>258012.04573814454</v>
      </c>
      <c r="V62" s="49">
        <f>(V63)/((1+Assumptions!$B$21)^$E63)+O63/IF(O$3="EOP",((1+Assumptions!$B$21)^$E63),1)</f>
        <v>25801.204573814452</v>
      </c>
      <c r="W62" s="49">
        <f>(W63)/((1+Assumptions!$B$21)^$E63)+P63/IF(P$3="EOP",((1+Assumptions!$B$21)^$E63),1)</f>
        <v>103204.81829525781</v>
      </c>
      <c r="X62" s="49">
        <f>(X63)/((1+Assumptions!$B$21)^$E63)+Q63/IF(Q$3="EOP",((1+Assumptions!$B$21)^$E63),1)</f>
        <v>62929.767253205981</v>
      </c>
      <c r="Y62" s="53">
        <f t="shared" si="2"/>
        <v>-388276.66395228117</v>
      </c>
      <c r="Z62" s="98">
        <f>H63*Assumptions!$B$7*Assumptions!$B$25/$E63/12*(1
+Assumptions!$K$7*'Results (i) to (iii)'!$C$16*--($D62&lt;=1)
+Assumptions!$K$8*'Results (i) to (iii)'!$C$16*--($D62&lt;=Assumptions!$K$15/12))</f>
        <v>7824.9904021135744</v>
      </c>
      <c r="AA62" s="49">
        <f>Z62*Assumptions!$B$11</f>
        <v>1564.998080422715</v>
      </c>
      <c r="AB62" s="54">
        <f t="shared" si="8"/>
        <v>6259.9923216908592</v>
      </c>
      <c r="AC62" s="89">
        <f t="shared" si="9"/>
        <v>-382016.67163059034</v>
      </c>
      <c r="AD62" s="89">
        <f>Assumptions!$B$23*R62</f>
        <v>193509.03430360844</v>
      </c>
      <c r="AE62" s="89">
        <f t="shared" si="11"/>
        <v>-188507.6373269819</v>
      </c>
    </row>
    <row r="63" spans="1:31" x14ac:dyDescent="0.25">
      <c r="A63" s="44">
        <f t="shared" si="10"/>
        <v>58</v>
      </c>
      <c r="B63" s="45" t="s">
        <v>29</v>
      </c>
      <c r="C63" s="48">
        <f t="shared" si="12"/>
        <v>300</v>
      </c>
      <c r="D63" s="47">
        <f t="shared" si="1"/>
        <v>25</v>
      </c>
      <c r="E63" s="47">
        <f t="shared" si="4"/>
        <v>1</v>
      </c>
      <c r="F63" s="48">
        <f t="shared" si="5"/>
        <v>1</v>
      </c>
      <c r="G63" s="49">
        <f>(G62*($K62/$K61)-L62)*(1+Assumptions!$B$15)^$F63</f>
        <v>23692719.376103107</v>
      </c>
      <c r="H63" s="49">
        <f>$H$6/$G$6*G63*(1+Assumptions!$B$16)^INT((C63-1)/12)*IF(B63="Monthly",1,12)</f>
        <v>150239.81572058063</v>
      </c>
      <c r="I63" s="102">
        <f>Assumptions!$B$14*(1+Assumptions!$K$10*--($D63&lt;=Assumptions!$K$15/12))</f>
        <v>0.15</v>
      </c>
      <c r="J63" s="50">
        <f t="shared" si="6"/>
        <v>0.15000000000000002</v>
      </c>
      <c r="K63" s="51">
        <f t="shared" si="7"/>
        <v>1.3035313283816557E-2</v>
      </c>
      <c r="L63" s="98">
        <f>H63*Assumptions!$B$7*(1
+Assumptions!$K$7*'Results (i) to (iii)'!$C$16*--($D63&lt;=1)
+Assumptions!$K$8*'Results (i) to (iii)'!$C$16*--($D63&lt;=Assumptions!$K$15/12))
+$G63*Assumptions!$K$9*$E63*'Results (i) to (iii)'!$C$16*--($D63&lt;=2)</f>
        <v>75119.907860290317</v>
      </c>
      <c r="M63" s="49">
        <f>L63*Assumptions!$B$11</f>
        <v>15023.981572058065</v>
      </c>
      <c r="N63" s="49">
        <f>H63*Assumptions!$B$11</f>
        <v>30047.963144116129</v>
      </c>
      <c r="O63" s="49">
        <f>N63*Assumptions!$B$12</f>
        <v>3004.7963144116129</v>
      </c>
      <c r="P63" s="49">
        <f>H63*Assumptions!$B$9</f>
        <v>12019.185257646452</v>
      </c>
      <c r="Q63" s="105">
        <f>H63*Assumptions!$B$8*(1+Assumptions!$K$11*--($D63&lt;=Assumptions!$K$15/12))</f>
        <v>7511.9907860290323</v>
      </c>
      <c r="R63" s="52">
        <f>(R64)/((1+Assumptions!$B$21)^$E64)+H64/IF(H$3="EOP",((1+Assumptions!$B$21)^$E64),1)</f>
        <v>1168315.9232943957</v>
      </c>
      <c r="S63" s="49">
        <f>(S64)/((1+Assumptions!$B$21)^$E64)+L64/IF(L$3="EOP",((1+Assumptions!$B$21)^$E64),1)</f>
        <v>569910.20648507099</v>
      </c>
      <c r="T63" s="49">
        <f>(T64)/((1+Assumptions!$B$21)^$E64)+M64/IF(M$3="EOP",((1+Assumptions!$B$21)^$E64),1)</f>
        <v>113982.04129701419</v>
      </c>
      <c r="U63" s="49">
        <f>(U64)/((1+Assumptions!$B$21)^$E64)+N64/IF(N$3="EOP",((1+Assumptions!$B$21)^$E64),1)</f>
        <v>233663.18465887909</v>
      </c>
      <c r="V63" s="49">
        <f>(V64)/((1+Assumptions!$B$21)^$E64)+O64/IF(O$3="EOP",((1+Assumptions!$B$21)^$E64),1)</f>
        <v>23366.318465887911</v>
      </c>
      <c r="W63" s="49">
        <f>(W64)/((1+Assumptions!$B$21)^$E64)+P64/IF(P$3="EOP",((1+Assumptions!$B$21)^$E64),1)</f>
        <v>93465.273863551643</v>
      </c>
      <c r="X63" s="49">
        <f>(X64)/((1+Assumptions!$B$21)^$E64)+Q64/IF(Q$3="EOP",((1+Assumptions!$B$21)^$E64),1)</f>
        <v>56991.020648507096</v>
      </c>
      <c r="Y63" s="53">
        <f t="shared" si="2"/>
        <v>-351634.59740128898</v>
      </c>
      <c r="Z63" s="98">
        <f>H64*Assumptions!$B$7*Assumptions!$B$25/$E64/12*(1
+Assumptions!$K$7*'Results (i) to (iii)'!$C$16*--($D63&lt;=1)
+Assumptions!$K$8*'Results (i) to (iii)'!$C$16*--($D63&lt;=Assumptions!$K$15/12))</f>
        <v>7299.6774940565092</v>
      </c>
      <c r="AA63" s="49">
        <f>Z63*Assumptions!$B$11</f>
        <v>1459.9354988113018</v>
      </c>
      <c r="AB63" s="54">
        <f t="shared" si="8"/>
        <v>5839.7419952452074</v>
      </c>
      <c r="AC63" s="89">
        <f t="shared" si="9"/>
        <v>-345794.85540604376</v>
      </c>
      <c r="AD63" s="89">
        <f>Assumptions!$B$23*R63</f>
        <v>175247.38849415936</v>
      </c>
      <c r="AE63" s="89">
        <f t="shared" si="11"/>
        <v>-170547.4669118844</v>
      </c>
    </row>
    <row r="64" spans="1:31" x14ac:dyDescent="0.25">
      <c r="A64" s="44">
        <f t="shared" si="10"/>
        <v>59</v>
      </c>
      <c r="B64" s="45" t="s">
        <v>29</v>
      </c>
      <c r="C64" s="48">
        <f t="shared" si="12"/>
        <v>312</v>
      </c>
      <c r="D64" s="47">
        <f t="shared" si="1"/>
        <v>26</v>
      </c>
      <c r="E64" s="47">
        <f t="shared" si="4"/>
        <v>1</v>
      </c>
      <c r="F64" s="48">
        <f t="shared" si="5"/>
        <v>1</v>
      </c>
      <c r="G64" s="49">
        <f>(G63*($K63/$K62)-L63)*(1+Assumptions!$B$15)^$F64</f>
        <v>20464965.393063899</v>
      </c>
      <c r="H64" s="49">
        <f>$H$6/$G$6*G64*(1+Assumptions!$B$16)^INT((C64-1)/12)*IF(B64="Monthly",1,12)</f>
        <v>140153.80788588498</v>
      </c>
      <c r="I64" s="102">
        <f>Assumptions!$B$14*(1+Assumptions!$K$10*--($D64&lt;=Assumptions!$K$15/12))</f>
        <v>0.15</v>
      </c>
      <c r="J64" s="50">
        <f t="shared" si="6"/>
        <v>0.15000000000000002</v>
      </c>
      <c r="K64" s="51">
        <f t="shared" si="7"/>
        <v>1.1080016291244074E-2</v>
      </c>
      <c r="L64" s="98">
        <f>H64*Assumptions!$B$7*(1
+Assumptions!$K$7*'Results (i) to (iii)'!$C$16*--($D64&lt;=1)
+Assumptions!$K$8*'Results (i) to (iii)'!$C$16*--($D64&lt;=Assumptions!$K$15/12))
+$G64*Assumptions!$K$9*$E64*'Results (i) to (iii)'!$C$16*--($D64&lt;=2)</f>
        <v>70076.903942942488</v>
      </c>
      <c r="M64" s="49">
        <f>L64*Assumptions!$B$11</f>
        <v>14015.380788588498</v>
      </c>
      <c r="N64" s="49">
        <f>H64*Assumptions!$B$11</f>
        <v>28030.761577176996</v>
      </c>
      <c r="O64" s="49">
        <f>N64*Assumptions!$B$12</f>
        <v>2803.0761577177</v>
      </c>
      <c r="P64" s="49">
        <f>H64*Assumptions!$B$9</f>
        <v>11212.304630870798</v>
      </c>
      <c r="Q64" s="105">
        <f>H64*Assumptions!$B$8*(1+Assumptions!$K$11*--($D64&lt;=Assumptions!$K$15/12))</f>
        <v>7007.690394294249</v>
      </c>
      <c r="R64" s="52">
        <f>(R65)/((1+Assumptions!$B$21)^$E65)+H65/IF(H$3="EOP",((1+Assumptions!$B$21)^$E65),1)</f>
        <v>1053866.1682937234</v>
      </c>
      <c r="S64" s="49">
        <f>(S65)/((1+Assumptions!$B$21)^$E65)+L65/IF(L$3="EOP",((1+Assumptions!$B$21)^$E65),1)</f>
        <v>514081.05770425516</v>
      </c>
      <c r="T64" s="49">
        <f>(T65)/((1+Assumptions!$B$21)^$E65)+M65/IF(M$3="EOP",((1+Assumptions!$B$21)^$E65),1)</f>
        <v>102816.21154085104</v>
      </c>
      <c r="U64" s="49">
        <f>(U65)/((1+Assumptions!$B$21)^$E65)+N65/IF(N$3="EOP",((1+Assumptions!$B$21)^$E65),1)</f>
        <v>210773.23365874463</v>
      </c>
      <c r="V64" s="49">
        <f>(V65)/((1+Assumptions!$B$21)^$E65)+O65/IF(O$3="EOP",((1+Assumptions!$B$21)^$E65),1)</f>
        <v>21077.323365874465</v>
      </c>
      <c r="W64" s="49">
        <f>(W65)/((1+Assumptions!$B$21)^$E65)+P65/IF(P$3="EOP",((1+Assumptions!$B$21)^$E65),1)</f>
        <v>84309.293463497859</v>
      </c>
      <c r="X64" s="49">
        <f>(X65)/((1+Assumptions!$B$21)^$E65)+Q65/IF(Q$3="EOP",((1+Assumptions!$B$21)^$E65),1)</f>
        <v>51408.105770425522</v>
      </c>
      <c r="Y64" s="53">
        <f t="shared" si="2"/>
        <v>-317188.01260352565</v>
      </c>
      <c r="Z64" s="98">
        <f>H65*Assumptions!$B$7*Assumptions!$B$25/$E65/12*(1
+Assumptions!$K$7*'Results (i) to (iii)'!$C$16*--($D64&lt;=1)
+Assumptions!$K$8*'Results (i) to (iii)'!$C$16*--($D64&lt;=Assumptions!$K$15/12))</f>
        <v>6807.5906118644007</v>
      </c>
      <c r="AA64" s="49">
        <f>Z64*Assumptions!$B$11</f>
        <v>1361.5181223728803</v>
      </c>
      <c r="AB64" s="54">
        <f t="shared" si="8"/>
        <v>5446.0724894915202</v>
      </c>
      <c r="AC64" s="89">
        <f t="shared" si="9"/>
        <v>-311741.94011403411</v>
      </c>
      <c r="AD64" s="89">
        <f>Assumptions!$B$23*R64</f>
        <v>158079.92524405851</v>
      </c>
      <c r="AE64" s="89">
        <f t="shared" si="11"/>
        <v>-153662.0148699756</v>
      </c>
    </row>
    <row r="65" spans="1:31" x14ac:dyDescent="0.25">
      <c r="A65" s="44">
        <f t="shared" si="10"/>
        <v>60</v>
      </c>
      <c r="B65" s="45" t="s">
        <v>29</v>
      </c>
      <c r="C65" s="48">
        <f t="shared" si="12"/>
        <v>324</v>
      </c>
      <c r="D65" s="47">
        <f t="shared" si="1"/>
        <v>27</v>
      </c>
      <c r="E65" s="47">
        <f t="shared" si="4"/>
        <v>1</v>
      </c>
      <c r="F65" s="48">
        <f t="shared" si="5"/>
        <v>1</v>
      </c>
      <c r="G65" s="49">
        <f>(G64*($K64/$K63)-L64)*(1+Assumptions!$B$15)^$F65</f>
        <v>17671646.5537646</v>
      </c>
      <c r="H65" s="49">
        <f>$H$6/$G$6*G65*(1+Assumptions!$B$16)^INT((C65-1)/12)*IF(B65="Monthly",1,12)</f>
        <v>130705.73974779648</v>
      </c>
      <c r="I65" s="102">
        <f>Assumptions!$B$14*(1+Assumptions!$K$10*--($D65&lt;=Assumptions!$K$15/12))</f>
        <v>0.15</v>
      </c>
      <c r="J65" s="50">
        <f t="shared" si="6"/>
        <v>0.15000000000000002</v>
      </c>
      <c r="K65" s="51">
        <f t="shared" si="7"/>
        <v>9.4180138475574628E-3</v>
      </c>
      <c r="L65" s="98">
        <f>H65*Assumptions!$B$7*(1
+Assumptions!$K$7*'Results (i) to (iii)'!$C$16*--($D65&lt;=1)
+Assumptions!$K$8*'Results (i) to (iii)'!$C$16*--($D65&lt;=Assumptions!$K$15/12))
+$G65*Assumptions!$K$9*$E65*'Results (i) to (iii)'!$C$16*--($D65&lt;=2)</f>
        <v>65352.869873898242</v>
      </c>
      <c r="M65" s="49">
        <f>L65*Assumptions!$B$11</f>
        <v>13070.573974779649</v>
      </c>
      <c r="N65" s="49">
        <f>H65*Assumptions!$B$11</f>
        <v>26141.147949559298</v>
      </c>
      <c r="O65" s="49">
        <f>N65*Assumptions!$B$12</f>
        <v>2614.1147949559299</v>
      </c>
      <c r="P65" s="49">
        <f>H65*Assumptions!$B$9</f>
        <v>10456.45917982372</v>
      </c>
      <c r="Q65" s="105">
        <f>H65*Assumptions!$B$8*(1+Assumptions!$K$11*--($D65&lt;=Assumptions!$K$15/12))</f>
        <v>6535.2869873898244</v>
      </c>
      <c r="R65" s="52">
        <f>(R66)/((1+Assumptions!$B$21)^$E66)+H66/IF(H$3="EOP",((1+Assumptions!$B$21)^$E66),1)</f>
        <v>946239.43925957486</v>
      </c>
      <c r="S65" s="49">
        <f>(S66)/((1+Assumptions!$B$21)^$E66)+L66/IF(L$3="EOP",((1+Assumptions!$B$21)^$E66),1)</f>
        <v>461580.21427296329</v>
      </c>
      <c r="T65" s="49">
        <f>(T66)/((1+Assumptions!$B$21)^$E66)+M66/IF(M$3="EOP",((1+Assumptions!$B$21)^$E66),1)</f>
        <v>92316.04285459267</v>
      </c>
      <c r="U65" s="49">
        <f>(U66)/((1+Assumptions!$B$21)^$E66)+N66/IF(N$3="EOP",((1+Assumptions!$B$21)^$E66),1)</f>
        <v>189247.88785191494</v>
      </c>
      <c r="V65" s="49">
        <f>(V66)/((1+Assumptions!$B$21)^$E66)+O66/IF(O$3="EOP",((1+Assumptions!$B$21)^$E66),1)</f>
        <v>18924.788785191497</v>
      </c>
      <c r="W65" s="49">
        <f>(W66)/((1+Assumptions!$B$21)^$E66)+P66/IF(P$3="EOP",((1+Assumptions!$B$21)^$E66),1)</f>
        <v>75699.155140765986</v>
      </c>
      <c r="X65" s="49">
        <f>(X66)/((1+Assumptions!$B$21)^$E66)+Q66/IF(Q$3="EOP",((1+Assumptions!$B$21)^$E66),1)</f>
        <v>46158.021427296335</v>
      </c>
      <c r="Y65" s="53">
        <f t="shared" si="2"/>
        <v>-284794.99220641848</v>
      </c>
      <c r="Z65" s="98">
        <f>H66*Assumptions!$B$7*Assumptions!$B$25/$E66/12*(1
+Assumptions!$K$7*'Results (i) to (iii)'!$C$16*--($D65&lt;=1)
+Assumptions!$K$8*'Results (i) to (iii)'!$C$16*--($D65&lt;=Assumptions!$K$15/12))</f>
        <v>6346.6220246714875</v>
      </c>
      <c r="AA65" s="49">
        <f>Z65*Assumptions!$B$11</f>
        <v>1269.3244049342975</v>
      </c>
      <c r="AB65" s="54">
        <f t="shared" si="8"/>
        <v>5077.29761973719</v>
      </c>
      <c r="AC65" s="89">
        <f t="shared" si="9"/>
        <v>-279717.69458668132</v>
      </c>
      <c r="AD65" s="89">
        <f>Assumptions!$B$23*R65</f>
        <v>141935.91588893623</v>
      </c>
      <c r="AE65" s="89">
        <f t="shared" si="11"/>
        <v>-137781.77869774509</v>
      </c>
    </row>
    <row r="66" spans="1:31" x14ac:dyDescent="0.25">
      <c r="A66" s="44">
        <f t="shared" si="10"/>
        <v>61</v>
      </c>
      <c r="B66" s="45" t="s">
        <v>29</v>
      </c>
      <c r="C66" s="48">
        <f t="shared" si="12"/>
        <v>336</v>
      </c>
      <c r="D66" s="47">
        <f t="shared" si="1"/>
        <v>28</v>
      </c>
      <c r="E66" s="47">
        <f t="shared" si="4"/>
        <v>1</v>
      </c>
      <c r="F66" s="48">
        <f t="shared" si="5"/>
        <v>1</v>
      </c>
      <c r="G66" s="49">
        <f>(G65*($K65/$K64)-L65)*(1+Assumptions!$B$15)^$F66</f>
        <v>15254657.634842532</v>
      </c>
      <c r="H66" s="49">
        <f>$H$6/$G$6*G66*(1+Assumptions!$B$16)^INT((C66-1)/12)*IF(B66="Monthly",1,12)</f>
        <v>121855.14287369256</v>
      </c>
      <c r="I66" s="102">
        <f>Assumptions!$B$14*(1+Assumptions!$K$10*--($D66&lt;=Assumptions!$K$15/12))</f>
        <v>0.15</v>
      </c>
      <c r="J66" s="50">
        <f t="shared" si="6"/>
        <v>0.15000000000000002</v>
      </c>
      <c r="K66" s="51">
        <f t="shared" si="7"/>
        <v>8.0053117704238438E-3</v>
      </c>
      <c r="L66" s="98">
        <f>H66*Assumptions!$B$7*(1
+Assumptions!$K$7*'Results (i) to (iii)'!$C$16*--($D66&lt;=1)
+Assumptions!$K$8*'Results (i) to (iii)'!$C$16*--($D66&lt;=Assumptions!$K$15/12))
+$G66*Assumptions!$K$9*$E66*'Results (i) to (iii)'!$C$16*--($D66&lt;=2)</f>
        <v>60927.57143684628</v>
      </c>
      <c r="M66" s="49">
        <f>L66*Assumptions!$B$11</f>
        <v>12185.514287369257</v>
      </c>
      <c r="N66" s="49">
        <f>H66*Assumptions!$B$11</f>
        <v>24371.028574738513</v>
      </c>
      <c r="O66" s="49">
        <f>N66*Assumptions!$B$12</f>
        <v>2437.1028574738516</v>
      </c>
      <c r="P66" s="49">
        <f>H66*Assumptions!$B$9</f>
        <v>9748.4114298954046</v>
      </c>
      <c r="Q66" s="105">
        <f>H66*Assumptions!$B$8*(1+Assumptions!$K$11*--($D66&lt;=Assumptions!$K$15/12))</f>
        <v>6092.7571436846283</v>
      </c>
      <c r="R66" s="52">
        <f>(R67)/((1+Assumptions!$B$21)^$E67)+H67/IF(H$3="EOP",((1+Assumptions!$B$21)^$E67),1)</f>
        <v>844993.90379552927</v>
      </c>
      <c r="S66" s="49">
        <f>(S67)/((1+Assumptions!$B$21)^$E67)+L67/IF(L$3="EOP",((1+Assumptions!$B$21)^$E67),1)</f>
        <v>412192.14819294104</v>
      </c>
      <c r="T66" s="49">
        <f>(T67)/((1+Assumptions!$B$21)^$E67)+M67/IF(M$3="EOP",((1+Assumptions!$B$21)^$E67),1)</f>
        <v>82438.429638588219</v>
      </c>
      <c r="U66" s="49">
        <f>(U67)/((1+Assumptions!$B$21)^$E67)+N67/IF(N$3="EOP",((1+Assumptions!$B$21)^$E67),1)</f>
        <v>168998.78075910584</v>
      </c>
      <c r="V66" s="49">
        <f>(V67)/((1+Assumptions!$B$21)^$E67)+O67/IF(O$3="EOP",((1+Assumptions!$B$21)^$E67),1)</f>
        <v>16899.878075910583</v>
      </c>
      <c r="W66" s="49">
        <f>(W67)/((1+Assumptions!$B$21)^$E67)+P67/IF(P$3="EOP",((1+Assumptions!$B$21)^$E67),1)</f>
        <v>67599.512303642332</v>
      </c>
      <c r="X66" s="49">
        <f>(X67)/((1+Assumptions!$B$21)^$E67)+Q67/IF(Q$3="EOP",((1+Assumptions!$B$21)^$E67),1)</f>
        <v>41219.214819294109</v>
      </c>
      <c r="Y66" s="53">
        <f t="shared" si="2"/>
        <v>-254322.55543504469</v>
      </c>
      <c r="Z66" s="98">
        <f>H67*Assumptions!$B$7*Assumptions!$B$25/$E67/12*(1
+Assumptions!$K$7*'Results (i) to (iii)'!$C$16*--($D66&lt;=1)
+Assumptions!$K$8*'Results (i) to (iii)'!$C$16*--($D66&lt;=Assumptions!$K$15/12))</f>
        <v>5914.7989774868938</v>
      </c>
      <c r="AA66" s="49">
        <f>Z66*Assumptions!$B$11</f>
        <v>1182.9597954973788</v>
      </c>
      <c r="AB66" s="54">
        <f t="shared" si="8"/>
        <v>4731.8391819895151</v>
      </c>
      <c r="AC66" s="89">
        <f t="shared" si="9"/>
        <v>-249590.71625305517</v>
      </c>
      <c r="AD66" s="89">
        <f>Assumptions!$B$23*R66</f>
        <v>126749.08556932939</v>
      </c>
      <c r="AE66" s="89">
        <f t="shared" si="11"/>
        <v>-122841.63068372579</v>
      </c>
    </row>
    <row r="67" spans="1:31" x14ac:dyDescent="0.25">
      <c r="A67" s="44">
        <f t="shared" si="10"/>
        <v>62</v>
      </c>
      <c r="B67" s="45" t="s">
        <v>29</v>
      </c>
      <c r="C67" s="48">
        <f t="shared" si="12"/>
        <v>348</v>
      </c>
      <c r="D67" s="47">
        <f t="shared" si="1"/>
        <v>29</v>
      </c>
      <c r="E67" s="47">
        <f t="shared" si="4"/>
        <v>1</v>
      </c>
      <c r="F67" s="48">
        <f t="shared" si="5"/>
        <v>1</v>
      </c>
      <c r="G67" s="49">
        <f>(G66*($K66/$K65)-L66)*(1+Assumptions!$B$15)^$F67</f>
        <v>13163642.046542894</v>
      </c>
      <c r="H67" s="49">
        <f>$H$6/$G$6*G67*(1+Assumptions!$B$16)^INT((C67-1)/12)*IF(B67="Monthly",1,12)</f>
        <v>113564.14036774836</v>
      </c>
      <c r="I67" s="102">
        <f>Assumptions!$B$14*(1+Assumptions!$K$10*--($D67&lt;=Assumptions!$K$15/12))</f>
        <v>0.15</v>
      </c>
      <c r="J67" s="50">
        <f t="shared" si="6"/>
        <v>0.15000000000000002</v>
      </c>
      <c r="K67" s="51">
        <f t="shared" si="7"/>
        <v>6.8045150048602673E-3</v>
      </c>
      <c r="L67" s="98">
        <f>H67*Assumptions!$B$7*(1
+Assumptions!$K$7*'Results (i) to (iii)'!$C$16*--($D67&lt;=1)
+Assumptions!$K$8*'Results (i) to (iii)'!$C$16*--($D67&lt;=Assumptions!$K$15/12))
+$G67*Assumptions!$K$9*$E67*'Results (i) to (iii)'!$C$16*--($D67&lt;=2)</f>
        <v>56782.070183874181</v>
      </c>
      <c r="M67" s="49">
        <f>L67*Assumptions!$B$11</f>
        <v>11356.414036774837</v>
      </c>
      <c r="N67" s="49">
        <f>H67*Assumptions!$B$11</f>
        <v>22712.828073549674</v>
      </c>
      <c r="O67" s="49">
        <f>N67*Assumptions!$B$12</f>
        <v>2271.2828073549676</v>
      </c>
      <c r="P67" s="49">
        <f>H67*Assumptions!$B$9</f>
        <v>9085.1312294198688</v>
      </c>
      <c r="Q67" s="105">
        <f>H67*Assumptions!$B$8*(1+Assumptions!$K$11*--($D67&lt;=Assumptions!$K$15/12))</f>
        <v>5678.2070183874184</v>
      </c>
      <c r="R67" s="52">
        <f>(R68)/((1+Assumptions!$B$21)^$E68)+H68/IF(H$3="EOP",((1+Assumptions!$B$21)^$E68),1)</f>
        <v>749715.50751347537</v>
      </c>
      <c r="S67" s="49">
        <f>(S68)/((1+Assumptions!$B$21)^$E68)+L68/IF(L$3="EOP",((1+Assumptions!$B$21)^$E68),1)</f>
        <v>365714.88171389035</v>
      </c>
      <c r="T67" s="49">
        <f>(T68)/((1+Assumptions!$B$21)^$E68)+M68/IF(M$3="EOP",((1+Assumptions!$B$21)^$E68),1)</f>
        <v>73142.976342778085</v>
      </c>
      <c r="U67" s="49">
        <f>(U68)/((1+Assumptions!$B$21)^$E68)+N68/IF(N$3="EOP",((1+Assumptions!$B$21)^$E68),1)</f>
        <v>149943.10150269506</v>
      </c>
      <c r="V67" s="49">
        <f>(V68)/((1+Assumptions!$B$21)^$E68)+O68/IF(O$3="EOP",((1+Assumptions!$B$21)^$E68),1)</f>
        <v>14994.310150269506</v>
      </c>
      <c r="W67" s="49">
        <f>(W68)/((1+Assumptions!$B$21)^$E68)+P68/IF(P$3="EOP",((1+Assumptions!$B$21)^$E68),1)</f>
        <v>59977.240601078025</v>
      </c>
      <c r="X67" s="49">
        <f>(X68)/((1+Assumptions!$B$21)^$E68)+Q68/IF(Q$3="EOP",((1+Assumptions!$B$21)^$E68),1)</f>
        <v>36571.488171389043</v>
      </c>
      <c r="Y67" s="53">
        <f t="shared" si="2"/>
        <v>-225646.08201747044</v>
      </c>
      <c r="Z67" s="98">
        <f>H68*Assumptions!$B$7*Assumptions!$B$25/$E68/12*(1
+Assumptions!$K$7*'Results (i) to (iii)'!$C$16*--($D67&lt;=1)
+Assumptions!$K$8*'Results (i) to (iii)'!$C$16*--($D67&lt;=Assumptions!$K$15/12))</f>
        <v>5510.2751684615441</v>
      </c>
      <c r="AA67" s="49">
        <f>Z67*Assumptions!$B$11</f>
        <v>1102.0550336923088</v>
      </c>
      <c r="AB67" s="54">
        <f t="shared" si="8"/>
        <v>4408.2201347692353</v>
      </c>
      <c r="AC67" s="89">
        <f t="shared" si="9"/>
        <v>-221237.8618827012</v>
      </c>
      <c r="AD67" s="89">
        <f>Assumptions!$B$23*R67</f>
        <v>112457.3261270213</v>
      </c>
      <c r="AE67" s="89">
        <f t="shared" si="11"/>
        <v>-108780.5357556799</v>
      </c>
    </row>
    <row r="68" spans="1:31" x14ac:dyDescent="0.25">
      <c r="A68" s="44">
        <f t="shared" si="10"/>
        <v>63</v>
      </c>
      <c r="B68" s="45" t="s">
        <v>29</v>
      </c>
      <c r="C68" s="48">
        <f t="shared" si="12"/>
        <v>360</v>
      </c>
      <c r="D68" s="47">
        <f t="shared" si="1"/>
        <v>30</v>
      </c>
      <c r="E68" s="47">
        <f t="shared" si="4"/>
        <v>1</v>
      </c>
      <c r="F68" s="48">
        <f t="shared" si="5"/>
        <v>1</v>
      </c>
      <c r="G68" s="49">
        <f>(G67*($K67/$K66)-L67)*(1+Assumptions!$B$15)^$F68</f>
        <v>11354959.942765135</v>
      </c>
      <c r="H68" s="49">
        <f>$H$6/$G$6*G68*(1+Assumptions!$B$16)^INT((C68-1)/12)*IF(B68="Monthly",1,12)</f>
        <v>105797.28323446165</v>
      </c>
      <c r="I68" s="102">
        <f>Assumptions!$B$14*(1+Assumptions!$K$10*--($D68&lt;=Assumptions!$K$15/12))</f>
        <v>0.15</v>
      </c>
      <c r="J68" s="50">
        <f t="shared" si="6"/>
        <v>0.15000000000000002</v>
      </c>
      <c r="K68" s="51">
        <f t="shared" si="7"/>
        <v>5.7838377541312271E-3</v>
      </c>
      <c r="L68" s="98">
        <f>H68*Assumptions!$B$7*(1
+Assumptions!$K$7*'Results (i) to (iii)'!$C$16*--($D68&lt;=1)
+Assumptions!$K$8*'Results (i) to (iii)'!$C$16*--($D68&lt;=Assumptions!$K$15/12))
+$G68*Assumptions!$K$9*$E68*'Results (i) to (iii)'!$C$16*--($D68&lt;=2)</f>
        <v>52898.641617230824</v>
      </c>
      <c r="M68" s="49">
        <f>L68*Assumptions!$B$11</f>
        <v>10579.728323446165</v>
      </c>
      <c r="N68" s="49">
        <f>H68*Assumptions!$B$11</f>
        <v>21159.456646892329</v>
      </c>
      <c r="O68" s="49">
        <f>N68*Assumptions!$B$12</f>
        <v>2115.9456646892331</v>
      </c>
      <c r="P68" s="49">
        <f>H68*Assumptions!$B$9</f>
        <v>8463.7826587569325</v>
      </c>
      <c r="Q68" s="105">
        <f>H68*Assumptions!$B$8*(1+Assumptions!$K$11*--($D68&lt;=Assumptions!$K$15/12))</f>
        <v>5289.8641617230824</v>
      </c>
      <c r="R68" s="52">
        <f>(R69)/((1+Assumptions!$B$21)^$E69)+H69/IF(H$3="EOP",((1+Assumptions!$B$21)^$E69),1)</f>
        <v>660016.17988598894</v>
      </c>
      <c r="S68" s="49">
        <f>(S69)/((1+Assumptions!$B$21)^$E69)+L69/IF(L$3="EOP",((1+Assumptions!$B$21)^$E69),1)</f>
        <v>321959.11213950679</v>
      </c>
      <c r="T68" s="49">
        <f>(T69)/((1+Assumptions!$B$21)^$E69)+M69/IF(M$3="EOP",((1+Assumptions!$B$21)^$E69),1)</f>
        <v>64391.822427901359</v>
      </c>
      <c r="U68" s="49">
        <f>(U69)/((1+Assumptions!$B$21)^$E69)+N69/IF(N$3="EOP",((1+Assumptions!$B$21)^$E69),1)</f>
        <v>132003.23597719779</v>
      </c>
      <c r="V68" s="49">
        <f>(V69)/((1+Assumptions!$B$21)^$E69)+O69/IF(O$3="EOP",((1+Assumptions!$B$21)^$E69),1)</f>
        <v>13200.32359771978</v>
      </c>
      <c r="W68" s="49">
        <f>(W69)/((1+Assumptions!$B$21)^$E69)+P69/IF(P$3="EOP",((1+Assumptions!$B$21)^$E69),1)</f>
        <v>52801.294390879113</v>
      </c>
      <c r="X68" s="49">
        <f>(X69)/((1+Assumptions!$B$21)^$E69)+Q69/IF(Q$3="EOP",((1+Assumptions!$B$21)^$E69),1)</f>
        <v>32195.91121395068</v>
      </c>
      <c r="Y68" s="53">
        <f t="shared" si="2"/>
        <v>-198648.77219007575</v>
      </c>
      <c r="Z68" s="98">
        <f>H69*Assumptions!$B$7*Assumptions!$B$25/$E69/12*(1
+Assumptions!$K$7*'Results (i) to (iii)'!$C$16*--($D68&lt;=1)
+Assumptions!$K$8*'Results (i) to (iii)'!$C$16*--($D68&lt;=Assumptions!$K$15/12))</f>
        <v>5131.3227724645003</v>
      </c>
      <c r="AA68" s="49">
        <f>Z68*Assumptions!$B$11</f>
        <v>1026.2645544929001</v>
      </c>
      <c r="AB68" s="54">
        <f t="shared" si="8"/>
        <v>4105.0582179716002</v>
      </c>
      <c r="AC68" s="89">
        <f t="shared" si="9"/>
        <v>-194543.71397210413</v>
      </c>
      <c r="AD68" s="89">
        <f>Assumptions!$B$23*R68</f>
        <v>99002.426982898338</v>
      </c>
      <c r="AE68" s="89">
        <f t="shared" si="11"/>
        <v>-95541.286989205793</v>
      </c>
    </row>
    <row r="69" spans="1:31" x14ac:dyDescent="0.25">
      <c r="A69" s="44">
        <f t="shared" si="10"/>
        <v>64</v>
      </c>
      <c r="B69" s="45" t="s">
        <v>29</v>
      </c>
      <c r="C69" s="48">
        <f t="shared" si="12"/>
        <v>372</v>
      </c>
      <c r="D69" s="47">
        <f t="shared" si="1"/>
        <v>31</v>
      </c>
      <c r="E69" s="47">
        <f t="shared" si="4"/>
        <v>1</v>
      </c>
      <c r="F69" s="48">
        <f t="shared" si="5"/>
        <v>1</v>
      </c>
      <c r="G69" s="49">
        <f>(G68*($K68/$K67)-L68)*(1+Assumptions!$B$15)^$F69</f>
        <v>9790793.6559277959</v>
      </c>
      <c r="H69" s="49">
        <f>$H$6/$G$6*G69*(1+Assumptions!$B$16)^INT((C69-1)/12)*IF(B69="Monthly",1,12)</f>
        <v>98521.397231318406</v>
      </c>
      <c r="I69" s="102">
        <f>Assumptions!$B$14*(1+Assumptions!$K$10*--($D69&lt;=Assumptions!$K$15/12))</f>
        <v>0.15</v>
      </c>
      <c r="J69" s="50">
        <f t="shared" si="6"/>
        <v>0.15000000000000002</v>
      </c>
      <c r="K69" s="51">
        <f t="shared" si="7"/>
        <v>4.9162620910115432E-3</v>
      </c>
      <c r="L69" s="98">
        <f>H69*Assumptions!$B$7*(1
+Assumptions!$K$7*'Results (i) to (iii)'!$C$16*--($D69&lt;=1)
+Assumptions!$K$8*'Results (i) to (iii)'!$C$16*--($D69&lt;=Assumptions!$K$15/12))
+$G69*Assumptions!$K$9*$E69*'Results (i) to (iii)'!$C$16*--($D69&lt;=2)</f>
        <v>49260.698615659203</v>
      </c>
      <c r="M69" s="49">
        <f>L69*Assumptions!$B$11</f>
        <v>9852.1397231318406</v>
      </c>
      <c r="N69" s="49">
        <f>H69*Assumptions!$B$11</f>
        <v>19704.279446263681</v>
      </c>
      <c r="O69" s="49">
        <f>N69*Assumptions!$B$12</f>
        <v>1970.4279446263681</v>
      </c>
      <c r="P69" s="49">
        <f>H69*Assumptions!$B$9</f>
        <v>7881.7117785054725</v>
      </c>
      <c r="Q69" s="105">
        <f>H69*Assumptions!$B$8*(1+Assumptions!$K$11*--($D69&lt;=Assumptions!$K$15/12))</f>
        <v>4926.0698615659203</v>
      </c>
      <c r="R69" s="52">
        <f>(R70)/((1+Assumptions!$B$21)^$E70)+H70/IF(H$3="EOP",((1+Assumptions!$B$21)^$E70),1)</f>
        <v>575532.15222103719</v>
      </c>
      <c r="S69" s="49">
        <f>(S70)/((1+Assumptions!$B$21)^$E70)+L70/IF(L$3="EOP",((1+Assumptions!$B$21)^$E70),1)</f>
        <v>280747.39132733521</v>
      </c>
      <c r="T69" s="49">
        <f>(T70)/((1+Assumptions!$B$21)^$E70)+M70/IF(M$3="EOP",((1+Assumptions!$B$21)^$E70),1)</f>
        <v>56149.478265467049</v>
      </c>
      <c r="U69" s="49">
        <f>(U70)/((1+Assumptions!$B$21)^$E70)+N70/IF(N$3="EOP",((1+Assumptions!$B$21)^$E70),1)</f>
        <v>115106.43044420745</v>
      </c>
      <c r="V69" s="49">
        <f>(V70)/((1+Assumptions!$B$21)^$E70)+O70/IF(O$3="EOP",((1+Assumptions!$B$21)^$E70),1)</f>
        <v>11510.643044420745</v>
      </c>
      <c r="W69" s="49">
        <f>(W70)/((1+Assumptions!$B$21)^$E70)+P70/IF(P$3="EOP",((1+Assumptions!$B$21)^$E70),1)</f>
        <v>46042.572177682974</v>
      </c>
      <c r="X69" s="49">
        <f>(X70)/((1+Assumptions!$B$21)^$E70)+Q70/IF(Q$3="EOP",((1+Assumptions!$B$21)^$E70),1)</f>
        <v>28074.739132733524</v>
      </c>
      <c r="Y69" s="53">
        <f t="shared" si="2"/>
        <v>-173221.14044896583</v>
      </c>
      <c r="Z69" s="98">
        <f>H70*Assumptions!$B$7*Assumptions!$B$25/$E70/12*(1
+Assumptions!$K$7*'Results (i) to (iii)'!$C$16*--($D69&lt;=1)
+Assumptions!$K$8*'Results (i) to (iii)'!$C$16*--($D69&lt;=Assumptions!$K$15/12))</f>
        <v>4776.3249761869838</v>
      </c>
      <c r="AA69" s="49">
        <f>Z69*Assumptions!$B$11</f>
        <v>955.26499523739676</v>
      </c>
      <c r="AB69" s="54">
        <f t="shared" si="8"/>
        <v>3821.059980949587</v>
      </c>
      <c r="AC69" s="89">
        <f t="shared" si="9"/>
        <v>-169400.08046801624</v>
      </c>
      <c r="AD69" s="89">
        <f>Assumptions!$B$23*R69</f>
        <v>86329.822833155573</v>
      </c>
      <c r="AE69" s="89">
        <f t="shared" si="11"/>
        <v>-83070.257634860667</v>
      </c>
    </row>
    <row r="70" spans="1:31" x14ac:dyDescent="0.25">
      <c r="A70" s="44">
        <f t="shared" si="10"/>
        <v>65</v>
      </c>
      <c r="B70" s="45" t="s">
        <v>29</v>
      </c>
      <c r="C70" s="48">
        <f t="shared" si="12"/>
        <v>384</v>
      </c>
      <c r="D70" s="47">
        <f t="shared" ref="D70:D78" si="13">C70/12</f>
        <v>32</v>
      </c>
      <c r="E70" s="47">
        <f t="shared" si="4"/>
        <v>1</v>
      </c>
      <c r="F70" s="48">
        <f t="shared" si="5"/>
        <v>1</v>
      </c>
      <c r="G70" s="49">
        <f>(G69*($K69/$K68)-L69)*(1+Assumptions!$B$15)^$F70</f>
        <v>8438372.1871014275</v>
      </c>
      <c r="H70" s="49">
        <f>$H$6/$G$6*G70*(1+Assumptions!$B$16)^INT((C70-1)/12)*IF(B70="Monthly",1,12)</f>
        <v>91705.439542790089</v>
      </c>
      <c r="I70" s="102">
        <f>Assumptions!$B$14*(1+Assumptions!$K$10*--($D70&lt;=Assumptions!$K$15/12))</f>
        <v>0.15</v>
      </c>
      <c r="J70" s="50">
        <f t="shared" si="6"/>
        <v>0.15000000000000002</v>
      </c>
      <c r="K70" s="51">
        <f t="shared" si="7"/>
        <v>4.1788227773598115E-3</v>
      </c>
      <c r="L70" s="98">
        <f>H70*Assumptions!$B$7*(1
+Assumptions!$K$7*'Results (i) to (iii)'!$C$16*--($D70&lt;=1)
+Assumptions!$K$8*'Results (i) to (iii)'!$C$16*--($D70&lt;=Assumptions!$K$15/12))
+$G70*Assumptions!$K$9*$E70*'Results (i) to (iii)'!$C$16*--($D70&lt;=2)</f>
        <v>45852.719771395045</v>
      </c>
      <c r="M70" s="49">
        <f>L70*Assumptions!$B$11</f>
        <v>9170.54395427901</v>
      </c>
      <c r="N70" s="49">
        <f>H70*Assumptions!$B$11</f>
        <v>18341.08790855802</v>
      </c>
      <c r="O70" s="49">
        <f>N70*Assumptions!$B$12</f>
        <v>1834.108790855802</v>
      </c>
      <c r="P70" s="49">
        <f>H70*Assumptions!$B$9</f>
        <v>7336.4351634232071</v>
      </c>
      <c r="Q70" s="105">
        <f>H70*Assumptions!$B$8*(1+Assumptions!$K$11*--($D70&lt;=Assumptions!$K$15/12))</f>
        <v>4585.271977139505</v>
      </c>
      <c r="R70" s="52">
        <f>(R71)/((1+Assumptions!$B$21)^$E71)+H71/IF(H$3="EOP",((1+Assumptions!$B$21)^$E71),1)</f>
        <v>495922.38049520325</v>
      </c>
      <c r="S70" s="49">
        <f>(S71)/((1+Assumptions!$B$21)^$E71)+L71/IF(L$3="EOP",((1+Assumptions!$B$21)^$E71),1)</f>
        <v>241913.35633912351</v>
      </c>
      <c r="T70" s="49">
        <f>(T71)/((1+Assumptions!$B$21)^$E71)+M71/IF(M$3="EOP",((1+Assumptions!$B$21)^$E71),1)</f>
        <v>48382.671267824713</v>
      </c>
      <c r="U70" s="49">
        <f>(U71)/((1+Assumptions!$B$21)^$E71)+N71/IF(N$3="EOP",((1+Assumptions!$B$21)^$E71),1)</f>
        <v>99184.47609904065</v>
      </c>
      <c r="V70" s="49">
        <f>(V71)/((1+Assumptions!$B$21)^$E71)+O71/IF(O$3="EOP",((1+Assumptions!$B$21)^$E71),1)</f>
        <v>9918.4476099040658</v>
      </c>
      <c r="W70" s="49">
        <f>(W71)/((1+Assumptions!$B$21)^$E71)+P71/IF(P$3="EOP",((1+Assumptions!$B$21)^$E71),1)</f>
        <v>39673.790439616256</v>
      </c>
      <c r="X70" s="49">
        <f>(X71)/((1+Assumptions!$B$21)^$E71)+Q71/IF(Q$3="EOP",((1+Assumptions!$B$21)^$E71),1)</f>
        <v>24191.335633912357</v>
      </c>
      <c r="Y70" s="53">
        <f t="shared" ref="Y70:Y78" si="14">-R70+S70-T70+U70-V70+W70+X70</f>
        <v>-149260.54086123928</v>
      </c>
      <c r="Z70" s="98">
        <f>H71*Assumptions!$B$7*Assumptions!$B$25/$E71/12*(1
+Assumptions!$K$7*'Results (i) to (iii)'!$C$16*--($D70&lt;=1)
+Assumptions!$K$8*'Results (i) to (iii)'!$C$16*--($D70&lt;=Assumptions!$K$15/12))</f>
        <v>4443.7689921465671</v>
      </c>
      <c r="AA70" s="49">
        <f>Z70*Assumptions!$B$11</f>
        <v>888.75379842931352</v>
      </c>
      <c r="AB70" s="54">
        <f t="shared" si="8"/>
        <v>3555.0151937172536</v>
      </c>
      <c r="AC70" s="89">
        <f t="shared" si="9"/>
        <v>-145705.52566752202</v>
      </c>
      <c r="AD70" s="89">
        <f>Assumptions!$B$23*R70</f>
        <v>74388.357074280488</v>
      </c>
      <c r="AE70" s="89">
        <f t="shared" si="11"/>
        <v>-71317.168593241528</v>
      </c>
    </row>
    <row r="71" spans="1:31" x14ac:dyDescent="0.25">
      <c r="A71" s="44">
        <f t="shared" si="10"/>
        <v>66</v>
      </c>
      <c r="B71" s="45" t="s">
        <v>29</v>
      </c>
      <c r="C71" s="48">
        <f t="shared" si="12"/>
        <v>396</v>
      </c>
      <c r="D71" s="47">
        <f t="shared" si="13"/>
        <v>33</v>
      </c>
      <c r="E71" s="47">
        <f t="shared" ref="E71:E78" si="15">D71-D70</f>
        <v>1</v>
      </c>
      <c r="F71" s="48">
        <f t="shared" ref="F71:F78" si="16">IF(E71&lt;1,IF(MOD(C71-1,12)=0,1,0),1)</f>
        <v>1</v>
      </c>
      <c r="G71" s="49">
        <f>(G70*($K70/$K69)-L70)*(1+Assumptions!$B$15)^$F71</f>
        <v>7269298.912050114</v>
      </c>
      <c r="H71" s="49">
        <f>$H$6/$G$6*G71*(1+Assumptions!$B$16)^INT((C71-1)/12)*IF(B71="Monthly",1,12)</f>
        <v>85320.364649214098</v>
      </c>
      <c r="I71" s="102">
        <f>Assumptions!$B$14*(1+Assumptions!$K$10*--($D71&lt;=Assumptions!$K$15/12))</f>
        <v>0.15</v>
      </c>
      <c r="J71" s="50">
        <f t="shared" ref="J71:J78" si="17">1-(1-I71)^$E71</f>
        <v>0.15000000000000002</v>
      </c>
      <c r="K71" s="51">
        <f t="shared" ref="K71:K77" si="18">K70*(1-J71)</f>
        <v>3.5519993607558398E-3</v>
      </c>
      <c r="L71" s="98">
        <f>H71*Assumptions!$B$7*(1
+Assumptions!$K$7*'Results (i) to (iii)'!$C$16*--($D71&lt;=1)
+Assumptions!$K$8*'Results (i) to (iii)'!$C$16*--($D71&lt;=Assumptions!$K$15/12))
+$G71*Assumptions!$K$9*$E71*'Results (i) to (iii)'!$C$16*--($D71&lt;=2)</f>
        <v>42660.182324607049</v>
      </c>
      <c r="M71" s="49">
        <f>L71*Assumptions!$B$11</f>
        <v>8532.0364649214098</v>
      </c>
      <c r="N71" s="49">
        <f>H71*Assumptions!$B$11</f>
        <v>17064.07292984282</v>
      </c>
      <c r="O71" s="49">
        <f>N71*Assumptions!$B$12</f>
        <v>1706.4072929842821</v>
      </c>
      <c r="P71" s="49">
        <f>H71*Assumptions!$B$9</f>
        <v>6825.6291719371284</v>
      </c>
      <c r="Q71" s="105">
        <f>H71*Assumptions!$B$8*(1+Assumptions!$K$11*--($D71&lt;=Assumptions!$K$15/12))</f>
        <v>4266.0182324607049</v>
      </c>
      <c r="R71" s="52">
        <f>(R72)/((1+Assumptions!$B$21)^$E72)+H72/IF(H$3="EOP",((1+Assumptions!$B$21)^$E72),1)</f>
        <v>420867.06624213886</v>
      </c>
      <c r="S71" s="49">
        <f>(S72)/((1+Assumptions!$B$21)^$E72)+L72/IF(L$3="EOP",((1+Assumptions!$B$21)^$E72),1)</f>
        <v>205301.00792299453</v>
      </c>
      <c r="T71" s="49">
        <f>(T72)/((1+Assumptions!$B$21)^$E72)+M72/IF(M$3="EOP",((1+Assumptions!$B$21)^$E72),1)</f>
        <v>41060.201584598915</v>
      </c>
      <c r="U71" s="49">
        <f>(U72)/((1+Assumptions!$B$21)^$E72)+N72/IF(N$3="EOP",((1+Assumptions!$B$21)^$E72),1)</f>
        <v>84173.413248427765</v>
      </c>
      <c r="V71" s="49">
        <f>(V72)/((1+Assumptions!$B$21)^$E72)+O72/IF(O$3="EOP",((1+Assumptions!$B$21)^$E72),1)</f>
        <v>8417.3413248427769</v>
      </c>
      <c r="W71" s="49">
        <f>(W72)/((1+Assumptions!$B$21)^$E72)+P72/IF(P$3="EOP",((1+Assumptions!$B$21)^$E72),1)</f>
        <v>33669.3652993711</v>
      </c>
      <c r="X71" s="49">
        <f>(X72)/((1+Assumptions!$B$21)^$E72)+Q72/IF(Q$3="EOP",((1+Assumptions!$B$21)^$E72),1)</f>
        <v>20530.100792299458</v>
      </c>
      <c r="Y71" s="53">
        <f t="shared" si="14"/>
        <v>-126670.72188848769</v>
      </c>
      <c r="Z71" s="98">
        <f>H72*Assumptions!$B$7*Assumptions!$B$25/$E72/12*(1
+Assumptions!$K$7*'Results (i) to (iii)'!$C$16*--($D71&lt;=1)
+Assumptions!$K$8*'Results (i) to (iii)'!$C$16*--($D71&lt;=Assumptions!$K$15/12))</f>
        <v>4132.2395209676797</v>
      </c>
      <c r="AA71" s="49">
        <f>Z71*Assumptions!$B$11</f>
        <v>826.44790419353603</v>
      </c>
      <c r="AB71" s="54">
        <f t="shared" ref="AB71:AB77" si="19">Z71-AA71</f>
        <v>3305.7916167741437</v>
      </c>
      <c r="AC71" s="89">
        <f t="shared" ref="AC71:AC78" si="20">Y71+AB71</f>
        <v>-123364.93027171354</v>
      </c>
      <c r="AD71" s="89">
        <f>Assumptions!$B$23*R71</f>
        <v>63130.059936320824</v>
      </c>
      <c r="AE71" s="89">
        <f t="shared" si="11"/>
        <v>-60234.870335392719</v>
      </c>
    </row>
    <row r="72" spans="1:31" x14ac:dyDescent="0.25">
      <c r="A72" s="44">
        <f t="shared" ref="A72:A78" si="21">A71+1</f>
        <v>67</v>
      </c>
      <c r="B72" s="45" t="s">
        <v>29</v>
      </c>
      <c r="C72" s="48">
        <f t="shared" si="12"/>
        <v>408</v>
      </c>
      <c r="D72" s="47">
        <f t="shared" si="13"/>
        <v>34</v>
      </c>
      <c r="E72" s="47">
        <f t="shared" si="15"/>
        <v>1</v>
      </c>
      <c r="F72" s="48">
        <f t="shared" si="16"/>
        <v>1</v>
      </c>
      <c r="G72" s="49">
        <f>(G71*($K71/$K70)-L71)*(1+Assumptions!$B$15)^$F72</f>
        <v>6258968.7707763501</v>
      </c>
      <c r="H72" s="49">
        <f>$H$6/$G$6*G72*(1+Assumptions!$B$16)^INT((C72-1)/12)*IF(B72="Monthly",1,12)</f>
        <v>79338.998802579445</v>
      </c>
      <c r="I72" s="102">
        <f>Assumptions!$B$14*(1+Assumptions!$K$10*--($D72&lt;=Assumptions!$K$15/12))</f>
        <v>0.15</v>
      </c>
      <c r="J72" s="50">
        <f t="shared" si="17"/>
        <v>0.15000000000000002</v>
      </c>
      <c r="K72" s="51">
        <f t="shared" si="18"/>
        <v>3.0191994566424636E-3</v>
      </c>
      <c r="L72" s="98">
        <f>H72*Assumptions!$B$7*(1
+Assumptions!$K$7*'Results (i) to (iii)'!$C$16*--($D72&lt;=1)
+Assumptions!$K$8*'Results (i) to (iii)'!$C$16*--($D72&lt;=Assumptions!$K$15/12))
+$G72*Assumptions!$K$9*$E72*'Results (i) to (iii)'!$C$16*--($D72&lt;=2)</f>
        <v>39669.499401289722</v>
      </c>
      <c r="M72" s="49">
        <f>L72*Assumptions!$B$11</f>
        <v>7933.8998802579445</v>
      </c>
      <c r="N72" s="49">
        <f>H72*Assumptions!$B$11</f>
        <v>15867.799760515889</v>
      </c>
      <c r="O72" s="49">
        <f>N72*Assumptions!$B$12</f>
        <v>1586.7799760515891</v>
      </c>
      <c r="P72" s="49">
        <f>H72*Assumptions!$B$9</f>
        <v>6347.1199042063554</v>
      </c>
      <c r="Q72" s="105">
        <f>H72*Assumptions!$B$8*(1+Assumptions!$K$11*--($D72&lt;=Assumptions!$K$15/12))</f>
        <v>3966.9499401289722</v>
      </c>
      <c r="R72" s="52">
        <f>(R73)/((1+Assumptions!$B$21)^$E73)+H73/IF(H$3="EOP",((1+Assumptions!$B$21)^$E73),1)</f>
        <v>350066.26912554831</v>
      </c>
      <c r="S72" s="49">
        <f>(S73)/((1+Assumptions!$B$21)^$E73)+L73/IF(L$3="EOP",((1+Assumptions!$B$21)^$E73),1)</f>
        <v>170764.03371977963</v>
      </c>
      <c r="T72" s="49">
        <f>(T73)/((1+Assumptions!$B$21)^$E73)+M73/IF(M$3="EOP",((1+Assumptions!$B$21)^$E73),1)</f>
        <v>34152.806743955938</v>
      </c>
      <c r="U72" s="49">
        <f>(U73)/((1+Assumptions!$B$21)^$E73)+N73/IF(N$3="EOP",((1+Assumptions!$B$21)^$E73),1)</f>
        <v>70013.25382510967</v>
      </c>
      <c r="V72" s="49">
        <f>(V73)/((1+Assumptions!$B$21)^$E73)+O73/IF(O$3="EOP",((1+Assumptions!$B$21)^$E73),1)</f>
        <v>7001.3253825109668</v>
      </c>
      <c r="W72" s="49">
        <f>(W73)/((1+Assumptions!$B$21)^$E73)+P73/IF(P$3="EOP",((1+Assumptions!$B$21)^$E73),1)</f>
        <v>28005.30153004386</v>
      </c>
      <c r="X72" s="49">
        <f>(X73)/((1+Assumptions!$B$21)^$E73)+Q73/IF(Q$3="EOP",((1+Assumptions!$B$21)^$E73),1)</f>
        <v>17076.403371977969</v>
      </c>
      <c r="Y72" s="53">
        <f t="shared" si="14"/>
        <v>-105361.40880510406</v>
      </c>
      <c r="Z72" s="98">
        <f>H73*Assumptions!$B$7*Assumptions!$B$25/$E73/12*(1
+Assumptions!$K$7*'Results (i) to (iii)'!$C$16*--($D72&lt;=1)
+Assumptions!$K$8*'Results (i) to (iii)'!$C$16*--($D72&lt;=Assumptions!$K$15/12))</f>
        <v>3840.412633175245</v>
      </c>
      <c r="AA72" s="49">
        <f>Z72*Assumptions!$B$11</f>
        <v>768.08252663504902</v>
      </c>
      <c r="AB72" s="54">
        <f t="shared" si="19"/>
        <v>3072.3301065401961</v>
      </c>
      <c r="AC72" s="89">
        <f t="shared" si="20"/>
        <v>-102289.07869856387</v>
      </c>
      <c r="AD72" s="89">
        <f>Assumptions!$B$23*R72</f>
        <v>52509.940368832242</v>
      </c>
      <c r="AE72" s="89">
        <f t="shared" ref="AE72:AE78" si="22">AC72+AD72</f>
        <v>-49779.138329731628</v>
      </c>
    </row>
    <row r="73" spans="1:31" x14ac:dyDescent="0.25">
      <c r="A73" s="44">
        <f t="shared" si="21"/>
        <v>68</v>
      </c>
      <c r="B73" s="45" t="s">
        <v>29</v>
      </c>
      <c r="C73" s="48">
        <f t="shared" si="12"/>
        <v>420</v>
      </c>
      <c r="D73" s="47">
        <f t="shared" si="13"/>
        <v>35</v>
      </c>
      <c r="E73" s="47">
        <f t="shared" si="15"/>
        <v>1</v>
      </c>
      <c r="F73" s="48">
        <f t="shared" si="16"/>
        <v>1</v>
      </c>
      <c r="G73" s="49">
        <f>(G72*($K72/$K71)-L72)*(1+Assumptions!$B$15)^$F73</f>
        <v>5386063.0348737789</v>
      </c>
      <c r="H73" s="49">
        <f>$H$6/$G$6*G73*(1+Assumptions!$B$16)^INT((C73-1)/12)*IF(B73="Monthly",1,12)</f>
        <v>73735.92255696471</v>
      </c>
      <c r="I73" s="102">
        <f>Assumptions!$B$14*(1+Assumptions!$K$10*--($D73&lt;=Assumptions!$K$15/12))</f>
        <v>0.15</v>
      </c>
      <c r="J73" s="50">
        <f t="shared" si="17"/>
        <v>0.15000000000000002</v>
      </c>
      <c r="K73" s="51">
        <f t="shared" si="18"/>
        <v>2.5663195381460942E-3</v>
      </c>
      <c r="L73" s="98">
        <f>H73*Assumptions!$B$7*(1
+Assumptions!$K$7*'Results (i) to (iii)'!$C$16*--($D73&lt;=1)
+Assumptions!$K$8*'Results (i) to (iii)'!$C$16*--($D73&lt;=Assumptions!$K$15/12))
+$G73*Assumptions!$K$9*$E73*'Results (i) to (iii)'!$C$16*--($D73&lt;=2)</f>
        <v>36867.961278482355</v>
      </c>
      <c r="M73" s="49">
        <f>L73*Assumptions!$B$11</f>
        <v>7373.5922556964715</v>
      </c>
      <c r="N73" s="49">
        <f>H73*Assumptions!$B$11</f>
        <v>14747.184511392943</v>
      </c>
      <c r="O73" s="49">
        <f>N73*Assumptions!$B$12</f>
        <v>1474.7184511392943</v>
      </c>
      <c r="P73" s="49">
        <f>H73*Assumptions!$B$9</f>
        <v>5898.8738045571772</v>
      </c>
      <c r="Q73" s="105">
        <f>H73*Assumptions!$B$8*(1+Assumptions!$K$11*--($D73&lt;=Assumptions!$K$15/12))</f>
        <v>3686.7961278482358</v>
      </c>
      <c r="R73" s="52">
        <f>(R74)/((1+Assumptions!$B$21)^$E74)+H74/IF(H$3="EOP",((1+Assumptions!$B$21)^$E74),1)</f>
        <v>283238.60523279815</v>
      </c>
      <c r="S73" s="49">
        <f>(S74)/((1+Assumptions!$B$21)^$E74)+L74/IF(L$3="EOP",((1+Assumptions!$B$21)^$E74),1)</f>
        <v>138165.17328429176</v>
      </c>
      <c r="T73" s="49">
        <f>(T74)/((1+Assumptions!$B$21)^$E74)+M74/IF(M$3="EOP",((1+Assumptions!$B$21)^$E74),1)</f>
        <v>27633.034656858359</v>
      </c>
      <c r="U73" s="49">
        <f>(U74)/((1+Assumptions!$B$21)^$E74)+N74/IF(N$3="EOP",((1+Assumptions!$B$21)^$E74),1)</f>
        <v>56647.721046559636</v>
      </c>
      <c r="V73" s="49">
        <f>(V74)/((1+Assumptions!$B$21)^$E74)+O74/IF(O$3="EOP",((1+Assumptions!$B$21)^$E74),1)</f>
        <v>5664.7721046559636</v>
      </c>
      <c r="W73" s="49">
        <f>(W74)/((1+Assumptions!$B$21)^$E74)+P74/IF(P$3="EOP",((1+Assumptions!$B$21)^$E74),1)</f>
        <v>22659.088418623847</v>
      </c>
      <c r="X73" s="49">
        <f>(X74)/((1+Assumptions!$B$21)^$E74)+Q74/IF(Q$3="EOP",((1+Assumptions!$B$21)^$E74),1)</f>
        <v>13816.51732842918</v>
      </c>
      <c r="Y73" s="53">
        <f t="shared" si="14"/>
        <v>-85247.911916408048</v>
      </c>
      <c r="Z73" s="98">
        <f>H74*Assumptions!$B$7*Assumptions!$B$25/$E74/12*(1
+Assumptions!$K$7*'Results (i) to (iii)'!$C$16*--($D73&lt;=1)
+Assumptions!$K$8*'Results (i) to (iii)'!$C$16*--($D73&lt;=Assumptions!$K$15/12))</f>
        <v>3567.0500434629594</v>
      </c>
      <c r="AA73" s="49">
        <f>Z73*Assumptions!$B$11</f>
        <v>713.41000869259187</v>
      </c>
      <c r="AB73" s="54">
        <f t="shared" si="19"/>
        <v>2853.6400347703675</v>
      </c>
      <c r="AC73" s="89">
        <f t="shared" si="20"/>
        <v>-82394.271881637687</v>
      </c>
      <c r="AD73" s="89">
        <f>Assumptions!$B$23*R73</f>
        <v>42485.790784919722</v>
      </c>
      <c r="AE73" s="89">
        <f t="shared" si="22"/>
        <v>-39908.481096717966</v>
      </c>
    </row>
    <row r="74" spans="1:31" x14ac:dyDescent="0.25">
      <c r="A74" s="44">
        <f t="shared" si="21"/>
        <v>69</v>
      </c>
      <c r="B74" s="45" t="s">
        <v>29</v>
      </c>
      <c r="C74" s="48">
        <f t="shared" si="12"/>
        <v>432</v>
      </c>
      <c r="D74" s="47">
        <f t="shared" si="13"/>
        <v>36</v>
      </c>
      <c r="E74" s="47">
        <f t="shared" si="15"/>
        <v>1</v>
      </c>
      <c r="F74" s="48">
        <f t="shared" si="16"/>
        <v>1</v>
      </c>
      <c r="G74" s="49">
        <f>(G73*($K73/$K72)-L73)*(1+Assumptions!$B$15)^$F74</f>
        <v>4632111.3307315148</v>
      </c>
      <c r="H74" s="49">
        <f>$H$6/$G$6*G74*(1+Assumptions!$B$16)^INT((C74-1)/12)*IF(B74="Monthly",1,12)</f>
        <v>68487.36083448882</v>
      </c>
      <c r="I74" s="102">
        <f>Assumptions!$B$14*(1+Assumptions!$K$10*--($D74&lt;=Assumptions!$K$15/12))</f>
        <v>0.15</v>
      </c>
      <c r="J74" s="50">
        <f t="shared" si="17"/>
        <v>0.15000000000000002</v>
      </c>
      <c r="K74" s="51">
        <f t="shared" si="18"/>
        <v>2.1813716074241801E-3</v>
      </c>
      <c r="L74" s="98">
        <f>H74*Assumptions!$B$7*(1
+Assumptions!$K$7*'Results (i) to (iii)'!$C$16*--($D74&lt;=1)
+Assumptions!$K$8*'Results (i) to (iii)'!$C$16*--($D74&lt;=Assumptions!$K$15/12))
+$G74*Assumptions!$K$9*$E74*'Results (i) to (iii)'!$C$16*--($D74&lt;=2)</f>
        <v>34243.68041724441</v>
      </c>
      <c r="M74" s="49">
        <f>L74*Assumptions!$B$11</f>
        <v>6848.7360834488827</v>
      </c>
      <c r="N74" s="49">
        <f>H74*Assumptions!$B$11</f>
        <v>13697.472166897765</v>
      </c>
      <c r="O74" s="49">
        <f>N74*Assumptions!$B$12</f>
        <v>1369.7472166897767</v>
      </c>
      <c r="P74" s="49">
        <f>H74*Assumptions!$B$9</f>
        <v>5478.9888667591058</v>
      </c>
      <c r="Q74" s="105">
        <f>H74*Assumptions!$B$8*(1+Assumptions!$K$11*--($D74&lt;=Assumptions!$K$15/12))</f>
        <v>3424.3680417244414</v>
      </c>
      <c r="R74" s="52">
        <f>(R75)/((1+Assumptions!$B$21)^$E75)+H75/IF(H$3="EOP",((1+Assumptions!$B$21)^$E75),1)</f>
        <v>220120.02550826702</v>
      </c>
      <c r="S74" s="49">
        <f>(S75)/((1+Assumptions!$B$21)^$E75)+L75/IF(L$3="EOP",((1+Assumptions!$B$21)^$E75),1)</f>
        <v>107375.62219915463</v>
      </c>
      <c r="T74" s="49">
        <f>(T75)/((1+Assumptions!$B$21)^$E75)+M75/IF(M$3="EOP",((1+Assumptions!$B$21)^$E75),1)</f>
        <v>21475.124439830932</v>
      </c>
      <c r="U74" s="49">
        <f>(U75)/((1+Assumptions!$B$21)^$E75)+N75/IF(N$3="EOP",((1+Assumptions!$B$21)^$E75),1)</f>
        <v>44024.005101653413</v>
      </c>
      <c r="V74" s="49">
        <f>(V75)/((1+Assumptions!$B$21)^$E75)+O75/IF(O$3="EOP",((1+Assumptions!$B$21)^$E75),1)</f>
        <v>4402.4005101653411</v>
      </c>
      <c r="W74" s="49">
        <f>(W75)/((1+Assumptions!$B$21)^$E75)+P75/IF(P$3="EOP",((1+Assumptions!$B$21)^$E75),1)</f>
        <v>17609.602040661361</v>
      </c>
      <c r="X74" s="49">
        <f>(X75)/((1+Assumptions!$B$21)^$E75)+Q75/IF(Q$3="EOP",((1+Assumptions!$B$21)^$E75),1)</f>
        <v>10737.562219915466</v>
      </c>
      <c r="Y74" s="53">
        <f t="shared" si="14"/>
        <v>-66250.758896878411</v>
      </c>
      <c r="Z74" s="98">
        <f>H75*Assumptions!$B$7*Assumptions!$B$25/$E75/12*(1
+Assumptions!$K$7*'Results (i) to (iii)'!$C$16*--($D74&lt;=1)
+Assumptions!$K$8*'Results (i) to (iii)'!$C$16*--($D74&lt;=Assumptions!$K$15/12))</f>
        <v>3310.9937519923519</v>
      </c>
      <c r="AA74" s="49">
        <f>Z74*Assumptions!$B$11</f>
        <v>662.19875039847045</v>
      </c>
      <c r="AB74" s="54">
        <f t="shared" si="19"/>
        <v>2648.7950015938814</v>
      </c>
      <c r="AC74" s="89">
        <f t="shared" si="20"/>
        <v>-63601.963895284527</v>
      </c>
      <c r="AD74" s="89">
        <f>Assumptions!$B$23*R74</f>
        <v>33018.003826240049</v>
      </c>
      <c r="AE74" s="89">
        <f t="shared" si="22"/>
        <v>-30583.960069044479</v>
      </c>
    </row>
    <row r="75" spans="1:31" x14ac:dyDescent="0.25">
      <c r="A75" s="44">
        <f t="shared" si="21"/>
        <v>70</v>
      </c>
      <c r="B75" s="45" t="s">
        <v>29</v>
      </c>
      <c r="C75" s="48">
        <f t="shared" si="12"/>
        <v>444</v>
      </c>
      <c r="D75" s="47">
        <f t="shared" si="13"/>
        <v>37</v>
      </c>
      <c r="E75" s="47">
        <f t="shared" si="15"/>
        <v>1</v>
      </c>
      <c r="F75" s="48">
        <f t="shared" si="16"/>
        <v>1</v>
      </c>
      <c r="G75" s="49">
        <f>(G74*($K74/$K73)-L74)*(1+Assumptions!$B$15)^$F75</f>
        <v>3981111.9697186342</v>
      </c>
      <c r="H75" s="49">
        <f>$H$6/$G$6*G75*(1+Assumptions!$B$16)^INT((C75-1)/12)*IF(B75="Monthly",1,12)</f>
        <v>63571.08003825316</v>
      </c>
      <c r="I75" s="102">
        <f>Assumptions!$B$14*(1+Assumptions!$K$10*--($D75&lt;=Assumptions!$K$15/12))</f>
        <v>0.15</v>
      </c>
      <c r="J75" s="50">
        <f t="shared" si="17"/>
        <v>0.15000000000000002</v>
      </c>
      <c r="K75" s="51">
        <f t="shared" si="18"/>
        <v>1.8541658663105531E-3</v>
      </c>
      <c r="L75" s="98">
        <f>H75*Assumptions!$B$7*(1
+Assumptions!$K$7*'Results (i) to (iii)'!$C$16*--($D75&lt;=1)
+Assumptions!$K$8*'Results (i) to (iii)'!$C$16*--($D75&lt;=Assumptions!$K$15/12))
+$G75*Assumptions!$K$9*$E75*'Results (i) to (iii)'!$C$16*--($D75&lt;=2)</f>
        <v>31785.54001912658</v>
      </c>
      <c r="M75" s="49">
        <f>L75*Assumptions!$B$11</f>
        <v>6357.1080038253167</v>
      </c>
      <c r="N75" s="49">
        <f>H75*Assumptions!$B$11</f>
        <v>12714.216007650633</v>
      </c>
      <c r="O75" s="49">
        <f>N75*Assumptions!$B$12</f>
        <v>1271.4216007650634</v>
      </c>
      <c r="P75" s="49">
        <f>H75*Assumptions!$B$9</f>
        <v>5085.6864030602528</v>
      </c>
      <c r="Q75" s="105">
        <f>H75*Assumptions!$B$8*(1+Assumptions!$K$11*--($D75&lt;=Assumptions!$K$15/12))</f>
        <v>3178.5540019126584</v>
      </c>
      <c r="R75" s="52">
        <f>(R76)/((1+Assumptions!$B$21)^$E76)+H76/IF(H$3="EOP",((1+Assumptions!$B$21)^$E76),1)</f>
        <v>160462.6691067642</v>
      </c>
      <c r="S75" s="49">
        <f>(S76)/((1+Assumptions!$B$21)^$E76)+L76/IF(L$3="EOP",((1+Assumptions!$B$21)^$E76),1)</f>
        <v>78274.472735006915</v>
      </c>
      <c r="T75" s="49">
        <f>(T76)/((1+Assumptions!$B$21)^$E76)+M76/IF(M$3="EOP",((1+Assumptions!$B$21)^$E76),1)</f>
        <v>15654.894547001386</v>
      </c>
      <c r="U75" s="49">
        <f>(U76)/((1+Assumptions!$B$21)^$E76)+N76/IF(N$3="EOP",((1+Assumptions!$B$21)^$E76),1)</f>
        <v>32092.533821352841</v>
      </c>
      <c r="V75" s="49">
        <f>(V76)/((1+Assumptions!$B$21)^$E76)+O76/IF(O$3="EOP",((1+Assumptions!$B$21)^$E76),1)</f>
        <v>3209.2533821352845</v>
      </c>
      <c r="W75" s="49">
        <f>(W76)/((1+Assumptions!$B$21)^$E76)+P76/IF(P$3="EOP",((1+Assumptions!$B$21)^$E76),1)</f>
        <v>12837.013528541134</v>
      </c>
      <c r="X75" s="49">
        <f>(X76)/((1+Assumptions!$B$21)^$E76)+Q76/IF(Q$3="EOP",((1+Assumptions!$B$21)^$E76),1)</f>
        <v>7827.447273500693</v>
      </c>
      <c r="Y75" s="53">
        <f t="shared" si="14"/>
        <v>-48295.349677499275</v>
      </c>
      <c r="Z75" s="98">
        <f>H76*Assumptions!$B$7*Assumptions!$B$25/$E76/12*(1
+Assumptions!$K$7*'Results (i) to (iii)'!$C$16*--($D75&lt;=1)
+Assumptions!$K$8*'Results (i) to (iii)'!$C$16*--($D75&lt;=Assumptions!$K$15/12))</f>
        <v>3071.1610287495564</v>
      </c>
      <c r="AA75" s="49">
        <f>Z75*Assumptions!$B$11</f>
        <v>614.23220574991137</v>
      </c>
      <c r="AB75" s="54">
        <f t="shared" si="19"/>
        <v>2456.928822999645</v>
      </c>
      <c r="AC75" s="89">
        <f t="shared" si="20"/>
        <v>-45838.420854499629</v>
      </c>
      <c r="AD75" s="89">
        <f>Assumptions!$B$23*R75</f>
        <v>24069.40036601463</v>
      </c>
      <c r="AE75" s="89">
        <f t="shared" si="22"/>
        <v>-21769.020488484999</v>
      </c>
    </row>
    <row r="76" spans="1:31" x14ac:dyDescent="0.25">
      <c r="A76" s="44">
        <f t="shared" si="21"/>
        <v>71</v>
      </c>
      <c r="B76" s="45" t="s">
        <v>29</v>
      </c>
      <c r="C76" s="48">
        <f t="shared" si="12"/>
        <v>456</v>
      </c>
      <c r="D76" s="47">
        <f t="shared" si="13"/>
        <v>38</v>
      </c>
      <c r="E76" s="47">
        <f t="shared" si="15"/>
        <v>1</v>
      </c>
      <c r="F76" s="48">
        <f t="shared" si="16"/>
        <v>1</v>
      </c>
      <c r="G76" s="49">
        <f>(G75*($K75/$K74)-L75)*(1+Assumptions!$B$15)^$F76</f>
        <v>3419202.8269265466</v>
      </c>
      <c r="H76" s="49">
        <f>$H$6/$G$6*G76*(1+Assumptions!$B$16)^INT((C76-1)/12)*IF(B76="Monthly",1,12)</f>
        <v>58966.291751991477</v>
      </c>
      <c r="I76" s="102">
        <f>Assumptions!$B$14*(1+Assumptions!$K$10*--($D76&lt;=Assumptions!$K$15/12))</f>
        <v>0.15</v>
      </c>
      <c r="J76" s="50">
        <f t="shared" si="17"/>
        <v>0.15000000000000002</v>
      </c>
      <c r="K76" s="51">
        <f t="shared" si="18"/>
        <v>1.57604098636397E-3</v>
      </c>
      <c r="L76" s="98">
        <f>H76*Assumptions!$B$7*(1
+Assumptions!$K$7*'Results (i) to (iii)'!$C$16*--($D76&lt;=1)
+Assumptions!$K$8*'Results (i) to (iii)'!$C$16*--($D76&lt;=Assumptions!$K$15/12))
+$G76*Assumptions!$K$9*$E76*'Results (i) to (iii)'!$C$16*--($D76&lt;=2)</f>
        <v>29483.145875995739</v>
      </c>
      <c r="M76" s="49">
        <f>L76*Assumptions!$B$11</f>
        <v>5896.6291751991484</v>
      </c>
      <c r="N76" s="49">
        <f>H76*Assumptions!$B$11</f>
        <v>11793.258350398297</v>
      </c>
      <c r="O76" s="49">
        <f>N76*Assumptions!$B$12</f>
        <v>1179.3258350398298</v>
      </c>
      <c r="P76" s="49">
        <f>H76*Assumptions!$B$9</f>
        <v>4717.3033401593184</v>
      </c>
      <c r="Q76" s="105">
        <f>H76*Assumptions!$B$8*(1+Assumptions!$K$11*--($D76&lt;=Assumptions!$K$15/12))</f>
        <v>2948.3145875995742</v>
      </c>
      <c r="R76" s="52">
        <f>(R77)/((1+Assumptions!$B$21)^$E77)+H77/IF(H$3="EOP",((1+Assumptions!$B$21)^$E77),1)</f>
        <v>104033.78678864203</v>
      </c>
      <c r="S76" s="49">
        <f>(S77)/((1+Assumptions!$B$21)^$E77)+L77/IF(L$3="EOP",((1+Assumptions!$B$21)^$E77),1)</f>
        <v>50748.188677386352</v>
      </c>
      <c r="T76" s="49">
        <f>(T77)/((1+Assumptions!$B$21)^$E77)+M77/IF(M$3="EOP",((1+Assumptions!$B$21)^$E77),1)</f>
        <v>10149.637735477272</v>
      </c>
      <c r="U76" s="49">
        <f>(U77)/((1+Assumptions!$B$21)^$E77)+N77/IF(N$3="EOP",((1+Assumptions!$B$21)^$E77),1)</f>
        <v>20806.757357728406</v>
      </c>
      <c r="V76" s="49">
        <f>(V77)/((1+Assumptions!$B$21)^$E77)+O77/IF(O$3="EOP",((1+Assumptions!$B$21)^$E77),1)</f>
        <v>2080.6757357728407</v>
      </c>
      <c r="W76" s="49">
        <f>(W77)/((1+Assumptions!$B$21)^$E77)+P77/IF(P$3="EOP",((1+Assumptions!$B$21)^$E77),1)</f>
        <v>8322.7029430913608</v>
      </c>
      <c r="X76" s="49">
        <f>(X77)/((1+Assumptions!$B$21)^$E77)+Q77/IF(Q$3="EOP",((1+Assumptions!$B$21)^$E77),1)</f>
        <v>5074.8188677386361</v>
      </c>
      <c r="Y76" s="53">
        <f t="shared" si="14"/>
        <v>-31311.632413947387</v>
      </c>
      <c r="Z76" s="98">
        <f>H77*Assumptions!$B$7*Assumptions!$B$25/$E77/12*(1
+Assumptions!$K$7*'Results (i) to (iii)'!$C$16*--($D76&lt;=1)
+Assumptions!$K$8*'Results (i) to (iii)'!$C$16*--($D76&lt;=Assumptions!$K$15/12))</f>
        <v>2846.5397183383593</v>
      </c>
      <c r="AA76" s="49">
        <f>Z76*Assumptions!$B$11</f>
        <v>569.30794366767191</v>
      </c>
      <c r="AB76" s="54">
        <f t="shared" si="19"/>
        <v>2277.2317746706876</v>
      </c>
      <c r="AC76" s="89">
        <f t="shared" si="20"/>
        <v>-29034.400639276701</v>
      </c>
      <c r="AD76" s="89">
        <f>Assumptions!$B$23*R76</f>
        <v>15605.068018296304</v>
      </c>
      <c r="AE76" s="89">
        <f t="shared" si="22"/>
        <v>-13429.332620980396</v>
      </c>
    </row>
    <row r="77" spans="1:31" x14ac:dyDescent="0.25">
      <c r="A77" s="44">
        <f t="shared" si="21"/>
        <v>72</v>
      </c>
      <c r="B77" s="45" t="s">
        <v>29</v>
      </c>
      <c r="C77" s="48">
        <f t="shared" si="12"/>
        <v>468</v>
      </c>
      <c r="D77" s="47">
        <f t="shared" si="13"/>
        <v>39</v>
      </c>
      <c r="E77" s="47">
        <f t="shared" si="15"/>
        <v>1</v>
      </c>
      <c r="F77" s="48">
        <f t="shared" si="16"/>
        <v>1</v>
      </c>
      <c r="G77" s="49">
        <f>(G76*($K76/$K75)-L76)*(1+Assumptions!$B$15)^$F77</f>
        <v>2934376.0421518004</v>
      </c>
      <c r="H77" s="49">
        <f>$H$6/$G$6*G77*(1+Assumptions!$B$16)^INT((C77-1)/12)*IF(B77="Monthly",1,12)</f>
        <v>54653.562592096503</v>
      </c>
      <c r="I77" s="102">
        <f>Assumptions!$B$14*(1+Assumptions!$K$10*--($D77&lt;=Assumptions!$K$15/12))</f>
        <v>0.15</v>
      </c>
      <c r="J77" s="50">
        <f t="shared" si="17"/>
        <v>0.15000000000000002</v>
      </c>
      <c r="K77" s="51">
        <f t="shared" si="18"/>
        <v>1.3396348384093744E-3</v>
      </c>
      <c r="L77" s="98">
        <f>H77*Assumptions!$B$7*(1
+Assumptions!$K$7*'Results (i) to (iii)'!$C$16*--($D77&lt;=1)
+Assumptions!$K$8*'Results (i) to (iii)'!$C$16*--($D77&lt;=Assumptions!$K$15/12))
+$G77*Assumptions!$K$9*$E77*'Results (i) to (iii)'!$C$16*--($D77&lt;=2)</f>
        <v>27326.781296048252</v>
      </c>
      <c r="M77" s="49">
        <f>L77*Assumptions!$B$11</f>
        <v>5465.3562592096505</v>
      </c>
      <c r="N77" s="49">
        <f>H77*Assumptions!$B$11</f>
        <v>10930.712518419301</v>
      </c>
      <c r="O77" s="49">
        <f>N77*Assumptions!$B$12</f>
        <v>1093.0712518419302</v>
      </c>
      <c r="P77" s="49">
        <f>H77*Assumptions!$B$9</f>
        <v>4372.28500736772</v>
      </c>
      <c r="Q77" s="105">
        <f>H77*Assumptions!$B$8*(1+Assumptions!$K$11*--($D77&lt;=Assumptions!$K$15/12))</f>
        <v>2732.6781296048252</v>
      </c>
      <c r="R77" s="52">
        <f>(R78)/((1+Assumptions!$B$21)^$E78)+H78/IF(H$3="EOP",((1+Assumptions!$B$21)^$E78),1)</f>
        <v>50614.729801459151</v>
      </c>
      <c r="S77" s="49">
        <f>(S78)/((1+Assumptions!$B$21)^$E78)+L78/IF(L$3="EOP",((1+Assumptions!$B$21)^$E78),1)</f>
        <v>24690.112098272759</v>
      </c>
      <c r="T77" s="49">
        <f>(T78)/((1+Assumptions!$B$21)^$E78)+M78/IF(M$3="EOP",((1+Assumptions!$B$21)^$E78),1)</f>
        <v>4938.0224196545523</v>
      </c>
      <c r="U77" s="49">
        <f>(U78)/((1+Assumptions!$B$21)^$E78)+N78/IF(N$3="EOP",((1+Assumptions!$B$21)^$E78),1)</f>
        <v>10122.94596029183</v>
      </c>
      <c r="V77" s="49">
        <f>(V78)/((1+Assumptions!$B$21)^$E78)+O78/IF(O$3="EOP",((1+Assumptions!$B$21)^$E78),1)</f>
        <v>1012.2945960291831</v>
      </c>
      <c r="W77" s="49">
        <f>(W78)/((1+Assumptions!$B$21)^$E78)+P78/IF(P$3="EOP",((1+Assumptions!$B$21)^$E78),1)</f>
        <v>4049.1783841167321</v>
      </c>
      <c r="X77" s="49">
        <f>(X78)/((1+Assumptions!$B$21)^$E78)+Q78/IF(Q$3="EOP",((1+Assumptions!$B$21)^$E78),1)</f>
        <v>2469.0112098272762</v>
      </c>
      <c r="Y77" s="53">
        <f t="shared" si="14"/>
        <v>-15233.799164634293</v>
      </c>
      <c r="Z77" s="98">
        <f>H78*Assumptions!$B$7*Assumptions!$B$25/$E78/12*(1
+Assumptions!$K$7*'Results (i) to (iii)'!$C$16*--($D77&lt;=1)
+Assumptions!$K$8*'Results (i) to (iii)'!$C$16*--($D77&lt;=Assumptions!$K$15/12))</f>
        <v>2636.1838438259974</v>
      </c>
      <c r="AA77" s="49">
        <f>Z77*Assumptions!$B$11</f>
        <v>527.23676876519949</v>
      </c>
      <c r="AB77" s="54">
        <f t="shared" si="19"/>
        <v>2108.9470750607979</v>
      </c>
      <c r="AC77" s="89">
        <f t="shared" si="20"/>
        <v>-13124.852089573495</v>
      </c>
      <c r="AD77" s="89">
        <f>Assumptions!$B$23*R77</f>
        <v>7592.2094702188724</v>
      </c>
      <c r="AE77" s="89">
        <f t="shared" si="22"/>
        <v>-5532.6426193546222</v>
      </c>
    </row>
    <row r="78" spans="1:31" x14ac:dyDescent="0.25">
      <c r="A78" s="44">
        <f t="shared" si="21"/>
        <v>73</v>
      </c>
      <c r="B78" s="45" t="s">
        <v>29</v>
      </c>
      <c r="C78" s="48">
        <f t="shared" si="12"/>
        <v>480</v>
      </c>
      <c r="D78" s="47">
        <f t="shared" si="13"/>
        <v>40</v>
      </c>
      <c r="E78" s="47">
        <f t="shared" si="15"/>
        <v>1</v>
      </c>
      <c r="F78" s="48">
        <f t="shared" si="16"/>
        <v>1</v>
      </c>
      <c r="G78" s="49">
        <f>(G77*($K77/$K76)-L77)*(1+Assumptions!$B$15)^$F78</f>
        <v>2516230.7116236417</v>
      </c>
      <c r="H78" s="49">
        <f>$H$6/$G$6*G78*(1+Assumptions!$B$16)^INT((C78-1)/12)*IF(B78="Monthly",1,12)</f>
        <v>50614.729801459151</v>
      </c>
      <c r="I78" s="102">
        <f>Assumptions!$B$14*(1+Assumptions!$K$10*--($D78&lt;=Assumptions!$K$15/12))</f>
        <v>0.15</v>
      </c>
      <c r="J78" s="50">
        <f t="shared" si="17"/>
        <v>0.15000000000000002</v>
      </c>
      <c r="K78" s="55">
        <v>0</v>
      </c>
      <c r="L78" s="98">
        <f>H78*Assumptions!$B$7*(1
+Assumptions!$K$7*'Results (i) to (iii)'!$C$16*--($D78&lt;=1)
+Assumptions!$K$8*'Results (i) to (iii)'!$C$16*--($D78&lt;=Assumptions!$K$15/12))
+$G78*Assumptions!$K$9*$E78*'Results (i) to (iii)'!$C$16*--($D78&lt;=2)</f>
        <v>25307.364900729575</v>
      </c>
      <c r="M78" s="49">
        <f>L78*Assumptions!$B$11</f>
        <v>5061.4729801459152</v>
      </c>
      <c r="N78" s="49">
        <f>H78*Assumptions!$B$11</f>
        <v>10122.94596029183</v>
      </c>
      <c r="O78" s="49">
        <f>N78*Assumptions!$B$12</f>
        <v>1012.2945960291831</v>
      </c>
      <c r="P78" s="49">
        <f>H78*Assumptions!$B$9</f>
        <v>4049.1783841167321</v>
      </c>
      <c r="Q78" s="105">
        <f>H78*Assumptions!$B$8*(1+Assumptions!$K$11*--($D78&lt;=Assumptions!$K$15/12))</f>
        <v>2530.7364900729576</v>
      </c>
      <c r="R78" s="56">
        <v>0</v>
      </c>
      <c r="S78" s="57">
        <v>0</v>
      </c>
      <c r="T78" s="57">
        <v>0</v>
      </c>
      <c r="U78" s="57">
        <v>0</v>
      </c>
      <c r="V78" s="57">
        <v>0</v>
      </c>
      <c r="W78" s="57">
        <v>0</v>
      </c>
      <c r="X78" s="57">
        <v>0</v>
      </c>
      <c r="Y78" s="53">
        <f t="shared" si="14"/>
        <v>0</v>
      </c>
      <c r="Z78" s="56">
        <v>0</v>
      </c>
      <c r="AA78" s="57">
        <v>0</v>
      </c>
      <c r="AB78" s="58">
        <v>0</v>
      </c>
      <c r="AC78" s="89">
        <f t="shared" si="20"/>
        <v>0</v>
      </c>
      <c r="AD78" s="89">
        <f>Assumptions!$B$23*R78</f>
        <v>0</v>
      </c>
      <c r="AE78" s="89">
        <f t="shared" si="22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C22"/>
  <sheetViews>
    <sheetView zoomScale="85" zoomScaleNormal="85" workbookViewId="0"/>
  </sheetViews>
  <sheetFormatPr defaultRowHeight="13.5" x14ac:dyDescent="0.25"/>
  <cols>
    <col min="1" max="1" width="9.33203125" style="1"/>
    <col min="2" max="2" width="48.5" style="1" bestFit="1" customWidth="1"/>
    <col min="3" max="3" width="20.83203125" style="1" bestFit="1" customWidth="1"/>
    <col min="4" max="4" width="19.6640625" style="1" customWidth="1"/>
    <col min="5" max="16384" width="9.33203125" style="1"/>
  </cols>
  <sheetData>
    <row r="2" spans="2:3" x14ac:dyDescent="0.25">
      <c r="C2" s="95"/>
    </row>
    <row r="3" spans="2:3" x14ac:dyDescent="0.25">
      <c r="C3" s="107" t="s">
        <v>11</v>
      </c>
    </row>
    <row r="4" spans="2:3" x14ac:dyDescent="0.25">
      <c r="B4" s="1" t="s">
        <v>10</v>
      </c>
      <c r="C4" s="108">
        <f>'Results (i) to (iii)'!$C$8</f>
        <v>41666.666666666672</v>
      </c>
    </row>
    <row r="5" spans="2:3" x14ac:dyDescent="0.25">
      <c r="C5" s="107"/>
    </row>
    <row r="6" spans="2:3" x14ac:dyDescent="0.25">
      <c r="C6" s="107"/>
    </row>
    <row r="7" spans="2:3" x14ac:dyDescent="0.25">
      <c r="C7" s="107" t="s">
        <v>81</v>
      </c>
    </row>
    <row r="8" spans="2:3" x14ac:dyDescent="0.25">
      <c r="B8" s="1" t="s">
        <v>12</v>
      </c>
      <c r="C8" s="95">
        <f>'Stressed CFs'!$AC$17</f>
        <v>-1959472.6407003247</v>
      </c>
    </row>
    <row r="9" spans="2:3" x14ac:dyDescent="0.25">
      <c r="B9" s="1" t="s">
        <v>13</v>
      </c>
      <c r="C9" s="95">
        <f>'Stressed CFs'!$AB$17</f>
        <v>50021.829668616199</v>
      </c>
    </row>
    <row r="10" spans="2:3" x14ac:dyDescent="0.25">
      <c r="C10" s="95"/>
    </row>
    <row r="11" spans="2:3" x14ac:dyDescent="0.25">
      <c r="B11" s="1" t="s">
        <v>14</v>
      </c>
      <c r="C11" s="95">
        <f>MAX(C8,C9)</f>
        <v>50021.829668616199</v>
      </c>
    </row>
    <row r="12" spans="2:3" x14ac:dyDescent="0.25">
      <c r="C12" s="95"/>
    </row>
    <row r="13" spans="2:3" x14ac:dyDescent="0.25">
      <c r="C13" s="95"/>
    </row>
    <row r="14" spans="2:3" x14ac:dyDescent="0.25">
      <c r="C14" s="107" t="s">
        <v>80</v>
      </c>
    </row>
    <row r="15" spans="2:3" x14ac:dyDescent="0.25">
      <c r="B15" s="1" t="s">
        <v>15</v>
      </c>
      <c r="C15" s="95">
        <f>C11/(1+Assumptions!$B$21)</f>
        <v>48801.785042552394</v>
      </c>
    </row>
    <row r="16" spans="2:3" x14ac:dyDescent="0.25">
      <c r="C16" s="95"/>
    </row>
    <row r="17" spans="2:3" x14ac:dyDescent="0.25">
      <c r="B17" s="1" t="s">
        <v>82</v>
      </c>
      <c r="C17" s="95">
        <f>(-'Stressed CFs'!$Y$5)-(-'Stressed CFs'!$Y$17)/(1+Assumptions!$B$21)</f>
        <v>-130599.45393739548</v>
      </c>
    </row>
    <row r="18" spans="2:3" x14ac:dyDescent="0.25">
      <c r="C18" s="95"/>
    </row>
    <row r="19" spans="2:3" x14ac:dyDescent="0.25">
      <c r="B19" s="1" t="s">
        <v>16</v>
      </c>
      <c r="C19" s="95">
        <f>MAX(0,C15-C4-C17)</f>
        <v>137734.57231328118</v>
      </c>
    </row>
    <row r="20" spans="2:3" x14ac:dyDescent="0.25">
      <c r="C20" s="95"/>
    </row>
    <row r="21" spans="2:3" x14ac:dyDescent="0.25">
      <c r="B21" s="85" t="s">
        <v>17</v>
      </c>
      <c r="C21" s="96">
        <f>C19*(1-Assumptions!$K$13)</f>
        <v>96414.200619296826</v>
      </c>
    </row>
    <row r="22" spans="2:3" x14ac:dyDescent="0.25">
      <c r="C22" s="9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Assumptions</vt:lpstr>
      <vt:lpstr>BE CFs</vt:lpstr>
      <vt:lpstr>BE CFs_+Random</vt:lpstr>
      <vt:lpstr>BE CFs_+Future</vt:lpstr>
      <vt:lpstr>BE CFs_+Event</vt:lpstr>
      <vt:lpstr>Results (i) to (iii)</vt:lpstr>
      <vt:lpstr>Stressed CFs</vt:lpstr>
      <vt:lpstr>Results (iv)</vt:lpstr>
    </vt:vector>
  </TitlesOfParts>
  <Company>KPMG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Corbett, Peter</dc:creator>
  <cp:lastModifiedBy>Karenna Chhoeung</cp:lastModifiedBy>
  <cp:lastPrinted>2017-02-05T09:34:51Z</cp:lastPrinted>
  <dcterms:created xsi:type="dcterms:W3CDTF">2016-12-20T11:05:49Z</dcterms:created>
  <dcterms:modified xsi:type="dcterms:W3CDTF">2017-03-09T22:56:00Z</dcterms:modified>
</cp:coreProperties>
</file>