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2060" windowHeight="7980" activeTab="1"/>
  </bookViews>
  <sheets>
    <sheet name="Assumptions" sheetId="1" r:id="rId1"/>
    <sheet name="Projection" sheetId="3" r:id="rId2"/>
    <sheet name="Results" sheetId="4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3" l="1"/>
  <c r="F41" i="3"/>
  <c r="G41" i="3"/>
  <c r="H41" i="3"/>
  <c r="I41" i="3"/>
  <c r="J41" i="3"/>
  <c r="K41" i="3"/>
  <c r="L41" i="3"/>
  <c r="M41" i="3"/>
  <c r="N41" i="3"/>
  <c r="D41" i="3"/>
  <c r="E40" i="3"/>
  <c r="F40" i="3"/>
  <c r="G40" i="3"/>
  <c r="H40" i="3"/>
  <c r="I40" i="3"/>
  <c r="J40" i="3"/>
  <c r="K40" i="3"/>
  <c r="L40" i="3"/>
  <c r="M40" i="3"/>
  <c r="N40" i="3"/>
  <c r="D40" i="3"/>
  <c r="E39" i="3"/>
  <c r="F39" i="3"/>
  <c r="G39" i="3"/>
  <c r="H39" i="3"/>
  <c r="I39" i="3"/>
  <c r="J39" i="3"/>
  <c r="K39" i="3"/>
  <c r="L39" i="3"/>
  <c r="M39" i="3"/>
  <c r="N39" i="3"/>
  <c r="D39" i="3"/>
  <c r="E38" i="3"/>
  <c r="F38" i="3"/>
  <c r="G38" i="3"/>
  <c r="H38" i="3"/>
  <c r="I38" i="3"/>
  <c r="J38" i="3"/>
  <c r="K38" i="3"/>
  <c r="L38" i="3"/>
  <c r="M38" i="3"/>
  <c r="N38" i="3"/>
  <c r="E36" i="3"/>
  <c r="F36" i="3"/>
  <c r="G36" i="3"/>
  <c r="H36" i="3"/>
  <c r="I36" i="3"/>
  <c r="J36" i="3"/>
  <c r="K36" i="3"/>
  <c r="L36" i="3"/>
  <c r="M36" i="3"/>
  <c r="N36" i="3"/>
  <c r="D36" i="3"/>
  <c r="D38" i="3"/>
  <c r="E37" i="3"/>
  <c r="F37" i="3"/>
  <c r="G37" i="3"/>
  <c r="H37" i="3"/>
  <c r="I37" i="3"/>
  <c r="J37" i="3"/>
  <c r="K37" i="3"/>
  <c r="L37" i="3"/>
  <c r="M37" i="3"/>
  <c r="N37" i="3"/>
  <c r="D37" i="3"/>
  <c r="E35" i="3"/>
  <c r="F35" i="3"/>
  <c r="G35" i="3"/>
  <c r="H35" i="3"/>
  <c r="I35" i="3"/>
  <c r="J35" i="3"/>
  <c r="K35" i="3"/>
  <c r="L35" i="3"/>
  <c r="M35" i="3"/>
  <c r="N35" i="3"/>
  <c r="D35" i="3"/>
  <c r="E31" i="3"/>
  <c r="E32" i="3" s="1"/>
  <c r="F31" i="3"/>
  <c r="G31" i="3"/>
  <c r="H31" i="3"/>
  <c r="H32" i="3" s="1"/>
  <c r="I31" i="3"/>
  <c r="I32" i="3" s="1"/>
  <c r="J31" i="3"/>
  <c r="K31" i="3"/>
  <c r="L31" i="3"/>
  <c r="L32" i="3" s="1"/>
  <c r="M31" i="3"/>
  <c r="M32" i="3" s="1"/>
  <c r="N31" i="3"/>
  <c r="F32" i="3"/>
  <c r="G32" i="3"/>
  <c r="J32" i="3"/>
  <c r="K32" i="3"/>
  <c r="N32" i="3"/>
  <c r="D32" i="3"/>
  <c r="D31" i="3"/>
  <c r="E30" i="3"/>
  <c r="F30" i="3"/>
  <c r="G30" i="3"/>
  <c r="H30" i="3"/>
  <c r="I30" i="3"/>
  <c r="J30" i="3"/>
  <c r="K30" i="3"/>
  <c r="L30" i="3"/>
  <c r="M30" i="3"/>
  <c r="N30" i="3"/>
  <c r="D30" i="3"/>
  <c r="E29" i="3"/>
  <c r="F29" i="3"/>
  <c r="G29" i="3"/>
  <c r="H29" i="3"/>
  <c r="I29" i="3"/>
  <c r="J29" i="3"/>
  <c r="K29" i="3"/>
  <c r="L29" i="3"/>
  <c r="M29" i="3"/>
  <c r="N29" i="3"/>
  <c r="D29" i="3"/>
  <c r="E34" i="3"/>
  <c r="F34" i="3"/>
  <c r="G34" i="3"/>
  <c r="H34" i="3"/>
  <c r="I34" i="3"/>
  <c r="J34" i="3"/>
  <c r="K34" i="3"/>
  <c r="L34" i="3"/>
  <c r="M34" i="3"/>
  <c r="N34" i="3"/>
  <c r="D34" i="3"/>
  <c r="E33" i="3"/>
  <c r="F33" i="3"/>
  <c r="G33" i="3"/>
  <c r="H33" i="3"/>
  <c r="I33" i="3"/>
  <c r="J33" i="3"/>
  <c r="K33" i="3"/>
  <c r="L33" i="3"/>
  <c r="M33" i="3"/>
  <c r="N33" i="3"/>
  <c r="D33" i="3"/>
  <c r="E22" i="3"/>
  <c r="F22" i="3"/>
  <c r="F24" i="3" s="1"/>
  <c r="F25" i="3" s="1"/>
  <c r="G22" i="3"/>
  <c r="G24" i="3" s="1"/>
  <c r="G25" i="3" s="1"/>
  <c r="H22" i="3"/>
  <c r="H24" i="3" s="1"/>
  <c r="H25" i="3" s="1"/>
  <c r="I22" i="3"/>
  <c r="J22" i="3"/>
  <c r="J24" i="3" s="1"/>
  <c r="J25" i="3" s="1"/>
  <c r="K22" i="3"/>
  <c r="K24" i="3" s="1"/>
  <c r="K25" i="3" s="1"/>
  <c r="L22" i="3"/>
  <c r="L24" i="3" s="1"/>
  <c r="L25" i="3" s="1"/>
  <c r="M22" i="3"/>
  <c r="N22" i="3"/>
  <c r="N24" i="3" s="1"/>
  <c r="N25" i="3" s="1"/>
  <c r="O22" i="3"/>
  <c r="O24" i="3" s="1"/>
  <c r="O25" i="3" s="1"/>
  <c r="E24" i="3"/>
  <c r="E25" i="3" s="1"/>
  <c r="I24" i="3"/>
  <c r="I25" i="3" s="1"/>
  <c r="M24" i="3"/>
  <c r="M25" i="3" s="1"/>
  <c r="D25" i="3"/>
  <c r="F20" i="3"/>
  <c r="G20" i="3"/>
  <c r="H20" i="3"/>
  <c r="I20" i="3"/>
  <c r="J20" i="3"/>
  <c r="K20" i="3"/>
  <c r="L20" i="3"/>
  <c r="M20" i="3"/>
  <c r="N20" i="3"/>
  <c r="O20" i="3"/>
  <c r="F15" i="3"/>
  <c r="E15" i="3"/>
  <c r="F16" i="3" s="1"/>
  <c r="E16" i="3"/>
  <c r="O10" i="3"/>
  <c r="N10" i="3"/>
  <c r="M10" i="3"/>
  <c r="L10" i="3"/>
  <c r="K10" i="3"/>
  <c r="J10" i="3"/>
  <c r="I10" i="3"/>
  <c r="H10" i="3"/>
  <c r="G10" i="3"/>
  <c r="F10" i="3"/>
  <c r="E10" i="3"/>
  <c r="D15" i="3" l="1"/>
  <c r="D22" i="3" s="1"/>
  <c r="F13" i="3"/>
  <c r="E13" i="3"/>
  <c r="O7" i="3"/>
  <c r="F7" i="3"/>
  <c r="G7" i="3"/>
  <c r="H7" i="3"/>
  <c r="I7" i="3"/>
  <c r="J7" i="3"/>
  <c r="K7" i="3"/>
  <c r="L7" i="3"/>
  <c r="M7" i="3"/>
  <c r="N7" i="3"/>
  <c r="E7" i="3"/>
  <c r="O12" i="3"/>
  <c r="G12" i="3"/>
  <c r="O11" i="3"/>
  <c r="F11" i="3"/>
  <c r="G11" i="3"/>
  <c r="H11" i="3"/>
  <c r="I11" i="3"/>
  <c r="J11" i="3"/>
  <c r="K11" i="3"/>
  <c r="L11" i="3"/>
  <c r="M11" i="3"/>
  <c r="N11" i="3"/>
  <c r="E11" i="3"/>
  <c r="O9" i="3"/>
  <c r="F9" i="3"/>
  <c r="G9" i="3"/>
  <c r="H9" i="3"/>
  <c r="H12" i="3" s="1"/>
  <c r="I9" i="3"/>
  <c r="I12" i="3" s="1"/>
  <c r="J9" i="3"/>
  <c r="K9" i="3"/>
  <c r="L9" i="3"/>
  <c r="M9" i="3"/>
  <c r="N9" i="3"/>
  <c r="K12" i="3"/>
  <c r="E12" i="3"/>
  <c r="E9" i="3"/>
  <c r="O8" i="3"/>
  <c r="N8" i="3"/>
  <c r="M8" i="3"/>
  <c r="L8" i="3"/>
  <c r="K8" i="3"/>
  <c r="J8" i="3"/>
  <c r="I8" i="3"/>
  <c r="H8" i="3"/>
  <c r="G8" i="3"/>
  <c r="F8" i="3"/>
  <c r="E8" i="3"/>
  <c r="O6" i="3"/>
  <c r="F6" i="3"/>
  <c r="G6" i="3"/>
  <c r="H6" i="3"/>
  <c r="I6" i="3"/>
  <c r="J6" i="3"/>
  <c r="K6" i="3"/>
  <c r="L6" i="3"/>
  <c r="M6" i="3"/>
  <c r="N6" i="3"/>
  <c r="O5" i="3"/>
  <c r="F5" i="3"/>
  <c r="G5" i="3"/>
  <c r="H5" i="3"/>
  <c r="I5" i="3"/>
  <c r="J5" i="3"/>
  <c r="K5" i="3"/>
  <c r="L5" i="3"/>
  <c r="M5" i="3"/>
  <c r="N5" i="3"/>
  <c r="E5" i="3"/>
  <c r="E6" i="3" s="1"/>
  <c r="N12" i="3" l="1"/>
  <c r="J12" i="3"/>
  <c r="F12" i="3"/>
  <c r="D24" i="3" s="1"/>
  <c r="M12" i="3"/>
  <c r="L12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E5" i="4" l="1"/>
  <c r="D17" i="4" l="1"/>
  <c r="D18" i="4"/>
  <c r="E7" i="4"/>
  <c r="E8" i="4"/>
  <c r="E6" i="4"/>
  <c r="F6" i="4"/>
  <c r="G5" i="4" l="1"/>
  <c r="F7" i="4"/>
  <c r="F5" i="4"/>
  <c r="D21" i="4"/>
  <c r="D19" i="4"/>
  <c r="F8" i="4"/>
  <c r="G8" i="4" l="1"/>
  <c r="I5" i="4" l="1"/>
  <c r="G6" i="4"/>
  <c r="G7" i="4"/>
  <c r="H5" i="4"/>
  <c r="H8" i="4"/>
  <c r="D22" i="4"/>
  <c r="H6" i="4" l="1"/>
  <c r="H7" i="4"/>
  <c r="J6" i="4"/>
  <c r="I8" i="4"/>
  <c r="J7" i="4" l="1"/>
  <c r="E18" i="4"/>
  <c r="J5" i="4"/>
  <c r="I6" i="4"/>
  <c r="I7" i="4"/>
  <c r="J8" i="4"/>
  <c r="D24" i="4"/>
  <c r="D23" i="4"/>
  <c r="E17" i="4"/>
  <c r="K5" i="4" l="1"/>
  <c r="E21" i="4"/>
  <c r="E19" i="4"/>
  <c r="K8" i="4"/>
  <c r="L5" i="4" l="1"/>
  <c r="K6" i="4"/>
  <c r="K7" i="4"/>
  <c r="L8" i="4"/>
  <c r="M6" i="4"/>
  <c r="N5" i="4" l="1"/>
  <c r="L6" i="4"/>
  <c r="L7" i="4"/>
  <c r="M7" i="4"/>
  <c r="M5" i="4"/>
  <c r="E22" i="4"/>
  <c r="F18" i="4"/>
  <c r="M8" i="4"/>
  <c r="E24" i="4" l="1"/>
  <c r="E23" i="4"/>
  <c r="F17" i="4"/>
  <c r="N8" i="4" l="1"/>
  <c r="N6" i="4"/>
  <c r="N7" i="4"/>
  <c r="F21" i="4"/>
  <c r="F19" i="4"/>
  <c r="F22" i="4" l="1"/>
  <c r="G18" i="4"/>
  <c r="G17" i="4" l="1"/>
  <c r="F24" i="4"/>
  <c r="F23" i="4"/>
  <c r="G21" i="4" l="1"/>
  <c r="G19" i="4"/>
  <c r="G22" i="4" l="1"/>
  <c r="G24" i="4" l="1"/>
  <c r="G23" i="4"/>
  <c r="H18" i="4" l="1"/>
  <c r="H17" i="4"/>
  <c r="H21" i="4" l="1"/>
  <c r="H19" i="4"/>
  <c r="H22" i="4" l="1"/>
  <c r="I18" i="4" l="1"/>
  <c r="I17" i="4"/>
  <c r="H24" i="4"/>
  <c r="H23" i="4"/>
  <c r="I21" i="4" l="1"/>
  <c r="I19" i="4"/>
  <c r="J18" i="4" l="1"/>
  <c r="J17" i="4"/>
  <c r="I22" i="4"/>
  <c r="J21" i="4" l="1"/>
  <c r="J19" i="4"/>
  <c r="I24" i="4"/>
  <c r="I23" i="4"/>
  <c r="K18" i="4" l="1"/>
  <c r="J22" i="4"/>
  <c r="K17" i="4" l="1"/>
  <c r="J24" i="4"/>
  <c r="J23" i="4"/>
  <c r="K21" i="4" l="1"/>
  <c r="K19" i="4"/>
  <c r="K22" i="4" l="1"/>
  <c r="L18" i="4"/>
  <c r="L17" i="4" l="1"/>
  <c r="K24" i="4"/>
  <c r="K23" i="4"/>
  <c r="L21" i="4" l="1"/>
  <c r="L19" i="4"/>
  <c r="L22" i="4" l="1"/>
  <c r="M18" i="4" l="1"/>
  <c r="L24" i="4"/>
  <c r="L23" i="4"/>
  <c r="M17" i="4" l="1"/>
  <c r="M21" i="4" l="1"/>
  <c r="M19" i="4"/>
  <c r="M22" i="4" l="1"/>
  <c r="M24" i="4" l="1"/>
  <c r="M23" i="4"/>
  <c r="N18" i="4"/>
  <c r="N17" i="4" l="1"/>
  <c r="N21" i="4" l="1"/>
  <c r="N19" i="4"/>
  <c r="N22" i="4" l="1"/>
  <c r="N24" i="4"/>
  <c r="N23" i="4"/>
  <c r="E17" i="3" l="1"/>
  <c r="E18" i="3" l="1"/>
  <c r="E11" i="4" s="1"/>
  <c r="E10" i="4"/>
  <c r="G16" i="3"/>
  <c r="E9" i="4"/>
  <c r="E19" i="3" l="1"/>
  <c r="E20" i="3" s="1"/>
  <c r="E12" i="4"/>
  <c r="E14" i="4" s="1"/>
  <c r="F9" i="4" l="1"/>
  <c r="F17" i="3"/>
  <c r="F10" i="4" l="1"/>
  <c r="F18" i="3"/>
  <c r="F11" i="4" s="1"/>
  <c r="G9" i="4"/>
  <c r="G17" i="3"/>
  <c r="G10" i="4" l="1"/>
  <c r="G18" i="3"/>
  <c r="G19" i="3"/>
  <c r="G12" i="4" s="1"/>
  <c r="G14" i="4" s="1"/>
  <c r="F19" i="3"/>
  <c r="F12" i="4" s="1"/>
  <c r="F14" i="4" s="1"/>
  <c r="G11" i="4" l="1"/>
  <c r="G15" i="3"/>
  <c r="H16" i="3" l="1"/>
  <c r="H17" i="3" l="1"/>
  <c r="H9" i="4"/>
  <c r="H10" i="4" l="1"/>
  <c r="H18" i="3"/>
  <c r="H19" i="3"/>
  <c r="H12" i="4" s="1"/>
  <c r="H14" i="4" s="1"/>
  <c r="H11" i="4" l="1"/>
  <c r="H15" i="3"/>
  <c r="I16" i="3" l="1"/>
  <c r="I9" i="4" l="1"/>
  <c r="I17" i="3"/>
  <c r="I10" i="4" l="1"/>
  <c r="I18" i="3"/>
  <c r="I19" i="3" s="1"/>
  <c r="I12" i="4" s="1"/>
  <c r="I14" i="4" s="1"/>
  <c r="I11" i="4" l="1"/>
  <c r="I15" i="3"/>
  <c r="J16" i="3" l="1"/>
  <c r="J17" i="3" l="1"/>
  <c r="J9" i="4"/>
  <c r="J18" i="3" l="1"/>
  <c r="J19" i="3" s="1"/>
  <c r="J12" i="4" s="1"/>
  <c r="J14" i="4" s="1"/>
  <c r="J10" i="4"/>
  <c r="J11" i="4" l="1"/>
  <c r="J15" i="3"/>
  <c r="K16" i="3" l="1"/>
  <c r="K9" i="4" l="1"/>
  <c r="K17" i="3"/>
  <c r="K10" i="4" l="1"/>
  <c r="K18" i="3"/>
  <c r="K19" i="3" s="1"/>
  <c r="K12" i="4" s="1"/>
  <c r="K14" i="4" s="1"/>
  <c r="K11" i="4" l="1"/>
  <c r="K15" i="3"/>
  <c r="L16" i="3" l="1"/>
  <c r="L9" i="4" l="1"/>
  <c r="L17" i="3"/>
  <c r="L10" i="4" l="1"/>
  <c r="L18" i="3"/>
  <c r="L19" i="3" s="1"/>
  <c r="L12" i="4" s="1"/>
  <c r="L14" i="4" s="1"/>
  <c r="L11" i="4" l="1"/>
  <c r="L15" i="3"/>
  <c r="M16" i="3" l="1"/>
  <c r="M17" i="3" l="1"/>
  <c r="M9" i="4"/>
  <c r="M10" i="4" l="1"/>
  <c r="M18" i="3"/>
  <c r="M19" i="3"/>
  <c r="M12" i="4" s="1"/>
  <c r="M14" i="4" s="1"/>
  <c r="M11" i="4" l="1"/>
  <c r="M15" i="3"/>
  <c r="N16" i="3" l="1"/>
  <c r="N17" i="3" l="1"/>
  <c r="N9" i="4"/>
  <c r="N10" i="4" l="1"/>
  <c r="N18" i="3"/>
  <c r="N19" i="3"/>
  <c r="N12" i="4" s="1"/>
  <c r="N14" i="4" s="1"/>
  <c r="N11" i="4" l="1"/>
  <c r="N15" i="3"/>
  <c r="O16" i="3" l="1"/>
  <c r="O17" i="3" s="1"/>
  <c r="O18" i="3" s="1"/>
  <c r="O19" i="3" s="1"/>
  <c r="O15" i="3" l="1"/>
</calcChain>
</file>

<file path=xl/sharedStrings.xml><?xml version="1.0" encoding="utf-8"?>
<sst xmlns="http://schemas.openxmlformats.org/spreadsheetml/2006/main" count="84" uniqueCount="68">
  <si>
    <t>Tax</t>
  </si>
  <si>
    <t>Product Information</t>
  </si>
  <si>
    <t>Capital Stresses</t>
  </si>
  <si>
    <t>Expense Stress</t>
  </si>
  <si>
    <t>Target Surplus (% PCA)</t>
  </si>
  <si>
    <t>Operational Risk Stress (% Premium)</t>
  </si>
  <si>
    <t>Other Parameters</t>
  </si>
  <si>
    <t>Project Costs</t>
  </si>
  <si>
    <t>Year</t>
  </si>
  <si>
    <t>Net Profit After Tax</t>
  </si>
  <si>
    <t>Investment Earnings</t>
  </si>
  <si>
    <t>Opening Capital</t>
  </si>
  <si>
    <t>Profit Pre-tax</t>
  </si>
  <si>
    <t>Net Profit after Tax</t>
  </si>
  <si>
    <t>Insurance Risk Charge (pre-tax)</t>
  </si>
  <si>
    <t>Insurance Risk Charge Post Tax</t>
  </si>
  <si>
    <t>Asset Risk Charge Post Tax</t>
  </si>
  <si>
    <t>Asset Risk Charge Pre Tax</t>
  </si>
  <si>
    <t>Aggregation Benefit</t>
  </si>
  <si>
    <t>Operational Risk Charge</t>
  </si>
  <si>
    <t>Combined Stress Scenario Adjustment</t>
  </si>
  <si>
    <t>PCA</t>
  </si>
  <si>
    <t>Target Surplus</t>
  </si>
  <si>
    <t>Total Assets</t>
  </si>
  <si>
    <t>Total Liabilities</t>
  </si>
  <si>
    <t>Net Assets</t>
  </si>
  <si>
    <t>Capital Base</t>
  </si>
  <si>
    <t>Target Capital</t>
  </si>
  <si>
    <t>Excess Assets</t>
  </si>
  <si>
    <t>Check</t>
  </si>
  <si>
    <t>Product Expenses</t>
  </si>
  <si>
    <t>Profit before tax</t>
  </si>
  <si>
    <t>Total Product Expenses</t>
  </si>
  <si>
    <t>Total Product Profits pre tax</t>
  </si>
  <si>
    <t>Profit Margin</t>
  </si>
  <si>
    <t>Capital Position</t>
  </si>
  <si>
    <t>Gross Premium</t>
  </si>
  <si>
    <t>Gross Claims</t>
  </si>
  <si>
    <t>Reinsured Premium</t>
  </si>
  <si>
    <t>Reinsured Claims</t>
  </si>
  <si>
    <t>Net Premium</t>
  </si>
  <si>
    <t>Net Claims</t>
  </si>
  <si>
    <t>Reinsurance Commission (% of Reinsurance Premiums)</t>
  </si>
  <si>
    <t>% Quota Share Reinsurance (% of Gross Claims)</t>
  </si>
  <si>
    <t>Loss Ratio (% of Gross Premium)</t>
  </si>
  <si>
    <t>Expense Margin (% of Gross Premium)</t>
  </si>
  <si>
    <r>
      <t>Project Costs (</t>
    </r>
    <r>
      <rPr>
        <b/>
        <sz val="10"/>
        <color theme="1"/>
        <rFont val="Century Gothic"/>
        <family val="2"/>
      </rPr>
      <t>per annum and incurred in years 1 and 2 only</t>
    </r>
    <r>
      <rPr>
        <sz val="10"/>
        <color theme="1"/>
        <rFont val="Century Gothic"/>
        <family val="2"/>
      </rPr>
      <t>)</t>
    </r>
  </si>
  <si>
    <t>Index</t>
  </si>
  <si>
    <t>Group Life and GSC (Combined)</t>
  </si>
  <si>
    <t>Premium (Net)</t>
  </si>
  <si>
    <t>Claims (Net)</t>
  </si>
  <si>
    <t>Asset Risk Charge (% Assets)</t>
  </si>
  <si>
    <t>Diversified Stress Margin (Claims)</t>
  </si>
  <si>
    <t>Stressed Claims in Excess of Base</t>
  </si>
  <si>
    <t>Stressed Expenses in Excess of Base</t>
  </si>
  <si>
    <t>Index for Results Tab</t>
  </si>
  <si>
    <t>Sales Volumes - Premiums (New Business)</t>
  </si>
  <si>
    <t>Part a i)</t>
  </si>
  <si>
    <t>Part a ii)</t>
  </si>
  <si>
    <t>Assets</t>
  </si>
  <si>
    <t>Key:</t>
  </si>
  <si>
    <t>Provided data</t>
  </si>
  <si>
    <t>To be completed by candidates</t>
  </si>
  <si>
    <t>Note: Do not insert or move rows between 1 to 41, as this will affect the presentation of results in the "Results" worksheet</t>
  </si>
  <si>
    <t>minus Tax</t>
  </si>
  <si>
    <t>EOY</t>
  </si>
  <si>
    <r>
      <t xml:space="preserve">Accumulation Method, PL = UPR + Claim reserves - DAC.
Given the claims are fully settled and prem is earned, </t>
    </r>
    <r>
      <rPr>
        <b/>
        <sz val="10"/>
        <color rgb="FFFF0000"/>
        <rFont val="Century Gothic"/>
        <family val="2"/>
      </rPr>
      <t>so the PL = 0</t>
    </r>
  </si>
  <si>
    <r>
      <rPr>
        <sz val="10"/>
        <rFont val="Century Gothic"/>
        <family val="2"/>
      </rPr>
      <t>=(E11</t>
    </r>
    <r>
      <rPr>
        <sz val="10"/>
        <color rgb="FFFF0000"/>
        <rFont val="Century Gothic"/>
        <family val="2"/>
      </rPr>
      <t>+E13)</t>
    </r>
    <r>
      <rPr>
        <sz val="10"/>
        <color theme="1"/>
        <rFont val="Century Gothic"/>
        <family val="2"/>
      </rPr>
      <t>*Assumptions!$D$23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</si>
</sst>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Times New Roman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0"/>
      <name val="Century Gothic"/>
      <family val="2"/>
    </font>
    <font>
      <sz val="10"/>
      <name val="Arial"/>
      <family val="2"/>
    </font>
    <font>
      <sz val="10"/>
      <color rgb="FFFF0000"/>
      <name val="Century Gothic"/>
      <family val="2"/>
    </font>
    <font>
      <b/>
      <sz val="10"/>
      <color rgb="FFFF0000"/>
      <name val="Century Gothic"/>
      <family val="2"/>
    </font>
    <font>
      <b/>
      <i/>
      <sz val="10"/>
      <color rgb="FFFF0000"/>
      <name val="Century Gothic"/>
      <family val="2"/>
    </font>
    <font>
      <sz val="1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lightGray"/>
    </fill>
    <fill>
      <patternFill patternType="solid">
        <fgColor rgb="FF99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7" fillId="0" borderId="0"/>
  </cellStyleXfs>
  <cellXfs count="72">
    <xf numFmtId="0" fontId="0" fillId="0" borderId="0" xfId="0"/>
    <xf numFmtId="0" fontId="2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0" xfId="0" applyFont="1" applyFill="1" applyBorder="1"/>
    <xf numFmtId="164" fontId="4" fillId="2" borderId="0" xfId="0" applyNumberFormat="1" applyFont="1" applyFill="1" applyBorder="1"/>
    <xf numFmtId="0" fontId="4" fillId="2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5" fillId="2" borderId="0" xfId="0" applyFont="1" applyFill="1" applyBorder="1"/>
    <xf numFmtId="0" fontId="5" fillId="2" borderId="2" xfId="0" applyFont="1" applyFill="1" applyBorder="1"/>
    <xf numFmtId="0" fontId="4" fillId="0" borderId="0" xfId="0" applyFont="1"/>
    <xf numFmtId="0" fontId="5" fillId="0" borderId="0" xfId="0" applyFont="1"/>
    <xf numFmtId="164" fontId="4" fillId="0" borderId="0" xfId="1" applyNumberFormat="1" applyFont="1" applyFill="1"/>
    <xf numFmtId="0" fontId="5" fillId="2" borderId="0" xfId="0" applyFont="1" applyFill="1"/>
    <xf numFmtId="0" fontId="5" fillId="2" borderId="0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4" fontId="4" fillId="2" borderId="0" xfId="1" applyNumberFormat="1" applyFont="1" applyFill="1" applyAlignment="1">
      <alignment horizontal="center"/>
    </xf>
    <xf numFmtId="165" fontId="4" fillId="2" borderId="0" xfId="2" applyNumberFormat="1" applyFont="1" applyFill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0" xfId="0" applyFont="1" applyBorder="1"/>
    <xf numFmtId="0" fontId="5" fillId="0" borderId="5" xfId="0" applyFont="1" applyBorder="1"/>
    <xf numFmtId="0" fontId="4" fillId="0" borderId="4" xfId="0" applyFont="1" applyBorder="1" applyAlignment="1">
      <alignment wrapText="1"/>
    </xf>
    <xf numFmtId="164" fontId="4" fillId="3" borderId="0" xfId="1" applyNumberFormat="1" applyFont="1" applyFill="1" applyBorder="1"/>
    <xf numFmtId="164" fontId="4" fillId="0" borderId="0" xfId="1" applyNumberFormat="1" applyFont="1" applyFill="1" applyBorder="1"/>
    <xf numFmtId="164" fontId="4" fillId="0" borderId="5" xfId="1" applyNumberFormat="1" applyFont="1" applyFill="1" applyBorder="1"/>
    <xf numFmtId="0" fontId="4" fillId="0" borderId="6" xfId="0" applyFont="1" applyBorder="1" applyAlignment="1">
      <alignment wrapText="1"/>
    </xf>
    <xf numFmtId="0" fontId="5" fillId="0" borderId="1" xfId="0" applyFont="1" applyBorder="1" applyAlignment="1">
      <alignment wrapText="1"/>
    </xf>
    <xf numFmtId="164" fontId="4" fillId="0" borderId="2" xfId="1" applyNumberFormat="1" applyFont="1" applyFill="1" applyBorder="1"/>
    <xf numFmtId="164" fontId="4" fillId="0" borderId="3" xfId="1" applyNumberFormat="1" applyFont="1" applyFill="1" applyBorder="1"/>
    <xf numFmtId="164" fontId="4" fillId="3" borderId="5" xfId="1" applyNumberFormat="1" applyFont="1" applyFill="1" applyBorder="1"/>
    <xf numFmtId="164" fontId="4" fillId="3" borderId="8" xfId="1" applyNumberFormat="1" applyFont="1" applyFill="1" applyBorder="1"/>
    <xf numFmtId="0" fontId="5" fillId="0" borderId="4" xfId="0" applyFont="1" applyBorder="1" applyAlignment="1">
      <alignment wrapText="1"/>
    </xf>
    <xf numFmtId="0" fontId="2" fillId="2" borderId="0" xfId="0" applyFont="1" applyFill="1" applyBorder="1"/>
    <xf numFmtId="0" fontId="6" fillId="0" borderId="9" xfId="0" applyFont="1" applyBorder="1" applyAlignment="1">
      <alignment horizontal="right"/>
    </xf>
    <xf numFmtId="0" fontId="4" fillId="4" borderId="10" xfId="0" applyFont="1" applyFill="1" applyBorder="1"/>
    <xf numFmtId="0" fontId="4" fillId="4" borderId="11" xfId="0" applyFont="1" applyFill="1" applyBorder="1"/>
    <xf numFmtId="3" fontId="4" fillId="4" borderId="0" xfId="1" applyNumberFormat="1" applyFont="1" applyFill="1" applyBorder="1" applyAlignment="1">
      <alignment horizontal="center"/>
    </xf>
    <xf numFmtId="9" fontId="4" fillId="4" borderId="0" xfId="2" applyFont="1" applyFill="1" applyBorder="1" applyAlignment="1">
      <alignment horizontal="center"/>
    </xf>
    <xf numFmtId="3" fontId="4" fillId="4" borderId="0" xfId="1" applyNumberFormat="1" applyFont="1" applyFill="1" applyBorder="1" applyAlignment="1">
      <alignment horizontal="center" vertical="center"/>
    </xf>
    <xf numFmtId="165" fontId="4" fillId="4" borderId="0" xfId="2" applyNumberFormat="1" applyFont="1" applyFill="1" applyBorder="1" applyAlignment="1">
      <alignment horizontal="center"/>
    </xf>
    <xf numFmtId="0" fontId="5" fillId="0" borderId="0" xfId="4" applyFont="1"/>
    <xf numFmtId="164" fontId="4" fillId="5" borderId="0" xfId="1" applyNumberFormat="1" applyFont="1" applyFill="1" applyBorder="1"/>
    <xf numFmtId="164" fontId="4" fillId="5" borderId="5" xfId="1" applyNumberFormat="1" applyFont="1" applyFill="1" applyBorder="1"/>
    <xf numFmtId="164" fontId="4" fillId="5" borderId="7" xfId="1" applyNumberFormat="1" applyFont="1" applyFill="1" applyBorder="1"/>
    <xf numFmtId="164" fontId="4" fillId="5" borderId="8" xfId="1" applyNumberFormat="1" applyFont="1" applyFill="1" applyBorder="1"/>
    <xf numFmtId="0" fontId="5" fillId="0" borderId="9" xfId="4" applyFont="1" applyBorder="1" applyAlignment="1">
      <alignment horizontal="left" vertical="center"/>
    </xf>
    <xf numFmtId="0" fontId="4" fillId="5" borderId="11" xfId="4" applyFont="1" applyFill="1" applyBorder="1" applyAlignment="1">
      <alignment horizontal="left" vertical="center" wrapText="1"/>
    </xf>
    <xf numFmtId="164" fontId="8" fillId="5" borderId="0" xfId="1" applyNumberFormat="1" applyFont="1" applyFill="1" applyBorder="1"/>
    <xf numFmtId="164" fontId="10" fillId="0" borderId="0" xfId="1" applyNumberFormat="1" applyFont="1" applyFill="1" applyBorder="1"/>
    <xf numFmtId="0" fontId="8" fillId="0" borderId="0" xfId="0" applyFont="1" applyAlignment="1">
      <alignment horizontal="center"/>
    </xf>
    <xf numFmtId="164" fontId="8" fillId="5" borderId="5" xfId="1" applyNumberFormat="1" applyFont="1" applyFill="1" applyBorder="1"/>
    <xf numFmtId="0" fontId="4" fillId="6" borderId="0" xfId="0" applyFont="1" applyFill="1" applyBorder="1"/>
    <xf numFmtId="0" fontId="4" fillId="6" borderId="0" xfId="0" applyFont="1" applyFill="1" applyBorder="1" applyAlignment="1">
      <alignment wrapText="1"/>
    </xf>
    <xf numFmtId="164" fontId="9" fillId="5" borderId="0" xfId="1" applyNumberFormat="1" applyFont="1" applyFill="1" applyBorder="1"/>
    <xf numFmtId="0" fontId="8" fillId="0" borderId="0" xfId="0" applyFont="1" applyAlignment="1">
      <alignment horizontal="left" wrapText="1"/>
    </xf>
    <xf numFmtId="0" fontId="8" fillId="0" borderId="0" xfId="0" quotePrefix="1" applyFont="1" applyAlignment="1">
      <alignment horizontal="left" wrapText="1"/>
    </xf>
    <xf numFmtId="0" fontId="4" fillId="0" borderId="4" xfId="0" applyFont="1" applyBorder="1" applyAlignment="1">
      <alignment vertical="center" wrapText="1"/>
    </xf>
    <xf numFmtId="164" fontId="8" fillId="5" borderId="0" xfId="1" applyNumberFormat="1" applyFont="1" applyFill="1" applyBorder="1" applyAlignment="1">
      <alignment vertical="center"/>
    </xf>
    <xf numFmtId="164" fontId="8" fillId="5" borderId="5" xfId="1" applyNumberFormat="1" applyFont="1" applyFill="1" applyBorder="1" applyAlignment="1">
      <alignment vertical="center"/>
    </xf>
    <xf numFmtId="0" fontId="5" fillId="2" borderId="0" xfId="0" applyFont="1" applyFill="1" applyBorder="1" applyAlignment="1">
      <alignment horizontal="center"/>
    </xf>
    <xf numFmtId="0" fontId="5" fillId="0" borderId="7" xfId="0" applyFont="1" applyBorder="1" applyAlignment="1">
      <alignment horizontal="left"/>
    </xf>
  </cellXfs>
  <cellStyles count="5">
    <cellStyle name="Comma" xfId="1" builtinId="3"/>
    <cellStyle name="Normal" xfId="0" builtinId="0"/>
    <cellStyle name="Normal 3" xfId="4"/>
    <cellStyle name="Normal 4" xfId="3"/>
    <cellStyle name="Percent" xfId="2" builtinId="5"/>
  </cellStyles>
  <dxfs count="0"/>
  <tableStyles count="0" defaultTableStyle="TableStyleMedium2" defaultPivotStyle="PivotStyleLight16"/>
  <colors>
    <mruColors>
      <color rgb="FFFFFFCC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opLeftCell="A4" zoomScaleNormal="100" workbookViewId="0">
      <selection activeCell="C26" sqref="C26"/>
    </sheetView>
  </sheetViews>
  <sheetFormatPr defaultColWidth="9.28515625" defaultRowHeight="12.75" x14ac:dyDescent="0.2"/>
  <cols>
    <col min="1" max="2" width="9.28515625" style="1"/>
    <col min="3" max="3" width="57" style="1" bestFit="1" customWidth="1"/>
    <col min="4" max="14" width="11.140625" style="1" customWidth="1"/>
    <col min="15" max="16384" width="9.28515625" style="1"/>
  </cols>
  <sheetData>
    <row r="1" spans="1:16" ht="14.25" thickBot="1" x14ac:dyDescent="0.3">
      <c r="A1" s="44" t="s">
        <v>60</v>
      </c>
      <c r="B1" s="45" t="s">
        <v>61</v>
      </c>
      <c r="C1" s="46"/>
      <c r="D1" s="43"/>
    </row>
    <row r="2" spans="1:16" ht="13.5" x14ac:dyDescent="0.25">
      <c r="A2" s="8"/>
      <c r="B2" s="8"/>
      <c r="C2" s="8"/>
      <c r="D2" s="43"/>
    </row>
    <row r="3" spans="1:16" x14ac:dyDescent="0.2">
      <c r="A3" s="43"/>
      <c r="B3" s="43"/>
      <c r="C3" s="43"/>
      <c r="D3" s="43"/>
    </row>
    <row r="4" spans="1:16" ht="14.25" thickBot="1" x14ac:dyDescent="0.3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x14ac:dyDescent="0.25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5"/>
      <c r="P5" s="2"/>
    </row>
    <row r="6" spans="1:16" ht="13.5" x14ac:dyDescent="0.25">
      <c r="B6" s="6"/>
      <c r="C6" s="70" t="s">
        <v>1</v>
      </c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"/>
      <c r="P6" s="2"/>
    </row>
    <row r="7" spans="1:16" ht="13.5" x14ac:dyDescent="0.25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7"/>
      <c r="P7" s="2"/>
    </row>
    <row r="8" spans="1:16" ht="13.5" x14ac:dyDescent="0.25">
      <c r="B8" s="6"/>
      <c r="C8" s="8"/>
      <c r="D8" s="70" t="s">
        <v>48</v>
      </c>
      <c r="E8" s="70"/>
      <c r="F8" s="70"/>
      <c r="G8" s="70"/>
      <c r="H8" s="70"/>
      <c r="I8" s="70"/>
      <c r="J8" s="70"/>
      <c r="K8" s="70"/>
      <c r="L8" s="70"/>
      <c r="M8" s="70"/>
      <c r="N8" s="70"/>
      <c r="O8" s="7"/>
      <c r="P8" s="2"/>
    </row>
    <row r="9" spans="1:16" ht="13.5" x14ac:dyDescent="0.25">
      <c r="B9" s="6"/>
      <c r="C9" s="13" t="s">
        <v>8</v>
      </c>
      <c r="D9" s="19">
        <v>1</v>
      </c>
      <c r="E9" s="19">
        <v>2</v>
      </c>
      <c r="F9" s="19">
        <v>3</v>
      </c>
      <c r="G9" s="19">
        <v>4</v>
      </c>
      <c r="H9" s="19">
        <v>5</v>
      </c>
      <c r="I9" s="19">
        <v>6</v>
      </c>
      <c r="J9" s="19">
        <v>7</v>
      </c>
      <c r="K9" s="19">
        <v>8</v>
      </c>
      <c r="L9" s="19">
        <v>9</v>
      </c>
      <c r="M9" s="19">
        <v>10</v>
      </c>
      <c r="N9" s="19">
        <v>11</v>
      </c>
      <c r="O9" s="7"/>
      <c r="P9" s="2"/>
    </row>
    <row r="10" spans="1:16" ht="13.5" x14ac:dyDescent="0.25">
      <c r="B10" s="6"/>
      <c r="C10" s="62" t="s">
        <v>56</v>
      </c>
      <c r="D10" s="47">
        <v>20000000</v>
      </c>
      <c r="E10" s="47">
        <v>24000000</v>
      </c>
      <c r="F10" s="47">
        <v>30000000</v>
      </c>
      <c r="G10" s="47">
        <v>40000000</v>
      </c>
      <c r="H10" s="47">
        <v>50000000</v>
      </c>
      <c r="I10" s="47">
        <v>60000000</v>
      </c>
      <c r="J10" s="47">
        <v>60000000</v>
      </c>
      <c r="K10" s="47">
        <v>60000000</v>
      </c>
      <c r="L10" s="47">
        <v>60000000</v>
      </c>
      <c r="M10" s="47">
        <v>60000000</v>
      </c>
      <c r="N10" s="47">
        <v>0</v>
      </c>
      <c r="O10" s="7"/>
      <c r="P10" s="2"/>
    </row>
    <row r="11" spans="1:16" ht="13.5" x14ac:dyDescent="0.25">
      <c r="B11" s="6"/>
      <c r="C11" s="62" t="s">
        <v>44</v>
      </c>
      <c r="D11" s="48">
        <v>0.75</v>
      </c>
      <c r="E11" s="48">
        <v>0.75</v>
      </c>
      <c r="F11" s="48">
        <v>0.75</v>
      </c>
      <c r="G11" s="48">
        <v>0.75</v>
      </c>
      <c r="H11" s="48">
        <v>0.75</v>
      </c>
      <c r="I11" s="48">
        <v>0.75</v>
      </c>
      <c r="J11" s="48">
        <v>0.75</v>
      </c>
      <c r="K11" s="48">
        <v>0.75</v>
      </c>
      <c r="L11" s="48">
        <v>0.75</v>
      </c>
      <c r="M11" s="48">
        <v>0.75</v>
      </c>
      <c r="N11" s="48">
        <v>0.75</v>
      </c>
      <c r="O11" s="7"/>
      <c r="P11" s="2"/>
    </row>
    <row r="12" spans="1:16" ht="13.5" x14ac:dyDescent="0.25">
      <c r="B12" s="6"/>
      <c r="C12" s="62" t="s">
        <v>45</v>
      </c>
      <c r="D12" s="48">
        <v>0.1</v>
      </c>
      <c r="E12" s="48">
        <v>0.1</v>
      </c>
      <c r="F12" s="48">
        <v>0.1</v>
      </c>
      <c r="G12" s="48">
        <v>0.1</v>
      </c>
      <c r="H12" s="48">
        <v>0.1</v>
      </c>
      <c r="I12" s="48">
        <v>0.1</v>
      </c>
      <c r="J12" s="48">
        <v>0.1</v>
      </c>
      <c r="K12" s="48">
        <v>0.1</v>
      </c>
      <c r="L12" s="48">
        <v>0.1</v>
      </c>
      <c r="M12" s="48">
        <v>0.1</v>
      </c>
      <c r="N12" s="48">
        <v>0.1</v>
      </c>
      <c r="O12" s="7"/>
      <c r="P12" s="2"/>
    </row>
    <row r="13" spans="1:16" ht="13.5" x14ac:dyDescent="0.25">
      <c r="B13" s="6"/>
      <c r="C13" s="62" t="s">
        <v>43</v>
      </c>
      <c r="D13" s="48">
        <v>0.6</v>
      </c>
      <c r="E13" s="48">
        <v>0.6</v>
      </c>
      <c r="F13" s="48">
        <v>0.6</v>
      </c>
      <c r="G13" s="48">
        <v>0.6</v>
      </c>
      <c r="H13" s="48">
        <v>0.6</v>
      </c>
      <c r="I13" s="48">
        <v>0.6</v>
      </c>
      <c r="J13" s="48">
        <v>0.6</v>
      </c>
      <c r="K13" s="48">
        <v>0.6</v>
      </c>
      <c r="L13" s="48">
        <v>0.6</v>
      </c>
      <c r="M13" s="48">
        <v>0.6</v>
      </c>
      <c r="N13" s="48">
        <v>0.6</v>
      </c>
      <c r="O13" s="7"/>
      <c r="P13" s="2"/>
    </row>
    <row r="14" spans="1:16" ht="13.5" x14ac:dyDescent="0.25">
      <c r="B14" s="6"/>
      <c r="C14" s="62" t="s">
        <v>42</v>
      </c>
      <c r="D14" s="48">
        <v>0.12</v>
      </c>
      <c r="E14" s="48">
        <v>0.12</v>
      </c>
      <c r="F14" s="48">
        <v>0.12</v>
      </c>
      <c r="G14" s="48">
        <v>0.12</v>
      </c>
      <c r="H14" s="48">
        <v>0.12</v>
      </c>
      <c r="I14" s="48">
        <v>0.12</v>
      </c>
      <c r="J14" s="48">
        <v>0.12</v>
      </c>
      <c r="K14" s="48">
        <v>0.12</v>
      </c>
      <c r="L14" s="48">
        <v>0.12</v>
      </c>
      <c r="M14" s="48">
        <v>0.12</v>
      </c>
      <c r="N14" s="48">
        <v>0.12</v>
      </c>
      <c r="O14" s="7"/>
      <c r="P14" s="2"/>
    </row>
    <row r="15" spans="1:16" ht="13.5" x14ac:dyDescent="0.25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7"/>
      <c r="P15" s="2"/>
    </row>
    <row r="16" spans="1:16" ht="13.5" x14ac:dyDescent="0.25">
      <c r="B16" s="6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8"/>
      <c r="O16" s="7"/>
      <c r="P16" s="2"/>
    </row>
    <row r="17" spans="2:16" ht="14.25" thickBot="1" x14ac:dyDescent="0.3"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2"/>
      <c r="P17" s="2"/>
    </row>
    <row r="18" spans="2:16" ht="13.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ht="14.25" thickBot="1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ht="13.5" x14ac:dyDescent="0.25">
      <c r="B20" s="3"/>
      <c r="C20" s="4"/>
      <c r="D20" s="4"/>
      <c r="E20" s="5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ht="13.5" x14ac:dyDescent="0.25">
      <c r="B21" s="6"/>
      <c r="C21" s="8"/>
      <c r="D21" s="13" t="s">
        <v>2</v>
      </c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ht="13.5" x14ac:dyDescent="0.25">
      <c r="B22" s="6"/>
      <c r="C22" s="62" t="s">
        <v>52</v>
      </c>
      <c r="D22" s="48">
        <v>0.5</v>
      </c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ht="13.5" x14ac:dyDescent="0.25">
      <c r="B23" s="6"/>
      <c r="C23" s="62" t="s">
        <v>3</v>
      </c>
      <c r="D23" s="48">
        <v>0.1</v>
      </c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ht="13.5" x14ac:dyDescent="0.25">
      <c r="B24" s="6"/>
      <c r="C24" s="62" t="s">
        <v>51</v>
      </c>
      <c r="D24" s="48">
        <v>0.25</v>
      </c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ht="13.5" x14ac:dyDescent="0.25">
      <c r="B25" s="6"/>
      <c r="C25" s="62" t="s">
        <v>5</v>
      </c>
      <c r="D25" s="48">
        <v>0.03</v>
      </c>
      <c r="E25" s="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ht="13.5" x14ac:dyDescent="0.25">
      <c r="B26" s="6"/>
      <c r="C26" s="8" t="s">
        <v>4</v>
      </c>
      <c r="D26" s="48">
        <v>0.5</v>
      </c>
      <c r="E26" s="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ht="13.5" x14ac:dyDescent="0.25">
      <c r="B27" s="6"/>
      <c r="C27" s="62" t="s">
        <v>11</v>
      </c>
      <c r="D27" s="47">
        <v>40000000</v>
      </c>
      <c r="E27" s="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ht="14.25" thickBot="1" x14ac:dyDescent="0.3">
      <c r="B28" s="10"/>
      <c r="C28" s="11"/>
      <c r="D28" s="11"/>
      <c r="E28" s="1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ht="13.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ht="13.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ht="13.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ht="14.25" thickBot="1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ht="13.5" x14ac:dyDescent="0.25">
      <c r="B33" s="3"/>
      <c r="C33" s="4"/>
      <c r="D33" s="14" t="s">
        <v>6</v>
      </c>
      <c r="E33" s="5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ht="13.5" x14ac:dyDescent="0.25">
      <c r="B34" s="6"/>
      <c r="C34" s="62" t="s">
        <v>0</v>
      </c>
      <c r="D34" s="48">
        <v>0.3</v>
      </c>
      <c r="E34" s="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ht="27" x14ac:dyDescent="0.25">
      <c r="B35" s="6"/>
      <c r="C35" s="63" t="s">
        <v>46</v>
      </c>
      <c r="D35" s="49">
        <v>5000000</v>
      </c>
      <c r="E35" s="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ht="13.5" x14ac:dyDescent="0.25">
      <c r="B36" s="6"/>
      <c r="C36" s="62" t="s">
        <v>10</v>
      </c>
      <c r="D36" s="50">
        <v>4.1000000000000002E-2</v>
      </c>
      <c r="E36" s="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ht="14.25" thickBot="1" x14ac:dyDescent="0.3">
      <c r="B37" s="10"/>
      <c r="C37" s="11"/>
      <c r="D37" s="11"/>
      <c r="E37" s="1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ht="13.5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ht="13.5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ht="13.5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2">
    <mergeCell ref="D8:N8"/>
    <mergeCell ref="C6:N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zoomScaleNormal="100" workbookViewId="0">
      <pane xSplit="3" ySplit="2" topLeftCell="D3" activePane="bottomRight" state="frozen"/>
      <selection activeCell="C3" sqref="C3"/>
      <selection pane="topRight" activeCell="C3" sqref="C3"/>
      <selection pane="bottomLeft" activeCell="C3" sqref="C3"/>
      <selection pane="bottomRight" activeCell="C1" sqref="C1"/>
    </sheetView>
  </sheetViews>
  <sheetFormatPr defaultColWidth="8.7109375" defaultRowHeight="13.5" x14ac:dyDescent="0.25"/>
  <cols>
    <col min="1" max="1" width="9.5703125" style="15" customWidth="1"/>
    <col min="2" max="2" width="34.5703125" style="15" customWidth="1"/>
    <col min="3" max="3" width="36.5703125" style="15" customWidth="1"/>
    <col min="4" max="17" width="14.28515625" style="15" customWidth="1"/>
    <col min="18" max="18" width="31.140625" style="15" customWidth="1"/>
    <col min="19" max="27" width="14.28515625" style="15" customWidth="1"/>
    <col min="28" max="29" width="18.42578125" style="15" customWidth="1"/>
    <col min="30" max="30" width="17.28515625" style="15" customWidth="1"/>
    <col min="31" max="31" width="19.28515625" style="15" customWidth="1"/>
    <col min="32" max="33" width="14.28515625" style="15" customWidth="1"/>
    <col min="34" max="34" width="22.28515625" style="15" customWidth="1"/>
    <col min="35" max="38" width="14.28515625" style="15" customWidth="1"/>
    <col min="39" max="16384" width="8.7109375" style="15"/>
  </cols>
  <sheetData>
    <row r="1" spans="1:17" ht="34.15" customHeight="1" thickBot="1" x14ac:dyDescent="0.3">
      <c r="A1" s="56" t="s">
        <v>60</v>
      </c>
      <c r="B1" s="57" t="s">
        <v>62</v>
      </c>
      <c r="C1" s="16" t="s">
        <v>8</v>
      </c>
      <c r="D1" s="16">
        <v>0</v>
      </c>
      <c r="E1" s="16">
        <v>1</v>
      </c>
      <c r="F1" s="16">
        <v>2</v>
      </c>
      <c r="G1" s="16">
        <v>3</v>
      </c>
      <c r="H1" s="16">
        <v>4</v>
      </c>
      <c r="I1" s="16">
        <v>5</v>
      </c>
      <c r="J1" s="16">
        <v>6</v>
      </c>
      <c r="K1" s="16">
        <v>7</v>
      </c>
      <c r="L1" s="16">
        <v>8</v>
      </c>
      <c r="M1" s="16">
        <v>9</v>
      </c>
      <c r="N1" s="16">
        <v>10</v>
      </c>
      <c r="O1" s="16">
        <v>11</v>
      </c>
    </row>
    <row r="2" spans="1:17" ht="15" customHeight="1" thickBot="1" x14ac:dyDescent="0.3">
      <c r="A2" s="16" t="s">
        <v>55</v>
      </c>
      <c r="B2" s="25"/>
      <c r="C2" s="71" t="s">
        <v>63</v>
      </c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Q2" s="51"/>
    </row>
    <row r="3" spans="1:17" x14ac:dyDescent="0.25">
      <c r="A3" s="25">
        <v>3</v>
      </c>
      <c r="B3" s="25"/>
      <c r="C3" s="26" t="s">
        <v>57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8"/>
    </row>
    <row r="4" spans="1:17" x14ac:dyDescent="0.25">
      <c r="A4" s="25">
        <f t="shared" ref="A4:A41" si="0">A3+1</f>
        <v>4</v>
      </c>
      <c r="B4" s="25"/>
      <c r="C4" s="29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1"/>
    </row>
    <row r="5" spans="1:17" x14ac:dyDescent="0.25">
      <c r="A5" s="25">
        <f t="shared" si="0"/>
        <v>5</v>
      </c>
      <c r="B5" s="25"/>
      <c r="C5" s="32" t="s">
        <v>36</v>
      </c>
      <c r="D5" s="33"/>
      <c r="E5" s="52">
        <f>SUM(Assumptions!$D$10:D10)</f>
        <v>20000000</v>
      </c>
      <c r="F5" s="52">
        <f>SUM(Assumptions!$D$10:E10)</f>
        <v>44000000</v>
      </c>
      <c r="G5" s="52">
        <f>SUM(Assumptions!$D$10:F10)</f>
        <v>74000000</v>
      </c>
      <c r="H5" s="52">
        <f>SUM(Assumptions!$D$10:G10)</f>
        <v>114000000</v>
      </c>
      <c r="I5" s="52">
        <f>SUM(Assumptions!$D$10:H10)</f>
        <v>164000000</v>
      </c>
      <c r="J5" s="52">
        <f>SUM(Assumptions!$D$10:I10)</f>
        <v>224000000</v>
      </c>
      <c r="K5" s="52">
        <f>SUM(Assumptions!$D$10:J10)</f>
        <v>284000000</v>
      </c>
      <c r="L5" s="52">
        <f>SUM(Assumptions!$D$10:K10)</f>
        <v>344000000</v>
      </c>
      <c r="M5" s="52">
        <f>SUM(Assumptions!$D$10:L10)</f>
        <v>404000000</v>
      </c>
      <c r="N5" s="52">
        <f>SUM(Assumptions!$D$10:M10)</f>
        <v>464000000</v>
      </c>
      <c r="O5" s="53">
        <f>SUM(Assumptions!$D$10:N10)</f>
        <v>464000000</v>
      </c>
    </row>
    <row r="6" spans="1:17" x14ac:dyDescent="0.25">
      <c r="A6" s="25">
        <f t="shared" si="0"/>
        <v>6</v>
      </c>
      <c r="B6" s="25"/>
      <c r="C6" s="32" t="s">
        <v>37</v>
      </c>
      <c r="D6" s="33"/>
      <c r="E6" s="52">
        <f>E5*Assumptions!D11</f>
        <v>15000000</v>
      </c>
      <c r="F6" s="52">
        <f>F5*Assumptions!E11</f>
        <v>33000000</v>
      </c>
      <c r="G6" s="52">
        <f>G5*Assumptions!F11</f>
        <v>55500000</v>
      </c>
      <c r="H6" s="52">
        <f>H5*Assumptions!G11</f>
        <v>85500000</v>
      </c>
      <c r="I6" s="52">
        <f>I5*Assumptions!H11</f>
        <v>123000000</v>
      </c>
      <c r="J6" s="52">
        <f>J5*Assumptions!I11</f>
        <v>168000000</v>
      </c>
      <c r="K6" s="52">
        <f>K5*Assumptions!J11</f>
        <v>213000000</v>
      </c>
      <c r="L6" s="52">
        <f>L5*Assumptions!K11</f>
        <v>258000000</v>
      </c>
      <c r="M6" s="52">
        <f>M5*Assumptions!L11</f>
        <v>303000000</v>
      </c>
      <c r="N6" s="52">
        <f>N5*Assumptions!M11</f>
        <v>348000000</v>
      </c>
      <c r="O6" s="53">
        <f>O5*Assumptions!N11</f>
        <v>348000000</v>
      </c>
    </row>
    <row r="7" spans="1:17" x14ac:dyDescent="0.25">
      <c r="A7" s="25">
        <f t="shared" si="0"/>
        <v>7</v>
      </c>
      <c r="B7" s="25"/>
      <c r="C7" s="32" t="s">
        <v>38</v>
      </c>
      <c r="D7" s="33"/>
      <c r="E7" s="52">
        <f>E5*Assumptions!D$13*(1-Assumptions!D14)</f>
        <v>10560000</v>
      </c>
      <c r="F7" s="52">
        <f>F5*Assumptions!E$13*(1-Assumptions!E14)</f>
        <v>23232000</v>
      </c>
      <c r="G7" s="52">
        <f>G5*Assumptions!F$13*(1-Assumptions!F14)</f>
        <v>39072000</v>
      </c>
      <c r="H7" s="52">
        <f>H5*Assumptions!G$13*(1-Assumptions!G14)</f>
        <v>60192000</v>
      </c>
      <c r="I7" s="52">
        <f>I5*Assumptions!H$13*(1-Assumptions!H14)</f>
        <v>86592000</v>
      </c>
      <c r="J7" s="52">
        <f>J5*Assumptions!I$13*(1-Assumptions!I14)</f>
        <v>118272000</v>
      </c>
      <c r="K7" s="52">
        <f>K5*Assumptions!J$13*(1-Assumptions!J14)</f>
        <v>149952000</v>
      </c>
      <c r="L7" s="52">
        <f>L5*Assumptions!K$13*(1-Assumptions!K14)</f>
        <v>181632000</v>
      </c>
      <c r="M7" s="52">
        <f>M5*Assumptions!L$13*(1-Assumptions!L14)</f>
        <v>213312000</v>
      </c>
      <c r="N7" s="52">
        <f>N5*Assumptions!M$13*(1-Assumptions!M14)</f>
        <v>244992000</v>
      </c>
      <c r="O7" s="53">
        <f>O5*Assumptions!N$13*(1-Assumptions!N14)</f>
        <v>244992000</v>
      </c>
    </row>
    <row r="8" spans="1:17" x14ac:dyDescent="0.25">
      <c r="A8" s="25">
        <f t="shared" si="0"/>
        <v>8</v>
      </c>
      <c r="B8" s="25"/>
      <c r="C8" s="32" t="s">
        <v>39</v>
      </c>
      <c r="D8" s="33"/>
      <c r="E8" s="52">
        <f>E6*Assumptions!D$13</f>
        <v>9000000</v>
      </c>
      <c r="F8" s="52">
        <f>F6*Assumptions!E$13</f>
        <v>19800000</v>
      </c>
      <c r="G8" s="52">
        <f>G6*Assumptions!F$13</f>
        <v>33300000</v>
      </c>
      <c r="H8" s="52">
        <f>H6*Assumptions!G$13</f>
        <v>51300000</v>
      </c>
      <c r="I8" s="52">
        <f>I6*Assumptions!H$13</f>
        <v>73800000</v>
      </c>
      <c r="J8" s="52">
        <f>J6*Assumptions!I$13</f>
        <v>100800000</v>
      </c>
      <c r="K8" s="52">
        <f>K6*Assumptions!J$13</f>
        <v>127800000</v>
      </c>
      <c r="L8" s="52">
        <f>L6*Assumptions!K$13</f>
        <v>154800000</v>
      </c>
      <c r="M8" s="52">
        <f>M6*Assumptions!L$13</f>
        <v>181800000</v>
      </c>
      <c r="N8" s="52">
        <f>N6*Assumptions!M$13</f>
        <v>208800000</v>
      </c>
      <c r="O8" s="53">
        <f>O6*Assumptions!N$13</f>
        <v>208800000</v>
      </c>
    </row>
    <row r="9" spans="1:17" x14ac:dyDescent="0.25">
      <c r="A9" s="25">
        <f t="shared" si="0"/>
        <v>9</v>
      </c>
      <c r="B9" s="25"/>
      <c r="C9" s="32" t="s">
        <v>40</v>
      </c>
      <c r="D9" s="33"/>
      <c r="E9" s="52">
        <f>E5-E7</f>
        <v>9440000</v>
      </c>
      <c r="F9" s="52">
        <f t="shared" ref="F9:N9" si="1">F5-F7</f>
        <v>20768000</v>
      </c>
      <c r="G9" s="52">
        <f t="shared" si="1"/>
        <v>34928000</v>
      </c>
      <c r="H9" s="52">
        <f t="shared" si="1"/>
        <v>53808000</v>
      </c>
      <c r="I9" s="52">
        <f t="shared" si="1"/>
        <v>77408000</v>
      </c>
      <c r="J9" s="52">
        <f t="shared" si="1"/>
        <v>105728000</v>
      </c>
      <c r="K9" s="52">
        <f t="shared" si="1"/>
        <v>134048000</v>
      </c>
      <c r="L9" s="52">
        <f t="shared" si="1"/>
        <v>162368000</v>
      </c>
      <c r="M9" s="52">
        <f t="shared" si="1"/>
        <v>190688000</v>
      </c>
      <c r="N9" s="52">
        <f t="shared" si="1"/>
        <v>219008000</v>
      </c>
      <c r="O9" s="53">
        <f t="shared" ref="O9:O10" si="2">O5-O7</f>
        <v>219008000</v>
      </c>
    </row>
    <row r="10" spans="1:17" x14ac:dyDescent="0.25">
      <c r="A10" s="25">
        <f t="shared" si="0"/>
        <v>10</v>
      </c>
      <c r="B10" s="25"/>
      <c r="C10" s="32" t="s">
        <v>41</v>
      </c>
      <c r="D10" s="33"/>
      <c r="E10" s="52">
        <f>E6-E8</f>
        <v>6000000</v>
      </c>
      <c r="F10" s="52">
        <f t="shared" ref="F10:N10" si="3">F6-F8</f>
        <v>13200000</v>
      </c>
      <c r="G10" s="52">
        <f t="shared" si="3"/>
        <v>22200000</v>
      </c>
      <c r="H10" s="52">
        <f t="shared" si="3"/>
        <v>34200000</v>
      </c>
      <c r="I10" s="52">
        <f t="shared" si="3"/>
        <v>49200000</v>
      </c>
      <c r="J10" s="52">
        <f t="shared" si="3"/>
        <v>67200000</v>
      </c>
      <c r="K10" s="52">
        <f t="shared" si="3"/>
        <v>85200000</v>
      </c>
      <c r="L10" s="52">
        <f t="shared" si="3"/>
        <v>103200000</v>
      </c>
      <c r="M10" s="52">
        <f t="shared" si="3"/>
        <v>121200000</v>
      </c>
      <c r="N10" s="52">
        <f t="shared" si="3"/>
        <v>139200000</v>
      </c>
      <c r="O10" s="53">
        <f t="shared" si="2"/>
        <v>139200000</v>
      </c>
    </row>
    <row r="11" spans="1:17" x14ac:dyDescent="0.25">
      <c r="A11" s="25">
        <f t="shared" si="0"/>
        <v>11</v>
      </c>
      <c r="B11" s="25"/>
      <c r="C11" s="32" t="s">
        <v>32</v>
      </c>
      <c r="D11" s="33"/>
      <c r="E11" s="52">
        <f>E5*Assumptions!D12</f>
        <v>2000000</v>
      </c>
      <c r="F11" s="52">
        <f>F5*Assumptions!E12</f>
        <v>4400000</v>
      </c>
      <c r="G11" s="52">
        <f>G5*Assumptions!F12</f>
        <v>7400000</v>
      </c>
      <c r="H11" s="52">
        <f>H5*Assumptions!G12</f>
        <v>11400000</v>
      </c>
      <c r="I11" s="52">
        <f>I5*Assumptions!H12</f>
        <v>16400000</v>
      </c>
      <c r="J11" s="52">
        <f>J5*Assumptions!I12</f>
        <v>22400000</v>
      </c>
      <c r="K11" s="52">
        <f>K5*Assumptions!J12</f>
        <v>28400000</v>
      </c>
      <c r="L11" s="52">
        <f>L5*Assumptions!K12</f>
        <v>34400000</v>
      </c>
      <c r="M11" s="52">
        <f>M5*Assumptions!L12</f>
        <v>40400000</v>
      </c>
      <c r="N11" s="52">
        <f>N5*Assumptions!M12</f>
        <v>46400000</v>
      </c>
      <c r="O11" s="53">
        <f>O5*Assumptions!N12</f>
        <v>46400000</v>
      </c>
    </row>
    <row r="12" spans="1:17" x14ac:dyDescent="0.25">
      <c r="A12" s="25">
        <f t="shared" si="0"/>
        <v>12</v>
      </c>
      <c r="B12" s="25"/>
      <c r="C12" s="32" t="s">
        <v>33</v>
      </c>
      <c r="D12" s="33"/>
      <c r="E12" s="52">
        <f>E9-E10-E11</f>
        <v>1440000</v>
      </c>
      <c r="F12" s="52">
        <f t="shared" ref="F12:O12" si="4">F9-F10-F11</f>
        <v>3168000</v>
      </c>
      <c r="G12" s="52">
        <f t="shared" si="4"/>
        <v>5328000</v>
      </c>
      <c r="H12" s="52">
        <f t="shared" si="4"/>
        <v>8208000</v>
      </c>
      <c r="I12" s="52">
        <f t="shared" si="4"/>
        <v>11808000</v>
      </c>
      <c r="J12" s="52">
        <f t="shared" si="4"/>
        <v>16128000</v>
      </c>
      <c r="K12" s="52">
        <f t="shared" si="4"/>
        <v>20448000</v>
      </c>
      <c r="L12" s="52">
        <f t="shared" si="4"/>
        <v>24768000</v>
      </c>
      <c r="M12" s="52">
        <f t="shared" si="4"/>
        <v>29088000</v>
      </c>
      <c r="N12" s="52">
        <f t="shared" si="4"/>
        <v>33408000</v>
      </c>
      <c r="O12" s="53">
        <f t="shared" si="4"/>
        <v>33408000</v>
      </c>
    </row>
    <row r="13" spans="1:17" x14ac:dyDescent="0.25">
      <c r="A13" s="25">
        <f t="shared" si="0"/>
        <v>13</v>
      </c>
      <c r="B13" s="25"/>
      <c r="C13" s="32" t="s">
        <v>7</v>
      </c>
      <c r="D13" s="33"/>
      <c r="E13" s="52">
        <f>Assumptions!$D$35</f>
        <v>5000000</v>
      </c>
      <c r="F13" s="52">
        <f>Assumptions!$D$35</f>
        <v>5000000</v>
      </c>
      <c r="G13" s="52"/>
      <c r="H13" s="52"/>
      <c r="I13" s="52"/>
      <c r="J13" s="52"/>
      <c r="K13" s="52"/>
      <c r="L13" s="52"/>
      <c r="M13" s="52"/>
      <c r="N13" s="52"/>
      <c r="O13" s="53"/>
    </row>
    <row r="14" spans="1:17" x14ac:dyDescent="0.25">
      <c r="A14" s="25">
        <f t="shared" si="0"/>
        <v>14</v>
      </c>
      <c r="B14" s="25"/>
      <c r="C14" s="32"/>
      <c r="D14" s="34"/>
      <c r="E14" s="59" t="s">
        <v>64</v>
      </c>
      <c r="F14" s="34"/>
      <c r="G14" s="34"/>
      <c r="H14" s="34"/>
      <c r="I14" s="34"/>
      <c r="J14" s="34"/>
      <c r="K14" s="34"/>
      <c r="L14" s="34"/>
      <c r="M14" s="34"/>
      <c r="N14" s="34"/>
      <c r="O14" s="35"/>
    </row>
    <row r="15" spans="1:17" x14ac:dyDescent="0.25">
      <c r="A15" s="25">
        <f t="shared" si="0"/>
        <v>15</v>
      </c>
      <c r="B15" s="60" t="s">
        <v>65</v>
      </c>
      <c r="C15" s="32" t="s">
        <v>59</v>
      </c>
      <c r="D15" s="52">
        <f>Assumptions!D27</f>
        <v>40000000</v>
      </c>
      <c r="E15" s="58">
        <f>D15+E12-E13+E16-E18</f>
        <v>38553828</v>
      </c>
      <c r="F15" s="58">
        <f t="shared" ref="F15:O15" si="5">E15+F12-F13+F16-F18</f>
        <v>38325344.463600002</v>
      </c>
      <c r="G15" s="58">
        <f t="shared" si="5"/>
        <v>43307795.449705325</v>
      </c>
      <c r="H15" s="58">
        <f t="shared" si="5"/>
        <v>50531898.77911187</v>
      </c>
      <c r="I15" s="58">
        <f t="shared" si="5"/>
        <v>60586653.87407238</v>
      </c>
      <c r="J15" s="58">
        <f t="shared" si="5"/>
        <v>74077964.44025825</v>
      </c>
      <c r="K15" s="58">
        <f t="shared" si="5"/>
        <v>91104459.619693652</v>
      </c>
      <c r="L15" s="58">
        <f t="shared" si="5"/>
        <v>111767599.21077886</v>
      </c>
      <c r="M15" s="58">
        <f t="shared" si="5"/>
        <v>136171754.90812823</v>
      </c>
      <c r="N15" s="58">
        <f t="shared" si="5"/>
        <v>164424293.87399152</v>
      </c>
      <c r="O15" s="61">
        <f t="shared" si="5"/>
        <v>193487680.70817506</v>
      </c>
    </row>
    <row r="16" spans="1:17" x14ac:dyDescent="0.25">
      <c r="A16" s="25">
        <f t="shared" si="0"/>
        <v>16</v>
      </c>
      <c r="B16" s="60" t="s">
        <v>65</v>
      </c>
      <c r="C16" s="32" t="s">
        <v>10</v>
      </c>
      <c r="D16" s="33"/>
      <c r="E16" s="52">
        <f>(D15+E12-E13)*Assumptions!$D$36</f>
        <v>1494040</v>
      </c>
      <c r="F16" s="52">
        <f>(E15+F12-F13)*Assumptions!$D$36</f>
        <v>1505594.9480000001</v>
      </c>
      <c r="G16" s="52">
        <f>(F15+G12-G13)*Assumptions!$D$36</f>
        <v>1789787.1230076002</v>
      </c>
      <c r="H16" s="52">
        <f>(G15+H12-H13)*Assumptions!$D$36</f>
        <v>2112147.6134379185</v>
      </c>
      <c r="I16" s="52">
        <f>(H15+I12-I13)*Assumptions!$D$36</f>
        <v>2555935.8499435866</v>
      </c>
      <c r="J16" s="52">
        <f>(I15+J12-J13)*Assumptions!$D$36</f>
        <v>3145300.8088369672</v>
      </c>
      <c r="K16" s="52">
        <f>(J15+K12-K13)*Assumptions!$D$36</f>
        <v>3875564.5420505884</v>
      </c>
      <c r="L16" s="52">
        <f>(K15+L12-L13)*Assumptions!$D$36</f>
        <v>4750770.8444074402</v>
      </c>
      <c r="M16" s="52">
        <f>(L15+M12-M13)*Assumptions!$D$36</f>
        <v>5775079.5676419334</v>
      </c>
      <c r="N16" s="52">
        <f>(M15+N12-N13)*Assumptions!$D$36</f>
        <v>6952769.9512332575</v>
      </c>
      <c r="O16" s="53">
        <f>(N15+O12-O13)*Assumptions!$D$36</f>
        <v>8111124.0488336524</v>
      </c>
    </row>
    <row r="17" spans="1:15" x14ac:dyDescent="0.25">
      <c r="A17" s="25">
        <f t="shared" si="0"/>
        <v>17</v>
      </c>
      <c r="B17" s="25"/>
      <c r="C17" s="32" t="s">
        <v>12</v>
      </c>
      <c r="D17" s="33"/>
      <c r="E17" s="52">
        <f>E12-E13+E16</f>
        <v>-2065960</v>
      </c>
      <c r="F17" s="52">
        <f t="shared" ref="F17:O17" si="6">F12-F13+F16</f>
        <v>-326405.05199999991</v>
      </c>
      <c r="G17" s="52">
        <f t="shared" si="6"/>
        <v>7117787.1230076002</v>
      </c>
      <c r="H17" s="52">
        <f t="shared" si="6"/>
        <v>10320147.613437919</v>
      </c>
      <c r="I17" s="52">
        <f t="shared" si="6"/>
        <v>14363935.849943586</v>
      </c>
      <c r="J17" s="52">
        <f t="shared" si="6"/>
        <v>19273300.808836967</v>
      </c>
      <c r="K17" s="52">
        <f t="shared" si="6"/>
        <v>24323564.542050589</v>
      </c>
      <c r="L17" s="52">
        <f t="shared" si="6"/>
        <v>29518770.844407439</v>
      </c>
      <c r="M17" s="52">
        <f t="shared" si="6"/>
        <v>34863079.567641936</v>
      </c>
      <c r="N17" s="52">
        <f t="shared" si="6"/>
        <v>40360769.95123326</v>
      </c>
      <c r="O17" s="53">
        <f t="shared" si="6"/>
        <v>41519124.048833653</v>
      </c>
    </row>
    <row r="18" spans="1:15" x14ac:dyDescent="0.25">
      <c r="A18" s="25">
        <f t="shared" si="0"/>
        <v>18</v>
      </c>
      <c r="B18" s="25"/>
      <c r="C18" s="32" t="s">
        <v>0</v>
      </c>
      <c r="D18" s="33"/>
      <c r="E18" s="52">
        <f>E17*Assumptions!$D$34</f>
        <v>-619788</v>
      </c>
      <c r="F18" s="52">
        <f>F17*Assumptions!$D$34</f>
        <v>-97921.51559999997</v>
      </c>
      <c r="G18" s="52">
        <f>G17*Assumptions!$D$34</f>
        <v>2135336.1369022802</v>
      </c>
      <c r="H18" s="52">
        <f>H17*Assumptions!$D$34</f>
        <v>3096044.2840313758</v>
      </c>
      <c r="I18" s="52">
        <f>I17*Assumptions!$D$34</f>
        <v>4309180.7549830759</v>
      </c>
      <c r="J18" s="52">
        <f>J17*Assumptions!$D$34</f>
        <v>5781990.24265109</v>
      </c>
      <c r="K18" s="52">
        <f>K17*Assumptions!$D$34</f>
        <v>7297069.3626151765</v>
      </c>
      <c r="L18" s="52">
        <f>L17*Assumptions!$D$34</f>
        <v>8855631.2533222307</v>
      </c>
      <c r="M18" s="52">
        <f>M17*Assumptions!$D$34</f>
        <v>10458923.87029258</v>
      </c>
      <c r="N18" s="52">
        <f>N17*Assumptions!$D$34</f>
        <v>12108230.985369978</v>
      </c>
      <c r="O18" s="53">
        <f>O17*Assumptions!$D$34</f>
        <v>12455737.214650096</v>
      </c>
    </row>
    <row r="19" spans="1:15" x14ac:dyDescent="0.25">
      <c r="A19" s="25">
        <f t="shared" si="0"/>
        <v>19</v>
      </c>
      <c r="B19" s="25"/>
      <c r="C19" s="32" t="s">
        <v>13</v>
      </c>
      <c r="D19" s="33"/>
      <c r="E19" s="52">
        <f>E17-E18</f>
        <v>-1446172</v>
      </c>
      <c r="F19" s="52">
        <f t="shared" ref="F19:O19" si="7">F17-F18</f>
        <v>-228483.53639999992</v>
      </c>
      <c r="G19" s="52">
        <f t="shared" si="7"/>
        <v>4982450.98610532</v>
      </c>
      <c r="H19" s="52">
        <f t="shared" si="7"/>
        <v>7224103.3294065427</v>
      </c>
      <c r="I19" s="52">
        <f t="shared" si="7"/>
        <v>10054755.094960511</v>
      </c>
      <c r="J19" s="52">
        <f t="shared" si="7"/>
        <v>13491310.566185877</v>
      </c>
      <c r="K19" s="52">
        <f t="shared" si="7"/>
        <v>17026495.179435413</v>
      </c>
      <c r="L19" s="52">
        <f t="shared" si="7"/>
        <v>20663139.59108521</v>
      </c>
      <c r="M19" s="52">
        <f t="shared" si="7"/>
        <v>24404155.697349355</v>
      </c>
      <c r="N19" s="52">
        <f t="shared" si="7"/>
        <v>28252538.96586328</v>
      </c>
      <c r="O19" s="53">
        <f t="shared" si="7"/>
        <v>29063386.834183559</v>
      </c>
    </row>
    <row r="20" spans="1:15" x14ac:dyDescent="0.25">
      <c r="A20" s="25">
        <f t="shared" si="0"/>
        <v>20</v>
      </c>
      <c r="B20" s="25"/>
      <c r="C20" s="32" t="s">
        <v>29</v>
      </c>
      <c r="D20" s="33"/>
      <c r="E20" s="52">
        <f>E15-E19-D15</f>
        <v>0</v>
      </c>
      <c r="F20" s="52">
        <f t="shared" ref="F20:O20" si="8">F15-F19-E15</f>
        <v>0</v>
      </c>
      <c r="G20" s="52">
        <f t="shared" si="8"/>
        <v>0</v>
      </c>
      <c r="H20" s="52">
        <f t="shared" si="8"/>
        <v>0</v>
      </c>
      <c r="I20" s="52">
        <f t="shared" si="8"/>
        <v>0</v>
      </c>
      <c r="J20" s="52">
        <f t="shared" si="8"/>
        <v>0</v>
      </c>
      <c r="K20" s="52">
        <f t="shared" si="8"/>
        <v>0</v>
      </c>
      <c r="L20" s="52">
        <f t="shared" si="8"/>
        <v>0</v>
      </c>
      <c r="M20" s="52">
        <f t="shared" si="8"/>
        <v>0</v>
      </c>
      <c r="N20" s="52">
        <f t="shared" si="8"/>
        <v>0</v>
      </c>
      <c r="O20" s="53">
        <f t="shared" si="8"/>
        <v>0</v>
      </c>
    </row>
    <row r="21" spans="1:15" x14ac:dyDescent="0.25">
      <c r="A21" s="25">
        <f t="shared" si="0"/>
        <v>21</v>
      </c>
      <c r="B21" s="25"/>
      <c r="C21" s="32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5"/>
    </row>
    <row r="22" spans="1:15" x14ac:dyDescent="0.25">
      <c r="A22" s="25">
        <f t="shared" si="0"/>
        <v>22</v>
      </c>
      <c r="B22" s="25"/>
      <c r="C22" s="32" t="s">
        <v>23</v>
      </c>
      <c r="D22" s="52">
        <f>D15</f>
        <v>40000000</v>
      </c>
      <c r="E22" s="52">
        <f t="shared" ref="E22:O22" si="9">E15</f>
        <v>38553828</v>
      </c>
      <c r="F22" s="52">
        <f t="shared" si="9"/>
        <v>38325344.463600002</v>
      </c>
      <c r="G22" s="52">
        <f t="shared" si="9"/>
        <v>43307795.449705325</v>
      </c>
      <c r="H22" s="52">
        <f t="shared" si="9"/>
        <v>50531898.77911187</v>
      </c>
      <c r="I22" s="52">
        <f t="shared" si="9"/>
        <v>60586653.87407238</v>
      </c>
      <c r="J22" s="52">
        <f t="shared" si="9"/>
        <v>74077964.44025825</v>
      </c>
      <c r="K22" s="52">
        <f t="shared" si="9"/>
        <v>91104459.619693652</v>
      </c>
      <c r="L22" s="52">
        <f t="shared" si="9"/>
        <v>111767599.21077886</v>
      </c>
      <c r="M22" s="52">
        <f t="shared" si="9"/>
        <v>136171754.90812823</v>
      </c>
      <c r="N22" s="52">
        <f t="shared" si="9"/>
        <v>164424293.87399152</v>
      </c>
      <c r="O22" s="53">
        <f t="shared" si="9"/>
        <v>193487680.70817506</v>
      </c>
    </row>
    <row r="23" spans="1:15" ht="54" x14ac:dyDescent="0.25">
      <c r="A23" s="25">
        <f t="shared" si="0"/>
        <v>23</v>
      </c>
      <c r="B23" s="65" t="s">
        <v>66</v>
      </c>
      <c r="C23" s="67" t="s">
        <v>24</v>
      </c>
      <c r="D23" s="68">
        <v>0</v>
      </c>
      <c r="E23" s="68">
        <v>0</v>
      </c>
      <c r="F23" s="68">
        <v>0</v>
      </c>
      <c r="G23" s="68">
        <v>0</v>
      </c>
      <c r="H23" s="68">
        <v>0</v>
      </c>
      <c r="I23" s="68">
        <v>0</v>
      </c>
      <c r="J23" s="68">
        <v>0</v>
      </c>
      <c r="K23" s="68">
        <v>0</v>
      </c>
      <c r="L23" s="68">
        <v>0</v>
      </c>
      <c r="M23" s="68">
        <v>0</v>
      </c>
      <c r="N23" s="68">
        <v>0</v>
      </c>
      <c r="O23" s="69">
        <v>0</v>
      </c>
    </row>
    <row r="24" spans="1:15" x14ac:dyDescent="0.25">
      <c r="A24" s="25">
        <f t="shared" si="0"/>
        <v>24</v>
      </c>
      <c r="B24" s="25"/>
      <c r="C24" s="32" t="s">
        <v>25</v>
      </c>
      <c r="D24" s="52">
        <f>D22-D23</f>
        <v>40000000</v>
      </c>
      <c r="E24" s="52">
        <f t="shared" ref="E24:O24" si="10">E22-E23</f>
        <v>38553828</v>
      </c>
      <c r="F24" s="52">
        <f t="shared" si="10"/>
        <v>38325344.463600002</v>
      </c>
      <c r="G24" s="52">
        <f t="shared" si="10"/>
        <v>43307795.449705325</v>
      </c>
      <c r="H24" s="52">
        <f t="shared" si="10"/>
        <v>50531898.77911187</v>
      </c>
      <c r="I24" s="52">
        <f t="shared" si="10"/>
        <v>60586653.87407238</v>
      </c>
      <c r="J24" s="52">
        <f t="shared" si="10"/>
        <v>74077964.44025825</v>
      </c>
      <c r="K24" s="52">
        <f t="shared" si="10"/>
        <v>91104459.619693652</v>
      </c>
      <c r="L24" s="52">
        <f t="shared" si="10"/>
        <v>111767599.21077886</v>
      </c>
      <c r="M24" s="52">
        <f t="shared" si="10"/>
        <v>136171754.90812823</v>
      </c>
      <c r="N24" s="52">
        <f t="shared" si="10"/>
        <v>164424293.87399152</v>
      </c>
      <c r="O24" s="53">
        <f t="shared" si="10"/>
        <v>193487680.70817506</v>
      </c>
    </row>
    <row r="25" spans="1:15" ht="14.25" thickBot="1" x14ac:dyDescent="0.3">
      <c r="A25" s="25">
        <f t="shared" si="0"/>
        <v>25</v>
      </c>
      <c r="B25" s="25"/>
      <c r="C25" s="36" t="s">
        <v>26</v>
      </c>
      <c r="D25" s="54">
        <f>D24</f>
        <v>40000000</v>
      </c>
      <c r="E25" s="54">
        <f t="shared" ref="E25:O25" si="11">E24</f>
        <v>38553828</v>
      </c>
      <c r="F25" s="54">
        <f t="shared" si="11"/>
        <v>38325344.463600002</v>
      </c>
      <c r="G25" s="54">
        <f t="shared" si="11"/>
        <v>43307795.449705325</v>
      </c>
      <c r="H25" s="54">
        <f t="shared" si="11"/>
        <v>50531898.77911187</v>
      </c>
      <c r="I25" s="54">
        <f t="shared" si="11"/>
        <v>60586653.87407238</v>
      </c>
      <c r="J25" s="54">
        <f t="shared" si="11"/>
        <v>74077964.44025825</v>
      </c>
      <c r="K25" s="54">
        <f t="shared" si="11"/>
        <v>91104459.619693652</v>
      </c>
      <c r="L25" s="54">
        <f t="shared" si="11"/>
        <v>111767599.21077886</v>
      </c>
      <c r="M25" s="54">
        <f t="shared" si="11"/>
        <v>136171754.90812823</v>
      </c>
      <c r="N25" s="54">
        <f t="shared" si="11"/>
        <v>164424293.87399152</v>
      </c>
      <c r="O25" s="55">
        <f t="shared" si="11"/>
        <v>193487680.70817506</v>
      </c>
    </row>
    <row r="26" spans="1:15" ht="14.25" thickBot="1" x14ac:dyDescent="0.3">
      <c r="A26" s="25">
        <f t="shared" si="0"/>
        <v>26</v>
      </c>
      <c r="B26" s="25"/>
      <c r="C26" s="24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</row>
    <row r="27" spans="1:15" x14ac:dyDescent="0.25">
      <c r="A27" s="25">
        <f t="shared" si="0"/>
        <v>27</v>
      </c>
      <c r="B27" s="25"/>
      <c r="C27" s="37" t="s">
        <v>58</v>
      </c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9"/>
    </row>
    <row r="28" spans="1:15" x14ac:dyDescent="0.25">
      <c r="A28" s="25">
        <f t="shared" si="0"/>
        <v>28</v>
      </c>
      <c r="B28" s="25"/>
      <c r="C28" s="42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5"/>
    </row>
    <row r="29" spans="1:15" x14ac:dyDescent="0.25">
      <c r="A29" s="25">
        <f t="shared" si="0"/>
        <v>29</v>
      </c>
      <c r="B29" s="65"/>
      <c r="C29" s="32" t="s">
        <v>53</v>
      </c>
      <c r="D29" s="52">
        <f>E10*Assumptions!$D$22</f>
        <v>3000000</v>
      </c>
      <c r="E29" s="52">
        <f>F10*Assumptions!$D$22</f>
        <v>6600000</v>
      </c>
      <c r="F29" s="52">
        <f>G10*Assumptions!$D$22</f>
        <v>11100000</v>
      </c>
      <c r="G29" s="52">
        <f>H10*Assumptions!$D$22</f>
        <v>17100000</v>
      </c>
      <c r="H29" s="52">
        <f>I10*Assumptions!$D$22</f>
        <v>24600000</v>
      </c>
      <c r="I29" s="52">
        <f>J10*Assumptions!$D$22</f>
        <v>33600000</v>
      </c>
      <c r="J29" s="52">
        <f>K10*Assumptions!$D$22</f>
        <v>42600000</v>
      </c>
      <c r="K29" s="52">
        <f>L10*Assumptions!$D$22</f>
        <v>51600000</v>
      </c>
      <c r="L29" s="52">
        <f>M10*Assumptions!$D$22</f>
        <v>60600000</v>
      </c>
      <c r="M29" s="52">
        <f>N10*Assumptions!$D$22</f>
        <v>69600000</v>
      </c>
      <c r="N29" s="52">
        <f>O10*Assumptions!$D$22</f>
        <v>69600000</v>
      </c>
      <c r="O29" s="40"/>
    </row>
    <row r="30" spans="1:15" x14ac:dyDescent="0.25">
      <c r="A30" s="25">
        <f t="shared" si="0"/>
        <v>30</v>
      </c>
      <c r="B30" s="66" t="s">
        <v>67</v>
      </c>
      <c r="C30" s="32" t="s">
        <v>54</v>
      </c>
      <c r="D30" s="58">
        <f>(E11+E13)*Assumptions!$D$23</f>
        <v>700000</v>
      </c>
      <c r="E30" s="58">
        <f>(F11+F13)*Assumptions!$D$23</f>
        <v>940000</v>
      </c>
      <c r="F30" s="58">
        <f>(G11+G13)*Assumptions!$D$23</f>
        <v>740000</v>
      </c>
      <c r="G30" s="58">
        <f>(H11+H13)*Assumptions!$D$23</f>
        <v>1140000</v>
      </c>
      <c r="H30" s="58">
        <f>(I11+I13)*Assumptions!$D$23</f>
        <v>1640000</v>
      </c>
      <c r="I30" s="58">
        <f>(J11+J13)*Assumptions!$D$23</f>
        <v>2240000</v>
      </c>
      <c r="J30" s="58">
        <f>(K11+K13)*Assumptions!$D$23</f>
        <v>2840000</v>
      </c>
      <c r="K30" s="58">
        <f>(L11+L13)*Assumptions!$D$23</f>
        <v>3440000</v>
      </c>
      <c r="L30" s="58">
        <f>(M11+M13)*Assumptions!$D$23</f>
        <v>4040000</v>
      </c>
      <c r="M30" s="58">
        <f>(N11+N13)*Assumptions!$D$23</f>
        <v>4640000</v>
      </c>
      <c r="N30" s="58">
        <f>(O11+O13)*Assumptions!$D$23</f>
        <v>4640000</v>
      </c>
      <c r="O30" s="40"/>
    </row>
    <row r="31" spans="1:15" x14ac:dyDescent="0.25">
      <c r="A31" s="25">
        <f t="shared" si="0"/>
        <v>31</v>
      </c>
      <c r="B31" s="25"/>
      <c r="C31" s="32" t="s">
        <v>14</v>
      </c>
      <c r="D31" s="64">
        <f>SUM(D29:D30)-E17</f>
        <v>5765960</v>
      </c>
      <c r="E31" s="58">
        <f t="shared" ref="E31:N31" si="12">SUM(E29:E30)-F17</f>
        <v>7866405.0520000001</v>
      </c>
      <c r="F31" s="58">
        <f t="shared" si="12"/>
        <v>4722212.8769923998</v>
      </c>
      <c r="G31" s="58">
        <f t="shared" si="12"/>
        <v>7919852.3865620811</v>
      </c>
      <c r="H31" s="58">
        <f t="shared" si="12"/>
        <v>11876064.150056414</v>
      </c>
      <c r="I31" s="58">
        <f t="shared" si="12"/>
        <v>16566699.191163033</v>
      </c>
      <c r="J31" s="58">
        <f t="shared" si="12"/>
        <v>21116435.457949411</v>
      </c>
      <c r="K31" s="58">
        <f t="shared" si="12"/>
        <v>25521229.155592561</v>
      </c>
      <c r="L31" s="58">
        <f t="shared" si="12"/>
        <v>29776920.432358064</v>
      </c>
      <c r="M31" s="58">
        <f t="shared" si="12"/>
        <v>33879230.04876674</v>
      </c>
      <c r="N31" s="58">
        <f t="shared" si="12"/>
        <v>32720875.951166347</v>
      </c>
      <c r="O31" s="40"/>
    </row>
    <row r="32" spans="1:15" x14ac:dyDescent="0.25">
      <c r="A32" s="25">
        <f t="shared" si="0"/>
        <v>32</v>
      </c>
      <c r="B32" s="25"/>
      <c r="C32" s="32" t="s">
        <v>15</v>
      </c>
      <c r="D32" s="52">
        <f>D31*(1-Assumptions!$D$34)</f>
        <v>4036171.9999999995</v>
      </c>
      <c r="E32" s="52">
        <f>E31*(1-Assumptions!$D$34)</f>
        <v>5506483.5363999996</v>
      </c>
      <c r="F32" s="52">
        <f>F31*(1-Assumptions!$D$34)</f>
        <v>3305549.0138946795</v>
      </c>
      <c r="G32" s="52">
        <f>G31*(1-Assumptions!$D$34)</f>
        <v>5543896.6705934564</v>
      </c>
      <c r="H32" s="52">
        <f>H31*(1-Assumptions!$D$34)</f>
        <v>8313244.9050394893</v>
      </c>
      <c r="I32" s="52">
        <f>I31*(1-Assumptions!$D$34)</f>
        <v>11596689.433814123</v>
      </c>
      <c r="J32" s="52">
        <f>J31*(1-Assumptions!$D$34)</f>
        <v>14781504.820564587</v>
      </c>
      <c r="K32" s="52">
        <f>K31*(1-Assumptions!$D$34)</f>
        <v>17864860.40891479</v>
      </c>
      <c r="L32" s="52">
        <f>L31*(1-Assumptions!$D$34)</f>
        <v>20843844.302650642</v>
      </c>
      <c r="M32" s="52">
        <f>M31*(1-Assumptions!$D$34)</f>
        <v>23715461.034136716</v>
      </c>
      <c r="N32" s="52">
        <f>N31*(1-Assumptions!$D$34)</f>
        <v>22904613.165816441</v>
      </c>
      <c r="O32" s="40"/>
    </row>
    <row r="33" spans="1:15" x14ac:dyDescent="0.25">
      <c r="A33" s="25">
        <f t="shared" si="0"/>
        <v>33</v>
      </c>
      <c r="B33" s="25"/>
      <c r="C33" s="32" t="s">
        <v>17</v>
      </c>
      <c r="D33" s="52">
        <f>D22*Assumptions!$D$24</f>
        <v>10000000</v>
      </c>
      <c r="E33" s="52">
        <f>E22*Assumptions!$D$24</f>
        <v>9638457</v>
      </c>
      <c r="F33" s="52">
        <f>F22*Assumptions!$D$24</f>
        <v>9581336.1159000006</v>
      </c>
      <c r="G33" s="52">
        <f>G22*Assumptions!$D$24</f>
        <v>10826948.862426331</v>
      </c>
      <c r="H33" s="52">
        <f>H22*Assumptions!$D$24</f>
        <v>12632974.694777967</v>
      </c>
      <c r="I33" s="52">
        <f>I22*Assumptions!$D$24</f>
        <v>15146663.468518095</v>
      </c>
      <c r="J33" s="52">
        <f>J22*Assumptions!$D$24</f>
        <v>18519491.110064562</v>
      </c>
      <c r="K33" s="52">
        <f>K22*Assumptions!$D$24</f>
        <v>22776114.904923413</v>
      </c>
      <c r="L33" s="52">
        <f>L22*Assumptions!$D$24</f>
        <v>27941899.802694716</v>
      </c>
      <c r="M33" s="52">
        <f>M22*Assumptions!$D$24</f>
        <v>34042938.727032058</v>
      </c>
      <c r="N33" s="52">
        <f>N22*Assumptions!$D$24</f>
        <v>41106073.46849788</v>
      </c>
      <c r="O33" s="40"/>
    </row>
    <row r="34" spans="1:15" x14ac:dyDescent="0.25">
      <c r="A34" s="25">
        <f t="shared" si="0"/>
        <v>34</v>
      </c>
      <c r="B34" s="25"/>
      <c r="C34" s="32" t="s">
        <v>16</v>
      </c>
      <c r="D34" s="52">
        <f>D33*(1-Assumptions!$D$34)</f>
        <v>7000000</v>
      </c>
      <c r="E34" s="52">
        <f>E33*(1-Assumptions!$D$34)</f>
        <v>6746919.8999999994</v>
      </c>
      <c r="F34" s="52">
        <f>F33*(1-Assumptions!$D$34)</f>
        <v>6706935.28113</v>
      </c>
      <c r="G34" s="52">
        <f>G33*(1-Assumptions!$D$34)</f>
        <v>7578864.2036984311</v>
      </c>
      <c r="H34" s="52">
        <f>H33*(1-Assumptions!$D$34)</f>
        <v>8843082.2863445766</v>
      </c>
      <c r="I34" s="52">
        <f>I33*(1-Assumptions!$D$34)</f>
        <v>10602664.427962666</v>
      </c>
      <c r="J34" s="52">
        <f>J33*(1-Assumptions!$D$34)</f>
        <v>12963643.777045192</v>
      </c>
      <c r="K34" s="52">
        <f>K33*(1-Assumptions!$D$34)</f>
        <v>15943280.433446389</v>
      </c>
      <c r="L34" s="52">
        <f>L33*(1-Assumptions!$D$34)</f>
        <v>19559329.8618863</v>
      </c>
      <c r="M34" s="52">
        <f>M33*(1-Assumptions!$D$34)</f>
        <v>23830057.108922441</v>
      </c>
      <c r="N34" s="52">
        <f>N33*(1-Assumptions!$D$34)</f>
        <v>28774251.427948516</v>
      </c>
      <c r="O34" s="40"/>
    </row>
    <row r="35" spans="1:15" x14ac:dyDescent="0.25">
      <c r="A35" s="25">
        <f t="shared" si="0"/>
        <v>35</v>
      </c>
      <c r="B35" s="25"/>
      <c r="C35" s="32" t="s">
        <v>18</v>
      </c>
      <c r="D35" s="58">
        <f>SQRT(D32^2+D34^2+2*0.2*D32*D34)-(D32+D34)</f>
        <v>-2284488.389769109</v>
      </c>
      <c r="E35" s="58">
        <f t="shared" ref="E35:N35" si="13">SQRT(E32^2+E34^2+2*0.2*E32*E34)-(E32+E34)</f>
        <v>-2729590.627762692</v>
      </c>
      <c r="F35" s="58">
        <f t="shared" si="13"/>
        <v>-1964026.2768422952</v>
      </c>
      <c r="G35" s="58">
        <f t="shared" si="13"/>
        <v>-2876759.2676833794</v>
      </c>
      <c r="H35" s="58">
        <f t="shared" si="13"/>
        <v>-3862869.0754931588</v>
      </c>
      <c r="I35" s="58">
        <f t="shared" si="13"/>
        <v>-4992319.7938982248</v>
      </c>
      <c r="J35" s="58">
        <f t="shared" si="13"/>
        <v>-6223117.7935363203</v>
      </c>
      <c r="K35" s="58">
        <f t="shared" si="13"/>
        <v>-7592282.6612715051</v>
      </c>
      <c r="L35" s="58">
        <f t="shared" si="13"/>
        <v>-9096467.5271188766</v>
      </c>
      <c r="M35" s="58">
        <f t="shared" si="13"/>
        <v>-10716846.836598441</v>
      </c>
      <c r="N35" s="58">
        <f t="shared" si="13"/>
        <v>-11476823.74069719</v>
      </c>
      <c r="O35" s="40"/>
    </row>
    <row r="36" spans="1:15" x14ac:dyDescent="0.25">
      <c r="A36" s="25">
        <f t="shared" si="0"/>
        <v>36</v>
      </c>
      <c r="B36" s="25"/>
      <c r="C36" s="32" t="s">
        <v>19</v>
      </c>
      <c r="D36" s="52">
        <f>Assumptions!$D$25*E5</f>
        <v>600000</v>
      </c>
      <c r="E36" s="52">
        <f>Assumptions!$D$25*F5</f>
        <v>1320000</v>
      </c>
      <c r="F36" s="52">
        <f>Assumptions!$D$25*G5</f>
        <v>2220000</v>
      </c>
      <c r="G36" s="52">
        <f>Assumptions!$D$25*H5</f>
        <v>3420000</v>
      </c>
      <c r="H36" s="52">
        <f>Assumptions!$D$25*I5</f>
        <v>4920000</v>
      </c>
      <c r="I36" s="52">
        <f>Assumptions!$D$25*J5</f>
        <v>6720000</v>
      </c>
      <c r="J36" s="52">
        <f>Assumptions!$D$25*K5</f>
        <v>8520000</v>
      </c>
      <c r="K36" s="52">
        <f>Assumptions!$D$25*L5</f>
        <v>10320000</v>
      </c>
      <c r="L36" s="52">
        <f>Assumptions!$D$25*M5</f>
        <v>12120000</v>
      </c>
      <c r="M36" s="52">
        <f>Assumptions!$D$25*N5</f>
        <v>13920000</v>
      </c>
      <c r="N36" s="52">
        <f>Assumptions!$D$25*O5</f>
        <v>13920000</v>
      </c>
      <c r="O36" s="40"/>
    </row>
    <row r="37" spans="1:15" x14ac:dyDescent="0.25">
      <c r="A37" s="25">
        <f t="shared" si="0"/>
        <v>37</v>
      </c>
      <c r="B37" s="25"/>
      <c r="C37" s="32" t="s">
        <v>20</v>
      </c>
      <c r="D37" s="58">
        <f>(D32+D34+D35)/(1-Assumptions!$D$34)*Assumptions!$D$34</f>
        <v>3750721.5472418102</v>
      </c>
      <c r="E37" s="58">
        <f>(E32+E34+E35)/(1-Assumptions!$D$34)*Assumptions!$D$34</f>
        <v>4081634.0608445606</v>
      </c>
      <c r="F37" s="58">
        <f>(F32+F34+F35)/(1-Assumptions!$D$34)*Assumptions!$D$34</f>
        <v>3449339.1506495937</v>
      </c>
      <c r="G37" s="58">
        <f>(G32+G34+G35)/(1-Assumptions!$D$34)*Assumptions!$D$34</f>
        <v>4391143.5456893602</v>
      </c>
      <c r="H37" s="58">
        <f>(H32+H34+H35)/(1-Assumptions!$D$34)*Assumptions!$D$34</f>
        <v>5697196.335381818</v>
      </c>
      <c r="I37" s="58">
        <f>(I32+I34+I35)/(1-Assumptions!$D$34)*Assumptions!$D$34</f>
        <v>7374443.1719479579</v>
      </c>
      <c r="J37" s="58">
        <f>(J32+J34+J35)/(1-Assumptions!$D$34)*Assumptions!$D$34</f>
        <v>9223727.4874600545</v>
      </c>
      <c r="K37" s="58">
        <f>(K32+K34+K35)/(1-Assumptions!$D$34)*Assumptions!$D$34</f>
        <v>11235367.791895576</v>
      </c>
      <c r="L37" s="58">
        <f>(L32+L34+L35)/(1-Assumptions!$D$34)*Assumptions!$D$34</f>
        <v>13417159.987464884</v>
      </c>
      <c r="M37" s="58">
        <f>(M32+M34+M35)/(1-Assumptions!$D$34)*Assumptions!$D$34</f>
        <v>15783716.27419745</v>
      </c>
      <c r="N37" s="58">
        <f>(N32+N34+N35)/(1-Assumptions!$D$34)*Assumptions!$D$34</f>
        <v>17229446.079886187</v>
      </c>
      <c r="O37" s="40"/>
    </row>
    <row r="38" spans="1:15" x14ac:dyDescent="0.25">
      <c r="A38" s="25">
        <f t="shared" si="0"/>
        <v>38</v>
      </c>
      <c r="B38" s="25"/>
      <c r="C38" s="32" t="s">
        <v>21</v>
      </c>
      <c r="D38" s="52">
        <f>D32+D34+D35+D36+D37</f>
        <v>13102405.157472702</v>
      </c>
      <c r="E38" s="52">
        <f t="shared" ref="E38:N38" si="14">E32+E34+E35+E36+E37</f>
        <v>14925446.869481869</v>
      </c>
      <c r="F38" s="52">
        <f t="shared" si="14"/>
        <v>13717797.16883198</v>
      </c>
      <c r="G38" s="52">
        <f t="shared" si="14"/>
        <v>18057145.152297869</v>
      </c>
      <c r="H38" s="52">
        <f t="shared" si="14"/>
        <v>23910654.451272722</v>
      </c>
      <c r="I38" s="52">
        <f t="shared" si="14"/>
        <v>31301477.239826523</v>
      </c>
      <c r="J38" s="52">
        <f t="shared" si="14"/>
        <v>39265758.291533515</v>
      </c>
      <c r="K38" s="52">
        <f t="shared" si="14"/>
        <v>47771225.972985253</v>
      </c>
      <c r="L38" s="52">
        <f t="shared" si="14"/>
        <v>56843866.624882944</v>
      </c>
      <c r="M38" s="52">
        <f t="shared" si="14"/>
        <v>66532387.580658168</v>
      </c>
      <c r="N38" s="52">
        <f t="shared" si="14"/>
        <v>71351486.932953954</v>
      </c>
      <c r="O38" s="40"/>
    </row>
    <row r="39" spans="1:15" x14ac:dyDescent="0.25">
      <c r="A39" s="25">
        <f t="shared" si="0"/>
        <v>39</v>
      </c>
      <c r="B39" s="25"/>
      <c r="C39" s="32" t="s">
        <v>22</v>
      </c>
      <c r="D39" s="52">
        <f>Assumptions!$D$26*D38</f>
        <v>6551202.5787363509</v>
      </c>
      <c r="E39" s="52">
        <f>Assumptions!$D$26*E38</f>
        <v>7462723.4347409345</v>
      </c>
      <c r="F39" s="52">
        <f>Assumptions!$D$26*F38</f>
        <v>6858898.5844159899</v>
      </c>
      <c r="G39" s="52">
        <f>Assumptions!$D$26*G38</f>
        <v>9028572.5761489347</v>
      </c>
      <c r="H39" s="52">
        <f>Assumptions!$D$26*H38</f>
        <v>11955327.225636361</v>
      </c>
      <c r="I39" s="52">
        <f>Assumptions!$D$26*I38</f>
        <v>15650738.619913261</v>
      </c>
      <c r="J39" s="52">
        <f>Assumptions!$D$26*J38</f>
        <v>19632879.145766757</v>
      </c>
      <c r="K39" s="52">
        <f>Assumptions!$D$26*K38</f>
        <v>23885612.986492626</v>
      </c>
      <c r="L39" s="52">
        <f>Assumptions!$D$26*L38</f>
        <v>28421933.312441472</v>
      </c>
      <c r="M39" s="52">
        <f>Assumptions!$D$26*M38</f>
        <v>33266193.790329084</v>
      </c>
      <c r="N39" s="52">
        <f>Assumptions!$D$26*N38</f>
        <v>35675743.466476977</v>
      </c>
      <c r="O39" s="40"/>
    </row>
    <row r="40" spans="1:15" x14ac:dyDescent="0.25">
      <c r="A40" s="25">
        <f t="shared" si="0"/>
        <v>40</v>
      </c>
      <c r="B40" s="25"/>
      <c r="C40" s="32" t="s">
        <v>27</v>
      </c>
      <c r="D40" s="52">
        <f>D38+D39</f>
        <v>19653607.736209054</v>
      </c>
      <c r="E40" s="52">
        <f t="shared" ref="E40:N40" si="15">E38+E39</f>
        <v>22388170.304222804</v>
      </c>
      <c r="F40" s="52">
        <f t="shared" si="15"/>
        <v>20576695.753247969</v>
      </c>
      <c r="G40" s="52">
        <f t="shared" si="15"/>
        <v>27085717.728446804</v>
      </c>
      <c r="H40" s="52">
        <f t="shared" si="15"/>
        <v>35865981.676909082</v>
      </c>
      <c r="I40" s="52">
        <f t="shared" si="15"/>
        <v>46952215.85973978</v>
      </c>
      <c r="J40" s="52">
        <f t="shared" si="15"/>
        <v>58898637.437300272</v>
      </c>
      <c r="K40" s="52">
        <f t="shared" si="15"/>
        <v>71656838.959477872</v>
      </c>
      <c r="L40" s="52">
        <f t="shared" si="15"/>
        <v>85265799.93732442</v>
      </c>
      <c r="M40" s="52">
        <f t="shared" si="15"/>
        <v>99798581.370987251</v>
      </c>
      <c r="N40" s="52">
        <f t="shared" si="15"/>
        <v>107027230.39943093</v>
      </c>
      <c r="O40" s="40"/>
    </row>
    <row r="41" spans="1:15" ht="14.25" thickBot="1" x14ac:dyDescent="0.3">
      <c r="A41" s="25">
        <f t="shared" si="0"/>
        <v>41</v>
      </c>
      <c r="B41" s="25"/>
      <c r="C41" s="36" t="s">
        <v>28</v>
      </c>
      <c r="D41" s="54">
        <f>D25-D40</f>
        <v>20346392.263790946</v>
      </c>
      <c r="E41" s="54">
        <f t="shared" ref="E41:N41" si="16">E25-E40</f>
        <v>16165657.695777196</v>
      </c>
      <c r="F41" s="54">
        <f t="shared" si="16"/>
        <v>17748648.710352033</v>
      </c>
      <c r="G41" s="54">
        <f t="shared" si="16"/>
        <v>16222077.721258521</v>
      </c>
      <c r="H41" s="54">
        <f t="shared" si="16"/>
        <v>14665917.102202788</v>
      </c>
      <c r="I41" s="54">
        <f t="shared" si="16"/>
        <v>13634438.0143326</v>
      </c>
      <c r="J41" s="54">
        <f t="shared" si="16"/>
        <v>15179327.002957977</v>
      </c>
      <c r="K41" s="54">
        <f t="shared" si="16"/>
        <v>19447620.66021578</v>
      </c>
      <c r="L41" s="54">
        <f t="shared" si="16"/>
        <v>26501799.273454443</v>
      </c>
      <c r="M41" s="54">
        <f t="shared" si="16"/>
        <v>36373173.53714098</v>
      </c>
      <c r="N41" s="54">
        <f t="shared" si="16"/>
        <v>57397063.474560589</v>
      </c>
      <c r="O41" s="41"/>
    </row>
  </sheetData>
  <mergeCells count="1">
    <mergeCell ref="C2:O2"/>
  </mergeCells>
  <pageMargins left="0.7" right="0.7" top="0.75" bottom="0.75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4"/>
  <sheetViews>
    <sheetView zoomScaleNormal="100" workbookViewId="0">
      <selection activeCell="E5" sqref="E5"/>
    </sheetView>
  </sheetViews>
  <sheetFormatPr defaultColWidth="8.7109375" defaultRowHeight="13.5" x14ac:dyDescent="0.25"/>
  <cols>
    <col min="1" max="1" width="5.42578125" style="2" customWidth="1"/>
    <col min="2" max="2" width="8.7109375" style="2" customWidth="1"/>
    <col min="3" max="3" width="17.28515625" style="2" customWidth="1"/>
    <col min="4" max="4" width="15.42578125" style="2" bestFit="1" customWidth="1"/>
    <col min="5" max="6" width="13.7109375" style="2" bestFit="1" customWidth="1"/>
    <col min="7" max="14" width="14.7109375" style="2" bestFit="1" customWidth="1"/>
    <col min="15" max="16384" width="8.7109375" style="2"/>
  </cols>
  <sheetData>
    <row r="3" spans="1:14" x14ac:dyDescent="0.25">
      <c r="C3" s="18" t="s">
        <v>8</v>
      </c>
      <c r="D3" s="20">
        <v>0</v>
      </c>
      <c r="E3" s="20">
        <v>1</v>
      </c>
      <c r="F3" s="20">
        <v>2</v>
      </c>
      <c r="G3" s="20">
        <v>3</v>
      </c>
      <c r="H3" s="20">
        <v>4</v>
      </c>
      <c r="I3" s="20">
        <v>5</v>
      </c>
      <c r="J3" s="20">
        <v>6</v>
      </c>
      <c r="K3" s="20">
        <v>7</v>
      </c>
      <c r="L3" s="20">
        <v>8</v>
      </c>
      <c r="M3" s="20">
        <v>9</v>
      </c>
      <c r="N3" s="20">
        <v>10</v>
      </c>
    </row>
    <row r="4" spans="1:14" x14ac:dyDescent="0.25">
      <c r="A4" s="2" t="s">
        <v>47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</row>
    <row r="5" spans="1:14" x14ac:dyDescent="0.25">
      <c r="A5" s="2">
        <v>9</v>
      </c>
      <c r="C5" s="2" t="s">
        <v>49</v>
      </c>
      <c r="D5" s="21"/>
      <c r="E5" s="22">
        <f>HLOOKUP(E$3,Projection!$A:$O,$A5,FALSE)</f>
        <v>9440000</v>
      </c>
      <c r="F5" s="22">
        <f>HLOOKUP(F$3,Projection!$A:$O,$A5,FALSE)</f>
        <v>20768000</v>
      </c>
      <c r="G5" s="22">
        <f>HLOOKUP(G$3,Projection!$A:$O,$A5,FALSE)</f>
        <v>34928000</v>
      </c>
      <c r="H5" s="22">
        <f>HLOOKUP(H$3,Projection!$A:$O,$A5,FALSE)</f>
        <v>53808000</v>
      </c>
      <c r="I5" s="22">
        <f>HLOOKUP(I$3,Projection!$A:$O,$A5,FALSE)</f>
        <v>77408000</v>
      </c>
      <c r="J5" s="22">
        <f>HLOOKUP(J$3,Projection!$A:$O,$A5,FALSE)</f>
        <v>105728000</v>
      </c>
      <c r="K5" s="22">
        <f>HLOOKUP(K$3,Projection!$A:$O,$A5,FALSE)</f>
        <v>134048000</v>
      </c>
      <c r="L5" s="22">
        <f>HLOOKUP(L$3,Projection!$A:$O,$A5,FALSE)</f>
        <v>162368000</v>
      </c>
      <c r="M5" s="22">
        <f>HLOOKUP(M$3,Projection!$A:$O,$A5,FALSE)</f>
        <v>190688000</v>
      </c>
      <c r="N5" s="22">
        <f>HLOOKUP(N$3,Projection!$A:$O,$A5,FALSE)</f>
        <v>219008000</v>
      </c>
    </row>
    <row r="6" spans="1:14" x14ac:dyDescent="0.25">
      <c r="A6" s="2">
        <v>10</v>
      </c>
      <c r="C6" s="2" t="s">
        <v>50</v>
      </c>
      <c r="D6" s="21"/>
      <c r="E6" s="22">
        <f>HLOOKUP(E$3,Projection!$A:$O,$A6,FALSE)</f>
        <v>6000000</v>
      </c>
      <c r="F6" s="22">
        <f>HLOOKUP(F$3,Projection!$A:$O,$A6,FALSE)</f>
        <v>13200000</v>
      </c>
      <c r="G6" s="22">
        <f>HLOOKUP(G$3,Projection!$A:$O,$A6,FALSE)</f>
        <v>22200000</v>
      </c>
      <c r="H6" s="22">
        <f>HLOOKUP(H$3,Projection!$A:$O,$A6,FALSE)</f>
        <v>34200000</v>
      </c>
      <c r="I6" s="22">
        <f>HLOOKUP(I$3,Projection!$A:$O,$A6,FALSE)</f>
        <v>49200000</v>
      </c>
      <c r="J6" s="22">
        <f>HLOOKUP(J$3,Projection!$A:$O,$A6,FALSE)</f>
        <v>67200000</v>
      </c>
      <c r="K6" s="22">
        <f>HLOOKUP(K$3,Projection!$A:$O,$A6,FALSE)</f>
        <v>85200000</v>
      </c>
      <c r="L6" s="22">
        <f>HLOOKUP(L$3,Projection!$A:$O,$A6,FALSE)</f>
        <v>103200000</v>
      </c>
      <c r="M6" s="22">
        <f>HLOOKUP(M$3,Projection!$A:$O,$A6,FALSE)</f>
        <v>121200000</v>
      </c>
      <c r="N6" s="22">
        <f>HLOOKUP(N$3,Projection!$A:$O,$A6,FALSE)</f>
        <v>139200000</v>
      </c>
    </row>
    <row r="7" spans="1:14" x14ac:dyDescent="0.25">
      <c r="A7" s="2">
        <v>11</v>
      </c>
      <c r="C7" s="2" t="s">
        <v>30</v>
      </c>
      <c r="D7" s="21"/>
      <c r="E7" s="22">
        <f>HLOOKUP(E$3,Projection!$A:$O,$A7,FALSE)</f>
        <v>2000000</v>
      </c>
      <c r="F7" s="22">
        <f>HLOOKUP(F$3,Projection!$A:$O,$A7,FALSE)</f>
        <v>4400000</v>
      </c>
      <c r="G7" s="22">
        <f>HLOOKUP(G$3,Projection!$A:$O,$A7,FALSE)</f>
        <v>7400000</v>
      </c>
      <c r="H7" s="22">
        <f>HLOOKUP(H$3,Projection!$A:$O,$A7,FALSE)</f>
        <v>11400000</v>
      </c>
      <c r="I7" s="22">
        <f>HLOOKUP(I$3,Projection!$A:$O,$A7,FALSE)</f>
        <v>16400000</v>
      </c>
      <c r="J7" s="22">
        <f>HLOOKUP(J$3,Projection!$A:$O,$A7,FALSE)</f>
        <v>22400000</v>
      </c>
      <c r="K7" s="22">
        <f>HLOOKUP(K$3,Projection!$A:$O,$A7,FALSE)</f>
        <v>28400000</v>
      </c>
      <c r="L7" s="22">
        <f>HLOOKUP(L$3,Projection!$A:$O,$A7,FALSE)</f>
        <v>34400000</v>
      </c>
      <c r="M7" s="22">
        <f>HLOOKUP(M$3,Projection!$A:$O,$A7,FALSE)</f>
        <v>40400000</v>
      </c>
      <c r="N7" s="22">
        <f>HLOOKUP(N$3,Projection!$A:$O,$A7,FALSE)</f>
        <v>46400000</v>
      </c>
    </row>
    <row r="8" spans="1:14" x14ac:dyDescent="0.25">
      <c r="A8" s="2">
        <v>13</v>
      </c>
      <c r="C8" s="2" t="s">
        <v>7</v>
      </c>
      <c r="D8" s="21"/>
      <c r="E8" s="22">
        <f>HLOOKUP(E$3,Projection!$A:$O,$A8,FALSE)</f>
        <v>5000000</v>
      </c>
      <c r="F8" s="22">
        <f>HLOOKUP(F$3,Projection!$A:$O,$A8,FALSE)</f>
        <v>5000000</v>
      </c>
      <c r="G8" s="22">
        <f>HLOOKUP(G$3,Projection!$A:$O,$A8,FALSE)</f>
        <v>0</v>
      </c>
      <c r="H8" s="22">
        <f>HLOOKUP(H$3,Projection!$A:$O,$A8,FALSE)</f>
        <v>0</v>
      </c>
      <c r="I8" s="22">
        <f>HLOOKUP(I$3,Projection!$A:$O,$A8,FALSE)</f>
        <v>0</v>
      </c>
      <c r="J8" s="22">
        <f>HLOOKUP(J$3,Projection!$A:$O,$A8,FALSE)</f>
        <v>0</v>
      </c>
      <c r="K8" s="22">
        <f>HLOOKUP(K$3,Projection!$A:$O,$A8,FALSE)</f>
        <v>0</v>
      </c>
      <c r="L8" s="22">
        <f>HLOOKUP(L$3,Projection!$A:$O,$A8,FALSE)</f>
        <v>0</v>
      </c>
      <c r="M8" s="22">
        <f>HLOOKUP(M$3,Projection!$A:$O,$A8,FALSE)</f>
        <v>0</v>
      </c>
      <c r="N8" s="22">
        <f>HLOOKUP(N$3,Projection!$A:$O,$A8,FALSE)</f>
        <v>0</v>
      </c>
    </row>
    <row r="9" spans="1:14" x14ac:dyDescent="0.25">
      <c r="A9" s="2">
        <v>16</v>
      </c>
      <c r="C9" s="2" t="s">
        <v>10</v>
      </c>
      <c r="D9" s="21"/>
      <c r="E9" s="22">
        <f>HLOOKUP(E$3,Projection!$A:$O,$A9,FALSE)</f>
        <v>1494040</v>
      </c>
      <c r="F9" s="22">
        <f>HLOOKUP(F$3,Projection!$A:$O,$A9,FALSE)</f>
        <v>1505594.9480000001</v>
      </c>
      <c r="G9" s="22">
        <f>HLOOKUP(G$3,Projection!$A:$O,$A9,FALSE)</f>
        <v>1789787.1230076002</v>
      </c>
      <c r="H9" s="22">
        <f>HLOOKUP(H$3,Projection!$A:$O,$A9,FALSE)</f>
        <v>2112147.6134379185</v>
      </c>
      <c r="I9" s="22">
        <f>HLOOKUP(I$3,Projection!$A:$O,$A9,FALSE)</f>
        <v>2555935.8499435866</v>
      </c>
      <c r="J9" s="22">
        <f>HLOOKUP(J$3,Projection!$A:$O,$A9,FALSE)</f>
        <v>3145300.8088369672</v>
      </c>
      <c r="K9" s="22">
        <f>HLOOKUP(K$3,Projection!$A:$O,$A9,FALSE)</f>
        <v>3875564.5420505884</v>
      </c>
      <c r="L9" s="22">
        <f>HLOOKUP(L$3,Projection!$A:$O,$A9,FALSE)</f>
        <v>4750770.8444074402</v>
      </c>
      <c r="M9" s="22">
        <f>HLOOKUP(M$3,Projection!$A:$O,$A9,FALSE)</f>
        <v>5775079.5676419334</v>
      </c>
      <c r="N9" s="22">
        <f>HLOOKUP(N$3,Projection!$A:$O,$A9,FALSE)</f>
        <v>6952769.9512332575</v>
      </c>
    </row>
    <row r="10" spans="1:14" x14ac:dyDescent="0.25">
      <c r="A10" s="2">
        <v>17</v>
      </c>
      <c r="C10" s="2" t="s">
        <v>31</v>
      </c>
      <c r="D10" s="21"/>
      <c r="E10" s="22">
        <f>HLOOKUP(E$3,Projection!$A:$O,$A10,FALSE)</f>
        <v>-2065960</v>
      </c>
      <c r="F10" s="22">
        <f>HLOOKUP(F$3,Projection!$A:$O,$A10,FALSE)</f>
        <v>-326405.05199999991</v>
      </c>
      <c r="G10" s="22">
        <f>HLOOKUP(G$3,Projection!$A:$O,$A10,FALSE)</f>
        <v>7117787.1230076002</v>
      </c>
      <c r="H10" s="22">
        <f>HLOOKUP(H$3,Projection!$A:$O,$A10,FALSE)</f>
        <v>10320147.613437919</v>
      </c>
      <c r="I10" s="22">
        <f>HLOOKUP(I$3,Projection!$A:$O,$A10,FALSE)</f>
        <v>14363935.849943586</v>
      </c>
      <c r="J10" s="22">
        <f>HLOOKUP(J$3,Projection!$A:$O,$A10,FALSE)</f>
        <v>19273300.808836967</v>
      </c>
      <c r="K10" s="22">
        <f>HLOOKUP(K$3,Projection!$A:$O,$A10,FALSE)</f>
        <v>24323564.542050589</v>
      </c>
      <c r="L10" s="22">
        <f>HLOOKUP(L$3,Projection!$A:$O,$A10,FALSE)</f>
        <v>29518770.844407439</v>
      </c>
      <c r="M10" s="22">
        <f>HLOOKUP(M$3,Projection!$A:$O,$A10,FALSE)</f>
        <v>34863079.567641936</v>
      </c>
      <c r="N10" s="22">
        <f>HLOOKUP(N$3,Projection!$A:$O,$A10,FALSE)</f>
        <v>40360769.95123326</v>
      </c>
    </row>
    <row r="11" spans="1:14" x14ac:dyDescent="0.25">
      <c r="A11" s="2">
        <v>18</v>
      </c>
      <c r="C11" s="2" t="s">
        <v>0</v>
      </c>
      <c r="D11" s="21"/>
      <c r="E11" s="22">
        <f>HLOOKUP(E$3,Projection!$A:$O,$A11,FALSE)</f>
        <v>-619788</v>
      </c>
      <c r="F11" s="22">
        <f>HLOOKUP(F$3,Projection!$A:$O,$A11,FALSE)</f>
        <v>-97921.51559999997</v>
      </c>
      <c r="G11" s="22">
        <f>HLOOKUP(G$3,Projection!$A:$O,$A11,FALSE)</f>
        <v>2135336.1369022802</v>
      </c>
      <c r="H11" s="22">
        <f>HLOOKUP(H$3,Projection!$A:$O,$A11,FALSE)</f>
        <v>3096044.2840313758</v>
      </c>
      <c r="I11" s="22">
        <f>HLOOKUP(I$3,Projection!$A:$O,$A11,FALSE)</f>
        <v>4309180.7549830759</v>
      </c>
      <c r="J11" s="22">
        <f>HLOOKUP(J$3,Projection!$A:$O,$A11,FALSE)</f>
        <v>5781990.24265109</v>
      </c>
      <c r="K11" s="22">
        <f>HLOOKUP(K$3,Projection!$A:$O,$A11,FALSE)</f>
        <v>7297069.3626151765</v>
      </c>
      <c r="L11" s="22">
        <f>HLOOKUP(L$3,Projection!$A:$O,$A11,FALSE)</f>
        <v>8855631.2533222307</v>
      </c>
      <c r="M11" s="22">
        <f>HLOOKUP(M$3,Projection!$A:$O,$A11,FALSE)</f>
        <v>10458923.87029258</v>
      </c>
      <c r="N11" s="22">
        <f>HLOOKUP(N$3,Projection!$A:$O,$A11,FALSE)</f>
        <v>12108230.985369978</v>
      </c>
    </row>
    <row r="12" spans="1:14" x14ac:dyDescent="0.25">
      <c r="A12" s="2">
        <v>19</v>
      </c>
      <c r="C12" s="2" t="s">
        <v>9</v>
      </c>
      <c r="D12" s="21"/>
      <c r="E12" s="22">
        <f>HLOOKUP(E$3,Projection!$A:$O,$A12,FALSE)</f>
        <v>-1446172</v>
      </c>
      <c r="F12" s="22">
        <f>HLOOKUP(F$3,Projection!$A:$O,$A12,FALSE)</f>
        <v>-228483.53639999992</v>
      </c>
      <c r="G12" s="22">
        <f>HLOOKUP(G$3,Projection!$A:$O,$A12,FALSE)</f>
        <v>4982450.98610532</v>
      </c>
      <c r="H12" s="22">
        <f>HLOOKUP(H$3,Projection!$A:$O,$A12,FALSE)</f>
        <v>7224103.3294065427</v>
      </c>
      <c r="I12" s="22">
        <f>HLOOKUP(I$3,Projection!$A:$O,$A12,FALSE)</f>
        <v>10054755.094960511</v>
      </c>
      <c r="J12" s="22">
        <f>HLOOKUP(J$3,Projection!$A:$O,$A12,FALSE)</f>
        <v>13491310.566185877</v>
      </c>
      <c r="K12" s="22">
        <f>HLOOKUP(K$3,Projection!$A:$O,$A12,FALSE)</f>
        <v>17026495.179435413</v>
      </c>
      <c r="L12" s="22">
        <f>HLOOKUP(L$3,Projection!$A:$O,$A12,FALSE)</f>
        <v>20663139.59108521</v>
      </c>
      <c r="M12" s="22">
        <f>HLOOKUP(M$3,Projection!$A:$O,$A12,FALSE)</f>
        <v>24404155.697349355</v>
      </c>
      <c r="N12" s="22">
        <f>HLOOKUP(N$3,Projection!$A:$O,$A12,FALSE)</f>
        <v>28252538.96586328</v>
      </c>
    </row>
    <row r="13" spans="1:14" x14ac:dyDescent="0.25"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x14ac:dyDescent="0.25">
      <c r="C14" s="2" t="s">
        <v>34</v>
      </c>
      <c r="D14" s="21"/>
      <c r="E14" s="23">
        <f>E12/E5</f>
        <v>-0.15319618644067798</v>
      </c>
      <c r="F14" s="23">
        <f t="shared" ref="F14:N14" si="0">F12/F5</f>
        <v>-1.1001711113251152E-2</v>
      </c>
      <c r="G14" s="23">
        <f t="shared" si="0"/>
        <v>0.14264919222701902</v>
      </c>
      <c r="H14" s="23">
        <f t="shared" si="0"/>
        <v>0.13425704968418345</v>
      </c>
      <c r="I14" s="23">
        <f t="shared" si="0"/>
        <v>0.12989297094564528</v>
      </c>
      <c r="J14" s="23">
        <f t="shared" si="0"/>
        <v>0.1276039513296939</v>
      </c>
      <c r="K14" s="23">
        <f t="shared" si="0"/>
        <v>0.12701789791295218</v>
      </c>
      <c r="L14" s="23">
        <f t="shared" si="0"/>
        <v>0.12726115731600568</v>
      </c>
      <c r="M14" s="23">
        <f t="shared" si="0"/>
        <v>0.12797950420241103</v>
      </c>
      <c r="N14" s="23">
        <f t="shared" si="0"/>
        <v>0.1290023148280578</v>
      </c>
    </row>
    <row r="15" spans="1:14" x14ac:dyDescent="0.25"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x14ac:dyDescent="0.25">
      <c r="C16" s="18" t="s">
        <v>35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x14ac:dyDescent="0.25">
      <c r="A17" s="2">
        <v>22</v>
      </c>
      <c r="C17" s="2" t="s">
        <v>23</v>
      </c>
      <c r="D17" s="22">
        <f>HLOOKUP(D$3,Projection!$A:$O,$A17,FALSE)</f>
        <v>40000000</v>
      </c>
      <c r="E17" s="22">
        <f>HLOOKUP(E$3,Projection!$A:$O,$A17,FALSE)</f>
        <v>38553828</v>
      </c>
      <c r="F17" s="22">
        <f>HLOOKUP(F$3,Projection!$A:$O,$A17,FALSE)</f>
        <v>38325344.463600002</v>
      </c>
      <c r="G17" s="22">
        <f>HLOOKUP(G$3,Projection!$A:$O,$A17,FALSE)</f>
        <v>43307795.449705325</v>
      </c>
      <c r="H17" s="22">
        <f>HLOOKUP(H$3,Projection!$A:$O,$A17,FALSE)</f>
        <v>50531898.77911187</v>
      </c>
      <c r="I17" s="22">
        <f>HLOOKUP(I$3,Projection!$A:$O,$A17,FALSE)</f>
        <v>60586653.87407238</v>
      </c>
      <c r="J17" s="22">
        <f>HLOOKUP(J$3,Projection!$A:$O,$A17,FALSE)</f>
        <v>74077964.44025825</v>
      </c>
      <c r="K17" s="22">
        <f>HLOOKUP(K$3,Projection!$A:$O,$A17,FALSE)</f>
        <v>91104459.619693652</v>
      </c>
      <c r="L17" s="22">
        <f>HLOOKUP(L$3,Projection!$A:$O,$A17,FALSE)</f>
        <v>111767599.21077886</v>
      </c>
      <c r="M17" s="22">
        <f>HLOOKUP(M$3,Projection!$A:$O,$A17,FALSE)</f>
        <v>136171754.90812823</v>
      </c>
      <c r="N17" s="22">
        <f>HLOOKUP(N$3,Projection!$A:$O,$A17,FALSE)</f>
        <v>164424293.87399152</v>
      </c>
    </row>
    <row r="18" spans="1:14" x14ac:dyDescent="0.25">
      <c r="A18" s="2">
        <v>23</v>
      </c>
      <c r="C18" s="2" t="s">
        <v>24</v>
      </c>
      <c r="D18" s="22">
        <f>HLOOKUP(D$3,Projection!$A:$O,$A18,FALSE)</f>
        <v>0</v>
      </c>
      <c r="E18" s="22">
        <f>HLOOKUP(E$3,Projection!$A:$O,$A18,FALSE)</f>
        <v>0</v>
      </c>
      <c r="F18" s="22">
        <f>HLOOKUP(F$3,Projection!$A:$O,$A18,FALSE)</f>
        <v>0</v>
      </c>
      <c r="G18" s="22">
        <f>HLOOKUP(G$3,Projection!$A:$O,$A18,FALSE)</f>
        <v>0</v>
      </c>
      <c r="H18" s="22">
        <f>HLOOKUP(H$3,Projection!$A:$O,$A18,FALSE)</f>
        <v>0</v>
      </c>
      <c r="I18" s="22">
        <f>HLOOKUP(I$3,Projection!$A:$O,$A18,FALSE)</f>
        <v>0</v>
      </c>
      <c r="J18" s="22">
        <f>HLOOKUP(J$3,Projection!$A:$O,$A18,FALSE)</f>
        <v>0</v>
      </c>
      <c r="K18" s="22">
        <f>HLOOKUP(K$3,Projection!$A:$O,$A18,FALSE)</f>
        <v>0</v>
      </c>
      <c r="L18" s="22">
        <f>HLOOKUP(L$3,Projection!$A:$O,$A18,FALSE)</f>
        <v>0</v>
      </c>
      <c r="M18" s="22">
        <f>HLOOKUP(M$3,Projection!$A:$O,$A18,FALSE)</f>
        <v>0</v>
      </c>
      <c r="N18" s="22">
        <f>HLOOKUP(N$3,Projection!$A:$O,$A18,FALSE)</f>
        <v>0</v>
      </c>
    </row>
    <row r="19" spans="1:14" x14ac:dyDescent="0.25">
      <c r="A19" s="2">
        <v>24</v>
      </c>
      <c r="C19" s="2" t="s">
        <v>25</v>
      </c>
      <c r="D19" s="22">
        <f>HLOOKUP(D$3,Projection!$A:$O,$A19,FALSE)</f>
        <v>40000000</v>
      </c>
      <c r="E19" s="22">
        <f>HLOOKUP(E$3,Projection!$A:$O,$A19,FALSE)</f>
        <v>38553828</v>
      </c>
      <c r="F19" s="22">
        <f>HLOOKUP(F$3,Projection!$A:$O,$A19,FALSE)</f>
        <v>38325344.463600002</v>
      </c>
      <c r="G19" s="22">
        <f>HLOOKUP(G$3,Projection!$A:$O,$A19,FALSE)</f>
        <v>43307795.449705325</v>
      </c>
      <c r="H19" s="22">
        <f>HLOOKUP(H$3,Projection!$A:$O,$A19,FALSE)</f>
        <v>50531898.77911187</v>
      </c>
      <c r="I19" s="22">
        <f>HLOOKUP(I$3,Projection!$A:$O,$A19,FALSE)</f>
        <v>60586653.87407238</v>
      </c>
      <c r="J19" s="22">
        <f>HLOOKUP(J$3,Projection!$A:$O,$A19,FALSE)</f>
        <v>74077964.44025825</v>
      </c>
      <c r="K19" s="22">
        <f>HLOOKUP(K$3,Projection!$A:$O,$A19,FALSE)</f>
        <v>91104459.619693652</v>
      </c>
      <c r="L19" s="22">
        <f>HLOOKUP(L$3,Projection!$A:$O,$A19,FALSE)</f>
        <v>111767599.21077886</v>
      </c>
      <c r="M19" s="22">
        <f>HLOOKUP(M$3,Projection!$A:$O,$A19,FALSE)</f>
        <v>136171754.90812823</v>
      </c>
      <c r="N19" s="22">
        <f>HLOOKUP(N$3,Projection!$A:$O,$A19,FALSE)</f>
        <v>164424293.87399152</v>
      </c>
    </row>
    <row r="20" spans="1:14" x14ac:dyDescent="0.25"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x14ac:dyDescent="0.25">
      <c r="A21" s="2">
        <v>25</v>
      </c>
      <c r="C21" s="2" t="s">
        <v>26</v>
      </c>
      <c r="D21" s="22">
        <f>HLOOKUP(D$3,Projection!$A:$O,$A21,FALSE)</f>
        <v>40000000</v>
      </c>
      <c r="E21" s="22">
        <f>HLOOKUP(E$3,Projection!$A:$O,$A21,FALSE)</f>
        <v>38553828</v>
      </c>
      <c r="F21" s="22">
        <f>HLOOKUP(F$3,Projection!$A:$O,$A21,FALSE)</f>
        <v>38325344.463600002</v>
      </c>
      <c r="G21" s="22">
        <f>HLOOKUP(G$3,Projection!$A:$O,$A21,FALSE)</f>
        <v>43307795.449705325</v>
      </c>
      <c r="H21" s="22">
        <f>HLOOKUP(H$3,Projection!$A:$O,$A21,FALSE)</f>
        <v>50531898.77911187</v>
      </c>
      <c r="I21" s="22">
        <f>HLOOKUP(I$3,Projection!$A:$O,$A21,FALSE)</f>
        <v>60586653.87407238</v>
      </c>
      <c r="J21" s="22">
        <f>HLOOKUP(J$3,Projection!$A:$O,$A21,FALSE)</f>
        <v>74077964.44025825</v>
      </c>
      <c r="K21" s="22">
        <f>HLOOKUP(K$3,Projection!$A:$O,$A21,FALSE)</f>
        <v>91104459.619693652</v>
      </c>
      <c r="L21" s="22">
        <f>HLOOKUP(L$3,Projection!$A:$O,$A21,FALSE)</f>
        <v>111767599.21077886</v>
      </c>
      <c r="M21" s="22">
        <f>HLOOKUP(M$3,Projection!$A:$O,$A21,FALSE)</f>
        <v>136171754.90812823</v>
      </c>
      <c r="N21" s="22">
        <f>HLOOKUP(N$3,Projection!$A:$O,$A21,FALSE)</f>
        <v>164424293.87399152</v>
      </c>
    </row>
    <row r="22" spans="1:14" x14ac:dyDescent="0.25">
      <c r="A22" s="2">
        <v>38</v>
      </c>
      <c r="C22" s="2" t="s">
        <v>21</v>
      </c>
      <c r="D22" s="22">
        <f>HLOOKUP(D$3,Projection!$A:$O,$A22,FALSE)</f>
        <v>13102405.157472702</v>
      </c>
      <c r="E22" s="22">
        <f>HLOOKUP(E$3,Projection!$A:$O,$A22,FALSE)</f>
        <v>14925446.869481869</v>
      </c>
      <c r="F22" s="22">
        <f>HLOOKUP(F$3,Projection!$A:$O,$A22,FALSE)</f>
        <v>13717797.16883198</v>
      </c>
      <c r="G22" s="22">
        <f>HLOOKUP(G$3,Projection!$A:$O,$A22,FALSE)</f>
        <v>18057145.152297869</v>
      </c>
      <c r="H22" s="22">
        <f>HLOOKUP(H$3,Projection!$A:$O,$A22,FALSE)</f>
        <v>23910654.451272722</v>
      </c>
      <c r="I22" s="22">
        <f>HLOOKUP(I$3,Projection!$A:$O,$A22,FALSE)</f>
        <v>31301477.239826523</v>
      </c>
      <c r="J22" s="22">
        <f>HLOOKUP(J$3,Projection!$A:$O,$A22,FALSE)</f>
        <v>39265758.291533515</v>
      </c>
      <c r="K22" s="22">
        <f>HLOOKUP(K$3,Projection!$A:$O,$A22,FALSE)</f>
        <v>47771225.972985253</v>
      </c>
      <c r="L22" s="22">
        <f>HLOOKUP(L$3,Projection!$A:$O,$A22,FALSE)</f>
        <v>56843866.624882944</v>
      </c>
      <c r="M22" s="22">
        <f>HLOOKUP(M$3,Projection!$A:$O,$A22,FALSE)</f>
        <v>66532387.580658168</v>
      </c>
      <c r="N22" s="22">
        <f>HLOOKUP(N$3,Projection!$A:$O,$A22,FALSE)</f>
        <v>71351486.932953954</v>
      </c>
    </row>
    <row r="23" spans="1:14" x14ac:dyDescent="0.25">
      <c r="A23" s="2">
        <v>39</v>
      </c>
      <c r="C23" s="2" t="s">
        <v>22</v>
      </c>
      <c r="D23" s="22">
        <f>HLOOKUP(D$3,Projection!$A:$O,$A23,FALSE)</f>
        <v>6551202.5787363509</v>
      </c>
      <c r="E23" s="22">
        <f>HLOOKUP(E$3,Projection!$A:$O,$A23,FALSE)</f>
        <v>7462723.4347409345</v>
      </c>
      <c r="F23" s="22">
        <f>HLOOKUP(F$3,Projection!$A:$O,$A23,FALSE)</f>
        <v>6858898.5844159899</v>
      </c>
      <c r="G23" s="22">
        <f>HLOOKUP(G$3,Projection!$A:$O,$A23,FALSE)</f>
        <v>9028572.5761489347</v>
      </c>
      <c r="H23" s="22">
        <f>HLOOKUP(H$3,Projection!$A:$O,$A23,FALSE)</f>
        <v>11955327.225636361</v>
      </c>
      <c r="I23" s="22">
        <f>HLOOKUP(I$3,Projection!$A:$O,$A23,FALSE)</f>
        <v>15650738.619913261</v>
      </c>
      <c r="J23" s="22">
        <f>HLOOKUP(J$3,Projection!$A:$O,$A23,FALSE)</f>
        <v>19632879.145766757</v>
      </c>
      <c r="K23" s="22">
        <f>HLOOKUP(K$3,Projection!$A:$O,$A23,FALSE)</f>
        <v>23885612.986492626</v>
      </c>
      <c r="L23" s="22">
        <f>HLOOKUP(L$3,Projection!$A:$O,$A23,FALSE)</f>
        <v>28421933.312441472</v>
      </c>
      <c r="M23" s="22">
        <f>HLOOKUP(M$3,Projection!$A:$O,$A23,FALSE)</f>
        <v>33266193.790329084</v>
      </c>
      <c r="N23" s="22">
        <f>HLOOKUP(N$3,Projection!$A:$O,$A23,FALSE)</f>
        <v>35675743.466476977</v>
      </c>
    </row>
    <row r="24" spans="1:14" x14ac:dyDescent="0.25">
      <c r="A24" s="2">
        <v>41</v>
      </c>
      <c r="C24" s="2" t="s">
        <v>28</v>
      </c>
      <c r="D24" s="22">
        <f>HLOOKUP(D$3,Projection!$A:$O,$A24,FALSE)</f>
        <v>20346392.263790946</v>
      </c>
      <c r="E24" s="22">
        <f>HLOOKUP(E$3,Projection!$A:$O,$A24,FALSE)</f>
        <v>16165657.695777196</v>
      </c>
      <c r="F24" s="22">
        <f>HLOOKUP(F$3,Projection!$A:$O,$A24,FALSE)</f>
        <v>17748648.710352033</v>
      </c>
      <c r="G24" s="22">
        <f>HLOOKUP(G$3,Projection!$A:$O,$A24,FALSE)</f>
        <v>16222077.721258521</v>
      </c>
      <c r="H24" s="22">
        <f>HLOOKUP(H$3,Projection!$A:$O,$A24,FALSE)</f>
        <v>14665917.102202788</v>
      </c>
      <c r="I24" s="22">
        <f>HLOOKUP(I$3,Projection!$A:$O,$A24,FALSE)</f>
        <v>13634438.0143326</v>
      </c>
      <c r="J24" s="22">
        <f>HLOOKUP(J$3,Projection!$A:$O,$A24,FALSE)</f>
        <v>15179327.002957977</v>
      </c>
      <c r="K24" s="22">
        <f>HLOOKUP(K$3,Projection!$A:$O,$A24,FALSE)</f>
        <v>19447620.66021578</v>
      </c>
      <c r="L24" s="22">
        <f>HLOOKUP(L$3,Projection!$A:$O,$A24,FALSE)</f>
        <v>26501799.273454443</v>
      </c>
      <c r="M24" s="22">
        <f>HLOOKUP(M$3,Projection!$A:$O,$A24,FALSE)</f>
        <v>36373173.53714098</v>
      </c>
      <c r="N24" s="22">
        <f>HLOOKUP(N$3,Projection!$A:$O,$A24,FALSE)</f>
        <v>57397063.474560589</v>
      </c>
    </row>
  </sheetData>
  <sheetProtection password="8397" sheet="1" objects="1" scenarios="1"/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Assumptions</vt:lpstr>
      <vt:lpstr>Projection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Corbett, Peter</dc:creator>
  <cp:lastModifiedBy>Zhu, Vincent-JF</cp:lastModifiedBy>
  <dcterms:created xsi:type="dcterms:W3CDTF">2017-07-16T20:35:59Z</dcterms:created>
  <dcterms:modified xsi:type="dcterms:W3CDTF">2019-10-05T07:12:37Z</dcterms:modified>
</cp:coreProperties>
</file>