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28680" yWindow="-120" windowWidth="20730" windowHeight="11760" tabRatio="782" activeTab="4"/>
  </bookViews>
  <sheets>
    <sheet name="Assumptions" sheetId="1" r:id="rId1"/>
    <sheet name="Annual Mortality Rates" sheetId="4" r:id="rId2"/>
    <sheet name="Annual Lapse Rates" sheetId="5" r:id="rId3"/>
    <sheet name="(a)" sheetId="35" r:id="rId4"/>
    <sheet name="(c)" sheetId="38" r:id="rId5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8" i="38" l="1"/>
  <c r="AC8" i="38"/>
  <c r="AD8" i="38" s="1"/>
  <c r="AE8" i="38" s="1"/>
  <c r="Z8" i="38"/>
  <c r="AA9" i="38" l="1"/>
  <c r="AA10" i="38"/>
  <c r="AA11" i="38"/>
  <c r="AA12" i="38"/>
  <c r="AA13" i="38"/>
  <c r="AA14" i="38"/>
  <c r="AA15" i="38"/>
  <c r="AA16" i="38"/>
  <c r="AA17" i="38"/>
  <c r="AA18" i="38"/>
  <c r="AA19" i="38"/>
  <c r="AA20" i="38"/>
  <c r="AA21" i="38"/>
  <c r="AA22" i="38"/>
  <c r="AA23" i="38"/>
  <c r="AA24" i="38"/>
  <c r="AA25" i="38"/>
  <c r="AA26" i="38"/>
  <c r="AA27" i="38"/>
  <c r="AA28" i="38"/>
  <c r="AA29" i="38"/>
  <c r="AA30" i="38"/>
  <c r="AA31" i="38"/>
  <c r="AA32" i="38"/>
  <c r="AA33" i="38"/>
  <c r="AA34" i="38"/>
  <c r="AA35" i="38"/>
  <c r="AA36" i="38"/>
  <c r="AA37" i="38"/>
  <c r="AA38" i="38"/>
  <c r="AA39" i="38"/>
  <c r="AA40" i="38"/>
  <c r="AA41" i="38"/>
  <c r="AA42" i="38"/>
  <c r="AA43" i="38"/>
  <c r="AA44" i="38"/>
  <c r="AA45" i="38"/>
  <c r="AA46" i="38"/>
  <c r="AA47" i="38"/>
  <c r="AA48" i="38"/>
  <c r="AA49" i="38"/>
  <c r="AA50" i="38"/>
  <c r="AA51" i="38"/>
  <c r="AA52" i="38"/>
  <c r="AA53" i="38"/>
  <c r="AA54" i="38"/>
  <c r="AA55" i="38"/>
  <c r="AA56" i="38"/>
  <c r="AA57" i="38"/>
  <c r="AA58" i="38"/>
  <c r="AA59" i="38"/>
  <c r="AA60" i="38"/>
  <c r="AA61" i="38"/>
  <c r="AA62" i="38"/>
  <c r="AA63" i="38"/>
  <c r="AA64" i="38"/>
  <c r="AA65" i="38"/>
  <c r="AA66" i="38"/>
  <c r="AA67" i="38"/>
  <c r="AA68" i="38"/>
  <c r="AA69" i="38"/>
  <c r="AA70" i="38"/>
  <c r="AA71" i="38"/>
  <c r="AA72" i="38"/>
  <c r="AA73" i="38"/>
  <c r="AA74" i="38"/>
  <c r="AA75" i="38"/>
  <c r="AA76" i="38"/>
  <c r="AA77" i="38"/>
  <c r="AA78" i="38"/>
  <c r="AA79" i="38"/>
  <c r="AA80" i="38"/>
  <c r="AA81" i="38"/>
  <c r="AA82" i="38"/>
  <c r="AA83" i="38"/>
  <c r="AA84" i="38"/>
  <c r="AA85" i="38"/>
  <c r="AA86" i="38"/>
  <c r="AA87" i="38"/>
  <c r="AA88" i="38"/>
  <c r="AA89" i="38"/>
  <c r="AA90" i="38"/>
  <c r="AA91" i="38"/>
  <c r="AA92" i="38"/>
  <c r="AA93" i="38"/>
  <c r="AA94" i="38"/>
  <c r="AA95" i="38"/>
  <c r="AA96" i="38"/>
  <c r="AA97" i="38"/>
  <c r="AA98" i="38"/>
  <c r="AA99" i="38"/>
  <c r="AA100" i="38"/>
  <c r="AA101" i="38"/>
  <c r="AA102" i="38"/>
  <c r="AA103" i="38"/>
  <c r="AA104" i="38"/>
  <c r="AA105" i="38"/>
  <c r="AA106" i="38"/>
  <c r="AA107" i="38"/>
  <c r="AA108" i="38"/>
  <c r="AA109" i="38"/>
  <c r="AA110" i="38"/>
  <c r="AA111" i="38"/>
  <c r="AA112" i="38"/>
  <c r="AA113" i="38"/>
  <c r="AA114" i="38"/>
  <c r="AA115" i="38"/>
  <c r="AA116" i="38"/>
  <c r="AA117" i="38"/>
  <c r="AA118" i="38"/>
  <c r="AA119" i="38"/>
  <c r="AA120" i="38"/>
  <c r="AA121" i="38"/>
  <c r="AA122" i="38"/>
  <c r="AA123" i="38"/>
  <c r="AA124" i="38"/>
  <c r="AA125" i="38"/>
  <c r="AA126" i="38"/>
  <c r="AA127" i="38"/>
  <c r="AA128" i="38"/>
  <c r="AA129" i="38"/>
  <c r="AA130" i="38"/>
  <c r="AA131" i="38"/>
  <c r="AA132" i="38"/>
  <c r="AA133" i="38"/>
  <c r="AA134" i="38"/>
  <c r="AA135" i="38"/>
  <c r="AA136" i="38"/>
  <c r="AA137" i="38"/>
  <c r="AA138" i="38"/>
  <c r="AA139" i="38"/>
  <c r="AA140" i="38"/>
  <c r="AA141" i="38"/>
  <c r="AA142" i="38"/>
  <c r="AA143" i="38"/>
  <c r="AA144" i="38"/>
  <c r="AA145" i="38"/>
  <c r="AA146" i="38"/>
  <c r="AA147" i="38"/>
  <c r="AA148" i="38"/>
  <c r="AA149" i="38"/>
  <c r="AA150" i="38"/>
  <c r="AA151" i="38"/>
  <c r="AA152" i="38"/>
  <c r="AA153" i="38"/>
  <c r="AA154" i="38"/>
  <c r="AA155" i="38"/>
  <c r="AA156" i="38"/>
  <c r="AA157" i="38"/>
  <c r="AA158" i="38"/>
  <c r="AA159" i="38"/>
  <c r="AA160" i="38"/>
  <c r="AA161" i="38"/>
  <c r="AA162" i="38"/>
  <c r="AA163" i="38"/>
  <c r="AA164" i="38"/>
  <c r="AA165" i="38"/>
  <c r="AA166" i="38"/>
  <c r="AA167" i="38"/>
  <c r="AA168" i="38"/>
  <c r="AA169" i="38"/>
  <c r="AA170" i="38"/>
  <c r="AA171" i="38"/>
  <c r="AA172" i="38"/>
  <c r="AA173" i="38"/>
  <c r="AA174" i="38"/>
  <c r="AA175" i="38"/>
  <c r="AA176" i="38"/>
  <c r="AA177" i="38"/>
  <c r="AA178" i="38"/>
  <c r="AA179" i="38"/>
  <c r="AA180" i="38"/>
  <c r="AA181" i="38"/>
  <c r="AA182" i="38"/>
  <c r="AA183" i="38"/>
  <c r="AA184" i="38"/>
  <c r="AA185" i="38"/>
  <c r="AA186" i="38"/>
  <c r="AA187" i="38"/>
  <c r="AA188" i="38"/>
  <c r="AA189" i="38"/>
  <c r="AA190" i="38"/>
  <c r="AA191" i="38"/>
  <c r="AA192" i="38"/>
  <c r="AA193" i="38"/>
  <c r="AA194" i="38"/>
  <c r="AA195" i="38"/>
  <c r="AA196" i="38"/>
  <c r="AA197" i="38"/>
  <c r="AA198" i="38"/>
  <c r="AA199" i="38"/>
  <c r="AA200" i="38"/>
  <c r="AA201" i="38"/>
  <c r="AA202" i="38"/>
  <c r="AA203" i="38"/>
  <c r="AA204" i="38"/>
  <c r="AA205" i="38"/>
  <c r="AA206" i="38"/>
  <c r="AA207" i="38"/>
  <c r="AA208" i="38"/>
  <c r="AA209" i="38"/>
  <c r="AA210" i="38"/>
  <c r="AA211" i="38"/>
  <c r="AA212" i="38"/>
  <c r="AA213" i="38"/>
  <c r="AA214" i="38"/>
  <c r="AA215" i="38"/>
  <c r="AA216" i="38"/>
  <c r="AA217" i="38"/>
  <c r="AA218" i="38"/>
  <c r="AA219" i="38"/>
  <c r="AA220" i="38"/>
  <c r="AA221" i="38"/>
  <c r="AA222" i="38"/>
  <c r="AA223" i="38"/>
  <c r="AA224" i="38"/>
  <c r="AA225" i="38"/>
  <c r="AA226" i="38"/>
  <c r="AA227" i="38"/>
  <c r="AA228" i="38"/>
  <c r="AA229" i="38"/>
  <c r="AA230" i="38"/>
  <c r="AA231" i="38"/>
  <c r="AA232" i="38"/>
  <c r="AA233" i="38"/>
  <c r="AA234" i="38"/>
  <c r="AA235" i="38"/>
  <c r="AA236" i="38"/>
  <c r="AA237" i="38"/>
  <c r="AA238" i="38"/>
  <c r="AA239" i="38"/>
  <c r="AA240" i="38"/>
  <c r="AA241" i="38"/>
  <c r="AA242" i="38"/>
  <c r="AA243" i="38"/>
  <c r="AA244" i="38"/>
  <c r="AA245" i="38"/>
  <c r="AA246" i="38"/>
  <c r="AA247" i="38"/>
  <c r="AA248" i="38"/>
  <c r="AA249" i="38"/>
  <c r="AA250" i="38"/>
  <c r="AA251" i="38"/>
  <c r="AA252" i="38"/>
  <c r="AA253" i="38"/>
  <c r="AA254" i="38"/>
  <c r="AA255" i="38"/>
  <c r="AA256" i="38"/>
  <c r="AA257" i="38"/>
  <c r="AA258" i="38"/>
  <c r="AA259" i="38"/>
  <c r="AA8" i="38"/>
  <c r="N9" i="38"/>
  <c r="N10" i="38"/>
  <c r="N11" i="38"/>
  <c r="Z10" i="38" s="1"/>
  <c r="N12" i="38"/>
  <c r="N13" i="38"/>
  <c r="N14" i="38"/>
  <c r="N15" i="38"/>
  <c r="Z14" i="38" s="1"/>
  <c r="N16" i="38"/>
  <c r="N17" i="38"/>
  <c r="N18" i="38"/>
  <c r="N19" i="38"/>
  <c r="Z18" i="38" s="1"/>
  <c r="N20" i="38"/>
  <c r="N21" i="38"/>
  <c r="N22" i="38"/>
  <c r="N23" i="38"/>
  <c r="Z22" i="38" s="1"/>
  <c r="N24" i="38"/>
  <c r="N25" i="38"/>
  <c r="N26" i="38"/>
  <c r="N27" i="38"/>
  <c r="Z26" i="38" s="1"/>
  <c r="N28" i="38"/>
  <c r="N29" i="38"/>
  <c r="N30" i="38"/>
  <c r="N31" i="38"/>
  <c r="Z30" i="38" s="1"/>
  <c r="N32" i="38"/>
  <c r="N33" i="38"/>
  <c r="N34" i="38"/>
  <c r="N35" i="38"/>
  <c r="Z34" i="38" s="1"/>
  <c r="N36" i="38"/>
  <c r="N37" i="38"/>
  <c r="N38" i="38"/>
  <c r="N39" i="38"/>
  <c r="Z38" i="38" s="1"/>
  <c r="N40" i="38"/>
  <c r="N41" i="38"/>
  <c r="N42" i="38"/>
  <c r="N43" i="38"/>
  <c r="Z42" i="38" s="1"/>
  <c r="N44" i="38"/>
  <c r="N45" i="38"/>
  <c r="N46" i="38"/>
  <c r="N47" i="38"/>
  <c r="Z46" i="38" s="1"/>
  <c r="N48" i="38"/>
  <c r="N49" i="38"/>
  <c r="N50" i="38"/>
  <c r="N51" i="38"/>
  <c r="Z50" i="38" s="1"/>
  <c r="N52" i="38"/>
  <c r="N53" i="38"/>
  <c r="N54" i="38"/>
  <c r="N55" i="38"/>
  <c r="Z54" i="38" s="1"/>
  <c r="N56" i="38"/>
  <c r="N57" i="38"/>
  <c r="N58" i="38"/>
  <c r="N59" i="38"/>
  <c r="Z58" i="38" s="1"/>
  <c r="N60" i="38"/>
  <c r="N61" i="38"/>
  <c r="N62" i="38"/>
  <c r="N63" i="38"/>
  <c r="Z62" i="38" s="1"/>
  <c r="N64" i="38"/>
  <c r="N65" i="38"/>
  <c r="N66" i="38"/>
  <c r="N67" i="38"/>
  <c r="Z66" i="38" s="1"/>
  <c r="N68" i="38"/>
  <c r="N69" i="38"/>
  <c r="N70" i="38"/>
  <c r="N71" i="38"/>
  <c r="Z70" i="38" s="1"/>
  <c r="N72" i="38"/>
  <c r="N73" i="38"/>
  <c r="N74" i="38"/>
  <c r="N75" i="38"/>
  <c r="Z74" i="38" s="1"/>
  <c r="N76" i="38"/>
  <c r="N77" i="38"/>
  <c r="N78" i="38"/>
  <c r="N79" i="38"/>
  <c r="Z78" i="38" s="1"/>
  <c r="N80" i="38"/>
  <c r="N81" i="38"/>
  <c r="N82" i="38"/>
  <c r="N83" i="38"/>
  <c r="Z82" i="38" s="1"/>
  <c r="N84" i="38"/>
  <c r="N85" i="38"/>
  <c r="N86" i="38"/>
  <c r="N87" i="38"/>
  <c r="Z86" i="38" s="1"/>
  <c r="N88" i="38"/>
  <c r="N89" i="38"/>
  <c r="N90" i="38"/>
  <c r="N91" i="38"/>
  <c r="Z90" i="38" s="1"/>
  <c r="N92" i="38"/>
  <c r="N93" i="38"/>
  <c r="N94" i="38"/>
  <c r="N95" i="38"/>
  <c r="Z94" i="38" s="1"/>
  <c r="N96" i="38"/>
  <c r="N97" i="38"/>
  <c r="N98" i="38"/>
  <c r="N99" i="38"/>
  <c r="Z98" i="38" s="1"/>
  <c r="N100" i="38"/>
  <c r="N101" i="38"/>
  <c r="N102" i="38"/>
  <c r="N103" i="38"/>
  <c r="Z102" i="38" s="1"/>
  <c r="N104" i="38"/>
  <c r="N105" i="38"/>
  <c r="N106" i="38"/>
  <c r="N107" i="38"/>
  <c r="Z106" i="38" s="1"/>
  <c r="N108" i="38"/>
  <c r="N109" i="38"/>
  <c r="N110" i="38"/>
  <c r="N111" i="38"/>
  <c r="Z110" i="38" s="1"/>
  <c r="N112" i="38"/>
  <c r="N113" i="38"/>
  <c r="N114" i="38"/>
  <c r="N115" i="38"/>
  <c r="Z114" i="38" s="1"/>
  <c r="N116" i="38"/>
  <c r="N117" i="38"/>
  <c r="N118" i="38"/>
  <c r="N119" i="38"/>
  <c r="Z118" i="38" s="1"/>
  <c r="N120" i="38"/>
  <c r="N121" i="38"/>
  <c r="N122" i="38"/>
  <c r="N123" i="38"/>
  <c r="Z122" i="38" s="1"/>
  <c r="N124" i="38"/>
  <c r="N125" i="38"/>
  <c r="N126" i="38"/>
  <c r="N127" i="38"/>
  <c r="Z126" i="38" s="1"/>
  <c r="N128" i="38"/>
  <c r="N129" i="38"/>
  <c r="N130" i="38"/>
  <c r="N131" i="38"/>
  <c r="Z130" i="38" s="1"/>
  <c r="N132" i="38"/>
  <c r="N133" i="38"/>
  <c r="N134" i="38"/>
  <c r="N135" i="38"/>
  <c r="Z134" i="38" s="1"/>
  <c r="N136" i="38"/>
  <c r="N137" i="38"/>
  <c r="N138" i="38"/>
  <c r="N139" i="38"/>
  <c r="Z138" i="38" s="1"/>
  <c r="N140" i="38"/>
  <c r="N141" i="38"/>
  <c r="N142" i="38"/>
  <c r="N143" i="38"/>
  <c r="Z142" i="38" s="1"/>
  <c r="N144" i="38"/>
  <c r="N145" i="38"/>
  <c r="N146" i="38"/>
  <c r="N147" i="38"/>
  <c r="Z146" i="38" s="1"/>
  <c r="N148" i="38"/>
  <c r="N149" i="38"/>
  <c r="N150" i="38"/>
  <c r="N151" i="38"/>
  <c r="Z150" i="38" s="1"/>
  <c r="N152" i="38"/>
  <c r="N153" i="38"/>
  <c r="N154" i="38"/>
  <c r="N155" i="38"/>
  <c r="Z154" i="38" s="1"/>
  <c r="N156" i="38"/>
  <c r="N157" i="38"/>
  <c r="N158" i="38"/>
  <c r="N159" i="38"/>
  <c r="Z158" i="38" s="1"/>
  <c r="N160" i="38"/>
  <c r="N161" i="38"/>
  <c r="N162" i="38"/>
  <c r="N163" i="38"/>
  <c r="Z162" i="38" s="1"/>
  <c r="N164" i="38"/>
  <c r="N165" i="38"/>
  <c r="N166" i="38"/>
  <c r="N167" i="38"/>
  <c r="Z166" i="38" s="1"/>
  <c r="N168" i="38"/>
  <c r="N169" i="38"/>
  <c r="N170" i="38"/>
  <c r="N171" i="38"/>
  <c r="Z170" i="38" s="1"/>
  <c r="N172" i="38"/>
  <c r="N173" i="38"/>
  <c r="N174" i="38"/>
  <c r="N175" i="38"/>
  <c r="Z174" i="38" s="1"/>
  <c r="N176" i="38"/>
  <c r="N177" i="38"/>
  <c r="N178" i="38"/>
  <c r="N179" i="38"/>
  <c r="Z178" i="38" s="1"/>
  <c r="N180" i="38"/>
  <c r="N181" i="38"/>
  <c r="N182" i="38"/>
  <c r="N183" i="38"/>
  <c r="Z182" i="38" s="1"/>
  <c r="N184" i="38"/>
  <c r="N185" i="38"/>
  <c r="N186" i="38"/>
  <c r="N187" i="38"/>
  <c r="Z186" i="38" s="1"/>
  <c r="N188" i="38"/>
  <c r="N189" i="38"/>
  <c r="N190" i="38"/>
  <c r="N191" i="38"/>
  <c r="Z190" i="38" s="1"/>
  <c r="N192" i="38"/>
  <c r="N193" i="38"/>
  <c r="N194" i="38"/>
  <c r="N195" i="38"/>
  <c r="Z194" i="38" s="1"/>
  <c r="N196" i="38"/>
  <c r="N197" i="38"/>
  <c r="N198" i="38"/>
  <c r="N199" i="38"/>
  <c r="Z198" i="38" s="1"/>
  <c r="N200" i="38"/>
  <c r="N201" i="38"/>
  <c r="N202" i="38"/>
  <c r="N203" i="38"/>
  <c r="Z202" i="38" s="1"/>
  <c r="N204" i="38"/>
  <c r="N205" i="38"/>
  <c r="N206" i="38"/>
  <c r="N207" i="38"/>
  <c r="Z206" i="38" s="1"/>
  <c r="N208" i="38"/>
  <c r="N209" i="38"/>
  <c r="N210" i="38"/>
  <c r="N211" i="38"/>
  <c r="Z210" i="38" s="1"/>
  <c r="N212" i="38"/>
  <c r="N213" i="38"/>
  <c r="N214" i="38"/>
  <c r="N215" i="38"/>
  <c r="Z214" i="38" s="1"/>
  <c r="N216" i="38"/>
  <c r="N217" i="38"/>
  <c r="N218" i="38"/>
  <c r="N219" i="38"/>
  <c r="Z218" i="38" s="1"/>
  <c r="N220" i="38"/>
  <c r="N221" i="38"/>
  <c r="N222" i="38"/>
  <c r="N223" i="38"/>
  <c r="Z222" i="38" s="1"/>
  <c r="N224" i="38"/>
  <c r="N225" i="38"/>
  <c r="N226" i="38"/>
  <c r="N227" i="38"/>
  <c r="Z226" i="38" s="1"/>
  <c r="N228" i="38"/>
  <c r="N229" i="38"/>
  <c r="N230" i="38"/>
  <c r="N231" i="38"/>
  <c r="Z230" i="38" s="1"/>
  <c r="N232" i="38"/>
  <c r="N233" i="38"/>
  <c r="N234" i="38"/>
  <c r="N235" i="38"/>
  <c r="Z234" i="38" s="1"/>
  <c r="N236" i="38"/>
  <c r="N237" i="38"/>
  <c r="N238" i="38"/>
  <c r="N239" i="38"/>
  <c r="Z238" i="38" s="1"/>
  <c r="N240" i="38"/>
  <c r="N241" i="38"/>
  <c r="N242" i="38"/>
  <c r="N243" i="38"/>
  <c r="Z242" i="38" s="1"/>
  <c r="N244" i="38"/>
  <c r="N245" i="38"/>
  <c r="N246" i="38"/>
  <c r="N247" i="38"/>
  <c r="Z246" i="38" s="1"/>
  <c r="N248" i="38"/>
  <c r="N249" i="38"/>
  <c r="N250" i="38"/>
  <c r="N251" i="38"/>
  <c r="Z250" i="38" s="1"/>
  <c r="N252" i="38"/>
  <c r="N253" i="38"/>
  <c r="N254" i="38"/>
  <c r="N255" i="38"/>
  <c r="Z254" i="38" s="1"/>
  <c r="N256" i="38"/>
  <c r="N257" i="38"/>
  <c r="N258" i="38"/>
  <c r="N259" i="38"/>
  <c r="Z258" i="38" s="1"/>
  <c r="Z12" i="38"/>
  <c r="Z16" i="38"/>
  <c r="Z20" i="38"/>
  <c r="Z24" i="38"/>
  <c r="Z28" i="38"/>
  <c r="Z32" i="38"/>
  <c r="Z36" i="38"/>
  <c r="Z40" i="38"/>
  <c r="Z44" i="38"/>
  <c r="Z48" i="38"/>
  <c r="Z52" i="38"/>
  <c r="Z56" i="38"/>
  <c r="Z60" i="38"/>
  <c r="Z64" i="38"/>
  <c r="Z68" i="38"/>
  <c r="Z72" i="38"/>
  <c r="Z76" i="38"/>
  <c r="Z80" i="38"/>
  <c r="Z84" i="38"/>
  <c r="Z88" i="38"/>
  <c r="Z92" i="38"/>
  <c r="Z96" i="38"/>
  <c r="Z100" i="38"/>
  <c r="Z104" i="38"/>
  <c r="Z108" i="38"/>
  <c r="Z112" i="38"/>
  <c r="Z116" i="38"/>
  <c r="Z120" i="38"/>
  <c r="Z124" i="38"/>
  <c r="Z128" i="38"/>
  <c r="Z132" i="38"/>
  <c r="Z136" i="38"/>
  <c r="Z140" i="38"/>
  <c r="Z144" i="38"/>
  <c r="Z148" i="38"/>
  <c r="Z152" i="38"/>
  <c r="Z156" i="38"/>
  <c r="Z160" i="38"/>
  <c r="Z164" i="38"/>
  <c r="Z168" i="38"/>
  <c r="Z172" i="38"/>
  <c r="Z176" i="38"/>
  <c r="Z180" i="38"/>
  <c r="Z184" i="38"/>
  <c r="Z188" i="38"/>
  <c r="Z192" i="38"/>
  <c r="Z196" i="38"/>
  <c r="Z200" i="38"/>
  <c r="Z204" i="38"/>
  <c r="Z208" i="38"/>
  <c r="Z212" i="38"/>
  <c r="Z216" i="38"/>
  <c r="Z220" i="38"/>
  <c r="Z224" i="38"/>
  <c r="Z228" i="38"/>
  <c r="Z232" i="38"/>
  <c r="Z236" i="38"/>
  <c r="Z240" i="38"/>
  <c r="Z244" i="38"/>
  <c r="Z248" i="38"/>
  <c r="Z252" i="38"/>
  <c r="Z256" i="38"/>
  <c r="S8" i="38"/>
  <c r="M9" i="38" s="1"/>
  <c r="P9" i="38" s="1"/>
  <c r="Q8" i="38"/>
  <c r="P8" i="38"/>
  <c r="D17" i="1"/>
  <c r="T8" i="38"/>
  <c r="U8" i="38" s="1"/>
  <c r="X21" i="38"/>
  <c r="X22" i="38"/>
  <c r="X23" i="38"/>
  <c r="X24" i="38"/>
  <c r="X25" i="38"/>
  <c r="X26" i="38"/>
  <c r="X27" i="38"/>
  <c r="X28" i="38"/>
  <c r="X29" i="38"/>
  <c r="X30" i="38"/>
  <c r="X31" i="38"/>
  <c r="X32" i="38"/>
  <c r="X33" i="38"/>
  <c r="X34" i="38"/>
  <c r="X35" i="38"/>
  <c r="X36" i="38"/>
  <c r="X37" i="38"/>
  <c r="X38" i="38"/>
  <c r="X39" i="38"/>
  <c r="X40" i="38"/>
  <c r="X41" i="38"/>
  <c r="X42" i="38"/>
  <c r="X43" i="38"/>
  <c r="X44" i="38"/>
  <c r="X45" i="38"/>
  <c r="X46" i="38"/>
  <c r="X47" i="38"/>
  <c r="X48" i="38"/>
  <c r="X49" i="38"/>
  <c r="X50" i="38"/>
  <c r="X51" i="38"/>
  <c r="X52" i="38"/>
  <c r="X53" i="38"/>
  <c r="X54" i="38"/>
  <c r="X55" i="38"/>
  <c r="X56" i="38"/>
  <c r="X57" i="38"/>
  <c r="X58" i="38"/>
  <c r="X59" i="38"/>
  <c r="X60" i="38"/>
  <c r="X61" i="38"/>
  <c r="X62" i="38"/>
  <c r="X63" i="38"/>
  <c r="X64" i="38"/>
  <c r="X65" i="38"/>
  <c r="X66" i="38"/>
  <c r="X67" i="38"/>
  <c r="X68" i="38"/>
  <c r="X69" i="38"/>
  <c r="X70" i="38"/>
  <c r="X71" i="38"/>
  <c r="X72" i="38"/>
  <c r="X73" i="38"/>
  <c r="X74" i="38"/>
  <c r="X75" i="38"/>
  <c r="X76" i="38"/>
  <c r="X77" i="38"/>
  <c r="X78" i="38"/>
  <c r="X79" i="38"/>
  <c r="X80" i="38"/>
  <c r="X81" i="38"/>
  <c r="X82" i="38"/>
  <c r="X83" i="38"/>
  <c r="X84" i="38"/>
  <c r="X85" i="38"/>
  <c r="X86" i="38"/>
  <c r="X87" i="38"/>
  <c r="X88" i="38"/>
  <c r="X89" i="38"/>
  <c r="X90" i="38"/>
  <c r="X91" i="38"/>
  <c r="X92" i="38"/>
  <c r="X93" i="38"/>
  <c r="X94" i="38"/>
  <c r="X95" i="38"/>
  <c r="X96" i="38"/>
  <c r="X97" i="38"/>
  <c r="X98" i="38"/>
  <c r="X99" i="38"/>
  <c r="X100" i="38"/>
  <c r="X101" i="38"/>
  <c r="X102" i="38"/>
  <c r="X103" i="38"/>
  <c r="X104" i="38"/>
  <c r="X105" i="38"/>
  <c r="X106" i="38"/>
  <c r="X107" i="38"/>
  <c r="X108" i="38"/>
  <c r="X109" i="38"/>
  <c r="X110" i="38"/>
  <c r="X111" i="38"/>
  <c r="X112" i="38"/>
  <c r="X113" i="38"/>
  <c r="X114" i="38"/>
  <c r="X115" i="38"/>
  <c r="X116" i="38"/>
  <c r="X117" i="38"/>
  <c r="X118" i="38"/>
  <c r="X119" i="38"/>
  <c r="X120" i="38"/>
  <c r="X121" i="38"/>
  <c r="X122" i="38"/>
  <c r="X123" i="38"/>
  <c r="X124" i="38"/>
  <c r="X125" i="38"/>
  <c r="X126" i="38"/>
  <c r="X127" i="38"/>
  <c r="X128" i="38"/>
  <c r="X129" i="38"/>
  <c r="X130" i="38"/>
  <c r="X131" i="38"/>
  <c r="X132" i="38"/>
  <c r="X133" i="38"/>
  <c r="X134" i="38"/>
  <c r="X135" i="38"/>
  <c r="X136" i="38"/>
  <c r="X137" i="38"/>
  <c r="X138" i="38"/>
  <c r="X139" i="38"/>
  <c r="X140" i="38"/>
  <c r="X141" i="38"/>
  <c r="X142" i="38"/>
  <c r="X143" i="38"/>
  <c r="X144" i="38"/>
  <c r="X145" i="38"/>
  <c r="X146" i="38"/>
  <c r="X147" i="38"/>
  <c r="X148" i="38"/>
  <c r="X149" i="38"/>
  <c r="X150" i="38"/>
  <c r="X151" i="38"/>
  <c r="X152" i="38"/>
  <c r="X153" i="38"/>
  <c r="X154" i="38"/>
  <c r="X155" i="38"/>
  <c r="X156" i="38"/>
  <c r="X157" i="38"/>
  <c r="X158" i="38"/>
  <c r="X159" i="38"/>
  <c r="X160" i="38"/>
  <c r="X161" i="38"/>
  <c r="X162" i="38"/>
  <c r="X163" i="38"/>
  <c r="X164" i="38"/>
  <c r="X165" i="38"/>
  <c r="X166" i="38"/>
  <c r="X167" i="38"/>
  <c r="X168" i="38"/>
  <c r="X169" i="38"/>
  <c r="X170" i="38"/>
  <c r="X171" i="38"/>
  <c r="X172" i="38"/>
  <c r="X173" i="38"/>
  <c r="X174" i="38"/>
  <c r="X175" i="38"/>
  <c r="X176" i="38"/>
  <c r="X177" i="38"/>
  <c r="X178" i="38"/>
  <c r="X179" i="38"/>
  <c r="X180" i="38"/>
  <c r="X181" i="38"/>
  <c r="X182" i="38"/>
  <c r="X183" i="38"/>
  <c r="X184" i="38"/>
  <c r="X185" i="38"/>
  <c r="X186" i="38"/>
  <c r="X187" i="38"/>
  <c r="X188" i="38"/>
  <c r="X189" i="38"/>
  <c r="X190" i="38"/>
  <c r="X191" i="38"/>
  <c r="X192" i="38"/>
  <c r="X193" i="38"/>
  <c r="X194" i="38"/>
  <c r="X195" i="38"/>
  <c r="X196" i="38"/>
  <c r="X197" i="38"/>
  <c r="X198" i="38"/>
  <c r="X199" i="38"/>
  <c r="X200" i="38"/>
  <c r="X201" i="38"/>
  <c r="X202" i="38"/>
  <c r="X203" i="38"/>
  <c r="X204" i="38"/>
  <c r="X205" i="38"/>
  <c r="X206" i="38"/>
  <c r="X207" i="38"/>
  <c r="X208" i="38"/>
  <c r="X209" i="38"/>
  <c r="X210" i="38"/>
  <c r="X211" i="38"/>
  <c r="X212" i="38"/>
  <c r="X213" i="38"/>
  <c r="X214" i="38"/>
  <c r="X215" i="38"/>
  <c r="X216" i="38"/>
  <c r="X217" i="38"/>
  <c r="X218" i="38"/>
  <c r="X219" i="38"/>
  <c r="X220" i="38"/>
  <c r="X221" i="38"/>
  <c r="X222" i="38"/>
  <c r="X223" i="38"/>
  <c r="X224" i="38"/>
  <c r="X225" i="38"/>
  <c r="X226" i="38"/>
  <c r="X227" i="38"/>
  <c r="X228" i="38"/>
  <c r="X229" i="38"/>
  <c r="X230" i="38"/>
  <c r="X231" i="38"/>
  <c r="X232" i="38"/>
  <c r="X233" i="38"/>
  <c r="X234" i="38"/>
  <c r="X235" i="38"/>
  <c r="X236" i="38"/>
  <c r="X237" i="38"/>
  <c r="X238" i="38"/>
  <c r="X239" i="38"/>
  <c r="X240" i="38"/>
  <c r="X241" i="38"/>
  <c r="X242" i="38"/>
  <c r="X243" i="38"/>
  <c r="X244" i="38"/>
  <c r="X245" i="38"/>
  <c r="X246" i="38"/>
  <c r="X247" i="38"/>
  <c r="X248" i="38"/>
  <c r="X249" i="38"/>
  <c r="X250" i="38"/>
  <c r="X251" i="38"/>
  <c r="X252" i="38"/>
  <c r="X253" i="38"/>
  <c r="X254" i="38"/>
  <c r="X255" i="38"/>
  <c r="X256" i="38"/>
  <c r="X257" i="38"/>
  <c r="X258" i="38"/>
  <c r="X259" i="38"/>
  <c r="X20" i="38"/>
  <c r="R9" i="38"/>
  <c r="R10" i="38"/>
  <c r="R11" i="38"/>
  <c r="R12" i="38"/>
  <c r="R13" i="38"/>
  <c r="R14" i="38"/>
  <c r="R15" i="38"/>
  <c r="R16" i="38"/>
  <c r="R17" i="38"/>
  <c r="R18" i="38"/>
  <c r="R20" i="38"/>
  <c r="R21" i="38"/>
  <c r="R22" i="38"/>
  <c r="R23" i="38"/>
  <c r="R24" i="38"/>
  <c r="R25" i="38"/>
  <c r="R26" i="38"/>
  <c r="R27" i="38"/>
  <c r="R28" i="38"/>
  <c r="R29" i="38"/>
  <c r="R30" i="38"/>
  <c r="R32" i="38"/>
  <c r="R33" i="38"/>
  <c r="R34" i="38"/>
  <c r="R35" i="38"/>
  <c r="R36" i="38"/>
  <c r="R37" i="38"/>
  <c r="R38" i="38"/>
  <c r="R39" i="38"/>
  <c r="R40" i="38"/>
  <c r="R41" i="38"/>
  <c r="R42" i="38"/>
  <c r="R44" i="38"/>
  <c r="R45" i="38"/>
  <c r="R46" i="38"/>
  <c r="R47" i="38"/>
  <c r="R48" i="38"/>
  <c r="R49" i="38"/>
  <c r="R50" i="38"/>
  <c r="R51" i="38"/>
  <c r="R52" i="38"/>
  <c r="R53" i="38"/>
  <c r="R54" i="38"/>
  <c r="R56" i="38"/>
  <c r="R57" i="38"/>
  <c r="R58" i="38"/>
  <c r="R59" i="38"/>
  <c r="R60" i="38"/>
  <c r="R61" i="38"/>
  <c r="R62" i="38"/>
  <c r="R63" i="38"/>
  <c r="R64" i="38"/>
  <c r="R65" i="38"/>
  <c r="R66" i="38"/>
  <c r="R68" i="38"/>
  <c r="R69" i="38"/>
  <c r="R70" i="38"/>
  <c r="R71" i="38"/>
  <c r="R72" i="38"/>
  <c r="R73" i="38"/>
  <c r="R74" i="38"/>
  <c r="R75" i="38"/>
  <c r="R76" i="38"/>
  <c r="R77" i="38"/>
  <c r="R78" i="38"/>
  <c r="R80" i="38"/>
  <c r="R81" i="38"/>
  <c r="R82" i="38"/>
  <c r="R83" i="38"/>
  <c r="R84" i="38"/>
  <c r="R85" i="38"/>
  <c r="R86" i="38"/>
  <c r="R87" i="38"/>
  <c r="R88" i="38"/>
  <c r="R89" i="38"/>
  <c r="R90" i="38"/>
  <c r="R92" i="38"/>
  <c r="R93" i="38"/>
  <c r="R94" i="38"/>
  <c r="R95" i="38"/>
  <c r="R96" i="38"/>
  <c r="R97" i="38"/>
  <c r="R98" i="38"/>
  <c r="R99" i="38"/>
  <c r="R100" i="38"/>
  <c r="R101" i="38"/>
  <c r="R102" i="38"/>
  <c r="R104" i="38"/>
  <c r="R105" i="38"/>
  <c r="R106" i="38"/>
  <c r="R107" i="38"/>
  <c r="R108" i="38"/>
  <c r="R109" i="38"/>
  <c r="R110" i="38"/>
  <c r="R111" i="38"/>
  <c r="R112" i="38"/>
  <c r="R113" i="38"/>
  <c r="R114" i="38"/>
  <c r="R116" i="38"/>
  <c r="R117" i="38"/>
  <c r="R118" i="38"/>
  <c r="R119" i="38"/>
  <c r="R120" i="38"/>
  <c r="R121" i="38"/>
  <c r="R122" i="38"/>
  <c r="R123" i="38"/>
  <c r="R124" i="38"/>
  <c r="R125" i="38"/>
  <c r="R126" i="38"/>
  <c r="R128" i="38"/>
  <c r="R129" i="38"/>
  <c r="R130" i="38"/>
  <c r="R131" i="38"/>
  <c r="R132" i="38"/>
  <c r="R133" i="38"/>
  <c r="R134" i="38"/>
  <c r="R135" i="38"/>
  <c r="R136" i="38"/>
  <c r="R137" i="38"/>
  <c r="R138" i="38"/>
  <c r="R140" i="38"/>
  <c r="R141" i="38"/>
  <c r="R142" i="38"/>
  <c r="R143" i="38"/>
  <c r="R144" i="38"/>
  <c r="R145" i="38"/>
  <c r="R146" i="38"/>
  <c r="R147" i="38"/>
  <c r="R148" i="38"/>
  <c r="R149" i="38"/>
  <c r="R150" i="38"/>
  <c r="R152" i="38"/>
  <c r="R153" i="38"/>
  <c r="R154" i="38"/>
  <c r="R155" i="38"/>
  <c r="R156" i="38"/>
  <c r="R157" i="38"/>
  <c r="R158" i="38"/>
  <c r="R159" i="38"/>
  <c r="R160" i="38"/>
  <c r="R161" i="38"/>
  <c r="R162" i="38"/>
  <c r="R164" i="38"/>
  <c r="R165" i="38"/>
  <c r="R166" i="38"/>
  <c r="R167" i="38"/>
  <c r="R168" i="38"/>
  <c r="R169" i="38"/>
  <c r="R170" i="38"/>
  <c r="R171" i="38"/>
  <c r="R172" i="38"/>
  <c r="R173" i="38"/>
  <c r="R174" i="38"/>
  <c r="R176" i="38"/>
  <c r="R177" i="38"/>
  <c r="R178" i="38"/>
  <c r="R179" i="38"/>
  <c r="R180" i="38"/>
  <c r="R181" i="38"/>
  <c r="R182" i="38"/>
  <c r="R183" i="38"/>
  <c r="R184" i="38"/>
  <c r="R185" i="38"/>
  <c r="R186" i="38"/>
  <c r="R188" i="38"/>
  <c r="R189" i="38"/>
  <c r="R190" i="38"/>
  <c r="R191" i="38"/>
  <c r="R192" i="38"/>
  <c r="R193" i="38"/>
  <c r="R194" i="38"/>
  <c r="R195" i="38"/>
  <c r="R196" i="38"/>
  <c r="R197" i="38"/>
  <c r="R198" i="38"/>
  <c r="R199" i="38"/>
  <c r="R200" i="38"/>
  <c r="R201" i="38"/>
  <c r="R202" i="38"/>
  <c r="R203" i="38"/>
  <c r="R204" i="38"/>
  <c r="R205" i="38"/>
  <c r="R206" i="38"/>
  <c r="R207" i="38"/>
  <c r="R208" i="38"/>
  <c r="R209" i="38"/>
  <c r="R210" i="38"/>
  <c r="R211" i="38"/>
  <c r="R212" i="38"/>
  <c r="R213" i="38"/>
  <c r="R214" i="38"/>
  <c r="R215" i="38"/>
  <c r="R216" i="38"/>
  <c r="R217" i="38"/>
  <c r="R218" i="38"/>
  <c r="R219" i="38"/>
  <c r="R220" i="38"/>
  <c r="R221" i="38"/>
  <c r="R222" i="38"/>
  <c r="R223" i="38"/>
  <c r="R224" i="38"/>
  <c r="R225" i="38"/>
  <c r="R226" i="38"/>
  <c r="R227" i="38"/>
  <c r="R228" i="38"/>
  <c r="R229" i="38"/>
  <c r="R230" i="38"/>
  <c r="R231" i="38"/>
  <c r="R232" i="38"/>
  <c r="R233" i="38"/>
  <c r="R234" i="38"/>
  <c r="R235" i="38"/>
  <c r="R236" i="38"/>
  <c r="R237" i="38"/>
  <c r="R238" i="38"/>
  <c r="R239" i="38"/>
  <c r="R240" i="38"/>
  <c r="R241" i="38"/>
  <c r="R242" i="38"/>
  <c r="R243" i="38"/>
  <c r="R244" i="38"/>
  <c r="R245" i="38"/>
  <c r="R246" i="38"/>
  <c r="R247" i="38"/>
  <c r="R248" i="38"/>
  <c r="R249" i="38"/>
  <c r="R250" i="38"/>
  <c r="R251" i="38"/>
  <c r="R252" i="38"/>
  <c r="R253" i="38"/>
  <c r="R254" i="38"/>
  <c r="R255" i="38"/>
  <c r="R256" i="38"/>
  <c r="R257" i="38"/>
  <c r="R258" i="38"/>
  <c r="R259" i="38"/>
  <c r="R8" i="38"/>
  <c r="N8" i="38"/>
  <c r="W8" i="38"/>
  <c r="Y21" i="38"/>
  <c r="Y22" i="38"/>
  <c r="Y23" i="38"/>
  <c r="Y24" i="38"/>
  <c r="Y25" i="38"/>
  <c r="Y26" i="38"/>
  <c r="Y27" i="38"/>
  <c r="Y28" i="38"/>
  <c r="Y29" i="38"/>
  <c r="Y30" i="38"/>
  <c r="Y31" i="38"/>
  <c r="Y32" i="38"/>
  <c r="Y33" i="38"/>
  <c r="Y34" i="38"/>
  <c r="Y35" i="38"/>
  <c r="Y36" i="38"/>
  <c r="Y37" i="38"/>
  <c r="Y38" i="38"/>
  <c r="Y39" i="38"/>
  <c r="Y40" i="38"/>
  <c r="Y41" i="38"/>
  <c r="Y42" i="38"/>
  <c r="Y43" i="38"/>
  <c r="Y44" i="38"/>
  <c r="Y45" i="38"/>
  <c r="Y46" i="38"/>
  <c r="Y47" i="38"/>
  <c r="Y48" i="38"/>
  <c r="Y49" i="38"/>
  <c r="Y50" i="38"/>
  <c r="Y51" i="38"/>
  <c r="Y52" i="38"/>
  <c r="Y53" i="38"/>
  <c r="Y54" i="38"/>
  <c r="Y55" i="38"/>
  <c r="Y56" i="38"/>
  <c r="Y57" i="38"/>
  <c r="Y58" i="38"/>
  <c r="Y59" i="38"/>
  <c r="Y60" i="38"/>
  <c r="Y61" i="38"/>
  <c r="Y62" i="38"/>
  <c r="Y63" i="38"/>
  <c r="Y64" i="38"/>
  <c r="Y65" i="38"/>
  <c r="Y66" i="38"/>
  <c r="Y67" i="38"/>
  <c r="Y68" i="38"/>
  <c r="Y69" i="38"/>
  <c r="Y70" i="38"/>
  <c r="Y71" i="38"/>
  <c r="Y72" i="38"/>
  <c r="Y73" i="38"/>
  <c r="Y74" i="38"/>
  <c r="Y75" i="38"/>
  <c r="Y76" i="38"/>
  <c r="Y77" i="38"/>
  <c r="Y78" i="38"/>
  <c r="Y79" i="38"/>
  <c r="Y80" i="38"/>
  <c r="Y81" i="38"/>
  <c r="Y82" i="38"/>
  <c r="Y83" i="38"/>
  <c r="Y84" i="38"/>
  <c r="Y85" i="38"/>
  <c r="Y86" i="38"/>
  <c r="Y87" i="38"/>
  <c r="Y88" i="38"/>
  <c r="Y89" i="38"/>
  <c r="Y90" i="38"/>
  <c r="Y91" i="38"/>
  <c r="Y92" i="38"/>
  <c r="Y93" i="38"/>
  <c r="Y94" i="38"/>
  <c r="Y95" i="38"/>
  <c r="Y96" i="38"/>
  <c r="Y97" i="38"/>
  <c r="Y98" i="38"/>
  <c r="Y99" i="38"/>
  <c r="Y100" i="38"/>
  <c r="Y101" i="38"/>
  <c r="Y102" i="38"/>
  <c r="Y103" i="38"/>
  <c r="Y104" i="38"/>
  <c r="Y105" i="38"/>
  <c r="Y106" i="38"/>
  <c r="Y107" i="38"/>
  <c r="Y108" i="38"/>
  <c r="Y109" i="38"/>
  <c r="Y110" i="38"/>
  <c r="Y111" i="38"/>
  <c r="Y112" i="38"/>
  <c r="Y113" i="38"/>
  <c r="Y114" i="38"/>
  <c r="Y115" i="38"/>
  <c r="Y116" i="38"/>
  <c r="Y117" i="38"/>
  <c r="Y118" i="38"/>
  <c r="Y119" i="38"/>
  <c r="Y120" i="38"/>
  <c r="Y121" i="38"/>
  <c r="Y122" i="38"/>
  <c r="Y123" i="38"/>
  <c r="Y124" i="38"/>
  <c r="Y125" i="38"/>
  <c r="Y126" i="38"/>
  <c r="Y127" i="38"/>
  <c r="Y128" i="38"/>
  <c r="Y129" i="38"/>
  <c r="Y130" i="38"/>
  <c r="Y131" i="38"/>
  <c r="Y132" i="38"/>
  <c r="Y133" i="38"/>
  <c r="Y134" i="38"/>
  <c r="Y135" i="38"/>
  <c r="Y136" i="38"/>
  <c r="Y137" i="38"/>
  <c r="Y138" i="38"/>
  <c r="Y139" i="38"/>
  <c r="Y140" i="38"/>
  <c r="Y141" i="38"/>
  <c r="Y142" i="38"/>
  <c r="Y143" i="38"/>
  <c r="Y144" i="38"/>
  <c r="Y145" i="38"/>
  <c r="Y146" i="38"/>
  <c r="Y147" i="38"/>
  <c r="Y148" i="38"/>
  <c r="Y149" i="38"/>
  <c r="Y150" i="38"/>
  <c r="Y151" i="38"/>
  <c r="Y152" i="38"/>
  <c r="Y153" i="38"/>
  <c r="Y154" i="38"/>
  <c r="Y155" i="38"/>
  <c r="Y156" i="38"/>
  <c r="Y157" i="38"/>
  <c r="Y158" i="38"/>
  <c r="Y159" i="38"/>
  <c r="Y160" i="38"/>
  <c r="Y161" i="38"/>
  <c r="Y162" i="38"/>
  <c r="Y163" i="38"/>
  <c r="Y164" i="38"/>
  <c r="Y165" i="38"/>
  <c r="Y166" i="38"/>
  <c r="Y167" i="38"/>
  <c r="Y168" i="38"/>
  <c r="Y169" i="38"/>
  <c r="Y170" i="38"/>
  <c r="Y171" i="38"/>
  <c r="Y172" i="38"/>
  <c r="Y173" i="38"/>
  <c r="Y174" i="38"/>
  <c r="Y175" i="38"/>
  <c r="Y176" i="38"/>
  <c r="Y177" i="38"/>
  <c r="Y178" i="38"/>
  <c r="Y179" i="38"/>
  <c r="Y180" i="38"/>
  <c r="Y181" i="38"/>
  <c r="Y182" i="38"/>
  <c r="Y183" i="38"/>
  <c r="Y184" i="38"/>
  <c r="Y185" i="38"/>
  <c r="Y186" i="38"/>
  <c r="Y187" i="38"/>
  <c r="Y188" i="38"/>
  <c r="Y189" i="38"/>
  <c r="Y190" i="38"/>
  <c r="Y191" i="38"/>
  <c r="Y192" i="38"/>
  <c r="Y193" i="38"/>
  <c r="Y194" i="38"/>
  <c r="Y195" i="38"/>
  <c r="Y196" i="38"/>
  <c r="Y197" i="38"/>
  <c r="Y198" i="38"/>
  <c r="Y199" i="38"/>
  <c r="Y200" i="38"/>
  <c r="Y201" i="38"/>
  <c r="Y202" i="38"/>
  <c r="Y203" i="38"/>
  <c r="Y204" i="38"/>
  <c r="Y205" i="38"/>
  <c r="Y206" i="38"/>
  <c r="Y207" i="38"/>
  <c r="Y208" i="38"/>
  <c r="Y209" i="38"/>
  <c r="Y210" i="38"/>
  <c r="Y211" i="38"/>
  <c r="Y212" i="38"/>
  <c r="Y213" i="38"/>
  <c r="Y214" i="38"/>
  <c r="Y215" i="38"/>
  <c r="Y216" i="38"/>
  <c r="Y217" i="38"/>
  <c r="Y218" i="38"/>
  <c r="Y219" i="38"/>
  <c r="Y220" i="38"/>
  <c r="Y221" i="38"/>
  <c r="Y222" i="38"/>
  <c r="Y223" i="38"/>
  <c r="Y224" i="38"/>
  <c r="Y225" i="38"/>
  <c r="Y226" i="38"/>
  <c r="Y227" i="38"/>
  <c r="Y228" i="38"/>
  <c r="Y229" i="38"/>
  <c r="Y230" i="38"/>
  <c r="Y231" i="38"/>
  <c r="Y232" i="38"/>
  <c r="Y233" i="38"/>
  <c r="Y234" i="38"/>
  <c r="Y235" i="38"/>
  <c r="Y236" i="38"/>
  <c r="Y237" i="38"/>
  <c r="Y238" i="38"/>
  <c r="Y239" i="38"/>
  <c r="Y240" i="38"/>
  <c r="Y241" i="38"/>
  <c r="Y242" i="38"/>
  <c r="Y243" i="38"/>
  <c r="Y244" i="38"/>
  <c r="Y245" i="38"/>
  <c r="Y246" i="38"/>
  <c r="Y247" i="38"/>
  <c r="Y248" i="38"/>
  <c r="Y249" i="38"/>
  <c r="Y250" i="38"/>
  <c r="Y251" i="38"/>
  <c r="Y252" i="38"/>
  <c r="Y253" i="38"/>
  <c r="Y254" i="38"/>
  <c r="Y255" i="38"/>
  <c r="Y256" i="38"/>
  <c r="Y257" i="38"/>
  <c r="Y258" i="38"/>
  <c r="Y259" i="38"/>
  <c r="Y9" i="38"/>
  <c r="Y10" i="38"/>
  <c r="Y13" i="38"/>
  <c r="Y14" i="38"/>
  <c r="Y17" i="38"/>
  <c r="Y18" i="38"/>
  <c r="Y8" i="38"/>
  <c r="H9" i="38"/>
  <c r="H10" i="38" s="1"/>
  <c r="H11" i="38" s="1"/>
  <c r="H12" i="38" s="1"/>
  <c r="H13" i="38" s="1"/>
  <c r="H14" i="38" s="1"/>
  <c r="H15" i="38" s="1"/>
  <c r="H16" i="38" s="1"/>
  <c r="H17" i="38" s="1"/>
  <c r="H18" i="38" s="1"/>
  <c r="H19" i="38" s="1"/>
  <c r="H20" i="38" s="1"/>
  <c r="H21" i="38" s="1"/>
  <c r="H22" i="38" s="1"/>
  <c r="H23" i="38" s="1"/>
  <c r="H24" i="38" s="1"/>
  <c r="H25" i="38" s="1"/>
  <c r="H26" i="38" s="1"/>
  <c r="H27" i="38" s="1"/>
  <c r="H28" i="38" s="1"/>
  <c r="H29" i="38" s="1"/>
  <c r="H30" i="38" s="1"/>
  <c r="H31" i="38" s="1"/>
  <c r="H32" i="38" s="1"/>
  <c r="H33" i="38" s="1"/>
  <c r="H34" i="38" s="1"/>
  <c r="H35" i="38" s="1"/>
  <c r="H36" i="38" s="1"/>
  <c r="H37" i="38" s="1"/>
  <c r="H38" i="38" s="1"/>
  <c r="H39" i="38" s="1"/>
  <c r="H40" i="38" s="1"/>
  <c r="H41" i="38" s="1"/>
  <c r="H42" i="38" s="1"/>
  <c r="H43" i="38" s="1"/>
  <c r="H44" i="38" s="1"/>
  <c r="H45" i="38" s="1"/>
  <c r="H46" i="38" s="1"/>
  <c r="H47" i="38" s="1"/>
  <c r="H48" i="38" s="1"/>
  <c r="H49" i="38" s="1"/>
  <c r="H50" i="38" s="1"/>
  <c r="H51" i="38" s="1"/>
  <c r="H52" i="38" s="1"/>
  <c r="H53" i="38" s="1"/>
  <c r="H54" i="38" s="1"/>
  <c r="H55" i="38" s="1"/>
  <c r="H56" i="38" s="1"/>
  <c r="H57" i="38" s="1"/>
  <c r="H58" i="38" s="1"/>
  <c r="H59" i="38" s="1"/>
  <c r="H60" i="38" s="1"/>
  <c r="H61" i="38" s="1"/>
  <c r="H62" i="38" s="1"/>
  <c r="H63" i="38" s="1"/>
  <c r="H64" i="38" s="1"/>
  <c r="H65" i="38" s="1"/>
  <c r="H66" i="38" s="1"/>
  <c r="H67" i="38" s="1"/>
  <c r="H68" i="38" s="1"/>
  <c r="H69" i="38" s="1"/>
  <c r="H70" i="38" s="1"/>
  <c r="H71" i="38" s="1"/>
  <c r="H72" i="38" s="1"/>
  <c r="H73" i="38" s="1"/>
  <c r="H74" i="38" s="1"/>
  <c r="H75" i="38" s="1"/>
  <c r="H76" i="38" s="1"/>
  <c r="H77" i="38" s="1"/>
  <c r="H78" i="38" s="1"/>
  <c r="H79" i="38" s="1"/>
  <c r="H80" i="38" s="1"/>
  <c r="H81" i="38" s="1"/>
  <c r="H82" i="38" s="1"/>
  <c r="H83" i="38" s="1"/>
  <c r="H84" i="38" s="1"/>
  <c r="H85" i="38" s="1"/>
  <c r="H86" i="38" s="1"/>
  <c r="H87" i="38" s="1"/>
  <c r="H88" i="38" s="1"/>
  <c r="H89" i="38" s="1"/>
  <c r="H90" i="38" s="1"/>
  <c r="H91" i="38" s="1"/>
  <c r="H92" i="38" s="1"/>
  <c r="H93" i="38" s="1"/>
  <c r="H94" i="38" s="1"/>
  <c r="H95" i="38" s="1"/>
  <c r="H96" i="38" s="1"/>
  <c r="H97" i="38" s="1"/>
  <c r="H98" i="38" s="1"/>
  <c r="H99" i="38" s="1"/>
  <c r="H100" i="38" s="1"/>
  <c r="H101" i="38" s="1"/>
  <c r="H102" i="38" s="1"/>
  <c r="H103" i="38" s="1"/>
  <c r="H104" i="38" s="1"/>
  <c r="H105" i="38" s="1"/>
  <c r="H106" i="38" s="1"/>
  <c r="H107" i="38" s="1"/>
  <c r="H108" i="38" s="1"/>
  <c r="H109" i="38" s="1"/>
  <c r="H110" i="38" s="1"/>
  <c r="H111" i="38" s="1"/>
  <c r="H112" i="38" s="1"/>
  <c r="H113" i="38" s="1"/>
  <c r="H114" i="38" s="1"/>
  <c r="H115" i="38" s="1"/>
  <c r="H116" i="38" s="1"/>
  <c r="H117" i="38" s="1"/>
  <c r="H118" i="38" s="1"/>
  <c r="H119" i="38" s="1"/>
  <c r="H120" i="38" s="1"/>
  <c r="H121" i="38" s="1"/>
  <c r="H122" i="38" s="1"/>
  <c r="H123" i="38" s="1"/>
  <c r="H124" i="38" s="1"/>
  <c r="H125" i="38" s="1"/>
  <c r="H126" i="38" s="1"/>
  <c r="H127" i="38" s="1"/>
  <c r="H128" i="38" s="1"/>
  <c r="H129" i="38" s="1"/>
  <c r="H130" i="38" s="1"/>
  <c r="H131" i="38" s="1"/>
  <c r="H132" i="38" s="1"/>
  <c r="H133" i="38" s="1"/>
  <c r="H134" i="38" s="1"/>
  <c r="H135" i="38" s="1"/>
  <c r="H136" i="38" s="1"/>
  <c r="H137" i="38" s="1"/>
  <c r="H138" i="38" s="1"/>
  <c r="H139" i="38" s="1"/>
  <c r="H140" i="38" s="1"/>
  <c r="H141" i="38" s="1"/>
  <c r="H142" i="38" s="1"/>
  <c r="H143" i="38" s="1"/>
  <c r="H144" i="38" s="1"/>
  <c r="H145" i="38" s="1"/>
  <c r="H146" i="38" s="1"/>
  <c r="H147" i="38" s="1"/>
  <c r="H148" i="38" s="1"/>
  <c r="H149" i="38" s="1"/>
  <c r="H150" i="38" s="1"/>
  <c r="H151" i="38" s="1"/>
  <c r="H152" i="38" s="1"/>
  <c r="H153" i="38" s="1"/>
  <c r="H154" i="38" s="1"/>
  <c r="H155" i="38" s="1"/>
  <c r="H156" i="38" s="1"/>
  <c r="H157" i="38" s="1"/>
  <c r="H158" i="38" s="1"/>
  <c r="H159" i="38" s="1"/>
  <c r="H160" i="38" s="1"/>
  <c r="H161" i="38" s="1"/>
  <c r="H162" i="38" s="1"/>
  <c r="H163" i="38" s="1"/>
  <c r="H164" i="38" s="1"/>
  <c r="H165" i="38" s="1"/>
  <c r="H166" i="38" s="1"/>
  <c r="H167" i="38" s="1"/>
  <c r="H168" i="38" s="1"/>
  <c r="H169" i="38" s="1"/>
  <c r="H170" i="38" s="1"/>
  <c r="H171" i="38" s="1"/>
  <c r="H172" i="38" s="1"/>
  <c r="H173" i="38" s="1"/>
  <c r="H174" i="38" s="1"/>
  <c r="H175" i="38" s="1"/>
  <c r="H176" i="38" s="1"/>
  <c r="H177" i="38" s="1"/>
  <c r="H178" i="38" s="1"/>
  <c r="H179" i="38" s="1"/>
  <c r="H180" i="38" s="1"/>
  <c r="H181" i="38" s="1"/>
  <c r="H182" i="38" s="1"/>
  <c r="H183" i="38" s="1"/>
  <c r="H184" i="38" s="1"/>
  <c r="H185" i="38" s="1"/>
  <c r="H186" i="38" s="1"/>
  <c r="H187" i="38" s="1"/>
  <c r="H188" i="38" s="1"/>
  <c r="H189" i="38" s="1"/>
  <c r="H190" i="38" s="1"/>
  <c r="H191" i="38" s="1"/>
  <c r="H192" i="38" s="1"/>
  <c r="H193" i="38" s="1"/>
  <c r="H194" i="38" s="1"/>
  <c r="H195" i="38" s="1"/>
  <c r="H196" i="38" s="1"/>
  <c r="H197" i="38" s="1"/>
  <c r="H198" i="38" s="1"/>
  <c r="H199" i="38" s="1"/>
  <c r="H200" i="38" s="1"/>
  <c r="H201" i="38" s="1"/>
  <c r="H202" i="38" s="1"/>
  <c r="H203" i="38" s="1"/>
  <c r="H204" i="38" s="1"/>
  <c r="H205" i="38" s="1"/>
  <c r="H206" i="38" s="1"/>
  <c r="H207" i="38" s="1"/>
  <c r="H208" i="38" s="1"/>
  <c r="H209" i="38" s="1"/>
  <c r="H210" i="38" s="1"/>
  <c r="H211" i="38" s="1"/>
  <c r="H212" i="38" s="1"/>
  <c r="H213" i="38" s="1"/>
  <c r="H214" i="38" s="1"/>
  <c r="H215" i="38" s="1"/>
  <c r="H216" i="38" s="1"/>
  <c r="H217" i="38" s="1"/>
  <c r="H218" i="38" s="1"/>
  <c r="H219" i="38" s="1"/>
  <c r="H220" i="38" s="1"/>
  <c r="H221" i="38" s="1"/>
  <c r="H222" i="38" s="1"/>
  <c r="H223" i="38" s="1"/>
  <c r="H224" i="38" s="1"/>
  <c r="H225" i="38" s="1"/>
  <c r="H226" i="38" s="1"/>
  <c r="H227" i="38" s="1"/>
  <c r="H228" i="38" s="1"/>
  <c r="H229" i="38" s="1"/>
  <c r="H230" i="38" s="1"/>
  <c r="H231" i="38" s="1"/>
  <c r="H232" i="38" s="1"/>
  <c r="H233" i="38" s="1"/>
  <c r="H234" i="38" s="1"/>
  <c r="H235" i="38" s="1"/>
  <c r="H236" i="38" s="1"/>
  <c r="H237" i="38" s="1"/>
  <c r="H238" i="38" s="1"/>
  <c r="H239" i="38" s="1"/>
  <c r="H240" i="38" s="1"/>
  <c r="H241" i="38" s="1"/>
  <c r="H242" i="38" s="1"/>
  <c r="H243" i="38" s="1"/>
  <c r="H244" i="38" s="1"/>
  <c r="H245" i="38" s="1"/>
  <c r="H246" i="38" s="1"/>
  <c r="H247" i="38" s="1"/>
  <c r="H248" i="38" s="1"/>
  <c r="H249" i="38" s="1"/>
  <c r="H250" i="38" s="1"/>
  <c r="H251" i="38" s="1"/>
  <c r="H252" i="38" s="1"/>
  <c r="H253" i="38" s="1"/>
  <c r="H254" i="38" s="1"/>
  <c r="H255" i="38" s="1"/>
  <c r="H256" i="38" s="1"/>
  <c r="H257" i="38" s="1"/>
  <c r="H258" i="38" s="1"/>
  <c r="H259" i="38" s="1"/>
  <c r="H8" i="38"/>
  <c r="Y11" i="38" l="1"/>
  <c r="Z257" i="38"/>
  <c r="Z253" i="38"/>
  <c r="Z249" i="38"/>
  <c r="Z245" i="38"/>
  <c r="Z241" i="38"/>
  <c r="Z237" i="38"/>
  <c r="Z233" i="38"/>
  <c r="Z229" i="38"/>
  <c r="Z225" i="38"/>
  <c r="Z221" i="38"/>
  <c r="Z217" i="38"/>
  <c r="Z213" i="38"/>
  <c r="Z209" i="38"/>
  <c r="Z205" i="38"/>
  <c r="Z201" i="38"/>
  <c r="Z197" i="38"/>
  <c r="Z193" i="38"/>
  <c r="Z189" i="38"/>
  <c r="Z185" i="38"/>
  <c r="Z181" i="38"/>
  <c r="Z177" i="38"/>
  <c r="Z173" i="38"/>
  <c r="Z169" i="38"/>
  <c r="Z165" i="38"/>
  <c r="Z161" i="38"/>
  <c r="Z157" i="38"/>
  <c r="Z153" i="38"/>
  <c r="Z149" i="38"/>
  <c r="Z145" i="38"/>
  <c r="Z141" i="38"/>
  <c r="Z137" i="38"/>
  <c r="Z133" i="38"/>
  <c r="Z129" i="38"/>
  <c r="Z125" i="38"/>
  <c r="Z121" i="38"/>
  <c r="Z117" i="38"/>
  <c r="Z113" i="38"/>
  <c r="Z109" i="38"/>
  <c r="Z105" i="38"/>
  <c r="Z101" i="38"/>
  <c r="Z97" i="38"/>
  <c r="Z93" i="38"/>
  <c r="Z89" i="38"/>
  <c r="Z85" i="38"/>
  <c r="Z81" i="38"/>
  <c r="Z77" i="38"/>
  <c r="Z73" i="38"/>
  <c r="Z69" i="38"/>
  <c r="Z65" i="38"/>
  <c r="Z61" i="38"/>
  <c r="Z57" i="38"/>
  <c r="Z53" i="38"/>
  <c r="Z49" i="38"/>
  <c r="Z45" i="38"/>
  <c r="Z41" i="38"/>
  <c r="Z37" i="38"/>
  <c r="Z33" i="38"/>
  <c r="Z29" i="38"/>
  <c r="Z25" i="38"/>
  <c r="Z21" i="38"/>
  <c r="Z17" i="38"/>
  <c r="Z13" i="38"/>
  <c r="Z9" i="38"/>
  <c r="Y19" i="38"/>
  <c r="Z259" i="38"/>
  <c r="Z255" i="38"/>
  <c r="Z251" i="38"/>
  <c r="Z247" i="38"/>
  <c r="Z243" i="38"/>
  <c r="Z239" i="38"/>
  <c r="Z235" i="38"/>
  <c r="Z231" i="38"/>
  <c r="Z227" i="38"/>
  <c r="Z223" i="38"/>
  <c r="Z219" i="38"/>
  <c r="Z215" i="38"/>
  <c r="Z211" i="38"/>
  <c r="Z207" i="38"/>
  <c r="Z203" i="38"/>
  <c r="Z199" i="38"/>
  <c r="Z195" i="38"/>
  <c r="Z191" i="38"/>
  <c r="Z187" i="38"/>
  <c r="Z183" i="38"/>
  <c r="Z179" i="38"/>
  <c r="Z175" i="38"/>
  <c r="Z171" i="38"/>
  <c r="Z167" i="38"/>
  <c r="Z163" i="38"/>
  <c r="Z159" i="38"/>
  <c r="Z155" i="38"/>
  <c r="Z151" i="38"/>
  <c r="Z147" i="38"/>
  <c r="Z143" i="38"/>
  <c r="Z139" i="38"/>
  <c r="Z135" i="38"/>
  <c r="Z131" i="38"/>
  <c r="Z127" i="38"/>
  <c r="Z123" i="38"/>
  <c r="Z119" i="38"/>
  <c r="Z115" i="38"/>
  <c r="Z111" i="38"/>
  <c r="Z107" i="38"/>
  <c r="Z103" i="38"/>
  <c r="Z99" i="38"/>
  <c r="Z95" i="38"/>
  <c r="Z91" i="38"/>
  <c r="Z87" i="38"/>
  <c r="Z83" i="38"/>
  <c r="Z79" i="38"/>
  <c r="Z75" i="38"/>
  <c r="Z71" i="38"/>
  <c r="Z67" i="38"/>
  <c r="Z63" i="38"/>
  <c r="Z59" i="38"/>
  <c r="Z55" i="38"/>
  <c r="Z51" i="38"/>
  <c r="Z47" i="38"/>
  <c r="Z43" i="38"/>
  <c r="Z39" i="38"/>
  <c r="Z35" i="38"/>
  <c r="Z31" i="38"/>
  <c r="Z27" i="38"/>
  <c r="Z23" i="38"/>
  <c r="Z19" i="38"/>
  <c r="Z15" i="38"/>
  <c r="Z11" i="38"/>
  <c r="Y15" i="38"/>
  <c r="Q9" i="38"/>
  <c r="S9" i="38"/>
  <c r="T9" i="38" s="1"/>
  <c r="U9" i="38" s="1"/>
  <c r="Y16" i="38"/>
  <c r="Y12" i="38"/>
  <c r="Y20" i="38"/>
  <c r="V9" i="38" l="1"/>
  <c r="AC9" i="38"/>
  <c r="M10" i="38"/>
  <c r="S10" i="38" s="1"/>
  <c r="T10" i="38" s="1"/>
  <c r="U10" i="38" s="1"/>
  <c r="P10" i="38" l="1"/>
  <c r="Q10" i="38"/>
  <c r="V10" i="38" l="1"/>
  <c r="AC10" i="38" l="1"/>
  <c r="M11" i="38"/>
  <c r="S11" i="38" l="1"/>
  <c r="T11" i="38" s="1"/>
  <c r="U11" i="38" s="1"/>
  <c r="Q11" i="38"/>
  <c r="P11" i="38"/>
  <c r="V11" i="38" l="1"/>
  <c r="M12" i="38" l="1"/>
  <c r="AC11" i="38"/>
  <c r="Q12" i="38" l="1"/>
  <c r="S12" i="38"/>
  <c r="T12" i="38" s="1"/>
  <c r="U12" i="38" s="1"/>
  <c r="P12" i="38"/>
  <c r="V12" i="38" l="1"/>
  <c r="M13" i="38" l="1"/>
  <c r="AC12" i="38"/>
  <c r="Q13" i="38" l="1"/>
  <c r="V13" i="38" s="1"/>
  <c r="S13" i="38"/>
  <c r="T13" i="38" s="1"/>
  <c r="U13" i="38" s="1"/>
  <c r="P13" i="38"/>
  <c r="M14" i="38" l="1"/>
  <c r="AC13" i="38"/>
  <c r="Q14" i="38" l="1"/>
  <c r="S14" i="38"/>
  <c r="T14" i="38" s="1"/>
  <c r="U14" i="38" s="1"/>
  <c r="P14" i="38"/>
  <c r="V14" i="38" l="1"/>
  <c r="M15" i="38" l="1"/>
  <c r="AC14" i="38"/>
  <c r="P15" i="38" l="1"/>
  <c r="V15" i="38" s="1"/>
  <c r="Q15" i="38"/>
  <c r="S15" i="38"/>
  <c r="T15" i="38" s="1"/>
  <c r="U15" i="38" s="1"/>
  <c r="AC15" i="38" l="1"/>
  <c r="M16" i="38"/>
  <c r="P16" i="38" l="1"/>
  <c r="Q16" i="38"/>
  <c r="S16" i="38"/>
  <c r="T16" i="38" s="1"/>
  <c r="U16" i="38" s="1"/>
  <c r="V16" i="38" l="1"/>
  <c r="AC16" i="38" l="1"/>
  <c r="M17" i="38"/>
  <c r="Q17" i="38" l="1"/>
  <c r="P17" i="38"/>
  <c r="V17" i="38" s="1"/>
  <c r="S17" i="38"/>
  <c r="T17" i="38" s="1"/>
  <c r="U17" i="38" s="1"/>
  <c r="M18" i="38" l="1"/>
  <c r="AC17" i="38"/>
  <c r="Q18" i="38" l="1"/>
  <c r="S18" i="38"/>
  <c r="T18" i="38" s="1"/>
  <c r="U18" i="38" s="1"/>
  <c r="V18" i="38"/>
  <c r="P18" i="38"/>
  <c r="M19" i="38" l="1"/>
  <c r="AC18" i="38"/>
  <c r="P19" i="38" l="1"/>
  <c r="Q19" i="38"/>
  <c r="V19" i="38" s="1"/>
  <c r="S19" i="38"/>
  <c r="T19" i="38" s="1"/>
  <c r="U19" i="38" s="1"/>
  <c r="R19" i="38"/>
  <c r="M20" i="38" l="1"/>
  <c r="AC19" i="38"/>
  <c r="P20" i="38" l="1"/>
  <c r="V20" i="38" s="1"/>
  <c r="Q20" i="38"/>
  <c r="S20" i="38"/>
  <c r="T20" i="38" s="1"/>
  <c r="U20" i="38" s="1"/>
  <c r="M21" i="38" l="1"/>
  <c r="AC20" i="38"/>
  <c r="Q21" i="38" l="1"/>
  <c r="V21" i="38" s="1"/>
  <c r="S21" i="38"/>
  <c r="T21" i="38" s="1"/>
  <c r="U21" i="38" s="1"/>
  <c r="P21" i="38"/>
  <c r="M22" i="38" l="1"/>
  <c r="AC21" i="38"/>
  <c r="S22" i="38" l="1"/>
  <c r="T22" i="38" s="1"/>
  <c r="U22" i="38" s="1"/>
  <c r="P22" i="38"/>
  <c r="Q22" i="38"/>
  <c r="V22" i="38" l="1"/>
  <c r="M23" i="38" l="1"/>
  <c r="AC22" i="38"/>
  <c r="Q23" i="38" l="1"/>
  <c r="V23" i="38" s="1"/>
  <c r="S23" i="38"/>
  <c r="T23" i="38" s="1"/>
  <c r="U23" i="38" s="1"/>
  <c r="P23" i="38"/>
  <c r="M24" i="38" l="1"/>
  <c r="AC23" i="38"/>
  <c r="S24" i="38" l="1"/>
  <c r="T24" i="38" s="1"/>
  <c r="U24" i="38" s="1"/>
  <c r="P24" i="38"/>
  <c r="Q24" i="38"/>
  <c r="V24" i="38" l="1"/>
  <c r="AC24" i="38" l="1"/>
  <c r="M25" i="38"/>
  <c r="Q25" i="38" l="1"/>
  <c r="S25" i="38"/>
  <c r="T25" i="38" s="1"/>
  <c r="U25" i="38" s="1"/>
  <c r="P25" i="38"/>
  <c r="V25" i="38" l="1"/>
  <c r="M26" i="38" l="1"/>
  <c r="AC25" i="38"/>
  <c r="P26" i="38" l="1"/>
  <c r="V26" i="38" s="1"/>
  <c r="Q26" i="38"/>
  <c r="S26" i="38"/>
  <c r="T26" i="38" s="1"/>
  <c r="U26" i="38" s="1"/>
  <c r="M27" i="38" l="1"/>
  <c r="AC26" i="38"/>
  <c r="S27" i="38" l="1"/>
  <c r="T27" i="38" s="1"/>
  <c r="U27" i="38" s="1"/>
  <c r="P27" i="38"/>
  <c r="Q27" i="38"/>
  <c r="V27" i="38" l="1"/>
  <c r="M28" i="38" l="1"/>
  <c r="AC27" i="38"/>
  <c r="P28" i="38" l="1"/>
  <c r="Q28" i="38"/>
  <c r="S28" i="38"/>
  <c r="T28" i="38" s="1"/>
  <c r="U28" i="38" s="1"/>
  <c r="V28" i="38" l="1"/>
  <c r="M29" i="38" l="1"/>
  <c r="AC28" i="38"/>
  <c r="S29" i="38" l="1"/>
  <c r="T29" i="38" s="1"/>
  <c r="U29" i="38" s="1"/>
  <c r="P29" i="38"/>
  <c r="Q29" i="38"/>
  <c r="V29" i="38" l="1"/>
  <c r="M30" i="38" l="1"/>
  <c r="AC29" i="38"/>
  <c r="S30" i="38" l="1"/>
  <c r="T30" i="38" s="1"/>
  <c r="U30" i="38" s="1"/>
  <c r="P30" i="38"/>
  <c r="Q30" i="38"/>
  <c r="V30" i="38" l="1"/>
  <c r="AC30" i="38" l="1"/>
  <c r="M31" i="38"/>
  <c r="R31" i="38" l="1"/>
  <c r="Q31" i="38"/>
  <c r="V31" i="38"/>
  <c r="S31" i="38"/>
  <c r="T31" i="38" s="1"/>
  <c r="U31" i="38" s="1"/>
  <c r="P31" i="38"/>
  <c r="M32" i="38" l="1"/>
  <c r="AC31" i="38"/>
  <c r="P32" i="38" l="1"/>
  <c r="Q32" i="38"/>
  <c r="S32" i="38"/>
  <c r="T32" i="38" s="1"/>
  <c r="U32" i="38" s="1"/>
  <c r="V32" i="38" l="1"/>
  <c r="M33" i="38" l="1"/>
  <c r="AC32" i="38"/>
  <c r="Q33" i="38" l="1"/>
  <c r="P33" i="38"/>
  <c r="V33" i="38" s="1"/>
  <c r="S33" i="38"/>
  <c r="T33" i="38" s="1"/>
  <c r="U33" i="38" s="1"/>
  <c r="AC33" i="38" l="1"/>
  <c r="M34" i="38"/>
  <c r="P34" i="38" l="1"/>
  <c r="Q34" i="38"/>
  <c r="S34" i="38"/>
  <c r="T34" i="38" s="1"/>
  <c r="U34" i="38" s="1"/>
  <c r="V34" i="38" l="1"/>
  <c r="AC34" i="38" l="1"/>
  <c r="M35" i="38"/>
  <c r="P35" i="38" l="1"/>
  <c r="Q35" i="38"/>
  <c r="S35" i="38"/>
  <c r="T35" i="38" s="1"/>
  <c r="U35" i="38" s="1"/>
  <c r="V35" i="38" l="1"/>
  <c r="AC35" i="38" l="1"/>
  <c r="M36" i="38"/>
  <c r="P36" i="38" l="1"/>
  <c r="V36" i="38" s="1"/>
  <c r="S36" i="38"/>
  <c r="T36" i="38" s="1"/>
  <c r="U36" i="38" s="1"/>
  <c r="Q36" i="38"/>
  <c r="AC36" i="38" l="1"/>
  <c r="M37" i="38"/>
  <c r="S37" i="38" l="1"/>
  <c r="T37" i="38" s="1"/>
  <c r="U37" i="38" s="1"/>
  <c r="Q37" i="38"/>
  <c r="P37" i="38"/>
  <c r="V37" i="38" l="1"/>
  <c r="AC37" i="38" l="1"/>
  <c r="M38" i="38"/>
  <c r="P38" i="38" l="1"/>
  <c r="V38" i="38" s="1"/>
  <c r="S38" i="38"/>
  <c r="T38" i="38" s="1"/>
  <c r="U38" i="38" s="1"/>
  <c r="Q38" i="38"/>
  <c r="M39" i="38" l="1"/>
  <c r="AC38" i="38"/>
  <c r="P39" i="38" l="1"/>
  <c r="V39" i="38" s="1"/>
  <c r="S39" i="38"/>
  <c r="T39" i="38" s="1"/>
  <c r="U39" i="38" s="1"/>
  <c r="Q39" i="38"/>
  <c r="M40" i="38" l="1"/>
  <c r="AC39" i="38"/>
  <c r="S40" i="38" l="1"/>
  <c r="T40" i="38" s="1"/>
  <c r="U40" i="38" s="1"/>
  <c r="P40" i="38"/>
  <c r="Q40" i="38"/>
  <c r="V40" i="38" s="1"/>
  <c r="AC40" i="38" l="1"/>
  <c r="M41" i="38"/>
  <c r="P41" i="38" l="1"/>
  <c r="Q41" i="38"/>
  <c r="S41" i="38"/>
  <c r="T41" i="38" s="1"/>
  <c r="U41" i="38" s="1"/>
  <c r="V41" i="38"/>
  <c r="AC41" i="38" l="1"/>
  <c r="M42" i="38"/>
  <c r="P42" i="38" l="1"/>
  <c r="S42" i="38"/>
  <c r="T42" i="38" s="1"/>
  <c r="U42" i="38" s="1"/>
  <c r="Q42" i="38"/>
  <c r="V42" i="38" s="1"/>
  <c r="AC42" i="38" l="1"/>
  <c r="M43" i="38"/>
  <c r="S43" i="38" l="1"/>
  <c r="T43" i="38" s="1"/>
  <c r="U43" i="38" s="1"/>
  <c r="P43" i="38"/>
  <c r="Q43" i="38"/>
  <c r="R43" i="38"/>
  <c r="V43" i="38" l="1"/>
  <c r="M44" i="38" l="1"/>
  <c r="AC43" i="38"/>
  <c r="P44" i="38" l="1"/>
  <c r="S44" i="38"/>
  <c r="T44" i="38" s="1"/>
  <c r="U44" i="38" s="1"/>
  <c r="Q44" i="38"/>
  <c r="V44" i="38" l="1"/>
  <c r="M45" i="38" l="1"/>
  <c r="AC44" i="38"/>
  <c r="Q45" i="38" l="1"/>
  <c r="S45" i="38"/>
  <c r="T45" i="38" s="1"/>
  <c r="U45" i="38" s="1"/>
  <c r="P45" i="38"/>
  <c r="V45" i="38" l="1"/>
  <c r="M46" i="38" l="1"/>
  <c r="AC45" i="38"/>
  <c r="S46" i="38" l="1"/>
  <c r="T46" i="38" s="1"/>
  <c r="U46" i="38" s="1"/>
  <c r="Q46" i="38"/>
  <c r="P46" i="38"/>
  <c r="V46" i="38" s="1"/>
  <c r="M47" i="38" l="1"/>
  <c r="AC46" i="38"/>
  <c r="Q47" i="38" l="1"/>
  <c r="S47" i="38"/>
  <c r="T47" i="38" s="1"/>
  <c r="U47" i="38" s="1"/>
  <c r="P47" i="38"/>
  <c r="V47" i="38" l="1"/>
  <c r="M48" i="38" l="1"/>
  <c r="AC47" i="38"/>
  <c r="P48" i="38" l="1"/>
  <c r="S48" i="38"/>
  <c r="T48" i="38" s="1"/>
  <c r="U48" i="38" s="1"/>
  <c r="Q48" i="38"/>
  <c r="V48" i="38" s="1"/>
  <c r="M49" i="38" l="1"/>
  <c r="AC48" i="38"/>
  <c r="S49" i="38" l="1"/>
  <c r="T49" i="38" s="1"/>
  <c r="U49" i="38" s="1"/>
  <c r="P49" i="38"/>
  <c r="Q49" i="38"/>
  <c r="V49" i="38" l="1"/>
  <c r="AC49" i="38" l="1"/>
  <c r="M50" i="38"/>
  <c r="S50" i="38" l="1"/>
  <c r="T50" i="38" s="1"/>
  <c r="U50" i="38" s="1"/>
  <c r="P50" i="38"/>
  <c r="Q50" i="38"/>
  <c r="V50" i="38" l="1"/>
  <c r="M51" i="38" l="1"/>
  <c r="AC50" i="38"/>
  <c r="P51" i="38" l="1"/>
  <c r="S51" i="38"/>
  <c r="T51" i="38" s="1"/>
  <c r="U51" i="38" s="1"/>
  <c r="Q51" i="38"/>
  <c r="V51" i="38" l="1"/>
  <c r="M52" i="38" l="1"/>
  <c r="AC51" i="38"/>
  <c r="Q52" i="38" l="1"/>
  <c r="S52" i="38"/>
  <c r="T52" i="38" s="1"/>
  <c r="U52" i="38" s="1"/>
  <c r="P52" i="38"/>
  <c r="V52" i="38" s="1"/>
  <c r="M53" i="38" l="1"/>
  <c r="AC52" i="38"/>
  <c r="P53" i="38" l="1"/>
  <c r="Q53" i="38"/>
  <c r="V53" i="38" s="1"/>
  <c r="S53" i="38"/>
  <c r="T53" i="38" s="1"/>
  <c r="U53" i="38" s="1"/>
  <c r="AC53" i="38" l="1"/>
  <c r="M54" i="38"/>
  <c r="S54" i="38" l="1"/>
  <c r="T54" i="38" s="1"/>
  <c r="U54" i="38" s="1"/>
  <c r="P54" i="38"/>
  <c r="Q54" i="38"/>
  <c r="V54" i="38" s="1"/>
  <c r="M55" i="38" l="1"/>
  <c r="AC54" i="38"/>
  <c r="S55" i="38" l="1"/>
  <c r="T55" i="38" s="1"/>
  <c r="U55" i="38" s="1"/>
  <c r="Q55" i="38"/>
  <c r="R55" i="38"/>
  <c r="P55" i="38"/>
  <c r="V55" i="38" l="1"/>
  <c r="M56" i="38" l="1"/>
  <c r="AC55" i="38"/>
  <c r="P56" i="38" l="1"/>
  <c r="Q56" i="38"/>
  <c r="S56" i="38"/>
  <c r="T56" i="38" s="1"/>
  <c r="U56" i="38" s="1"/>
  <c r="V56" i="38" l="1"/>
  <c r="AC56" i="38" l="1"/>
  <c r="M57" i="38"/>
  <c r="Q57" i="38" l="1"/>
  <c r="S57" i="38"/>
  <c r="T57" i="38" s="1"/>
  <c r="U57" i="38" s="1"/>
  <c r="P57" i="38"/>
  <c r="V57" i="38" s="1"/>
  <c r="M58" i="38" l="1"/>
  <c r="AC57" i="38"/>
  <c r="S58" i="38" l="1"/>
  <c r="T58" i="38" s="1"/>
  <c r="U58" i="38" s="1"/>
  <c r="P58" i="38"/>
  <c r="Q58" i="38"/>
  <c r="V58" i="38" s="1"/>
  <c r="M59" i="38" l="1"/>
  <c r="AC58" i="38"/>
  <c r="Q59" i="38" l="1"/>
  <c r="S59" i="38"/>
  <c r="T59" i="38" s="1"/>
  <c r="U59" i="38" s="1"/>
  <c r="P59" i="38"/>
  <c r="V59" i="38" s="1"/>
  <c r="M60" i="38" l="1"/>
  <c r="AC59" i="38"/>
  <c r="Q60" i="38" l="1"/>
  <c r="S60" i="38"/>
  <c r="T60" i="38" s="1"/>
  <c r="U60" i="38" s="1"/>
  <c r="P60" i="38"/>
  <c r="V60" i="38" l="1"/>
  <c r="M61" i="38" l="1"/>
  <c r="AC60" i="38"/>
  <c r="S61" i="38" l="1"/>
  <c r="T61" i="38" s="1"/>
  <c r="U61" i="38" s="1"/>
  <c r="Q61" i="38"/>
  <c r="P61" i="38"/>
  <c r="V61" i="38" s="1"/>
  <c r="M62" i="38" l="1"/>
  <c r="AC61" i="38"/>
  <c r="P62" i="38" l="1"/>
  <c r="Q62" i="38"/>
  <c r="S62" i="38"/>
  <c r="T62" i="38" s="1"/>
  <c r="U62" i="38" s="1"/>
  <c r="V62" i="38" l="1"/>
  <c r="M63" i="38" l="1"/>
  <c r="AC62" i="38"/>
  <c r="Q63" i="38" l="1"/>
  <c r="P63" i="38"/>
  <c r="S63" i="38"/>
  <c r="T63" i="38" s="1"/>
  <c r="U63" i="38" s="1"/>
  <c r="V63" i="38" l="1"/>
  <c r="M64" i="38" l="1"/>
  <c r="AC63" i="38"/>
  <c r="S64" i="38" l="1"/>
  <c r="T64" i="38" s="1"/>
  <c r="U64" i="38" s="1"/>
  <c r="Q64" i="38"/>
  <c r="P64" i="38"/>
  <c r="V64" i="38"/>
  <c r="M65" i="38" l="1"/>
  <c r="AC64" i="38"/>
  <c r="P65" i="38" l="1"/>
  <c r="Q65" i="38"/>
  <c r="S65" i="38"/>
  <c r="T65" i="38" s="1"/>
  <c r="U65" i="38" s="1"/>
  <c r="V65" i="38"/>
  <c r="AC65" i="38" l="1"/>
  <c r="M66" i="38"/>
  <c r="P66" i="38" l="1"/>
  <c r="Q66" i="38"/>
  <c r="S66" i="38"/>
  <c r="T66" i="38" s="1"/>
  <c r="U66" i="38" s="1"/>
  <c r="V66" i="38"/>
  <c r="AC66" i="38" l="1"/>
  <c r="M67" i="38"/>
  <c r="P67" i="38" l="1"/>
  <c r="R67" i="38"/>
  <c r="Q67" i="38"/>
  <c r="S67" i="38"/>
  <c r="T67" i="38" s="1"/>
  <c r="U67" i="38" s="1"/>
  <c r="V67" i="38" l="1"/>
  <c r="M68" i="38" l="1"/>
  <c r="AC67" i="38"/>
  <c r="P68" i="38" l="1"/>
  <c r="Q68" i="38"/>
  <c r="S68" i="38"/>
  <c r="T68" i="38" s="1"/>
  <c r="U68" i="38" s="1"/>
  <c r="V68" i="38" l="1"/>
  <c r="M69" i="38" l="1"/>
  <c r="AC68" i="38"/>
  <c r="Q69" i="38" l="1"/>
  <c r="P69" i="38"/>
  <c r="S69" i="38"/>
  <c r="T69" i="38" s="1"/>
  <c r="U69" i="38" s="1"/>
  <c r="V69" i="38" l="1"/>
  <c r="AC69" i="38" l="1"/>
  <c r="M70" i="38"/>
  <c r="Q70" i="38" l="1"/>
  <c r="P70" i="38"/>
  <c r="S70" i="38"/>
  <c r="T70" i="38" s="1"/>
  <c r="U70" i="38" s="1"/>
  <c r="V70" i="38" l="1"/>
  <c r="M71" i="38" l="1"/>
  <c r="AC70" i="38"/>
  <c r="Q71" i="38" l="1"/>
  <c r="S71" i="38"/>
  <c r="T71" i="38" s="1"/>
  <c r="U71" i="38" s="1"/>
  <c r="P71" i="38"/>
  <c r="V71" i="38" l="1"/>
  <c r="M72" i="38" l="1"/>
  <c r="AC71" i="38"/>
  <c r="Q72" i="38" l="1"/>
  <c r="P72" i="38"/>
  <c r="S72" i="38"/>
  <c r="T72" i="38" s="1"/>
  <c r="U72" i="38" s="1"/>
  <c r="V72" i="38" l="1"/>
  <c r="M73" i="38" l="1"/>
  <c r="AC72" i="38"/>
  <c r="S73" i="38" l="1"/>
  <c r="T73" i="38" s="1"/>
  <c r="U73" i="38" s="1"/>
  <c r="Q73" i="38"/>
  <c r="P73" i="38"/>
  <c r="V73" i="38" l="1"/>
  <c r="M74" i="38" l="1"/>
  <c r="AC73" i="38"/>
  <c r="Q74" i="38" l="1"/>
  <c r="S74" i="38"/>
  <c r="T74" i="38" s="1"/>
  <c r="U74" i="38" s="1"/>
  <c r="P74" i="38"/>
  <c r="V74" i="38" s="1"/>
  <c r="AC74" i="38" l="1"/>
  <c r="M75" i="38"/>
  <c r="S75" i="38" l="1"/>
  <c r="T75" i="38" s="1"/>
  <c r="U75" i="38" s="1"/>
  <c r="Q75" i="38"/>
  <c r="P75" i="38"/>
  <c r="V75" i="38" s="1"/>
  <c r="M76" i="38" l="1"/>
  <c r="AC75" i="38"/>
  <c r="S76" i="38" l="1"/>
  <c r="T76" i="38" s="1"/>
  <c r="U76" i="38" s="1"/>
  <c r="Q76" i="38"/>
  <c r="P76" i="38"/>
  <c r="V76" i="38" s="1"/>
  <c r="AC76" i="38" l="1"/>
  <c r="M77" i="38"/>
  <c r="P77" i="38" l="1"/>
  <c r="Q77" i="38"/>
  <c r="S77" i="38"/>
  <c r="T77" i="38" s="1"/>
  <c r="U77" i="38" s="1"/>
  <c r="V77" i="38" l="1"/>
  <c r="M78" i="38" l="1"/>
  <c r="AC77" i="38"/>
  <c r="S78" i="38" l="1"/>
  <c r="T78" i="38" s="1"/>
  <c r="U78" i="38" s="1"/>
  <c r="P78" i="38"/>
  <c r="Q78" i="38"/>
  <c r="V78" i="38" s="1"/>
  <c r="AC78" i="38" l="1"/>
  <c r="M79" i="38"/>
  <c r="P79" i="38" l="1"/>
  <c r="S79" i="38"/>
  <c r="T79" i="38" s="1"/>
  <c r="U79" i="38" s="1"/>
  <c r="R79" i="38"/>
  <c r="Q79" i="38"/>
  <c r="V79" i="38" s="1"/>
  <c r="AC79" i="38" l="1"/>
  <c r="M80" i="38"/>
  <c r="S80" i="38" l="1"/>
  <c r="T80" i="38" s="1"/>
  <c r="U80" i="38" s="1"/>
  <c r="Q80" i="38"/>
  <c r="P80" i="38"/>
  <c r="V80" i="38" s="1"/>
  <c r="AC80" i="38" l="1"/>
  <c r="M81" i="38"/>
  <c r="Q81" i="38" l="1"/>
  <c r="P81" i="38"/>
  <c r="V81" i="38" s="1"/>
  <c r="S81" i="38"/>
  <c r="T81" i="38" s="1"/>
  <c r="U81" i="38" s="1"/>
  <c r="M82" i="38" l="1"/>
  <c r="AC81" i="38"/>
  <c r="P82" i="38" l="1"/>
  <c r="V82" i="38" s="1"/>
  <c r="S82" i="38"/>
  <c r="T82" i="38" s="1"/>
  <c r="U82" i="38" s="1"/>
  <c r="Q82" i="38"/>
  <c r="M83" i="38" l="1"/>
  <c r="AC82" i="38"/>
  <c r="P83" i="38" l="1"/>
  <c r="Q83" i="38"/>
  <c r="S83" i="38"/>
  <c r="T83" i="38" s="1"/>
  <c r="U83" i="38" s="1"/>
  <c r="V83" i="38" l="1"/>
  <c r="M84" i="38" l="1"/>
  <c r="AC83" i="38"/>
  <c r="Q84" i="38" l="1"/>
  <c r="P84" i="38"/>
  <c r="S84" i="38"/>
  <c r="T84" i="38" s="1"/>
  <c r="U84" i="38" s="1"/>
  <c r="V84" i="38" l="1"/>
  <c r="AC84" i="38" l="1"/>
  <c r="M85" i="38"/>
  <c r="P85" i="38" l="1"/>
  <c r="S85" i="38"/>
  <c r="T85" i="38" s="1"/>
  <c r="U85" i="38" s="1"/>
  <c r="Q85" i="38"/>
  <c r="V85" i="38" s="1"/>
  <c r="AC85" i="38" l="1"/>
  <c r="M86" i="38"/>
  <c r="S86" i="38" l="1"/>
  <c r="T86" i="38" s="1"/>
  <c r="U86" i="38" s="1"/>
  <c r="Q86" i="38"/>
  <c r="P86" i="38"/>
  <c r="V86" i="38" s="1"/>
  <c r="AC86" i="38" l="1"/>
  <c r="M87" i="38"/>
  <c r="Q87" i="38" l="1"/>
  <c r="P87" i="38"/>
  <c r="S87" i="38"/>
  <c r="T87" i="38" s="1"/>
  <c r="U87" i="38" s="1"/>
  <c r="V87" i="38" l="1"/>
  <c r="M88" i="38" l="1"/>
  <c r="AC87" i="38"/>
  <c r="Q88" i="38" l="1"/>
  <c r="P88" i="38"/>
  <c r="S88" i="38"/>
  <c r="T88" i="38" s="1"/>
  <c r="U88" i="38" s="1"/>
  <c r="V88" i="38" l="1"/>
  <c r="M89" i="38" l="1"/>
  <c r="AC88" i="38"/>
  <c r="P89" i="38" l="1"/>
  <c r="S89" i="38"/>
  <c r="T89" i="38" s="1"/>
  <c r="U89" i="38" s="1"/>
  <c r="Q89" i="38"/>
  <c r="V89" i="38" l="1"/>
  <c r="M90" i="38" l="1"/>
  <c r="AC89" i="38"/>
  <c r="S90" i="38" l="1"/>
  <c r="T90" i="38" s="1"/>
  <c r="U90" i="38" s="1"/>
  <c r="P90" i="38"/>
  <c r="Q90" i="38"/>
  <c r="V90" i="38" s="1"/>
  <c r="AC90" i="38" l="1"/>
  <c r="M91" i="38"/>
  <c r="R91" i="38" l="1"/>
  <c r="Q91" i="38"/>
  <c r="P91" i="38"/>
  <c r="S91" i="38"/>
  <c r="T91" i="38" s="1"/>
  <c r="U91" i="38" s="1"/>
  <c r="V91" i="38" l="1"/>
  <c r="M92" i="38" l="1"/>
  <c r="AC91" i="38"/>
  <c r="P92" i="38" l="1"/>
  <c r="S92" i="38"/>
  <c r="T92" i="38" s="1"/>
  <c r="U92" i="38" s="1"/>
  <c r="Q92" i="38"/>
  <c r="V92" i="38" l="1"/>
  <c r="M93" i="38" l="1"/>
  <c r="AC92" i="38"/>
  <c r="P93" i="38" l="1"/>
  <c r="S93" i="38"/>
  <c r="T93" i="38" s="1"/>
  <c r="U93" i="38" s="1"/>
  <c r="Q93" i="38"/>
  <c r="V93" i="38" s="1"/>
  <c r="M94" i="38" l="1"/>
  <c r="AC93" i="38"/>
  <c r="Q94" i="38" l="1"/>
  <c r="S94" i="38"/>
  <c r="T94" i="38" s="1"/>
  <c r="U94" i="38" s="1"/>
  <c r="P94" i="38"/>
  <c r="V94" i="38" s="1"/>
  <c r="AC94" i="38" l="1"/>
  <c r="M95" i="38"/>
  <c r="Q95" i="38" l="1"/>
  <c r="S95" i="38"/>
  <c r="T95" i="38" s="1"/>
  <c r="U95" i="38" s="1"/>
  <c r="P95" i="38"/>
  <c r="V95" i="38" l="1"/>
  <c r="M96" i="38" l="1"/>
  <c r="AC95" i="38"/>
  <c r="Q96" i="38" l="1"/>
  <c r="S96" i="38"/>
  <c r="T96" i="38" s="1"/>
  <c r="U96" i="38" s="1"/>
  <c r="P96" i="38"/>
  <c r="V96" i="38" s="1"/>
  <c r="AC96" i="38" l="1"/>
  <c r="M97" i="38"/>
  <c r="S97" i="38" l="1"/>
  <c r="T97" i="38" s="1"/>
  <c r="U97" i="38" s="1"/>
  <c r="Q97" i="38"/>
  <c r="P97" i="38"/>
  <c r="V97" i="38" s="1"/>
  <c r="M98" i="38" l="1"/>
  <c r="AC97" i="38"/>
  <c r="Q98" i="38" l="1"/>
  <c r="P98" i="38"/>
  <c r="V98" i="38" s="1"/>
  <c r="S98" i="38"/>
  <c r="T98" i="38" s="1"/>
  <c r="U98" i="38" s="1"/>
  <c r="AC98" i="38" l="1"/>
  <c r="M99" i="38"/>
  <c r="P99" i="38" l="1"/>
  <c r="S99" i="38"/>
  <c r="T99" i="38" s="1"/>
  <c r="U99" i="38" s="1"/>
  <c r="Q99" i="38"/>
  <c r="V99" i="38" s="1"/>
  <c r="AC99" i="38" l="1"/>
  <c r="M100" i="38"/>
  <c r="S100" i="38" l="1"/>
  <c r="T100" i="38" s="1"/>
  <c r="U100" i="38" s="1"/>
  <c r="P100" i="38"/>
  <c r="Q100" i="38"/>
  <c r="V100" i="38" l="1"/>
  <c r="AC100" i="38" l="1"/>
  <c r="M101" i="38"/>
  <c r="P101" i="38" l="1"/>
  <c r="Q101" i="38"/>
  <c r="V101" i="38" s="1"/>
  <c r="S101" i="38"/>
  <c r="T101" i="38" s="1"/>
  <c r="U101" i="38" s="1"/>
  <c r="M102" i="38" l="1"/>
  <c r="AC101" i="38"/>
  <c r="S102" i="38" l="1"/>
  <c r="T102" i="38" s="1"/>
  <c r="U102" i="38" s="1"/>
  <c r="Q102" i="38"/>
  <c r="P102" i="38"/>
  <c r="V102" i="38" l="1"/>
  <c r="M103" i="38" l="1"/>
  <c r="AC102" i="38"/>
  <c r="R103" i="38" l="1"/>
  <c r="S103" i="38"/>
  <c r="T103" i="38" s="1"/>
  <c r="U103" i="38" s="1"/>
  <c r="P103" i="38"/>
  <c r="V103" i="38" s="1"/>
  <c r="Q103" i="38"/>
  <c r="M104" i="38" l="1"/>
  <c r="AC103" i="38"/>
  <c r="Q104" i="38" l="1"/>
  <c r="P104" i="38"/>
  <c r="V104" i="38" s="1"/>
  <c r="S104" i="38"/>
  <c r="T104" i="38" s="1"/>
  <c r="U104" i="38" s="1"/>
  <c r="AC104" i="38" l="1"/>
  <c r="M105" i="38"/>
  <c r="P105" i="38" l="1"/>
  <c r="Q105" i="38"/>
  <c r="S105" i="38"/>
  <c r="T105" i="38" s="1"/>
  <c r="U105" i="38" s="1"/>
  <c r="V105" i="38" l="1"/>
  <c r="M106" i="38" l="1"/>
  <c r="AC105" i="38"/>
  <c r="S106" i="38" l="1"/>
  <c r="T106" i="38" s="1"/>
  <c r="U106" i="38" s="1"/>
  <c r="Q106" i="38"/>
  <c r="P106" i="38"/>
  <c r="V106" i="38" s="1"/>
  <c r="M107" i="38" l="1"/>
  <c r="AC106" i="38"/>
  <c r="S107" i="38" l="1"/>
  <c r="T107" i="38" s="1"/>
  <c r="U107" i="38" s="1"/>
  <c r="Q107" i="38"/>
  <c r="P107" i="38"/>
  <c r="V107" i="38" s="1"/>
  <c r="M108" i="38" l="1"/>
  <c r="AC107" i="38"/>
  <c r="S108" i="38" l="1"/>
  <c r="T108" i="38" s="1"/>
  <c r="U108" i="38" s="1"/>
  <c r="Q108" i="38"/>
  <c r="P108" i="38"/>
  <c r="V108" i="38" s="1"/>
  <c r="M109" i="38" l="1"/>
  <c r="AC108" i="38"/>
  <c r="Q109" i="38" l="1"/>
  <c r="S109" i="38"/>
  <c r="T109" i="38" s="1"/>
  <c r="U109" i="38" s="1"/>
  <c r="P109" i="38"/>
  <c r="V109" i="38" l="1"/>
  <c r="M110" i="38" l="1"/>
  <c r="AC109" i="38"/>
  <c r="P110" i="38" l="1"/>
  <c r="Q110" i="38"/>
  <c r="S110" i="38"/>
  <c r="T110" i="38" s="1"/>
  <c r="U110" i="38" s="1"/>
  <c r="V110" i="38" l="1"/>
  <c r="M111" i="38" l="1"/>
  <c r="AC110" i="38"/>
  <c r="S111" i="38" l="1"/>
  <c r="T111" i="38" s="1"/>
  <c r="U111" i="38" s="1"/>
  <c r="Q111" i="38"/>
  <c r="P111" i="38"/>
  <c r="V111" i="38" l="1"/>
  <c r="M112" i="38" l="1"/>
  <c r="AC111" i="38"/>
  <c r="S112" i="38" l="1"/>
  <c r="T112" i="38" s="1"/>
  <c r="U112" i="38" s="1"/>
  <c r="P112" i="38"/>
  <c r="V112" i="38" s="1"/>
  <c r="Q112" i="38"/>
  <c r="M113" i="38" l="1"/>
  <c r="AC112" i="38"/>
  <c r="S113" i="38" l="1"/>
  <c r="T113" i="38" s="1"/>
  <c r="U113" i="38" s="1"/>
  <c r="Q113" i="38"/>
  <c r="P113" i="38"/>
  <c r="V113" i="38" s="1"/>
  <c r="M114" i="38" l="1"/>
  <c r="AC113" i="38"/>
  <c r="Q114" i="38" l="1"/>
  <c r="P114" i="38"/>
  <c r="S114" i="38"/>
  <c r="T114" i="38" s="1"/>
  <c r="U114" i="38" s="1"/>
  <c r="V114" i="38" l="1"/>
  <c r="M115" i="38" l="1"/>
  <c r="AC114" i="38"/>
  <c r="P115" i="38" l="1"/>
  <c r="Q115" i="38"/>
  <c r="S115" i="38"/>
  <c r="T115" i="38" s="1"/>
  <c r="U115" i="38" s="1"/>
  <c r="R115" i="38"/>
  <c r="V115" i="38" l="1"/>
  <c r="M116" i="38" l="1"/>
  <c r="AC115" i="38"/>
  <c r="Q116" i="38" l="1"/>
  <c r="S116" i="38"/>
  <c r="T116" i="38" s="1"/>
  <c r="U116" i="38" s="1"/>
  <c r="P116" i="38"/>
  <c r="V116" i="38" s="1"/>
  <c r="M117" i="38" l="1"/>
  <c r="AC116" i="38"/>
  <c r="S117" i="38" l="1"/>
  <c r="T117" i="38" s="1"/>
  <c r="U117" i="38" s="1"/>
  <c r="P117" i="38"/>
  <c r="V117" i="38" s="1"/>
  <c r="Q117" i="38"/>
  <c r="M118" i="38" l="1"/>
  <c r="AC117" i="38"/>
  <c r="P118" i="38" l="1"/>
  <c r="S118" i="38"/>
  <c r="T118" i="38" s="1"/>
  <c r="U118" i="38" s="1"/>
  <c r="Q118" i="38"/>
  <c r="V118" i="38" l="1"/>
  <c r="AC118" i="38" l="1"/>
  <c r="M119" i="38"/>
  <c r="Q119" i="38" l="1"/>
  <c r="P119" i="38"/>
  <c r="V119" i="38" s="1"/>
  <c r="S119" i="38"/>
  <c r="T119" i="38" s="1"/>
  <c r="U119" i="38" s="1"/>
  <c r="AC119" i="38" l="1"/>
  <c r="M120" i="38"/>
  <c r="Q120" i="38" l="1"/>
  <c r="S120" i="38"/>
  <c r="T120" i="38" s="1"/>
  <c r="U120" i="38" s="1"/>
  <c r="P120" i="38"/>
  <c r="V120" i="38" s="1"/>
  <c r="M121" i="38" l="1"/>
  <c r="AC120" i="38"/>
  <c r="P121" i="38" l="1"/>
  <c r="S121" i="38"/>
  <c r="T121" i="38" s="1"/>
  <c r="U121" i="38" s="1"/>
  <c r="Q121" i="38"/>
  <c r="V121" i="38" s="1"/>
  <c r="M122" i="38" l="1"/>
  <c r="AC121" i="38"/>
  <c r="Q122" i="38" l="1"/>
  <c r="P122" i="38"/>
  <c r="S122" i="38"/>
  <c r="T122" i="38" s="1"/>
  <c r="U122" i="38" s="1"/>
  <c r="V122" i="38" l="1"/>
  <c r="M123" i="38" l="1"/>
  <c r="AC122" i="38"/>
  <c r="S123" i="38" l="1"/>
  <c r="T123" i="38" s="1"/>
  <c r="U123" i="38" s="1"/>
  <c r="Q123" i="38"/>
  <c r="P123" i="38"/>
  <c r="V123" i="38" s="1"/>
  <c r="M124" i="38" l="1"/>
  <c r="AC123" i="38"/>
  <c r="S124" i="38" l="1"/>
  <c r="T124" i="38" s="1"/>
  <c r="U124" i="38" s="1"/>
  <c r="P124" i="38"/>
  <c r="Q124" i="38"/>
  <c r="V124" i="38" s="1"/>
  <c r="AC124" i="38" l="1"/>
  <c r="M125" i="38"/>
  <c r="Q125" i="38" l="1"/>
  <c r="P125" i="38"/>
  <c r="V125" i="38" s="1"/>
  <c r="S125" i="38"/>
  <c r="T125" i="38" s="1"/>
  <c r="U125" i="38" s="1"/>
  <c r="AC125" i="38" l="1"/>
  <c r="M126" i="38"/>
  <c r="Q126" i="38" l="1"/>
  <c r="S126" i="38"/>
  <c r="T126" i="38" s="1"/>
  <c r="U126" i="38" s="1"/>
  <c r="P126" i="38"/>
  <c r="V126" i="38" s="1"/>
  <c r="AC126" i="38" l="1"/>
  <c r="M127" i="38"/>
  <c r="P127" i="38" l="1"/>
  <c r="R127" i="38"/>
  <c r="Q127" i="38"/>
  <c r="V127" i="38" s="1"/>
  <c r="S127" i="38"/>
  <c r="T127" i="38" s="1"/>
  <c r="U127" i="38" s="1"/>
  <c r="M128" i="38" l="1"/>
  <c r="AC127" i="38"/>
  <c r="P128" i="38" l="1"/>
  <c r="S128" i="38"/>
  <c r="T128" i="38" s="1"/>
  <c r="U128" i="38" s="1"/>
  <c r="Q128" i="38"/>
  <c r="V128" i="38" l="1"/>
  <c r="M129" i="38" l="1"/>
  <c r="AC128" i="38"/>
  <c r="S129" i="38" l="1"/>
  <c r="T129" i="38" s="1"/>
  <c r="U129" i="38" s="1"/>
  <c r="Q129" i="38"/>
  <c r="P129" i="38"/>
  <c r="V129" i="38" s="1"/>
  <c r="M130" i="38" l="1"/>
  <c r="AC129" i="38"/>
  <c r="Q130" i="38" l="1"/>
  <c r="P130" i="38"/>
  <c r="V130" i="38" s="1"/>
  <c r="S130" i="38"/>
  <c r="T130" i="38" s="1"/>
  <c r="U130" i="38" s="1"/>
  <c r="M131" i="38" l="1"/>
  <c r="AC130" i="38"/>
  <c r="P131" i="38" l="1"/>
  <c r="S131" i="38"/>
  <c r="T131" i="38" s="1"/>
  <c r="U131" i="38" s="1"/>
  <c r="Q131" i="38"/>
  <c r="V131" i="38" l="1"/>
  <c r="M132" i="38" l="1"/>
  <c r="AC131" i="38"/>
  <c r="P132" i="38" l="1"/>
  <c r="Q132" i="38"/>
  <c r="V132" i="38" s="1"/>
  <c r="S132" i="38"/>
  <c r="T132" i="38" s="1"/>
  <c r="U132" i="38" s="1"/>
  <c r="AC132" i="38" l="1"/>
  <c r="M133" i="38"/>
  <c r="P133" i="38" l="1"/>
  <c r="S133" i="38"/>
  <c r="T133" i="38" s="1"/>
  <c r="U133" i="38" s="1"/>
  <c r="Q133" i="38"/>
  <c r="V133" i="38" s="1"/>
  <c r="AC133" i="38" l="1"/>
  <c r="M134" i="38"/>
  <c r="P134" i="38" l="1"/>
  <c r="Q134" i="38"/>
  <c r="S134" i="38"/>
  <c r="T134" i="38" s="1"/>
  <c r="U134" i="38" s="1"/>
  <c r="V134" i="38" l="1"/>
  <c r="AC134" i="38" l="1"/>
  <c r="M135" i="38"/>
  <c r="S135" i="38" l="1"/>
  <c r="T135" i="38" s="1"/>
  <c r="U135" i="38" s="1"/>
  <c r="P135" i="38"/>
  <c r="Q135" i="38"/>
  <c r="V135" i="38" s="1"/>
  <c r="AC135" i="38" l="1"/>
  <c r="M136" i="38"/>
  <c r="P136" i="38" l="1"/>
  <c r="S136" i="38"/>
  <c r="T136" i="38" s="1"/>
  <c r="U136" i="38" s="1"/>
  <c r="Q136" i="38"/>
  <c r="V136" i="38" s="1"/>
  <c r="AC136" i="38" l="1"/>
  <c r="M137" i="38"/>
  <c r="Q137" i="38" l="1"/>
  <c r="S137" i="38"/>
  <c r="T137" i="38" s="1"/>
  <c r="U137" i="38" s="1"/>
  <c r="P137" i="38"/>
  <c r="V137" i="38" l="1"/>
  <c r="M138" i="38" l="1"/>
  <c r="AC137" i="38"/>
  <c r="P138" i="38" l="1"/>
  <c r="Q138" i="38"/>
  <c r="V138" i="38" s="1"/>
  <c r="S138" i="38"/>
  <c r="T138" i="38" s="1"/>
  <c r="U138" i="38" s="1"/>
  <c r="M139" i="38" l="1"/>
  <c r="AC138" i="38"/>
  <c r="R139" i="38" l="1"/>
  <c r="S139" i="38"/>
  <c r="T139" i="38" s="1"/>
  <c r="U139" i="38" s="1"/>
  <c r="P139" i="38"/>
  <c r="Q139" i="38"/>
  <c r="V139" i="38" l="1"/>
  <c r="M140" i="38" l="1"/>
  <c r="AC139" i="38"/>
  <c r="S140" i="38" l="1"/>
  <c r="T140" i="38" s="1"/>
  <c r="U140" i="38" s="1"/>
  <c r="Q140" i="38"/>
  <c r="P140" i="38"/>
  <c r="V140" i="38" s="1"/>
  <c r="M141" i="38" l="1"/>
  <c r="AC140" i="38"/>
  <c r="P141" i="38" l="1"/>
  <c r="Q141" i="38"/>
  <c r="S141" i="38"/>
  <c r="T141" i="38" s="1"/>
  <c r="U141" i="38" s="1"/>
  <c r="V141" i="38" l="1"/>
  <c r="M142" i="38" l="1"/>
  <c r="AC141" i="38"/>
  <c r="P142" i="38" l="1"/>
  <c r="S142" i="38"/>
  <c r="T142" i="38" s="1"/>
  <c r="U142" i="38" s="1"/>
  <c r="Q142" i="38"/>
  <c r="V142" i="38" l="1"/>
  <c r="M143" i="38" l="1"/>
  <c r="AC142" i="38"/>
  <c r="Q143" i="38" l="1"/>
  <c r="P143" i="38"/>
  <c r="S143" i="38"/>
  <c r="T143" i="38" s="1"/>
  <c r="U143" i="38" s="1"/>
  <c r="V143" i="38" l="1"/>
  <c r="M144" i="38" l="1"/>
  <c r="AC143" i="38"/>
  <c r="P144" i="38" l="1"/>
  <c r="Q144" i="38"/>
  <c r="S144" i="38"/>
  <c r="T144" i="38" s="1"/>
  <c r="U144" i="38" s="1"/>
  <c r="V144" i="38" l="1"/>
  <c r="AC144" i="38" l="1"/>
  <c r="M145" i="38"/>
  <c r="Q145" i="38" l="1"/>
  <c r="P145" i="38"/>
  <c r="S145" i="38"/>
  <c r="T145" i="38" s="1"/>
  <c r="U145" i="38" s="1"/>
  <c r="V145" i="38" l="1"/>
  <c r="M146" i="38" l="1"/>
  <c r="AC145" i="38"/>
  <c r="S146" i="38" l="1"/>
  <c r="T146" i="38" s="1"/>
  <c r="U146" i="38" s="1"/>
  <c r="P146" i="38"/>
  <c r="Q146" i="38"/>
  <c r="V146" i="38" s="1"/>
  <c r="AC146" i="38" l="1"/>
  <c r="M147" i="38"/>
  <c r="S147" i="38" l="1"/>
  <c r="T147" i="38" s="1"/>
  <c r="U147" i="38" s="1"/>
  <c r="P147" i="38"/>
  <c r="Q147" i="38"/>
  <c r="V147" i="38" s="1"/>
  <c r="AC147" i="38" l="1"/>
  <c r="M148" i="38"/>
  <c r="S148" i="38" l="1"/>
  <c r="T148" i="38" s="1"/>
  <c r="U148" i="38" s="1"/>
  <c r="Q148" i="38"/>
  <c r="P148" i="38"/>
  <c r="V148" i="38" s="1"/>
  <c r="M149" i="38" l="1"/>
  <c r="AC148" i="38"/>
  <c r="S149" i="38" l="1"/>
  <c r="T149" i="38" s="1"/>
  <c r="U149" i="38" s="1"/>
  <c r="P149" i="38"/>
  <c r="Q149" i="38"/>
  <c r="V149" i="38" l="1"/>
  <c r="M150" i="38" l="1"/>
  <c r="AC149" i="38"/>
  <c r="Q150" i="38" l="1"/>
  <c r="S150" i="38"/>
  <c r="T150" i="38" s="1"/>
  <c r="U150" i="38" s="1"/>
  <c r="P150" i="38"/>
  <c r="V150" i="38" l="1"/>
  <c r="M151" i="38" l="1"/>
  <c r="AC150" i="38"/>
  <c r="R151" i="38" l="1"/>
  <c r="P151" i="38"/>
  <c r="S151" i="38"/>
  <c r="T151" i="38" s="1"/>
  <c r="U151" i="38" s="1"/>
  <c r="Q151" i="38"/>
  <c r="V151" i="38" l="1"/>
  <c r="M152" i="38" l="1"/>
  <c r="AC151" i="38"/>
  <c r="P152" i="38" l="1"/>
  <c r="Q152" i="38"/>
  <c r="S152" i="38"/>
  <c r="T152" i="38" s="1"/>
  <c r="U152" i="38" s="1"/>
  <c r="V152" i="38" l="1"/>
  <c r="M153" i="38" l="1"/>
  <c r="AC152" i="38"/>
  <c r="S153" i="38" l="1"/>
  <c r="T153" i="38" s="1"/>
  <c r="U153" i="38" s="1"/>
  <c r="P153" i="38"/>
  <c r="Q153" i="38"/>
  <c r="V153" i="38" l="1"/>
  <c r="M154" i="38" l="1"/>
  <c r="AC153" i="38"/>
  <c r="S154" i="38" l="1"/>
  <c r="T154" i="38" s="1"/>
  <c r="U154" i="38" s="1"/>
  <c r="Q154" i="38"/>
  <c r="P154" i="38"/>
  <c r="V154" i="38" s="1"/>
  <c r="AC154" i="38" l="1"/>
  <c r="M155" i="38"/>
  <c r="Q155" i="38" l="1"/>
  <c r="P155" i="38"/>
  <c r="S155" i="38"/>
  <c r="T155" i="38" s="1"/>
  <c r="U155" i="38" s="1"/>
  <c r="V155" i="38" l="1"/>
  <c r="M156" i="38" l="1"/>
  <c r="AC155" i="38"/>
  <c r="P156" i="38" l="1"/>
  <c r="S156" i="38"/>
  <c r="T156" i="38" s="1"/>
  <c r="U156" i="38" s="1"/>
  <c r="Q156" i="38"/>
  <c r="V156" i="38" l="1"/>
  <c r="M157" i="38" l="1"/>
  <c r="AC156" i="38"/>
  <c r="S157" i="38" l="1"/>
  <c r="T157" i="38" s="1"/>
  <c r="U157" i="38" s="1"/>
  <c r="P157" i="38"/>
  <c r="Q157" i="38"/>
  <c r="V157" i="38" l="1"/>
  <c r="M158" i="38" l="1"/>
  <c r="AC157" i="38"/>
  <c r="S158" i="38" l="1"/>
  <c r="T158" i="38" s="1"/>
  <c r="U158" i="38" s="1"/>
  <c r="Q158" i="38"/>
  <c r="P158" i="38"/>
  <c r="V158" i="38" s="1"/>
  <c r="AC158" i="38" l="1"/>
  <c r="M159" i="38"/>
  <c r="S159" i="38" l="1"/>
  <c r="T159" i="38" s="1"/>
  <c r="U159" i="38" s="1"/>
  <c r="Q159" i="38"/>
  <c r="P159" i="38"/>
  <c r="V159" i="38" s="1"/>
  <c r="AC159" i="38" l="1"/>
  <c r="M160" i="38"/>
  <c r="P160" i="38" l="1"/>
  <c r="Q160" i="38"/>
  <c r="S160" i="38"/>
  <c r="T160" i="38" s="1"/>
  <c r="U160" i="38" s="1"/>
  <c r="V160" i="38" l="1"/>
  <c r="M161" i="38" l="1"/>
  <c r="AC160" i="38"/>
  <c r="Q161" i="38" l="1"/>
  <c r="P161" i="38"/>
  <c r="S161" i="38"/>
  <c r="T161" i="38" s="1"/>
  <c r="U161" i="38" s="1"/>
  <c r="V161" i="38" l="1"/>
  <c r="M162" i="38" l="1"/>
  <c r="AC161" i="38"/>
  <c r="S162" i="38" l="1"/>
  <c r="T162" i="38" s="1"/>
  <c r="U162" i="38" s="1"/>
  <c r="Q162" i="38"/>
  <c r="P162" i="38"/>
  <c r="V162" i="38" s="1"/>
  <c r="AC162" i="38" l="1"/>
  <c r="M163" i="38"/>
  <c r="S163" i="38" l="1"/>
  <c r="T163" i="38" s="1"/>
  <c r="U163" i="38" s="1"/>
  <c r="Q163" i="38"/>
  <c r="P163" i="38"/>
  <c r="V163" i="38" s="1"/>
  <c r="R163" i="38"/>
  <c r="M164" i="38" l="1"/>
  <c r="AC163" i="38"/>
  <c r="P164" i="38" l="1"/>
  <c r="Q164" i="38"/>
  <c r="S164" i="38"/>
  <c r="T164" i="38" s="1"/>
  <c r="U164" i="38" s="1"/>
  <c r="V164" i="38" l="1"/>
  <c r="M165" i="38" l="1"/>
  <c r="AC164" i="38"/>
  <c r="Q165" i="38" l="1"/>
  <c r="S165" i="38"/>
  <c r="T165" i="38" s="1"/>
  <c r="U165" i="38" s="1"/>
  <c r="P165" i="38"/>
  <c r="V165" i="38" s="1"/>
  <c r="M166" i="38" l="1"/>
  <c r="AC165" i="38"/>
  <c r="Q166" i="38" l="1"/>
  <c r="P166" i="38"/>
  <c r="S166" i="38"/>
  <c r="T166" i="38" s="1"/>
  <c r="U166" i="38" s="1"/>
  <c r="V166" i="38" l="1"/>
  <c r="M167" i="38" l="1"/>
  <c r="AC166" i="38"/>
  <c r="S167" i="38" l="1"/>
  <c r="T167" i="38" s="1"/>
  <c r="U167" i="38" s="1"/>
  <c r="Q167" i="38"/>
  <c r="P167" i="38"/>
  <c r="V167" i="38" s="1"/>
  <c r="AC167" i="38" l="1"/>
  <c r="M168" i="38"/>
  <c r="Q168" i="38" l="1"/>
  <c r="S168" i="38"/>
  <c r="T168" i="38" s="1"/>
  <c r="U168" i="38" s="1"/>
  <c r="P168" i="38"/>
  <c r="V168" i="38" s="1"/>
  <c r="AC168" i="38" l="1"/>
  <c r="M169" i="38"/>
  <c r="P169" i="38" l="1"/>
  <c r="S169" i="38"/>
  <c r="T169" i="38" s="1"/>
  <c r="U169" i="38" s="1"/>
  <c r="Q169" i="38"/>
  <c r="V169" i="38" l="1"/>
  <c r="M170" i="38" l="1"/>
  <c r="AC169" i="38"/>
  <c r="Q170" i="38" l="1"/>
  <c r="P170" i="38"/>
  <c r="S170" i="38"/>
  <c r="T170" i="38" s="1"/>
  <c r="U170" i="38" s="1"/>
  <c r="V170" i="38" l="1"/>
  <c r="M171" i="38" l="1"/>
  <c r="AC170" i="38"/>
  <c r="S171" i="38" l="1"/>
  <c r="T171" i="38" s="1"/>
  <c r="U171" i="38" s="1"/>
  <c r="P171" i="38"/>
  <c r="Q171" i="38"/>
  <c r="V171" i="38" s="1"/>
  <c r="M172" i="38" l="1"/>
  <c r="AC171" i="38"/>
  <c r="S172" i="38" l="1"/>
  <c r="T172" i="38" s="1"/>
  <c r="U172" i="38" s="1"/>
  <c r="Q172" i="38"/>
  <c r="P172" i="38"/>
  <c r="V172" i="38" l="1"/>
  <c r="M173" i="38" l="1"/>
  <c r="AC172" i="38"/>
  <c r="Q173" i="38" l="1"/>
  <c r="P173" i="38"/>
  <c r="S173" i="38"/>
  <c r="T173" i="38" s="1"/>
  <c r="U173" i="38" s="1"/>
  <c r="K9" i="38"/>
  <c r="K8" i="38"/>
  <c r="G9" i="38"/>
  <c r="G10" i="38"/>
  <c r="G11" i="38"/>
  <c r="G12" i="38"/>
  <c r="G13" i="38"/>
  <c r="G14" i="38"/>
  <c r="G15" i="38"/>
  <c r="G16" i="38"/>
  <c r="G17" i="38"/>
  <c r="G18" i="38"/>
  <c r="G19" i="38"/>
  <c r="G20" i="38"/>
  <c r="G21" i="38"/>
  <c r="G22" i="38"/>
  <c r="G23" i="38"/>
  <c r="G24" i="38"/>
  <c r="G25" i="38"/>
  <c r="G26" i="38"/>
  <c r="G27" i="38"/>
  <c r="G28" i="38"/>
  <c r="G29" i="38"/>
  <c r="G30" i="38"/>
  <c r="G31" i="38"/>
  <c r="G32" i="38"/>
  <c r="G33" i="38"/>
  <c r="G34" i="38"/>
  <c r="G35" i="38"/>
  <c r="G36" i="38"/>
  <c r="G37" i="38"/>
  <c r="G38" i="38"/>
  <c r="G39" i="38"/>
  <c r="G40" i="38"/>
  <c r="G41" i="38"/>
  <c r="G42" i="38"/>
  <c r="G43" i="38"/>
  <c r="G44" i="38"/>
  <c r="G45" i="38"/>
  <c r="G46" i="38"/>
  <c r="G47" i="38"/>
  <c r="G48" i="38"/>
  <c r="G49" i="38"/>
  <c r="G50" i="38"/>
  <c r="G51" i="38"/>
  <c r="G52" i="38"/>
  <c r="G53" i="38"/>
  <c r="G54" i="38"/>
  <c r="G55" i="38"/>
  <c r="G56" i="38"/>
  <c r="G57" i="38"/>
  <c r="G58" i="38"/>
  <c r="G59" i="38"/>
  <c r="G60" i="38"/>
  <c r="G61" i="38"/>
  <c r="G62" i="38"/>
  <c r="G63" i="38"/>
  <c r="G64" i="38"/>
  <c r="G65" i="38"/>
  <c r="G66" i="38"/>
  <c r="G67" i="38"/>
  <c r="G68" i="38"/>
  <c r="G69" i="38"/>
  <c r="G70" i="38"/>
  <c r="G71" i="38"/>
  <c r="G72" i="38"/>
  <c r="G73" i="38"/>
  <c r="G74" i="38"/>
  <c r="G75" i="38"/>
  <c r="G76" i="38"/>
  <c r="G77" i="38"/>
  <c r="G78" i="38"/>
  <c r="G79" i="38"/>
  <c r="G80" i="38"/>
  <c r="G81" i="38"/>
  <c r="G82" i="38"/>
  <c r="G83" i="38"/>
  <c r="G84" i="38"/>
  <c r="G85" i="38"/>
  <c r="G86" i="38"/>
  <c r="G87" i="38"/>
  <c r="G88" i="38"/>
  <c r="G89" i="38"/>
  <c r="G90" i="38"/>
  <c r="G91" i="38"/>
  <c r="G92" i="38"/>
  <c r="G93" i="38"/>
  <c r="G94" i="38"/>
  <c r="G95" i="38"/>
  <c r="G96" i="38"/>
  <c r="G97" i="38"/>
  <c r="G98" i="38"/>
  <c r="G99" i="38"/>
  <c r="G100" i="38"/>
  <c r="G101" i="38"/>
  <c r="G102" i="38"/>
  <c r="G103" i="38"/>
  <c r="G104" i="38"/>
  <c r="G105" i="38"/>
  <c r="G106" i="38"/>
  <c r="G107" i="38"/>
  <c r="G108" i="38"/>
  <c r="G109" i="38"/>
  <c r="G110" i="38"/>
  <c r="G111" i="38"/>
  <c r="G112" i="38"/>
  <c r="G113" i="38"/>
  <c r="G114" i="38"/>
  <c r="G115" i="38"/>
  <c r="G116" i="38"/>
  <c r="G117" i="38"/>
  <c r="G118" i="38"/>
  <c r="G119" i="38"/>
  <c r="G120" i="38"/>
  <c r="G121" i="38"/>
  <c r="G122" i="38"/>
  <c r="G123" i="38"/>
  <c r="G124" i="38"/>
  <c r="G125" i="38"/>
  <c r="G126" i="38"/>
  <c r="G127" i="38"/>
  <c r="G128" i="38"/>
  <c r="G129" i="38"/>
  <c r="G130" i="38"/>
  <c r="G131" i="38"/>
  <c r="G132" i="38"/>
  <c r="G133" i="38"/>
  <c r="G134" i="38"/>
  <c r="G135" i="38"/>
  <c r="G136" i="38"/>
  <c r="G137" i="38"/>
  <c r="G138" i="38"/>
  <c r="G139" i="38"/>
  <c r="G140" i="38"/>
  <c r="G141" i="38"/>
  <c r="G142" i="38"/>
  <c r="G143" i="38"/>
  <c r="G144" i="38"/>
  <c r="G145" i="38"/>
  <c r="G146" i="38"/>
  <c r="G147" i="38"/>
  <c r="G148" i="38"/>
  <c r="G149" i="38"/>
  <c r="G150" i="38"/>
  <c r="G151" i="38"/>
  <c r="G152" i="38"/>
  <c r="G153" i="38"/>
  <c r="G154" i="38"/>
  <c r="G155" i="38"/>
  <c r="G156" i="38"/>
  <c r="G157" i="38"/>
  <c r="G158" i="38"/>
  <c r="G159" i="38"/>
  <c r="G160" i="38"/>
  <c r="G161" i="38"/>
  <c r="G162" i="38"/>
  <c r="G163" i="38"/>
  <c r="G164" i="38"/>
  <c r="G165" i="38"/>
  <c r="G166" i="38"/>
  <c r="G167" i="38"/>
  <c r="G168" i="38"/>
  <c r="G169" i="38"/>
  <c r="G170" i="38"/>
  <c r="G171" i="38"/>
  <c r="G172" i="38"/>
  <c r="G173" i="38"/>
  <c r="G174" i="38"/>
  <c r="G175" i="38"/>
  <c r="G176" i="38"/>
  <c r="G177" i="38"/>
  <c r="G178" i="38"/>
  <c r="G179" i="38"/>
  <c r="G180" i="38"/>
  <c r="G181" i="38"/>
  <c r="G182" i="38"/>
  <c r="G183" i="38"/>
  <c r="G184" i="38"/>
  <c r="G185" i="38"/>
  <c r="G186" i="38"/>
  <c r="G187" i="38"/>
  <c r="G188" i="38"/>
  <c r="G189" i="38"/>
  <c r="G190" i="38"/>
  <c r="G191" i="38"/>
  <c r="G192" i="38"/>
  <c r="G193" i="38"/>
  <c r="G194" i="38"/>
  <c r="G195" i="38"/>
  <c r="G196" i="38"/>
  <c r="G197" i="38"/>
  <c r="G198" i="38"/>
  <c r="G199" i="38"/>
  <c r="G200" i="38"/>
  <c r="G201" i="38"/>
  <c r="G202" i="38"/>
  <c r="G203" i="38"/>
  <c r="G204" i="38"/>
  <c r="G205" i="38"/>
  <c r="G206" i="38"/>
  <c r="G207" i="38"/>
  <c r="G208" i="38"/>
  <c r="G209" i="38"/>
  <c r="G210" i="38"/>
  <c r="G211" i="38"/>
  <c r="G212" i="38"/>
  <c r="G213" i="38"/>
  <c r="G214" i="38"/>
  <c r="G215" i="38"/>
  <c r="G216" i="38"/>
  <c r="G217" i="38"/>
  <c r="G218" i="38"/>
  <c r="G219" i="38"/>
  <c r="G220" i="38"/>
  <c r="G221" i="38"/>
  <c r="G222" i="38"/>
  <c r="G223" i="38"/>
  <c r="G224" i="38"/>
  <c r="G225" i="38"/>
  <c r="G226" i="38"/>
  <c r="G227" i="38"/>
  <c r="G228" i="38"/>
  <c r="G229" i="38"/>
  <c r="G230" i="38"/>
  <c r="G231" i="38"/>
  <c r="G232" i="38"/>
  <c r="G233" i="38"/>
  <c r="G234" i="38"/>
  <c r="G235" i="38"/>
  <c r="G236" i="38"/>
  <c r="G237" i="38"/>
  <c r="G238" i="38"/>
  <c r="G239" i="38"/>
  <c r="G240" i="38"/>
  <c r="G241" i="38"/>
  <c r="G242" i="38"/>
  <c r="G243" i="38"/>
  <c r="G244" i="38"/>
  <c r="G245" i="38"/>
  <c r="G246" i="38"/>
  <c r="G247" i="38"/>
  <c r="G248" i="38"/>
  <c r="G249" i="38"/>
  <c r="G250" i="38"/>
  <c r="G251" i="38"/>
  <c r="G252" i="38"/>
  <c r="G253" i="38"/>
  <c r="G254" i="38"/>
  <c r="G255" i="38"/>
  <c r="G256" i="38"/>
  <c r="G257" i="38"/>
  <c r="G258" i="38"/>
  <c r="G259" i="38"/>
  <c r="G8" i="38"/>
  <c r="O8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F20" i="38"/>
  <c r="F21" i="38"/>
  <c r="F22" i="38"/>
  <c r="F23" i="38"/>
  <c r="F24" i="38"/>
  <c r="F25" i="38"/>
  <c r="F26" i="38"/>
  <c r="F27" i="38"/>
  <c r="F28" i="38"/>
  <c r="F29" i="38"/>
  <c r="F30" i="38"/>
  <c r="F31" i="38"/>
  <c r="F32" i="38"/>
  <c r="F33" i="38"/>
  <c r="F34" i="38"/>
  <c r="F35" i="38"/>
  <c r="F36" i="38"/>
  <c r="F37" i="38"/>
  <c r="F38" i="38"/>
  <c r="F39" i="38"/>
  <c r="F40" i="38"/>
  <c r="F41" i="38"/>
  <c r="F42" i="38"/>
  <c r="F43" i="38"/>
  <c r="F44" i="38"/>
  <c r="F45" i="38"/>
  <c r="F46" i="38"/>
  <c r="F47" i="38"/>
  <c r="F48" i="38"/>
  <c r="F49" i="38"/>
  <c r="F50" i="38"/>
  <c r="F51" i="38"/>
  <c r="F52" i="38"/>
  <c r="F53" i="38"/>
  <c r="F54" i="38"/>
  <c r="F55" i="38"/>
  <c r="F56" i="38"/>
  <c r="F57" i="38"/>
  <c r="F58" i="38"/>
  <c r="F59" i="38"/>
  <c r="F60" i="38"/>
  <c r="F61" i="38"/>
  <c r="F62" i="38"/>
  <c r="F63" i="38"/>
  <c r="F64" i="38"/>
  <c r="F65" i="38"/>
  <c r="F66" i="38"/>
  <c r="F67" i="38"/>
  <c r="F68" i="38"/>
  <c r="F69" i="38"/>
  <c r="F70" i="38"/>
  <c r="F71" i="38"/>
  <c r="F72" i="38"/>
  <c r="F73" i="38"/>
  <c r="F74" i="38"/>
  <c r="F75" i="38"/>
  <c r="F76" i="38"/>
  <c r="F77" i="38"/>
  <c r="F78" i="38"/>
  <c r="F79" i="38"/>
  <c r="F80" i="38"/>
  <c r="F81" i="38"/>
  <c r="F82" i="38"/>
  <c r="F83" i="38"/>
  <c r="F84" i="38"/>
  <c r="F85" i="38"/>
  <c r="F86" i="38"/>
  <c r="F87" i="38"/>
  <c r="F88" i="38"/>
  <c r="F89" i="38"/>
  <c r="F90" i="38"/>
  <c r="F91" i="38"/>
  <c r="F92" i="38"/>
  <c r="F93" i="38"/>
  <c r="F94" i="38"/>
  <c r="F95" i="38"/>
  <c r="F96" i="38"/>
  <c r="F97" i="38"/>
  <c r="F98" i="38"/>
  <c r="F99" i="38"/>
  <c r="F100" i="38"/>
  <c r="F101" i="38"/>
  <c r="F102" i="38"/>
  <c r="F103" i="38"/>
  <c r="F104" i="38"/>
  <c r="F105" i="38"/>
  <c r="F106" i="38"/>
  <c r="F107" i="38"/>
  <c r="F108" i="38"/>
  <c r="F109" i="38"/>
  <c r="F110" i="38"/>
  <c r="F111" i="38"/>
  <c r="F112" i="38"/>
  <c r="F113" i="38"/>
  <c r="F114" i="38"/>
  <c r="F115" i="38"/>
  <c r="F116" i="38"/>
  <c r="F117" i="38"/>
  <c r="F118" i="38"/>
  <c r="F119" i="38"/>
  <c r="F120" i="38"/>
  <c r="F121" i="38"/>
  <c r="F122" i="38"/>
  <c r="F123" i="38"/>
  <c r="F124" i="38"/>
  <c r="F125" i="38"/>
  <c r="F126" i="38"/>
  <c r="F127" i="38"/>
  <c r="F128" i="38"/>
  <c r="F129" i="38"/>
  <c r="F130" i="38"/>
  <c r="F131" i="38"/>
  <c r="F132" i="38"/>
  <c r="F133" i="38"/>
  <c r="F134" i="38"/>
  <c r="F135" i="38"/>
  <c r="F136" i="38"/>
  <c r="F137" i="38"/>
  <c r="F138" i="38"/>
  <c r="F139" i="38"/>
  <c r="F140" i="38"/>
  <c r="F141" i="38"/>
  <c r="F142" i="38"/>
  <c r="F143" i="38"/>
  <c r="F144" i="38"/>
  <c r="F145" i="38"/>
  <c r="F146" i="38"/>
  <c r="F147" i="38"/>
  <c r="F148" i="38"/>
  <c r="F149" i="38"/>
  <c r="F150" i="38"/>
  <c r="F151" i="38"/>
  <c r="F152" i="38"/>
  <c r="F153" i="38"/>
  <c r="F154" i="38"/>
  <c r="F155" i="38"/>
  <c r="F156" i="38"/>
  <c r="F157" i="38"/>
  <c r="F158" i="38"/>
  <c r="F159" i="38"/>
  <c r="F160" i="38"/>
  <c r="F161" i="38"/>
  <c r="F162" i="38"/>
  <c r="F163" i="38"/>
  <c r="F164" i="38"/>
  <c r="F165" i="38"/>
  <c r="F166" i="38"/>
  <c r="F167" i="38"/>
  <c r="F168" i="38"/>
  <c r="F169" i="38"/>
  <c r="F170" i="38"/>
  <c r="F171" i="38"/>
  <c r="F172" i="38"/>
  <c r="F173" i="38"/>
  <c r="F174" i="38"/>
  <c r="F175" i="38"/>
  <c r="F176" i="38"/>
  <c r="F177" i="38"/>
  <c r="F178" i="38"/>
  <c r="F179" i="38"/>
  <c r="F180" i="38"/>
  <c r="F181" i="38"/>
  <c r="F182" i="38"/>
  <c r="F183" i="38"/>
  <c r="F184" i="38"/>
  <c r="F185" i="38"/>
  <c r="F186" i="38"/>
  <c r="F187" i="38"/>
  <c r="F188" i="38"/>
  <c r="F189" i="38"/>
  <c r="F190" i="38"/>
  <c r="F191" i="38"/>
  <c r="F192" i="38"/>
  <c r="F193" i="38"/>
  <c r="F194" i="38"/>
  <c r="F195" i="38"/>
  <c r="F196" i="38"/>
  <c r="F197" i="38"/>
  <c r="F198" i="38"/>
  <c r="F199" i="38"/>
  <c r="F200" i="38"/>
  <c r="F201" i="38"/>
  <c r="F202" i="38"/>
  <c r="F203" i="38"/>
  <c r="F204" i="38"/>
  <c r="F205" i="38"/>
  <c r="F206" i="38"/>
  <c r="F207" i="38"/>
  <c r="F208" i="38"/>
  <c r="F209" i="38"/>
  <c r="F210" i="38"/>
  <c r="F211" i="38"/>
  <c r="F212" i="38"/>
  <c r="F213" i="38"/>
  <c r="F214" i="38"/>
  <c r="F215" i="38"/>
  <c r="F216" i="38"/>
  <c r="F217" i="38"/>
  <c r="F218" i="38"/>
  <c r="F219" i="38"/>
  <c r="F220" i="38"/>
  <c r="F221" i="38"/>
  <c r="F222" i="38"/>
  <c r="F223" i="38"/>
  <c r="F224" i="38"/>
  <c r="F225" i="38"/>
  <c r="F226" i="38"/>
  <c r="F227" i="38"/>
  <c r="F228" i="38"/>
  <c r="F229" i="38"/>
  <c r="F230" i="38"/>
  <c r="F231" i="38"/>
  <c r="F232" i="38"/>
  <c r="F233" i="38"/>
  <c r="F234" i="38"/>
  <c r="F235" i="38"/>
  <c r="F236" i="38"/>
  <c r="F237" i="38"/>
  <c r="F238" i="38"/>
  <c r="F239" i="38"/>
  <c r="F240" i="38"/>
  <c r="F241" i="38"/>
  <c r="F242" i="38"/>
  <c r="F243" i="38"/>
  <c r="F244" i="38"/>
  <c r="F245" i="38"/>
  <c r="F246" i="38"/>
  <c r="F247" i="38"/>
  <c r="F248" i="38"/>
  <c r="F249" i="38"/>
  <c r="F250" i="38"/>
  <c r="F251" i="38"/>
  <c r="F252" i="38"/>
  <c r="F253" i="38"/>
  <c r="F254" i="38"/>
  <c r="F255" i="38"/>
  <c r="F256" i="38"/>
  <c r="F257" i="38"/>
  <c r="F258" i="38"/>
  <c r="F259" i="38"/>
  <c r="J8" i="38"/>
  <c r="V173" i="38" l="1"/>
  <c r="I8" i="38"/>
  <c r="M174" i="38" l="1"/>
  <c r="AC173" i="38"/>
  <c r="J9" i="38"/>
  <c r="I9" i="38" s="1"/>
  <c r="P174" i="38" l="1"/>
  <c r="Q174" i="38"/>
  <c r="V174" i="38" s="1"/>
  <c r="S174" i="38"/>
  <c r="T174" i="38" s="1"/>
  <c r="U174" i="38" s="1"/>
  <c r="K10" i="38"/>
  <c r="J10" i="38"/>
  <c r="AC174" i="38" l="1"/>
  <c r="M175" i="38"/>
  <c r="I10" i="38"/>
  <c r="K11" i="38" s="1"/>
  <c r="S175" i="38" l="1"/>
  <c r="T175" i="38" s="1"/>
  <c r="U175" i="38" s="1"/>
  <c r="R175" i="38"/>
  <c r="Q175" i="38"/>
  <c r="P175" i="38"/>
  <c r="J11" i="38"/>
  <c r="I11" i="38" s="1"/>
  <c r="V175" i="38" l="1"/>
  <c r="K12" i="38"/>
  <c r="J12" i="38"/>
  <c r="I12" i="38"/>
  <c r="M176" i="38" l="1"/>
  <c r="AC175" i="38"/>
  <c r="J13" i="38"/>
  <c r="K13" i="38"/>
  <c r="I13" i="38"/>
  <c r="K14" i="38" s="1"/>
  <c r="S176" i="38" l="1"/>
  <c r="T176" i="38" s="1"/>
  <c r="U176" i="38" s="1"/>
  <c r="P176" i="38"/>
  <c r="Q176" i="38"/>
  <c r="J14" i="38"/>
  <c r="V176" i="38" l="1"/>
  <c r="I14" i="38"/>
  <c r="K15" i="38" s="1"/>
  <c r="M177" i="38" l="1"/>
  <c r="AC176" i="38"/>
  <c r="J15" i="38"/>
  <c r="I15" i="38" s="1"/>
  <c r="K16" i="38" s="1"/>
  <c r="P177" i="38" l="1"/>
  <c r="Q177" i="38"/>
  <c r="S177" i="38"/>
  <c r="T177" i="38" s="1"/>
  <c r="U177" i="38" s="1"/>
  <c r="J16" i="38"/>
  <c r="I16" i="38"/>
  <c r="V177" i="38" l="1"/>
  <c r="K17" i="38"/>
  <c r="J17" i="38"/>
  <c r="I17" i="38" s="1"/>
  <c r="K18" i="38" s="1"/>
  <c r="M178" i="38" l="1"/>
  <c r="AC177" i="38"/>
  <c r="J18" i="38"/>
  <c r="I18" i="38" s="1"/>
  <c r="K19" i="38" s="1"/>
  <c r="S178" i="38" l="1"/>
  <c r="T178" i="38" s="1"/>
  <c r="U178" i="38" s="1"/>
  <c r="P178" i="38"/>
  <c r="Q178" i="38"/>
  <c r="V178" i="38" s="1"/>
  <c r="J19" i="38"/>
  <c r="I19" i="38" s="1"/>
  <c r="AC178" i="38" l="1"/>
  <c r="M179" i="38"/>
  <c r="K20" i="38"/>
  <c r="J20" i="38"/>
  <c r="Q179" i="38" l="1"/>
  <c r="S179" i="38"/>
  <c r="T179" i="38" s="1"/>
  <c r="U179" i="38" s="1"/>
  <c r="P179" i="38"/>
  <c r="V179" i="38" s="1"/>
  <c r="I20" i="38"/>
  <c r="K21" i="38" s="1"/>
  <c r="M180" i="38" l="1"/>
  <c r="AC179" i="38"/>
  <c r="J21" i="38"/>
  <c r="I21" i="38"/>
  <c r="Q180" i="38" l="1"/>
  <c r="S180" i="38"/>
  <c r="T180" i="38" s="1"/>
  <c r="U180" i="38" s="1"/>
  <c r="P180" i="38"/>
  <c r="K22" i="38"/>
  <c r="J22" i="38"/>
  <c r="V180" i="38" l="1"/>
  <c r="I22" i="38"/>
  <c r="M181" i="38" l="1"/>
  <c r="AC180" i="38"/>
  <c r="K23" i="38"/>
  <c r="J23" i="38"/>
  <c r="S181" i="38" l="1"/>
  <c r="T181" i="38" s="1"/>
  <c r="U181" i="38" s="1"/>
  <c r="Q181" i="38"/>
  <c r="P181" i="38"/>
  <c r="V181" i="38" s="1"/>
  <c r="I23" i="38"/>
  <c r="AC181" i="38" l="1"/>
  <c r="M182" i="38"/>
  <c r="K24" i="38"/>
  <c r="J24" i="38"/>
  <c r="S182" i="38" l="1"/>
  <c r="T182" i="38" s="1"/>
  <c r="U182" i="38" s="1"/>
  <c r="P182" i="38"/>
  <c r="Q182" i="38"/>
  <c r="I24" i="38"/>
  <c r="J25" i="38"/>
  <c r="V182" i="38" l="1"/>
  <c r="K25" i="38"/>
  <c r="I25" i="38"/>
  <c r="AC182" i="38" l="1"/>
  <c r="M183" i="38"/>
  <c r="K26" i="38"/>
  <c r="J26" i="38"/>
  <c r="S183" i="38" l="1"/>
  <c r="T183" i="38" s="1"/>
  <c r="U183" i="38" s="1"/>
  <c r="P183" i="38"/>
  <c r="Q183" i="38"/>
  <c r="I26" i="38"/>
  <c r="V183" i="38" l="1"/>
  <c r="K27" i="38"/>
  <c r="J27" i="38"/>
  <c r="M184" i="38" l="1"/>
  <c r="AC183" i="38"/>
  <c r="I27" i="38"/>
  <c r="S184" i="38" l="1"/>
  <c r="T184" i="38" s="1"/>
  <c r="U184" i="38" s="1"/>
  <c r="Q184" i="38"/>
  <c r="P184" i="38"/>
  <c r="K28" i="38"/>
  <c r="J28" i="38"/>
  <c r="I28" i="38" s="1"/>
  <c r="V184" i="38" l="1"/>
  <c r="K29" i="38"/>
  <c r="J29" i="38"/>
  <c r="M185" i="38" l="1"/>
  <c r="AC184" i="38"/>
  <c r="I29" i="38"/>
  <c r="K30" i="38" s="1"/>
  <c r="S185" i="38" l="1"/>
  <c r="T185" i="38" s="1"/>
  <c r="U185" i="38" s="1"/>
  <c r="P185" i="38"/>
  <c r="Q185" i="38"/>
  <c r="J30" i="38"/>
  <c r="V185" i="38" l="1"/>
  <c r="I30" i="38"/>
  <c r="AC185" i="38" l="1"/>
  <c r="M186" i="38"/>
  <c r="J31" i="38"/>
  <c r="I31" i="38" s="1"/>
  <c r="K31" i="38"/>
  <c r="S186" i="38" l="1"/>
  <c r="T186" i="38" s="1"/>
  <c r="U186" i="38" s="1"/>
  <c r="P186" i="38"/>
  <c r="Q186" i="38"/>
  <c r="J32" i="38"/>
  <c r="I32" i="38" s="1"/>
  <c r="K32" i="38"/>
  <c r="V186" i="38" l="1"/>
  <c r="K33" i="38"/>
  <c r="J33" i="38"/>
  <c r="I33" i="38" s="1"/>
  <c r="K34" i="38" s="1"/>
  <c r="M187" i="38" l="1"/>
  <c r="AC186" i="38"/>
  <c r="J34" i="38"/>
  <c r="I34" i="38" s="1"/>
  <c r="K35" i="38" s="1"/>
  <c r="S187" i="38" l="1"/>
  <c r="T187" i="38" s="1"/>
  <c r="U187" i="38" s="1"/>
  <c r="R187" i="38"/>
  <c r="P187" i="38"/>
  <c r="Q187" i="38"/>
  <c r="V187" i="38" s="1"/>
  <c r="J35" i="38"/>
  <c r="I35" i="38"/>
  <c r="K36" i="38" s="1"/>
  <c r="AC187" i="38" l="1"/>
  <c r="M188" i="38"/>
  <c r="J36" i="38"/>
  <c r="Q188" i="38" l="1"/>
  <c r="S188" i="38"/>
  <c r="T188" i="38" s="1"/>
  <c r="U188" i="38" s="1"/>
  <c r="P188" i="38"/>
  <c r="I36" i="38"/>
  <c r="K37" i="38" s="1"/>
  <c r="V188" i="38" l="1"/>
  <c r="J37" i="38"/>
  <c r="M189" i="38" l="1"/>
  <c r="AC188" i="38"/>
  <c r="I37" i="38"/>
  <c r="K38" i="38" s="1"/>
  <c r="Q189" i="38" l="1"/>
  <c r="S189" i="38"/>
  <c r="T189" i="38" s="1"/>
  <c r="U189" i="38" s="1"/>
  <c r="P189" i="38"/>
  <c r="J38" i="38"/>
  <c r="V189" i="38" l="1"/>
  <c r="I38" i="38"/>
  <c r="K39" i="38" s="1"/>
  <c r="J39" i="38"/>
  <c r="M190" i="38" l="1"/>
  <c r="AC189" i="38"/>
  <c r="I39" i="38"/>
  <c r="K40" i="38" s="1"/>
  <c r="S190" i="38" l="1"/>
  <c r="T190" i="38" s="1"/>
  <c r="U190" i="38" s="1"/>
  <c r="Q190" i="38"/>
  <c r="P190" i="38"/>
  <c r="V190" i="38" s="1"/>
  <c r="J40" i="38"/>
  <c r="D23" i="1"/>
  <c r="D24" i="1"/>
  <c r="D25" i="1"/>
  <c r="D26" i="1"/>
  <c r="D27" i="1"/>
  <c r="D28" i="1"/>
  <c r="D29" i="1"/>
  <c r="D30" i="1"/>
  <c r="D31" i="1"/>
  <c r="D32" i="1"/>
  <c r="D33" i="1"/>
  <c r="D22" i="1"/>
  <c r="M191" i="38" l="1"/>
  <c r="AC190" i="38"/>
  <c r="I40" i="38"/>
  <c r="K41" i="38" s="1"/>
  <c r="C10" i="35"/>
  <c r="D13" i="35" a="1"/>
  <c r="D13" i="35" s="1"/>
  <c r="E14" i="35" a="1"/>
  <c r="G14" i="35" s="1"/>
  <c r="F15" i="35" a="1"/>
  <c r="F15" i="35" s="1"/>
  <c r="G15" i="35"/>
  <c r="G16" i="35"/>
  <c r="S191" i="38" l="1"/>
  <c r="T191" i="38" s="1"/>
  <c r="U191" i="38" s="1"/>
  <c r="P191" i="38"/>
  <c r="Q191" i="38"/>
  <c r="J41" i="38"/>
  <c r="I41" i="38"/>
  <c r="K42" i="38" s="1"/>
  <c r="F14" i="35"/>
  <c r="F13" i="35"/>
  <c r="E14" i="35"/>
  <c r="E13" i="35"/>
  <c r="D9" i="35" s="1" a="1"/>
  <c r="D9" i="35" s="1"/>
  <c r="G13" i="35"/>
  <c r="V191" i="38" l="1"/>
  <c r="J42" i="38"/>
  <c r="F8" i="35"/>
  <c r="F7" i="35"/>
  <c r="F6" i="35"/>
  <c r="F5" i="35"/>
  <c r="F4" i="35"/>
  <c r="E9" i="35"/>
  <c r="C9" i="35"/>
  <c r="M192" i="38" l="1"/>
  <c r="AC191" i="38"/>
  <c r="I42" i="38"/>
  <c r="K43" i="38" s="1"/>
  <c r="I7" i="38"/>
  <c r="E4" i="38"/>
  <c r="B8" i="38"/>
  <c r="B9" i="38" s="1"/>
  <c r="C23" i="1"/>
  <c r="C24" i="1" s="1"/>
  <c r="C25" i="1" s="1"/>
  <c r="C12" i="35" a="1"/>
  <c r="C12" i="35" s="1"/>
  <c r="H5" i="1"/>
  <c r="C19" i="1"/>
  <c r="D19" i="1" s="1"/>
  <c r="E12" i="35"/>
  <c r="D12" i="35"/>
  <c r="F12" i="35"/>
  <c r="G12" i="35"/>
  <c r="I7" i="1"/>
  <c r="I8" i="1"/>
  <c r="D16" i="1"/>
  <c r="B5" i="5"/>
  <c r="B6" i="5"/>
  <c r="B7" i="5" s="1"/>
  <c r="B8" i="5" s="1"/>
  <c r="B9" i="5" s="1"/>
  <c r="B10" i="5" s="1"/>
  <c r="B11" i="5" s="1"/>
  <c r="B12" i="5" s="1"/>
  <c r="B13" i="5" s="1"/>
  <c r="Q192" i="38" l="1"/>
  <c r="P192" i="38"/>
  <c r="S192" i="38"/>
  <c r="T192" i="38" s="1"/>
  <c r="U192" i="38" s="1"/>
  <c r="J43" i="38"/>
  <c r="C26" i="1"/>
  <c r="C4" i="38"/>
  <c r="B10" i="38"/>
  <c r="E8" i="38"/>
  <c r="E9" i="38"/>
  <c r="E10" i="38"/>
  <c r="V192" i="38" l="1"/>
  <c r="I43" i="38"/>
  <c r="K44" i="38" s="1"/>
  <c r="B11" i="38"/>
  <c r="C8" i="38"/>
  <c r="D8" i="38" s="1"/>
  <c r="C11" i="38"/>
  <c r="D11" i="38" s="1"/>
  <c r="C9" i="38"/>
  <c r="D9" i="38" s="1"/>
  <c r="C10" i="38"/>
  <c r="D10" i="38" s="1"/>
  <c r="C27" i="1"/>
  <c r="M193" i="38" l="1"/>
  <c r="AC192" i="38"/>
  <c r="J44" i="38"/>
  <c r="I44" i="38"/>
  <c r="K45" i="38" s="1"/>
  <c r="C28" i="1"/>
  <c r="B12" i="38"/>
  <c r="E11" i="38"/>
  <c r="Q193" i="38" l="1"/>
  <c r="P193" i="38"/>
  <c r="S193" i="38"/>
  <c r="T193" i="38" s="1"/>
  <c r="U193" i="38" s="1"/>
  <c r="J45" i="38"/>
  <c r="I45" i="38" s="1"/>
  <c r="K46" i="38" s="1"/>
  <c r="C29" i="1"/>
  <c r="B13" i="38"/>
  <c r="E12" i="38"/>
  <c r="C12" i="38"/>
  <c r="D12" i="38" s="1"/>
  <c r="V193" i="38" l="1"/>
  <c r="J46" i="38"/>
  <c r="B14" i="38"/>
  <c r="E13" i="38"/>
  <c r="C13" i="38"/>
  <c r="D13" i="38" s="1"/>
  <c r="C30" i="1"/>
  <c r="M194" i="38" l="1"/>
  <c r="AC193" i="38"/>
  <c r="I46" i="38"/>
  <c r="K47" i="38" s="1"/>
  <c r="W3" i="38"/>
  <c r="C31" i="1"/>
  <c r="B15" i="38"/>
  <c r="E14" i="38"/>
  <c r="C14" i="38"/>
  <c r="D14" i="38" s="1"/>
  <c r="S194" i="38" l="1"/>
  <c r="T194" i="38" s="1"/>
  <c r="U194" i="38" s="1"/>
  <c r="Q194" i="38"/>
  <c r="P194" i="38"/>
  <c r="V194" i="38" s="1"/>
  <c r="J47" i="38"/>
  <c r="I47" i="38"/>
  <c r="K48" i="38" s="1"/>
  <c r="B16" i="38"/>
  <c r="E15" i="38"/>
  <c r="C15" i="38"/>
  <c r="D15" i="38" s="1"/>
  <c r="C32" i="1"/>
  <c r="AC194" i="38" l="1"/>
  <c r="M195" i="38"/>
  <c r="J48" i="38"/>
  <c r="C33" i="1"/>
  <c r="B17" i="38"/>
  <c r="E16" i="38"/>
  <c r="C16" i="38"/>
  <c r="D16" i="38" s="1"/>
  <c r="S195" i="38" l="1"/>
  <c r="T195" i="38" s="1"/>
  <c r="U195" i="38" s="1"/>
  <c r="Q195" i="38"/>
  <c r="P195" i="38"/>
  <c r="I48" i="38"/>
  <c r="K49" i="38" s="1"/>
  <c r="B18" i="38"/>
  <c r="E17" i="38"/>
  <c r="C17" i="38"/>
  <c r="D17" i="38" s="1"/>
  <c r="V195" i="38" l="1"/>
  <c r="J49" i="38"/>
  <c r="B19" i="38"/>
  <c r="E18" i="38"/>
  <c r="C18" i="38"/>
  <c r="D18" i="38" s="1"/>
  <c r="M196" i="38" l="1"/>
  <c r="AC195" i="38"/>
  <c r="I49" i="38"/>
  <c r="K50" i="38" s="1"/>
  <c r="B20" i="38"/>
  <c r="E19" i="38"/>
  <c r="C19" i="38"/>
  <c r="D19" i="38" s="1"/>
  <c r="S196" i="38" l="1"/>
  <c r="T196" i="38" s="1"/>
  <c r="U196" i="38" s="1"/>
  <c r="P196" i="38"/>
  <c r="Q196" i="38"/>
  <c r="V196" i="38" s="1"/>
  <c r="J50" i="38"/>
  <c r="I50" i="38"/>
  <c r="K51" i="38" s="1"/>
  <c r="B21" i="38"/>
  <c r="E20" i="38"/>
  <c r="C20" i="38"/>
  <c r="D20" i="38" s="1"/>
  <c r="M197" i="38" l="1"/>
  <c r="AC196" i="38"/>
  <c r="J51" i="38"/>
  <c r="B22" i="38"/>
  <c r="E21" i="38"/>
  <c r="C21" i="38"/>
  <c r="D21" i="38" s="1"/>
  <c r="Q197" i="38" l="1"/>
  <c r="P197" i="38"/>
  <c r="S197" i="38"/>
  <c r="T197" i="38" s="1"/>
  <c r="U197" i="38" s="1"/>
  <c r="I51" i="38"/>
  <c r="K52" i="38" s="1"/>
  <c r="B23" i="38"/>
  <c r="E22" i="38"/>
  <c r="C22" i="38"/>
  <c r="D22" i="38" s="1"/>
  <c r="V197" i="38" l="1"/>
  <c r="J52" i="38"/>
  <c r="I52" i="38"/>
  <c r="K53" i="38" s="1"/>
  <c r="B24" i="38"/>
  <c r="E23" i="38"/>
  <c r="C23" i="38"/>
  <c r="D23" i="38" s="1"/>
  <c r="M198" i="38" l="1"/>
  <c r="AC197" i="38"/>
  <c r="J53" i="38"/>
  <c r="I53" i="38" s="1"/>
  <c r="K54" i="38" s="1"/>
  <c r="B25" i="38"/>
  <c r="E24" i="38"/>
  <c r="C24" i="38"/>
  <c r="D24" i="38" s="1"/>
  <c r="P198" i="38" l="1"/>
  <c r="S198" i="38"/>
  <c r="T198" i="38" s="1"/>
  <c r="U198" i="38" s="1"/>
  <c r="Q198" i="38"/>
  <c r="V198" i="38" s="1"/>
  <c r="J54" i="38"/>
  <c r="I54" i="38"/>
  <c r="K55" i="38" s="1"/>
  <c r="B26" i="38"/>
  <c r="E25" i="38"/>
  <c r="C25" i="38"/>
  <c r="D25" i="38" s="1"/>
  <c r="M199" i="38" l="1"/>
  <c r="AC198" i="38"/>
  <c r="J55" i="38"/>
  <c r="I55" i="38"/>
  <c r="K56" i="38" s="1"/>
  <c r="B27" i="38"/>
  <c r="E26" i="38"/>
  <c r="C26" i="38"/>
  <c r="D26" i="38" s="1"/>
  <c r="P199" i="38" l="1"/>
  <c r="S199" i="38"/>
  <c r="T199" i="38" s="1"/>
  <c r="U199" i="38" s="1"/>
  <c r="Q199" i="38"/>
  <c r="V199" i="38" s="1"/>
  <c r="J56" i="38"/>
  <c r="B28" i="38"/>
  <c r="E27" i="38"/>
  <c r="C27" i="38"/>
  <c r="D27" i="38" s="1"/>
  <c r="M200" i="38" l="1"/>
  <c r="AC199" i="38"/>
  <c r="I56" i="38"/>
  <c r="K57" i="38" s="1"/>
  <c r="J57" i="38"/>
  <c r="I57" i="38" s="1"/>
  <c r="K58" i="38" s="1"/>
  <c r="B29" i="38"/>
  <c r="E28" i="38"/>
  <c r="C28" i="38"/>
  <c r="D28" i="38" s="1"/>
  <c r="S200" i="38" l="1"/>
  <c r="T200" i="38" s="1"/>
  <c r="U200" i="38" s="1"/>
  <c r="P200" i="38"/>
  <c r="Q200" i="38"/>
  <c r="J58" i="38"/>
  <c r="B30" i="38"/>
  <c r="E29" i="38"/>
  <c r="C29" i="38"/>
  <c r="D29" i="38" s="1"/>
  <c r="V200" i="38" l="1"/>
  <c r="I58" i="38"/>
  <c r="K59" i="38" s="1"/>
  <c r="J59" i="38"/>
  <c r="B31" i="38"/>
  <c r="E30" i="38"/>
  <c r="C30" i="38"/>
  <c r="D30" i="38" s="1"/>
  <c r="M201" i="38" l="1"/>
  <c r="AC200" i="38"/>
  <c r="I59" i="38"/>
  <c r="B32" i="38"/>
  <c r="E31" i="38"/>
  <c r="C31" i="38"/>
  <c r="D31" i="38" s="1"/>
  <c r="Q201" i="38" l="1"/>
  <c r="S201" i="38"/>
  <c r="T201" i="38" s="1"/>
  <c r="U201" i="38" s="1"/>
  <c r="P201" i="38"/>
  <c r="V201" i="38" s="1"/>
  <c r="K60" i="38"/>
  <c r="J60" i="38"/>
  <c r="B33" i="38"/>
  <c r="E32" i="38"/>
  <c r="C32" i="38"/>
  <c r="D32" i="38" s="1"/>
  <c r="AC201" i="38" l="1"/>
  <c r="M202" i="38"/>
  <c r="I60" i="38"/>
  <c r="K61" i="38" s="1"/>
  <c r="B34" i="38"/>
  <c r="E33" i="38"/>
  <c r="C33" i="38"/>
  <c r="D33" i="38" s="1"/>
  <c r="S202" i="38" l="1"/>
  <c r="T202" i="38" s="1"/>
  <c r="U202" i="38" s="1"/>
  <c r="P202" i="38"/>
  <c r="V202" i="38" s="1"/>
  <c r="Q202" i="38"/>
  <c r="J61" i="38"/>
  <c r="B35" i="38"/>
  <c r="E34" i="38"/>
  <c r="C34" i="38"/>
  <c r="D34" i="38" s="1"/>
  <c r="M203" i="38" l="1"/>
  <c r="AC202" i="38"/>
  <c r="I61" i="38"/>
  <c r="K62" i="38" s="1"/>
  <c r="B36" i="38"/>
  <c r="E35" i="38"/>
  <c r="C35" i="38"/>
  <c r="D35" i="38" s="1"/>
  <c r="P203" i="38" l="1"/>
  <c r="S203" i="38"/>
  <c r="T203" i="38" s="1"/>
  <c r="U203" i="38" s="1"/>
  <c r="Q203" i="38"/>
  <c r="J62" i="38"/>
  <c r="B37" i="38"/>
  <c r="E36" i="38"/>
  <c r="C36" i="38"/>
  <c r="D36" i="38" s="1"/>
  <c r="V203" i="38" l="1"/>
  <c r="I62" i="38"/>
  <c r="K63" i="38" s="1"/>
  <c r="B38" i="38"/>
  <c r="E37" i="38"/>
  <c r="C37" i="38"/>
  <c r="D37" i="38" s="1"/>
  <c r="M204" i="38" l="1"/>
  <c r="AC203" i="38"/>
  <c r="J63" i="38"/>
  <c r="I63" i="38" s="1"/>
  <c r="K64" i="38" s="1"/>
  <c r="B39" i="38"/>
  <c r="E38" i="38"/>
  <c r="C38" i="38"/>
  <c r="D38" i="38" s="1"/>
  <c r="Q204" i="38" l="1"/>
  <c r="S204" i="38"/>
  <c r="T204" i="38" s="1"/>
  <c r="U204" i="38" s="1"/>
  <c r="P204" i="38"/>
  <c r="V204" i="38" s="1"/>
  <c r="J64" i="38"/>
  <c r="I64" i="38"/>
  <c r="K65" i="38" s="1"/>
  <c r="B40" i="38"/>
  <c r="E39" i="38"/>
  <c r="C39" i="38"/>
  <c r="D39" i="38" s="1"/>
  <c r="M205" i="38" l="1"/>
  <c r="AC204" i="38"/>
  <c r="J65" i="38"/>
  <c r="I65" i="38" s="1"/>
  <c r="K66" i="38" s="1"/>
  <c r="B41" i="38"/>
  <c r="E40" i="38"/>
  <c r="C40" i="38"/>
  <c r="D40" i="38" s="1"/>
  <c r="S205" i="38" l="1"/>
  <c r="T205" i="38" s="1"/>
  <c r="U205" i="38" s="1"/>
  <c r="P205" i="38"/>
  <c r="Q205" i="38"/>
  <c r="J66" i="38"/>
  <c r="I66" i="38"/>
  <c r="K67" i="38" s="1"/>
  <c r="B42" i="38"/>
  <c r="E41" i="38"/>
  <c r="C41" i="38"/>
  <c r="D41" i="38" s="1"/>
  <c r="V205" i="38" l="1"/>
  <c r="J67" i="38"/>
  <c r="B43" i="38"/>
  <c r="E42" i="38"/>
  <c r="C42" i="38"/>
  <c r="D42" i="38" s="1"/>
  <c r="M206" i="38" l="1"/>
  <c r="AC205" i="38"/>
  <c r="I67" i="38"/>
  <c r="K68" i="38" s="1"/>
  <c r="J68" i="38"/>
  <c r="I68" i="38" s="1"/>
  <c r="K69" i="38" s="1"/>
  <c r="B44" i="38"/>
  <c r="E43" i="38"/>
  <c r="C43" i="38"/>
  <c r="D43" i="38" s="1"/>
  <c r="Q206" i="38" l="1"/>
  <c r="S206" i="38"/>
  <c r="T206" i="38" s="1"/>
  <c r="U206" i="38" s="1"/>
  <c r="P206" i="38"/>
  <c r="J69" i="38"/>
  <c r="B45" i="38"/>
  <c r="E44" i="38"/>
  <c r="C44" i="38"/>
  <c r="D44" i="38" s="1"/>
  <c r="V206" i="38" l="1"/>
  <c r="I69" i="38"/>
  <c r="K70" i="38" s="1"/>
  <c r="J70" i="38"/>
  <c r="I70" i="38" s="1"/>
  <c r="K71" i="38" s="1"/>
  <c r="B46" i="38"/>
  <c r="E45" i="38"/>
  <c r="C45" i="38"/>
  <c r="D45" i="38" s="1"/>
  <c r="M207" i="38" l="1"/>
  <c r="AC206" i="38"/>
  <c r="J71" i="38"/>
  <c r="B47" i="38"/>
  <c r="E46" i="38"/>
  <c r="C46" i="38"/>
  <c r="D46" i="38" s="1"/>
  <c r="P207" i="38" l="1"/>
  <c r="S207" i="38"/>
  <c r="T207" i="38" s="1"/>
  <c r="U207" i="38" s="1"/>
  <c r="Q207" i="38"/>
  <c r="I71" i="38"/>
  <c r="K72" i="38" s="1"/>
  <c r="J72" i="38"/>
  <c r="I72" i="38" s="1"/>
  <c r="K73" i="38" s="1"/>
  <c r="B48" i="38"/>
  <c r="E47" i="38"/>
  <c r="C47" i="38"/>
  <c r="D47" i="38" s="1"/>
  <c r="V207" i="38" l="1"/>
  <c r="J73" i="38"/>
  <c r="B49" i="38"/>
  <c r="E48" i="38"/>
  <c r="C48" i="38"/>
  <c r="D48" i="38" s="1"/>
  <c r="M208" i="38" l="1"/>
  <c r="AC207" i="38"/>
  <c r="I73" i="38"/>
  <c r="K74" i="38" s="1"/>
  <c r="B50" i="38"/>
  <c r="E49" i="38"/>
  <c r="C49" i="38"/>
  <c r="D49" i="38" s="1"/>
  <c r="Q208" i="38" l="1"/>
  <c r="P208" i="38"/>
  <c r="S208" i="38"/>
  <c r="T208" i="38" s="1"/>
  <c r="U208" i="38" s="1"/>
  <c r="J74" i="38"/>
  <c r="I74" i="38"/>
  <c r="K75" i="38" s="1"/>
  <c r="B51" i="38"/>
  <c r="E50" i="38"/>
  <c r="C50" i="38"/>
  <c r="D50" i="38" s="1"/>
  <c r="V208" i="38" l="1"/>
  <c r="J75" i="38"/>
  <c r="B52" i="38"/>
  <c r="E51" i="38"/>
  <c r="C51" i="38"/>
  <c r="D51" i="38" s="1"/>
  <c r="AC208" i="38" l="1"/>
  <c r="M209" i="38"/>
  <c r="I75" i="38"/>
  <c r="K76" i="38" s="1"/>
  <c r="J76" i="38"/>
  <c r="I76" i="38" s="1"/>
  <c r="K77" i="38" s="1"/>
  <c r="B53" i="38"/>
  <c r="E52" i="38"/>
  <c r="C52" i="38"/>
  <c r="D52" i="38" s="1"/>
  <c r="S209" i="38" l="1"/>
  <c r="T209" i="38" s="1"/>
  <c r="U209" i="38" s="1"/>
  <c r="Q209" i="38"/>
  <c r="P209" i="38"/>
  <c r="V209" i="38" s="1"/>
  <c r="J77" i="38"/>
  <c r="I77" i="38"/>
  <c r="K78" i="38" s="1"/>
  <c r="B54" i="38"/>
  <c r="E53" i="38"/>
  <c r="C53" i="38"/>
  <c r="D53" i="38" s="1"/>
  <c r="AC209" i="38" l="1"/>
  <c r="M210" i="38"/>
  <c r="J78" i="38"/>
  <c r="I78" i="38"/>
  <c r="K79" i="38" s="1"/>
  <c r="B55" i="38"/>
  <c r="E54" i="38"/>
  <c r="C54" i="38"/>
  <c r="D54" i="38" s="1"/>
  <c r="P210" i="38" l="1"/>
  <c r="S210" i="38"/>
  <c r="T210" i="38" s="1"/>
  <c r="U210" i="38" s="1"/>
  <c r="Q210" i="38"/>
  <c r="V210" i="38" s="1"/>
  <c r="J79" i="38"/>
  <c r="B56" i="38"/>
  <c r="E55" i="38"/>
  <c r="C55" i="38"/>
  <c r="D55" i="38" s="1"/>
  <c r="AC210" i="38" l="1"/>
  <c r="M211" i="38"/>
  <c r="I79" i="38"/>
  <c r="K80" i="38" s="1"/>
  <c r="B57" i="38"/>
  <c r="E56" i="38"/>
  <c r="C56" i="38"/>
  <c r="D56" i="38" s="1"/>
  <c r="Q211" i="38" l="1"/>
  <c r="P211" i="38"/>
  <c r="S211" i="38"/>
  <c r="T211" i="38" s="1"/>
  <c r="U211" i="38" s="1"/>
  <c r="J80" i="38"/>
  <c r="I80" i="38" s="1"/>
  <c r="K81" i="38" s="1"/>
  <c r="B58" i="38"/>
  <c r="E57" i="38"/>
  <c r="C57" i="38"/>
  <c r="D57" i="38" s="1"/>
  <c r="V211" i="38" l="1"/>
  <c r="J81" i="38"/>
  <c r="B59" i="38"/>
  <c r="E58" i="38"/>
  <c r="C58" i="38"/>
  <c r="D58" i="38" s="1"/>
  <c r="AC211" i="38" l="1"/>
  <c r="M212" i="38"/>
  <c r="I81" i="38"/>
  <c r="K82" i="38" s="1"/>
  <c r="B60" i="38"/>
  <c r="E59" i="38"/>
  <c r="C59" i="38"/>
  <c r="D59" i="38" s="1"/>
  <c r="P212" i="38" l="1"/>
  <c r="S212" i="38"/>
  <c r="T212" i="38" s="1"/>
  <c r="U212" i="38" s="1"/>
  <c r="Q212" i="38"/>
  <c r="V212" i="38" s="1"/>
  <c r="J82" i="38"/>
  <c r="B61" i="38"/>
  <c r="E60" i="38"/>
  <c r="C60" i="38"/>
  <c r="D60" i="38" s="1"/>
  <c r="AC212" i="38" l="1"/>
  <c r="M213" i="38"/>
  <c r="I82" i="38"/>
  <c r="K83" i="38" s="1"/>
  <c r="B62" i="38"/>
  <c r="E61" i="38"/>
  <c r="C61" i="38"/>
  <c r="D61" i="38" s="1"/>
  <c r="S213" i="38" l="1"/>
  <c r="T213" i="38" s="1"/>
  <c r="U213" i="38" s="1"/>
  <c r="Q213" i="38"/>
  <c r="V213" i="38"/>
  <c r="P213" i="38"/>
  <c r="J83" i="38"/>
  <c r="I83" i="38"/>
  <c r="K84" i="38" s="1"/>
  <c r="B63" i="38"/>
  <c r="E62" i="38"/>
  <c r="C62" i="38"/>
  <c r="D62" i="38" s="1"/>
  <c r="M214" i="38" l="1"/>
  <c r="AC213" i="38"/>
  <c r="J84" i="38"/>
  <c r="I84" i="38"/>
  <c r="K85" i="38" s="1"/>
  <c r="B64" i="38"/>
  <c r="E63" i="38"/>
  <c r="C63" i="38"/>
  <c r="D63" i="38" s="1"/>
  <c r="Q214" i="38" l="1"/>
  <c r="S214" i="38"/>
  <c r="T214" i="38" s="1"/>
  <c r="U214" i="38" s="1"/>
  <c r="P214" i="38"/>
  <c r="J85" i="38"/>
  <c r="B65" i="38"/>
  <c r="E64" i="38"/>
  <c r="C64" i="38"/>
  <c r="D64" i="38" s="1"/>
  <c r="V214" i="38" l="1"/>
  <c r="I85" i="38"/>
  <c r="K86" i="38" s="1"/>
  <c r="J86" i="38"/>
  <c r="I86" i="38" s="1"/>
  <c r="K87" i="38" s="1"/>
  <c r="B66" i="38"/>
  <c r="E65" i="38"/>
  <c r="C65" i="38"/>
  <c r="D65" i="38" s="1"/>
  <c r="M215" i="38" l="1"/>
  <c r="AC214" i="38"/>
  <c r="J87" i="38"/>
  <c r="I87" i="38"/>
  <c r="K88" i="38" s="1"/>
  <c r="B67" i="38"/>
  <c r="E66" i="38"/>
  <c r="C66" i="38"/>
  <c r="D66" i="38" s="1"/>
  <c r="P215" i="38" l="1"/>
  <c r="Q215" i="38"/>
  <c r="S215" i="38"/>
  <c r="T215" i="38" s="1"/>
  <c r="U215" i="38" s="1"/>
  <c r="J88" i="38"/>
  <c r="B68" i="38"/>
  <c r="E67" i="38"/>
  <c r="C67" i="38"/>
  <c r="D67" i="38" s="1"/>
  <c r="V215" i="38" l="1"/>
  <c r="I88" i="38"/>
  <c r="K89" i="38" s="1"/>
  <c r="J89" i="38"/>
  <c r="B69" i="38"/>
  <c r="E68" i="38"/>
  <c r="C68" i="38"/>
  <c r="D68" i="38" s="1"/>
  <c r="AC215" i="38" l="1"/>
  <c r="M216" i="38"/>
  <c r="I89" i="38"/>
  <c r="K90" i="38" s="1"/>
  <c r="B70" i="38"/>
  <c r="E69" i="38"/>
  <c r="C69" i="38"/>
  <c r="D69" i="38" s="1"/>
  <c r="P216" i="38" l="1"/>
  <c r="Q216" i="38"/>
  <c r="S216" i="38"/>
  <c r="T216" i="38" s="1"/>
  <c r="U216" i="38" s="1"/>
  <c r="J90" i="38"/>
  <c r="I90" i="38"/>
  <c r="K91" i="38" s="1"/>
  <c r="B71" i="38"/>
  <c r="E70" i="38"/>
  <c r="C70" i="38"/>
  <c r="D70" i="38" s="1"/>
  <c r="V216" i="38" l="1"/>
  <c r="J91" i="38"/>
  <c r="B72" i="38"/>
  <c r="E71" i="38"/>
  <c r="C71" i="38"/>
  <c r="D71" i="38" s="1"/>
  <c r="M217" i="38" l="1"/>
  <c r="AC216" i="38"/>
  <c r="I91" i="38"/>
  <c r="K92" i="38" s="1"/>
  <c r="B73" i="38"/>
  <c r="E72" i="38"/>
  <c r="C72" i="38"/>
  <c r="D72" i="38" s="1"/>
  <c r="S217" i="38" l="1"/>
  <c r="T217" i="38" s="1"/>
  <c r="U217" i="38" s="1"/>
  <c r="Q217" i="38"/>
  <c r="P217" i="38"/>
  <c r="V217" i="38" s="1"/>
  <c r="J92" i="38"/>
  <c r="B74" i="38"/>
  <c r="E73" i="38"/>
  <c r="C73" i="38"/>
  <c r="D73" i="38" s="1"/>
  <c r="M218" i="38" l="1"/>
  <c r="AC217" i="38"/>
  <c r="I92" i="38"/>
  <c r="K93" i="38" s="1"/>
  <c r="B75" i="38"/>
  <c r="E74" i="38"/>
  <c r="C74" i="38"/>
  <c r="D74" i="38" s="1"/>
  <c r="Q218" i="38" l="1"/>
  <c r="S218" i="38"/>
  <c r="T218" i="38" s="1"/>
  <c r="U218" i="38" s="1"/>
  <c r="P218" i="38"/>
  <c r="J93" i="38"/>
  <c r="I93" i="38"/>
  <c r="K94" i="38" s="1"/>
  <c r="B76" i="38"/>
  <c r="E75" i="38"/>
  <c r="C75" i="38"/>
  <c r="D75" i="38" s="1"/>
  <c r="V218" i="38" l="1"/>
  <c r="J94" i="38"/>
  <c r="I94" i="38"/>
  <c r="K95" i="38" s="1"/>
  <c r="B77" i="38"/>
  <c r="E76" i="38"/>
  <c r="C76" i="38"/>
  <c r="D76" i="38" s="1"/>
  <c r="M219" i="38" l="1"/>
  <c r="AC218" i="38"/>
  <c r="J95" i="38"/>
  <c r="I95" i="38" s="1"/>
  <c r="K96" i="38" s="1"/>
  <c r="B78" i="38"/>
  <c r="E77" i="38"/>
  <c r="C77" i="38"/>
  <c r="D77" i="38" s="1"/>
  <c r="Q219" i="38" l="1"/>
  <c r="P219" i="38"/>
  <c r="S219" i="38"/>
  <c r="T219" i="38" s="1"/>
  <c r="U219" i="38" s="1"/>
  <c r="J96" i="38"/>
  <c r="I96" i="38"/>
  <c r="K97" i="38" s="1"/>
  <c r="B79" i="38"/>
  <c r="E78" i="38"/>
  <c r="C78" i="38"/>
  <c r="D78" i="38" s="1"/>
  <c r="V219" i="38" l="1"/>
  <c r="J97" i="38"/>
  <c r="B80" i="38"/>
  <c r="E79" i="38"/>
  <c r="C79" i="38"/>
  <c r="D79" i="38" s="1"/>
  <c r="AC219" i="38" l="1"/>
  <c r="M220" i="38"/>
  <c r="I97" i="38"/>
  <c r="K98" i="38" s="1"/>
  <c r="B81" i="38"/>
  <c r="E80" i="38"/>
  <c r="C80" i="38"/>
  <c r="D80" i="38" s="1"/>
  <c r="Q220" i="38" l="1"/>
  <c r="P220" i="38"/>
  <c r="S220" i="38"/>
  <c r="T220" i="38" s="1"/>
  <c r="U220" i="38" s="1"/>
  <c r="J98" i="38"/>
  <c r="I98" i="38"/>
  <c r="K99" i="38" s="1"/>
  <c r="B82" i="38"/>
  <c r="E81" i="38"/>
  <c r="C81" i="38"/>
  <c r="D81" i="38" s="1"/>
  <c r="V220" i="38" l="1"/>
  <c r="J99" i="38"/>
  <c r="B83" i="38"/>
  <c r="E82" i="38"/>
  <c r="C82" i="38"/>
  <c r="D82" i="38" s="1"/>
  <c r="M221" i="38" l="1"/>
  <c r="AC220" i="38"/>
  <c r="I99" i="38"/>
  <c r="K100" i="38" s="1"/>
  <c r="B84" i="38"/>
  <c r="E83" i="38"/>
  <c r="C83" i="38"/>
  <c r="D83" i="38" s="1"/>
  <c r="Q221" i="38" l="1"/>
  <c r="S221" i="38"/>
  <c r="T221" i="38" s="1"/>
  <c r="U221" i="38" s="1"/>
  <c r="P221" i="38"/>
  <c r="V221" i="38" s="1"/>
  <c r="J100" i="38"/>
  <c r="I100" i="38"/>
  <c r="K101" i="38" s="1"/>
  <c r="B85" i="38"/>
  <c r="E84" i="38"/>
  <c r="C84" i="38"/>
  <c r="D84" i="38" s="1"/>
  <c r="M222" i="38" l="1"/>
  <c r="AC221" i="38"/>
  <c r="J101" i="38"/>
  <c r="I101" i="38"/>
  <c r="K102" i="38" s="1"/>
  <c r="B86" i="38"/>
  <c r="E85" i="38"/>
  <c r="C85" i="38"/>
  <c r="D85" i="38" s="1"/>
  <c r="P222" i="38" l="1"/>
  <c r="Q222" i="38"/>
  <c r="S222" i="38"/>
  <c r="T222" i="38" s="1"/>
  <c r="U222" i="38" s="1"/>
  <c r="J102" i="38"/>
  <c r="I102" i="38"/>
  <c r="K103" i="38" s="1"/>
  <c r="B87" i="38"/>
  <c r="E86" i="38"/>
  <c r="C86" i="38"/>
  <c r="D86" i="38" s="1"/>
  <c r="V222" i="38" l="1"/>
  <c r="J103" i="38"/>
  <c r="I103" i="38"/>
  <c r="K104" i="38" s="1"/>
  <c r="B88" i="38"/>
  <c r="E87" i="38"/>
  <c r="C87" i="38"/>
  <c r="D87" i="38" s="1"/>
  <c r="AC222" i="38" l="1"/>
  <c r="M223" i="38"/>
  <c r="J104" i="38"/>
  <c r="B89" i="38"/>
  <c r="E88" i="38"/>
  <c r="C88" i="38"/>
  <c r="D88" i="38" s="1"/>
  <c r="Q223" i="38" l="1"/>
  <c r="P223" i="38"/>
  <c r="V223" i="38" s="1"/>
  <c r="S223" i="38"/>
  <c r="T223" i="38" s="1"/>
  <c r="U223" i="38" s="1"/>
  <c r="I104" i="38"/>
  <c r="K105" i="38" s="1"/>
  <c r="J105" i="38"/>
  <c r="B90" i="38"/>
  <c r="E89" i="38"/>
  <c r="C89" i="38"/>
  <c r="D89" i="38" s="1"/>
  <c r="AC223" i="38" l="1"/>
  <c r="M224" i="38"/>
  <c r="I105" i="38"/>
  <c r="K106" i="38" s="1"/>
  <c r="J106" i="38"/>
  <c r="B91" i="38"/>
  <c r="E90" i="38"/>
  <c r="C90" i="38"/>
  <c r="D90" i="38" s="1"/>
  <c r="P224" i="38" l="1"/>
  <c r="S224" i="38"/>
  <c r="T224" i="38" s="1"/>
  <c r="U224" i="38" s="1"/>
  <c r="Q224" i="38"/>
  <c r="V224" i="38" s="1"/>
  <c r="I106" i="38"/>
  <c r="K107" i="38" s="1"/>
  <c r="B92" i="38"/>
  <c r="E91" i="38"/>
  <c r="C91" i="38"/>
  <c r="D91" i="38" s="1"/>
  <c r="AC224" i="38" l="1"/>
  <c r="M225" i="38"/>
  <c r="J107" i="38"/>
  <c r="B93" i="38"/>
  <c r="E92" i="38"/>
  <c r="C92" i="38"/>
  <c r="D92" i="38" s="1"/>
  <c r="S225" i="38" l="1"/>
  <c r="T225" i="38" s="1"/>
  <c r="U225" i="38" s="1"/>
  <c r="Q225" i="38"/>
  <c r="P225" i="38"/>
  <c r="V225" i="38" s="1"/>
  <c r="I107" i="38"/>
  <c r="K108" i="38" s="1"/>
  <c r="B94" i="38"/>
  <c r="E93" i="38"/>
  <c r="C93" i="38"/>
  <c r="D93" i="38" s="1"/>
  <c r="AC225" i="38" l="1"/>
  <c r="M226" i="38"/>
  <c r="J108" i="38"/>
  <c r="I108" i="38" s="1"/>
  <c r="K109" i="38" s="1"/>
  <c r="B95" i="38"/>
  <c r="E94" i="38"/>
  <c r="C94" i="38"/>
  <c r="D94" i="38" s="1"/>
  <c r="P226" i="38" l="1"/>
  <c r="V226" i="38" s="1"/>
  <c r="Q226" i="38"/>
  <c r="S226" i="38"/>
  <c r="T226" i="38" s="1"/>
  <c r="U226" i="38" s="1"/>
  <c r="J109" i="38"/>
  <c r="B96" i="38"/>
  <c r="E95" i="38"/>
  <c r="C95" i="38"/>
  <c r="D95" i="38" s="1"/>
  <c r="AC226" i="38" l="1"/>
  <c r="M227" i="38"/>
  <c r="I109" i="38"/>
  <c r="K110" i="38" s="1"/>
  <c r="B97" i="38"/>
  <c r="E96" i="38"/>
  <c r="C96" i="38"/>
  <c r="D96" i="38" s="1"/>
  <c r="Q227" i="38" l="1"/>
  <c r="S227" i="38"/>
  <c r="T227" i="38" s="1"/>
  <c r="U227" i="38" s="1"/>
  <c r="P227" i="38"/>
  <c r="V227" i="38" s="1"/>
  <c r="J110" i="38"/>
  <c r="B98" i="38"/>
  <c r="E97" i="38"/>
  <c r="C97" i="38"/>
  <c r="D97" i="38" s="1"/>
  <c r="M228" i="38" l="1"/>
  <c r="AC227" i="38"/>
  <c r="I110" i="38"/>
  <c r="K111" i="38" s="1"/>
  <c r="B99" i="38"/>
  <c r="E98" i="38"/>
  <c r="C98" i="38"/>
  <c r="D98" i="38" s="1"/>
  <c r="P228" i="38" l="1"/>
  <c r="S228" i="38"/>
  <c r="T228" i="38" s="1"/>
  <c r="U228" i="38" s="1"/>
  <c r="Q228" i="38"/>
  <c r="V228" i="38" s="1"/>
  <c r="J111" i="38"/>
  <c r="B100" i="38"/>
  <c r="E99" i="38"/>
  <c r="C99" i="38"/>
  <c r="D99" i="38" s="1"/>
  <c r="M229" i="38" l="1"/>
  <c r="AC228" i="38"/>
  <c r="I111" i="38"/>
  <c r="K112" i="38" s="1"/>
  <c r="B101" i="38"/>
  <c r="E100" i="38"/>
  <c r="C100" i="38"/>
  <c r="D100" i="38" s="1"/>
  <c r="S229" i="38" l="1"/>
  <c r="T229" i="38" s="1"/>
  <c r="U229" i="38" s="1"/>
  <c r="Q229" i="38"/>
  <c r="P229" i="38"/>
  <c r="J112" i="38"/>
  <c r="I112" i="38"/>
  <c r="K113" i="38" s="1"/>
  <c r="B102" i="38"/>
  <c r="E101" i="38"/>
  <c r="C101" i="38"/>
  <c r="D101" i="38" s="1"/>
  <c r="V229" i="38" l="1"/>
  <c r="J113" i="38"/>
  <c r="B103" i="38"/>
  <c r="E102" i="38"/>
  <c r="C102" i="38"/>
  <c r="D102" i="38" s="1"/>
  <c r="M230" i="38" l="1"/>
  <c r="AC229" i="38"/>
  <c r="I113" i="38"/>
  <c r="K114" i="38" s="1"/>
  <c r="J114" i="38"/>
  <c r="B104" i="38"/>
  <c r="E103" i="38"/>
  <c r="C103" i="38"/>
  <c r="D103" i="38" s="1"/>
  <c r="Q230" i="38" l="1"/>
  <c r="S230" i="38"/>
  <c r="T230" i="38" s="1"/>
  <c r="U230" i="38" s="1"/>
  <c r="P230" i="38"/>
  <c r="I114" i="38"/>
  <c r="K115" i="38" s="1"/>
  <c r="B105" i="38"/>
  <c r="E104" i="38"/>
  <c r="C104" i="38"/>
  <c r="D104" i="38" s="1"/>
  <c r="V230" i="38" l="1"/>
  <c r="J115" i="38"/>
  <c r="I115" i="38"/>
  <c r="K116" i="38" s="1"/>
  <c r="B106" i="38"/>
  <c r="E105" i="38"/>
  <c r="C105" i="38"/>
  <c r="D105" i="38" s="1"/>
  <c r="M231" i="38" l="1"/>
  <c r="AC230" i="38"/>
  <c r="J116" i="38"/>
  <c r="I116" i="38"/>
  <c r="K117" i="38" s="1"/>
  <c r="B107" i="38"/>
  <c r="E106" i="38"/>
  <c r="C106" i="38"/>
  <c r="D106" i="38" s="1"/>
  <c r="S231" i="38" l="1"/>
  <c r="T231" i="38" s="1"/>
  <c r="U231" i="38" s="1"/>
  <c r="P231" i="38"/>
  <c r="Q231" i="38"/>
  <c r="J117" i="38"/>
  <c r="I117" i="38"/>
  <c r="K118" i="38" s="1"/>
  <c r="B108" i="38"/>
  <c r="E107" i="38"/>
  <c r="C107" i="38"/>
  <c r="D107" i="38" s="1"/>
  <c r="V231" i="38" l="1"/>
  <c r="J118" i="38"/>
  <c r="B109" i="38"/>
  <c r="E108" i="38"/>
  <c r="C108" i="38"/>
  <c r="D108" i="38" s="1"/>
  <c r="M232" i="38" l="1"/>
  <c r="AC231" i="38"/>
  <c r="I118" i="38"/>
  <c r="K119" i="38" s="1"/>
  <c r="J119" i="38"/>
  <c r="I119" i="38" s="1"/>
  <c r="K120" i="38" s="1"/>
  <c r="B110" i="38"/>
  <c r="E109" i="38"/>
  <c r="C109" i="38"/>
  <c r="D109" i="38" s="1"/>
  <c r="P232" i="38" l="1"/>
  <c r="S232" i="38"/>
  <c r="T232" i="38" s="1"/>
  <c r="U232" i="38" s="1"/>
  <c r="Q232" i="38"/>
  <c r="V232" i="38" s="1"/>
  <c r="J120" i="38"/>
  <c r="I120" i="38" s="1"/>
  <c r="K121" i="38" s="1"/>
  <c r="B111" i="38"/>
  <c r="E110" i="38"/>
  <c r="C110" i="38"/>
  <c r="D110" i="38" s="1"/>
  <c r="AC232" i="38" l="1"/>
  <c r="M233" i="38"/>
  <c r="J121" i="38"/>
  <c r="B112" i="38"/>
  <c r="E111" i="38"/>
  <c r="C111" i="38"/>
  <c r="D111" i="38" s="1"/>
  <c r="S233" i="38" l="1"/>
  <c r="T233" i="38" s="1"/>
  <c r="U233" i="38" s="1"/>
  <c r="P233" i="38"/>
  <c r="Q233" i="38"/>
  <c r="V233" i="38" s="1"/>
  <c r="I121" i="38"/>
  <c r="K122" i="38" s="1"/>
  <c r="B113" i="38"/>
  <c r="E112" i="38"/>
  <c r="C112" i="38"/>
  <c r="D112" i="38" s="1"/>
  <c r="M234" i="38" l="1"/>
  <c r="AC233" i="38"/>
  <c r="J122" i="38"/>
  <c r="B114" i="38"/>
  <c r="E113" i="38"/>
  <c r="C113" i="38"/>
  <c r="D113" i="38" s="1"/>
  <c r="S234" i="38" l="1"/>
  <c r="T234" i="38" s="1"/>
  <c r="U234" i="38" s="1"/>
  <c r="P234" i="38"/>
  <c r="Q234" i="38"/>
  <c r="I122" i="38"/>
  <c r="K123" i="38" s="1"/>
  <c r="B115" i="38"/>
  <c r="E114" i="38"/>
  <c r="C114" i="38"/>
  <c r="D114" i="38" s="1"/>
  <c r="V234" i="38" l="1"/>
  <c r="J123" i="38"/>
  <c r="I123" i="38"/>
  <c r="K124" i="38" s="1"/>
  <c r="B116" i="38"/>
  <c r="E115" i="38"/>
  <c r="C115" i="38"/>
  <c r="D115" i="38" s="1"/>
  <c r="AC234" i="38" l="1"/>
  <c r="M235" i="38"/>
  <c r="J124" i="38"/>
  <c r="I124" i="38" s="1"/>
  <c r="K125" i="38" s="1"/>
  <c r="B117" i="38"/>
  <c r="E116" i="38"/>
  <c r="C116" i="38"/>
  <c r="D116" i="38" s="1"/>
  <c r="Q235" i="38" l="1"/>
  <c r="S235" i="38"/>
  <c r="T235" i="38" s="1"/>
  <c r="U235" i="38" s="1"/>
  <c r="P235" i="38"/>
  <c r="V235" i="38" s="1"/>
  <c r="J125" i="38"/>
  <c r="B118" i="38"/>
  <c r="E117" i="38"/>
  <c r="C117" i="38"/>
  <c r="D117" i="38" s="1"/>
  <c r="M236" i="38" l="1"/>
  <c r="AC235" i="38"/>
  <c r="I125" i="38"/>
  <c r="K126" i="38" s="1"/>
  <c r="J126" i="38"/>
  <c r="B119" i="38"/>
  <c r="E118" i="38"/>
  <c r="C118" i="38"/>
  <c r="D118" i="38" s="1"/>
  <c r="Q236" i="38" l="1"/>
  <c r="S236" i="38"/>
  <c r="T236" i="38" s="1"/>
  <c r="U236" i="38" s="1"/>
  <c r="P236" i="38"/>
  <c r="V236" i="38" s="1"/>
  <c r="I126" i="38"/>
  <c r="B120" i="38"/>
  <c r="E119" i="38"/>
  <c r="C119" i="38"/>
  <c r="D119" i="38" s="1"/>
  <c r="M237" i="38" l="1"/>
  <c r="AC236" i="38"/>
  <c r="K127" i="38"/>
  <c r="J127" i="38"/>
  <c r="B121" i="38"/>
  <c r="E120" i="38"/>
  <c r="C120" i="38"/>
  <c r="D120" i="38" s="1"/>
  <c r="P237" i="38" l="1"/>
  <c r="V237" i="38" s="1"/>
  <c r="Q237" i="38"/>
  <c r="S237" i="38"/>
  <c r="T237" i="38" s="1"/>
  <c r="U237" i="38" s="1"/>
  <c r="I127" i="38"/>
  <c r="K128" i="38" s="1"/>
  <c r="B122" i="38"/>
  <c r="E121" i="38"/>
  <c r="C121" i="38"/>
  <c r="D121" i="38" s="1"/>
  <c r="M238" i="38" l="1"/>
  <c r="AC237" i="38"/>
  <c r="J128" i="38"/>
  <c r="I128" i="38" s="1"/>
  <c r="K129" i="38" s="1"/>
  <c r="B123" i="38"/>
  <c r="E122" i="38"/>
  <c r="C122" i="38"/>
  <c r="D122" i="38" s="1"/>
  <c r="Q238" i="38" l="1"/>
  <c r="P238" i="38"/>
  <c r="S238" i="38"/>
  <c r="T238" i="38" s="1"/>
  <c r="U238" i="38" s="1"/>
  <c r="J129" i="38"/>
  <c r="I129" i="38"/>
  <c r="K130" i="38" s="1"/>
  <c r="B124" i="38"/>
  <c r="E123" i="38"/>
  <c r="C123" i="38"/>
  <c r="D123" i="38" s="1"/>
  <c r="V238" i="38" l="1"/>
  <c r="J130" i="38"/>
  <c r="I130" i="38" s="1"/>
  <c r="K131" i="38" s="1"/>
  <c r="B125" i="38"/>
  <c r="E124" i="38"/>
  <c r="C124" i="38"/>
  <c r="D124" i="38" s="1"/>
  <c r="M239" i="38" l="1"/>
  <c r="AC238" i="38"/>
  <c r="J131" i="38"/>
  <c r="I131" i="38"/>
  <c r="K132" i="38" s="1"/>
  <c r="B126" i="38"/>
  <c r="E125" i="38"/>
  <c r="C125" i="38"/>
  <c r="D125" i="38" s="1"/>
  <c r="S239" i="38" l="1"/>
  <c r="T239" i="38" s="1"/>
  <c r="U239" i="38" s="1"/>
  <c r="Q239" i="38"/>
  <c r="P239" i="38"/>
  <c r="J132" i="38"/>
  <c r="I132" i="38"/>
  <c r="K133" i="38" s="1"/>
  <c r="B127" i="38"/>
  <c r="E126" i="38"/>
  <c r="C126" i="38"/>
  <c r="D126" i="38" s="1"/>
  <c r="V239" i="38" l="1"/>
  <c r="J133" i="38"/>
  <c r="B128" i="38"/>
  <c r="E127" i="38"/>
  <c r="C127" i="38"/>
  <c r="D127" i="38" s="1"/>
  <c r="M240" i="38" l="1"/>
  <c r="AC239" i="38"/>
  <c r="I133" i="38"/>
  <c r="K134" i="38" s="1"/>
  <c r="B129" i="38"/>
  <c r="E128" i="38"/>
  <c r="C128" i="38"/>
  <c r="D128" i="38" s="1"/>
  <c r="P240" i="38" l="1"/>
  <c r="S240" i="38"/>
  <c r="T240" i="38" s="1"/>
  <c r="U240" i="38" s="1"/>
  <c r="Q240" i="38"/>
  <c r="V240" i="38" s="1"/>
  <c r="J134" i="38"/>
  <c r="I134" i="38" s="1"/>
  <c r="K135" i="38" s="1"/>
  <c r="B130" i="38"/>
  <c r="E129" i="38"/>
  <c r="C129" i="38"/>
  <c r="D129" i="38" s="1"/>
  <c r="AC240" i="38" l="1"/>
  <c r="M241" i="38"/>
  <c r="J135" i="38"/>
  <c r="I135" i="38"/>
  <c r="K136" i="38" s="1"/>
  <c r="B131" i="38"/>
  <c r="E130" i="38"/>
  <c r="C130" i="38"/>
  <c r="D130" i="38" s="1"/>
  <c r="S241" i="38" l="1"/>
  <c r="T241" i="38" s="1"/>
  <c r="U241" i="38" s="1"/>
  <c r="Q241" i="38"/>
  <c r="P241" i="38"/>
  <c r="V241" i="38" s="1"/>
  <c r="J136" i="38"/>
  <c r="I136" i="38" s="1"/>
  <c r="K137" i="38" s="1"/>
  <c r="B132" i="38"/>
  <c r="E131" i="38"/>
  <c r="C131" i="38"/>
  <c r="D131" i="38" s="1"/>
  <c r="M242" i="38" l="1"/>
  <c r="AC241" i="38"/>
  <c r="J137" i="38"/>
  <c r="B133" i="38"/>
  <c r="E132" i="38"/>
  <c r="C132" i="38"/>
  <c r="D132" i="38" s="1"/>
  <c r="V242" i="38" l="1"/>
  <c r="S242" i="38"/>
  <c r="T242" i="38" s="1"/>
  <c r="U242" i="38" s="1"/>
  <c r="Q242" i="38"/>
  <c r="P242" i="38"/>
  <c r="I137" i="38"/>
  <c r="K138" i="38" s="1"/>
  <c r="B134" i="38"/>
  <c r="E133" i="38"/>
  <c r="C133" i="38"/>
  <c r="D133" i="38" s="1"/>
  <c r="M243" i="38" l="1"/>
  <c r="AC242" i="38"/>
  <c r="J138" i="38"/>
  <c r="I138" i="38" s="1"/>
  <c r="B135" i="38"/>
  <c r="E134" i="38"/>
  <c r="C134" i="38"/>
  <c r="D134" i="38" s="1"/>
  <c r="P243" i="38" l="1"/>
  <c r="V243" i="38" s="1"/>
  <c r="Q243" i="38"/>
  <c r="S243" i="38"/>
  <c r="T243" i="38" s="1"/>
  <c r="U243" i="38" s="1"/>
  <c r="K139" i="38"/>
  <c r="J139" i="38"/>
  <c r="I139" i="38" s="1"/>
  <c r="K140" i="38" s="1"/>
  <c r="B136" i="38"/>
  <c r="E135" i="38"/>
  <c r="C135" i="38"/>
  <c r="D135" i="38" s="1"/>
  <c r="AC243" i="38" l="1"/>
  <c r="M244" i="38"/>
  <c r="J140" i="38"/>
  <c r="B137" i="38"/>
  <c r="E136" i="38"/>
  <c r="C136" i="38"/>
  <c r="D136" i="38" s="1"/>
  <c r="Q244" i="38" l="1"/>
  <c r="V244" i="38" s="1"/>
  <c r="P244" i="38"/>
  <c r="S244" i="38"/>
  <c r="T244" i="38" s="1"/>
  <c r="U244" i="38" s="1"/>
  <c r="I140" i="38"/>
  <c r="B138" i="38"/>
  <c r="E137" i="38"/>
  <c r="C137" i="38"/>
  <c r="D137" i="38" s="1"/>
  <c r="AC244" i="38" l="1"/>
  <c r="M245" i="38"/>
  <c r="K141" i="38"/>
  <c r="J141" i="38"/>
  <c r="I141" i="38"/>
  <c r="B139" i="38"/>
  <c r="E138" i="38"/>
  <c r="C138" i="38"/>
  <c r="D138" i="38" s="1"/>
  <c r="P245" i="38" l="1"/>
  <c r="S245" i="38"/>
  <c r="T245" i="38" s="1"/>
  <c r="U245" i="38" s="1"/>
  <c r="Q245" i="38"/>
  <c r="V245" i="38" s="1"/>
  <c r="K142" i="38"/>
  <c r="J142" i="38"/>
  <c r="I142" i="38" s="1"/>
  <c r="K143" i="38" s="1"/>
  <c r="B140" i="38"/>
  <c r="E139" i="38"/>
  <c r="C139" i="38"/>
  <c r="D139" i="38" s="1"/>
  <c r="M246" i="38" l="1"/>
  <c r="AC245" i="38"/>
  <c r="J143" i="38"/>
  <c r="B141" i="38"/>
  <c r="E140" i="38"/>
  <c r="C140" i="38"/>
  <c r="D140" i="38" s="1"/>
  <c r="S246" i="38" l="1"/>
  <c r="T246" i="38" s="1"/>
  <c r="U246" i="38" s="1"/>
  <c r="Q246" i="38"/>
  <c r="P246" i="38"/>
  <c r="I143" i="38"/>
  <c r="E141" i="38"/>
  <c r="B142" i="38"/>
  <c r="C141" i="38"/>
  <c r="D141" i="38" s="1"/>
  <c r="V246" i="38" l="1"/>
  <c r="K144" i="38"/>
  <c r="J144" i="38"/>
  <c r="B143" i="38"/>
  <c r="E142" i="38"/>
  <c r="C142" i="38"/>
  <c r="D142" i="38" s="1"/>
  <c r="M247" i="38" l="1"/>
  <c r="AC246" i="38"/>
  <c r="I144" i="38"/>
  <c r="E143" i="38"/>
  <c r="B144" i="38"/>
  <c r="C143" i="38"/>
  <c r="D143" i="38" s="1"/>
  <c r="Q247" i="38" l="1"/>
  <c r="P247" i="38"/>
  <c r="V247" i="38" s="1"/>
  <c r="S247" i="38"/>
  <c r="T247" i="38" s="1"/>
  <c r="U247" i="38" s="1"/>
  <c r="K145" i="38"/>
  <c r="J145" i="38"/>
  <c r="I145" i="38" s="1"/>
  <c r="B145" i="38"/>
  <c r="E144" i="38"/>
  <c r="C144" i="38"/>
  <c r="D144" i="38" s="1"/>
  <c r="M248" i="38" l="1"/>
  <c r="AC247" i="38"/>
  <c r="K146" i="38"/>
  <c r="J146" i="38"/>
  <c r="I146" i="38" s="1"/>
  <c r="K147" i="38" s="1"/>
  <c r="E145" i="38"/>
  <c r="B146" i="38"/>
  <c r="C145" i="38"/>
  <c r="D145" i="38" s="1"/>
  <c r="S248" i="38" l="1"/>
  <c r="T248" i="38" s="1"/>
  <c r="U248" i="38" s="1"/>
  <c r="Q248" i="38"/>
  <c r="P248" i="38"/>
  <c r="V248" i="38" s="1"/>
  <c r="J147" i="38"/>
  <c r="I147" i="38"/>
  <c r="K148" i="38" s="1"/>
  <c r="B147" i="38"/>
  <c r="E146" i="38"/>
  <c r="C146" i="38"/>
  <c r="D146" i="38" s="1"/>
  <c r="M249" i="38" l="1"/>
  <c r="AC248" i="38"/>
  <c r="J148" i="38"/>
  <c r="I148" i="38" s="1"/>
  <c r="K149" i="38" s="1"/>
  <c r="E147" i="38"/>
  <c r="B148" i="38"/>
  <c r="C147" i="38"/>
  <c r="D147" i="38" s="1"/>
  <c r="P249" i="38" l="1"/>
  <c r="S249" i="38"/>
  <c r="T249" i="38" s="1"/>
  <c r="U249" i="38" s="1"/>
  <c r="Q249" i="38"/>
  <c r="J149" i="38"/>
  <c r="I149" i="38" s="1"/>
  <c r="K150" i="38" s="1"/>
  <c r="B149" i="38"/>
  <c r="E148" i="38"/>
  <c r="C148" i="38"/>
  <c r="D148" i="38" s="1"/>
  <c r="V249" i="38" l="1"/>
  <c r="J150" i="38"/>
  <c r="I150" i="38"/>
  <c r="E149" i="38"/>
  <c r="B150" i="38"/>
  <c r="C149" i="38"/>
  <c r="D149" i="38" s="1"/>
  <c r="AC249" i="38" l="1"/>
  <c r="M250" i="38"/>
  <c r="K151" i="38"/>
  <c r="J151" i="38"/>
  <c r="B151" i="38"/>
  <c r="E150" i="38"/>
  <c r="C150" i="38"/>
  <c r="D150" i="38" s="1"/>
  <c r="S250" i="38" l="1"/>
  <c r="T250" i="38" s="1"/>
  <c r="U250" i="38" s="1"/>
  <c r="Q250" i="38"/>
  <c r="P250" i="38"/>
  <c r="V250" i="38" s="1"/>
  <c r="I151" i="38"/>
  <c r="E151" i="38"/>
  <c r="B152" i="38"/>
  <c r="C151" i="38"/>
  <c r="D151" i="38" s="1"/>
  <c r="M251" i="38" l="1"/>
  <c r="AC250" i="38"/>
  <c r="K152" i="38"/>
  <c r="J152" i="38"/>
  <c r="I152" i="38" s="1"/>
  <c r="K153" i="38" s="1"/>
  <c r="E152" i="38"/>
  <c r="B153" i="38"/>
  <c r="C152" i="38"/>
  <c r="D152" i="38" s="1"/>
  <c r="Q251" i="38" l="1"/>
  <c r="V251" i="38" s="1"/>
  <c r="S251" i="38"/>
  <c r="T251" i="38" s="1"/>
  <c r="U251" i="38" s="1"/>
  <c r="P251" i="38"/>
  <c r="J153" i="38"/>
  <c r="I153" i="38" s="1"/>
  <c r="J154" i="38" s="1"/>
  <c r="E153" i="38"/>
  <c r="B154" i="38"/>
  <c r="C153" i="38"/>
  <c r="D153" i="38" s="1"/>
  <c r="M252" i="38" l="1"/>
  <c r="AC251" i="38"/>
  <c r="K154" i="38"/>
  <c r="I154" i="38"/>
  <c r="E154" i="38"/>
  <c r="B155" i="38"/>
  <c r="C154" i="38"/>
  <c r="D154" i="38" s="1"/>
  <c r="P252" i="38" l="1"/>
  <c r="S252" i="38"/>
  <c r="T252" i="38" s="1"/>
  <c r="U252" i="38" s="1"/>
  <c r="Q252" i="38"/>
  <c r="K155" i="38"/>
  <c r="J155" i="38"/>
  <c r="E155" i="38"/>
  <c r="B156" i="38"/>
  <c r="C155" i="38"/>
  <c r="D155" i="38" s="1"/>
  <c r="V252" i="38" l="1"/>
  <c r="I155" i="38"/>
  <c r="E156" i="38"/>
  <c r="B157" i="38"/>
  <c r="C156" i="38"/>
  <c r="D156" i="38" s="1"/>
  <c r="AC252" i="38" l="1"/>
  <c r="M253" i="38"/>
  <c r="K156" i="38"/>
  <c r="J156" i="38"/>
  <c r="E157" i="38"/>
  <c r="B158" i="38"/>
  <c r="C157" i="38"/>
  <c r="D157" i="38" s="1"/>
  <c r="S253" i="38" l="1"/>
  <c r="T253" i="38" s="1"/>
  <c r="U253" i="38" s="1"/>
  <c r="Q253" i="38"/>
  <c r="P253" i="38"/>
  <c r="V253" i="38" s="1"/>
  <c r="I156" i="38"/>
  <c r="J157" i="38"/>
  <c r="E158" i="38"/>
  <c r="B159" i="38"/>
  <c r="C158" i="38"/>
  <c r="D158" i="38" s="1"/>
  <c r="AC253" i="38" l="1"/>
  <c r="M254" i="38"/>
  <c r="K157" i="38"/>
  <c r="I157" i="38"/>
  <c r="E159" i="38"/>
  <c r="B160" i="38"/>
  <c r="C159" i="38"/>
  <c r="D159" i="38" s="1"/>
  <c r="Q254" i="38" l="1"/>
  <c r="S254" i="38"/>
  <c r="T254" i="38" s="1"/>
  <c r="U254" i="38" s="1"/>
  <c r="P254" i="38"/>
  <c r="J158" i="38"/>
  <c r="K158" i="38"/>
  <c r="I158" i="38"/>
  <c r="E160" i="38"/>
  <c r="B161" i="38"/>
  <c r="C160" i="38"/>
  <c r="D160" i="38" s="1"/>
  <c r="V254" i="38" l="1"/>
  <c r="K159" i="38"/>
  <c r="J159" i="38"/>
  <c r="I159" i="38" s="1"/>
  <c r="E161" i="38"/>
  <c r="B162" i="38"/>
  <c r="C161" i="38"/>
  <c r="D161" i="38" s="1"/>
  <c r="M255" i="38" l="1"/>
  <c r="AC254" i="38"/>
  <c r="K160" i="38"/>
  <c r="J160" i="38"/>
  <c r="E162" i="38"/>
  <c r="B163" i="38"/>
  <c r="C162" i="38"/>
  <c r="D162" i="38" s="1"/>
  <c r="S255" i="38" l="1"/>
  <c r="T255" i="38" s="1"/>
  <c r="U255" i="38" s="1"/>
  <c r="Q255" i="38"/>
  <c r="P255" i="38"/>
  <c r="I160" i="38"/>
  <c r="E163" i="38"/>
  <c r="B164" i="38"/>
  <c r="C163" i="38"/>
  <c r="D163" i="38" s="1"/>
  <c r="V255" i="38" l="1"/>
  <c r="K161" i="38"/>
  <c r="J161" i="38"/>
  <c r="E164" i="38"/>
  <c r="B165" i="38"/>
  <c r="C164" i="38"/>
  <c r="D164" i="38" s="1"/>
  <c r="AC255" i="38" l="1"/>
  <c r="M256" i="38"/>
  <c r="I161" i="38"/>
  <c r="K162" i="38" s="1"/>
  <c r="E165" i="38"/>
  <c r="B166" i="38"/>
  <c r="C165" i="38"/>
  <c r="D165" i="38" s="1"/>
  <c r="S256" i="38" l="1"/>
  <c r="T256" i="38" s="1"/>
  <c r="U256" i="38" s="1"/>
  <c r="Q256" i="38"/>
  <c r="P256" i="38"/>
  <c r="V256" i="38" s="1"/>
  <c r="J162" i="38"/>
  <c r="I162" i="38" s="1"/>
  <c r="E166" i="38"/>
  <c r="B167" i="38"/>
  <c r="C166" i="38"/>
  <c r="D166" i="38" s="1"/>
  <c r="M257" i="38" l="1"/>
  <c r="AC256" i="38"/>
  <c r="K163" i="38"/>
  <c r="J163" i="38"/>
  <c r="I163" i="38" s="1"/>
  <c r="K164" i="38" s="1"/>
  <c r="E167" i="38"/>
  <c r="B168" i="38"/>
  <c r="C167" i="38"/>
  <c r="D167" i="38" s="1"/>
  <c r="Q257" i="38" l="1"/>
  <c r="S257" i="38"/>
  <c r="T257" i="38" s="1"/>
  <c r="U257" i="38" s="1"/>
  <c r="P257" i="38"/>
  <c r="V257" i="38" s="1"/>
  <c r="J164" i="38"/>
  <c r="E168" i="38"/>
  <c r="B169" i="38"/>
  <c r="C168" i="38"/>
  <c r="D168" i="38" s="1"/>
  <c r="M258" i="38" l="1"/>
  <c r="AC257" i="38"/>
  <c r="I164" i="38"/>
  <c r="E169" i="38"/>
  <c r="B170" i="38"/>
  <c r="C169" i="38"/>
  <c r="D169" i="38" s="1"/>
  <c r="S258" i="38" l="1"/>
  <c r="T258" i="38" s="1"/>
  <c r="U258" i="38" s="1"/>
  <c r="P258" i="38"/>
  <c r="Q258" i="38"/>
  <c r="K165" i="38"/>
  <c r="J165" i="38"/>
  <c r="I165" i="38" s="1"/>
  <c r="K166" i="38" s="1"/>
  <c r="E170" i="38"/>
  <c r="B171" i="38"/>
  <c r="C170" i="38"/>
  <c r="D170" i="38" s="1"/>
  <c r="V258" i="38" l="1"/>
  <c r="J166" i="38"/>
  <c r="I166" i="38" s="1"/>
  <c r="E171" i="38"/>
  <c r="B172" i="38"/>
  <c r="C171" i="38"/>
  <c r="D171" i="38" s="1"/>
  <c r="M259" i="38" l="1"/>
  <c r="AC258" i="38"/>
  <c r="J167" i="38"/>
  <c r="K167" i="38"/>
  <c r="I167" i="38" s="1"/>
  <c r="K168" i="38" s="1"/>
  <c r="E172" i="38"/>
  <c r="B173" i="38"/>
  <c r="C172" i="38"/>
  <c r="D172" i="38" s="1"/>
  <c r="Q259" i="38" l="1"/>
  <c r="Q3" i="38" s="1"/>
  <c r="S259" i="38"/>
  <c r="T259" i="38" s="1"/>
  <c r="U259" i="38" s="1"/>
  <c r="V259" i="38"/>
  <c r="AC259" i="38" s="1"/>
  <c r="P259" i="38"/>
  <c r="P3" i="38" s="1"/>
  <c r="J168" i="38"/>
  <c r="E173" i="38"/>
  <c r="B174" i="38"/>
  <c r="C173" i="38"/>
  <c r="D173" i="38" s="1"/>
  <c r="I168" i="38" l="1"/>
  <c r="K169" i="38" s="1"/>
  <c r="E174" i="38"/>
  <c r="B175" i="38"/>
  <c r="C174" i="38"/>
  <c r="D174" i="38" s="1"/>
  <c r="J169" i="38" l="1"/>
  <c r="E175" i="38"/>
  <c r="B176" i="38"/>
  <c r="C175" i="38"/>
  <c r="D175" i="38" s="1"/>
  <c r="I169" i="38" l="1"/>
  <c r="K170" i="38" s="1"/>
  <c r="E176" i="38"/>
  <c r="B177" i="38"/>
  <c r="C176" i="38"/>
  <c r="D176" i="38" s="1"/>
  <c r="J170" i="38" l="1"/>
  <c r="E177" i="38"/>
  <c r="B178" i="38"/>
  <c r="C177" i="38"/>
  <c r="D177" i="38" s="1"/>
  <c r="I170" i="38" l="1"/>
  <c r="K171" i="38" s="1"/>
  <c r="E178" i="38"/>
  <c r="B179" i="38"/>
  <c r="C178" i="38"/>
  <c r="D178" i="38" s="1"/>
  <c r="J171" i="38" l="1"/>
  <c r="I171" i="38" s="1"/>
  <c r="K172" i="38" s="1"/>
  <c r="E179" i="38"/>
  <c r="B180" i="38"/>
  <c r="C179" i="38"/>
  <c r="D179" i="38" s="1"/>
  <c r="J172" i="38" l="1"/>
  <c r="E180" i="38"/>
  <c r="B181" i="38"/>
  <c r="C180" i="38"/>
  <c r="D180" i="38" s="1"/>
  <c r="I172" i="38" l="1"/>
  <c r="E181" i="38"/>
  <c r="B182" i="38"/>
  <c r="C181" i="38"/>
  <c r="D181" i="38" s="1"/>
  <c r="K173" i="38" l="1"/>
  <c r="J173" i="38"/>
  <c r="E182" i="38"/>
  <c r="B183" i="38"/>
  <c r="C182" i="38"/>
  <c r="D182" i="38" s="1"/>
  <c r="I173" i="38" l="1"/>
  <c r="K174" i="38" s="1"/>
  <c r="E183" i="38"/>
  <c r="B184" i="38"/>
  <c r="C183" i="38"/>
  <c r="D183" i="38" s="1"/>
  <c r="J174" i="38" l="1"/>
  <c r="I174" i="38" s="1"/>
  <c r="E184" i="38"/>
  <c r="B185" i="38"/>
  <c r="C184" i="38"/>
  <c r="D184" i="38" s="1"/>
  <c r="J175" i="38" l="1"/>
  <c r="K175" i="38"/>
  <c r="E185" i="38"/>
  <c r="B186" i="38"/>
  <c r="C185" i="38"/>
  <c r="D185" i="38" s="1"/>
  <c r="I175" i="38" l="1"/>
  <c r="E186" i="38"/>
  <c r="B187" i="38"/>
  <c r="C186" i="38"/>
  <c r="D186" i="38" s="1"/>
  <c r="K176" i="38" l="1"/>
  <c r="J176" i="38"/>
  <c r="I176" i="38" s="1"/>
  <c r="E187" i="38"/>
  <c r="B188" i="38"/>
  <c r="C187" i="38"/>
  <c r="D187" i="38" s="1"/>
  <c r="K177" i="38" l="1"/>
  <c r="J177" i="38"/>
  <c r="I177" i="38" s="1"/>
  <c r="E188" i="38"/>
  <c r="B189" i="38"/>
  <c r="C188" i="38"/>
  <c r="D188" i="38" s="1"/>
  <c r="K178" i="38" l="1"/>
  <c r="J178" i="38"/>
  <c r="I178" i="38" s="1"/>
  <c r="B190" i="38"/>
  <c r="E189" i="38"/>
  <c r="C189" i="38"/>
  <c r="D189" i="38" s="1"/>
  <c r="K179" i="38" l="1"/>
  <c r="J179" i="38"/>
  <c r="I179" i="38" s="1"/>
  <c r="B191" i="38"/>
  <c r="E190" i="38"/>
  <c r="C190" i="38"/>
  <c r="D190" i="38" s="1"/>
  <c r="K180" i="38" l="1"/>
  <c r="J180" i="38"/>
  <c r="I180" i="38"/>
  <c r="E191" i="38"/>
  <c r="B192" i="38"/>
  <c r="C191" i="38"/>
  <c r="D191" i="38" s="1"/>
  <c r="K181" i="38" l="1"/>
  <c r="J181" i="38"/>
  <c r="I181" i="38"/>
  <c r="E192" i="38"/>
  <c r="B193" i="38"/>
  <c r="C192" i="38"/>
  <c r="D192" i="38" s="1"/>
  <c r="K182" i="38" l="1"/>
  <c r="J182" i="38"/>
  <c r="I182" i="38" s="1"/>
  <c r="J183" i="38"/>
  <c r="B194" i="38"/>
  <c r="E193" i="38"/>
  <c r="C193" i="38"/>
  <c r="D193" i="38" s="1"/>
  <c r="K183" i="38" l="1"/>
  <c r="I183" i="38"/>
  <c r="K184" i="38" s="1"/>
  <c r="B195" i="38"/>
  <c r="E194" i="38"/>
  <c r="C194" i="38"/>
  <c r="D194" i="38" s="1"/>
  <c r="J184" i="38" l="1"/>
  <c r="I184" i="38"/>
  <c r="E195" i="38"/>
  <c r="B196" i="38"/>
  <c r="C195" i="38"/>
  <c r="D195" i="38" s="1"/>
  <c r="K185" i="38" l="1"/>
  <c r="J185" i="38"/>
  <c r="I185" i="38" s="1"/>
  <c r="E196" i="38"/>
  <c r="B197" i="38"/>
  <c r="C196" i="38"/>
  <c r="D196" i="38" s="1"/>
  <c r="K186" i="38" l="1"/>
  <c r="J186" i="38"/>
  <c r="I186" i="38" s="1"/>
  <c r="B198" i="38"/>
  <c r="E197" i="38"/>
  <c r="C197" i="38"/>
  <c r="D197" i="38" s="1"/>
  <c r="K187" i="38" l="1"/>
  <c r="J187" i="38"/>
  <c r="I187" i="38" s="1"/>
  <c r="J188" i="38"/>
  <c r="B199" i="38"/>
  <c r="E198" i="38"/>
  <c r="C198" i="38"/>
  <c r="D198" i="38" s="1"/>
  <c r="K188" i="38" l="1"/>
  <c r="I188" i="38" s="1"/>
  <c r="E199" i="38"/>
  <c r="B200" i="38"/>
  <c r="C199" i="38"/>
  <c r="D199" i="38" s="1"/>
  <c r="J189" i="38" l="1"/>
  <c r="K189" i="38"/>
  <c r="I189" i="38"/>
  <c r="E200" i="38"/>
  <c r="B201" i="38"/>
  <c r="C200" i="38"/>
  <c r="D200" i="38" s="1"/>
  <c r="J190" i="38" l="1"/>
  <c r="K190" i="38" s="1"/>
  <c r="I190" i="38" s="1"/>
  <c r="B202" i="38"/>
  <c r="E201" i="38"/>
  <c r="C201" i="38"/>
  <c r="D201" i="38" s="1"/>
  <c r="K191" i="38" l="1"/>
  <c r="J191" i="38"/>
  <c r="I191" i="38"/>
  <c r="B203" i="38"/>
  <c r="E202" i="38"/>
  <c r="C202" i="38"/>
  <c r="D202" i="38" s="1"/>
  <c r="J192" i="38" l="1"/>
  <c r="K192" i="38" s="1"/>
  <c r="E203" i="38"/>
  <c r="B204" i="38"/>
  <c r="C203" i="38"/>
  <c r="D203" i="38" s="1"/>
  <c r="I192" i="38" l="1"/>
  <c r="E204" i="38"/>
  <c r="B205" i="38"/>
  <c r="C204" i="38"/>
  <c r="D204" i="38" s="1"/>
  <c r="K193" i="38" l="1"/>
  <c r="J193" i="38"/>
  <c r="B206" i="38"/>
  <c r="E205" i="38"/>
  <c r="C205" i="38"/>
  <c r="D205" i="38" s="1"/>
  <c r="I193" i="38" l="1"/>
  <c r="J194" i="38"/>
  <c r="B207" i="38"/>
  <c r="E206" i="38"/>
  <c r="C206" i="38"/>
  <c r="D206" i="38" s="1"/>
  <c r="K194" i="38" l="1"/>
  <c r="I194" i="38"/>
  <c r="E207" i="38"/>
  <c r="B208" i="38"/>
  <c r="C207" i="38"/>
  <c r="D207" i="38" s="1"/>
  <c r="J195" i="38" l="1"/>
  <c r="E208" i="38"/>
  <c r="B209" i="38"/>
  <c r="C208" i="38"/>
  <c r="D208" i="38" s="1"/>
  <c r="K195" i="38" l="1"/>
  <c r="I195" i="38" s="1"/>
  <c r="B210" i="38"/>
  <c r="E209" i="38"/>
  <c r="C209" i="38"/>
  <c r="D209" i="38" s="1"/>
  <c r="J196" i="38" l="1"/>
  <c r="B211" i="38"/>
  <c r="E210" i="38"/>
  <c r="C210" i="38"/>
  <c r="D210" i="38" s="1"/>
  <c r="K196" i="38" l="1"/>
  <c r="I196" i="38" s="1"/>
  <c r="E211" i="38"/>
  <c r="B212" i="38"/>
  <c r="C211" i="38"/>
  <c r="D211" i="38" s="1"/>
  <c r="J197" i="38" l="1"/>
  <c r="E212" i="38"/>
  <c r="B213" i="38"/>
  <c r="C212" i="38"/>
  <c r="D212" i="38" s="1"/>
  <c r="K197" i="38" l="1"/>
  <c r="I197" i="38" s="1"/>
  <c r="B214" i="38"/>
  <c r="E213" i="38"/>
  <c r="C213" i="38"/>
  <c r="D213" i="38" s="1"/>
  <c r="J198" i="38" l="1"/>
  <c r="K198" i="38" s="1"/>
  <c r="B215" i="38"/>
  <c r="E214" i="38"/>
  <c r="C214" i="38"/>
  <c r="D214" i="38" s="1"/>
  <c r="I198" i="38" l="1"/>
  <c r="E215" i="38"/>
  <c r="B216" i="38"/>
  <c r="C215" i="38"/>
  <c r="D215" i="38" s="1"/>
  <c r="K199" i="38" l="1"/>
  <c r="I199" i="38" s="1"/>
  <c r="J199" i="38"/>
  <c r="E216" i="38"/>
  <c r="B217" i="38"/>
  <c r="C216" i="38"/>
  <c r="D216" i="38" s="1"/>
  <c r="J200" i="38" l="1"/>
  <c r="K200" i="38" s="1"/>
  <c r="I200" i="38" s="1"/>
  <c r="B218" i="38"/>
  <c r="E217" i="38"/>
  <c r="C217" i="38"/>
  <c r="D217" i="38" s="1"/>
  <c r="K201" i="38" l="1"/>
  <c r="J201" i="38"/>
  <c r="I201" i="38"/>
  <c r="B219" i="38"/>
  <c r="E218" i="38"/>
  <c r="C218" i="38"/>
  <c r="D218" i="38" s="1"/>
  <c r="J202" i="38" l="1"/>
  <c r="K202" i="38" s="1"/>
  <c r="I202" i="38" s="1"/>
  <c r="E219" i="38"/>
  <c r="B220" i="38"/>
  <c r="C219" i="38"/>
  <c r="D219" i="38" s="1"/>
  <c r="J203" i="38" l="1"/>
  <c r="K203" i="38" s="1"/>
  <c r="E220" i="38"/>
  <c r="B221" i="38"/>
  <c r="C220" i="38"/>
  <c r="D220" i="38" s="1"/>
  <c r="I203" i="38" l="1"/>
  <c r="B222" i="38"/>
  <c r="E221" i="38"/>
  <c r="C221" i="38"/>
  <c r="D221" i="38" s="1"/>
  <c r="J204" i="38" l="1"/>
  <c r="K204" i="38" s="1"/>
  <c r="B223" i="38"/>
  <c r="E222" i="38"/>
  <c r="C222" i="38"/>
  <c r="D222" i="38" s="1"/>
  <c r="I204" i="38" l="1"/>
  <c r="E223" i="38"/>
  <c r="B224" i="38"/>
  <c r="C223" i="38"/>
  <c r="D223" i="38" s="1"/>
  <c r="J205" i="38" l="1"/>
  <c r="K205" i="38" s="1"/>
  <c r="I205" i="38" s="1"/>
  <c r="E224" i="38"/>
  <c r="B225" i="38"/>
  <c r="C224" i="38"/>
  <c r="D224" i="38" s="1"/>
  <c r="J206" i="38" l="1"/>
  <c r="K206" i="38" s="1"/>
  <c r="B226" i="38"/>
  <c r="E225" i="38"/>
  <c r="C225" i="38"/>
  <c r="D225" i="38" s="1"/>
  <c r="I206" i="38" l="1"/>
  <c r="B227" i="38"/>
  <c r="E226" i="38"/>
  <c r="C226" i="38"/>
  <c r="D226" i="38" s="1"/>
  <c r="J207" i="38" l="1"/>
  <c r="K207" i="38" s="1"/>
  <c r="E227" i="38"/>
  <c r="B228" i="38"/>
  <c r="C227" i="38"/>
  <c r="D227" i="38" s="1"/>
  <c r="I207" i="38" l="1"/>
  <c r="E228" i="38"/>
  <c r="B229" i="38"/>
  <c r="C228" i="38"/>
  <c r="D228" i="38" s="1"/>
  <c r="J208" i="38" l="1"/>
  <c r="B230" i="38"/>
  <c r="E229" i="38"/>
  <c r="C229" i="38"/>
  <c r="D229" i="38" s="1"/>
  <c r="K208" i="38" l="1"/>
  <c r="I208" i="38" s="1"/>
  <c r="B231" i="38"/>
  <c r="E230" i="38"/>
  <c r="C230" i="38"/>
  <c r="D230" i="38" s="1"/>
  <c r="J209" i="38" l="1"/>
  <c r="E231" i="38"/>
  <c r="B232" i="38"/>
  <c r="C231" i="38"/>
  <c r="D231" i="38" s="1"/>
  <c r="K209" i="38" l="1"/>
  <c r="I209" i="38" s="1"/>
  <c r="E232" i="38"/>
  <c r="B233" i="38"/>
  <c r="C232" i="38"/>
  <c r="D232" i="38" s="1"/>
  <c r="J210" i="38" l="1"/>
  <c r="K210" i="38" s="1"/>
  <c r="B234" i="38"/>
  <c r="E233" i="38"/>
  <c r="C233" i="38"/>
  <c r="D233" i="38" s="1"/>
  <c r="I210" i="38" l="1"/>
  <c r="B235" i="38"/>
  <c r="E234" i="38"/>
  <c r="C234" i="38"/>
  <c r="D234" i="38" s="1"/>
  <c r="J211" i="38" l="1"/>
  <c r="K211" i="38" s="1"/>
  <c r="B236" i="38"/>
  <c r="E235" i="38"/>
  <c r="C235" i="38"/>
  <c r="D235" i="38" s="1"/>
  <c r="I211" i="38" l="1"/>
  <c r="B237" i="38"/>
  <c r="E236" i="38"/>
  <c r="C236" i="38"/>
  <c r="D236" i="38" s="1"/>
  <c r="J212" i="38" l="1"/>
  <c r="E237" i="38"/>
  <c r="B238" i="38"/>
  <c r="C237" i="38"/>
  <c r="D237" i="38" s="1"/>
  <c r="K212" i="38" l="1"/>
  <c r="I212" i="38" s="1"/>
  <c r="E238" i="38"/>
  <c r="B239" i="38"/>
  <c r="C238" i="38"/>
  <c r="D238" i="38" s="1"/>
  <c r="J213" i="38" l="1"/>
  <c r="K213" i="38" s="1"/>
  <c r="B240" i="38"/>
  <c r="E239" i="38"/>
  <c r="C239" i="38"/>
  <c r="D239" i="38" s="1"/>
  <c r="I213" i="38" l="1"/>
  <c r="B241" i="38"/>
  <c r="E240" i="38"/>
  <c r="C240" i="38"/>
  <c r="D240" i="38" s="1"/>
  <c r="J214" i="38" l="1"/>
  <c r="K214" i="38" s="1"/>
  <c r="I214" i="38" s="1"/>
  <c r="E241" i="38"/>
  <c r="B242" i="38"/>
  <c r="C241" i="38"/>
  <c r="D241" i="38" s="1"/>
  <c r="J215" i="38" l="1"/>
  <c r="K215" i="38" s="1"/>
  <c r="I215" i="38" s="1"/>
  <c r="E242" i="38"/>
  <c r="B243" i="38"/>
  <c r="C242" i="38"/>
  <c r="D242" i="38" s="1"/>
  <c r="J216" i="38" l="1"/>
  <c r="K216" i="38" s="1"/>
  <c r="I216" i="38" s="1"/>
  <c r="B244" i="38"/>
  <c r="E243" i="38"/>
  <c r="C243" i="38"/>
  <c r="D243" i="38" s="1"/>
  <c r="J217" i="38" l="1"/>
  <c r="K217" i="38" s="1"/>
  <c r="I217" i="38" s="1"/>
  <c r="B245" i="38"/>
  <c r="E244" i="38"/>
  <c r="C244" i="38"/>
  <c r="D244" i="38" s="1"/>
  <c r="J218" i="38" l="1"/>
  <c r="E245" i="38"/>
  <c r="B246" i="38"/>
  <c r="C245" i="38"/>
  <c r="D245" i="38" s="1"/>
  <c r="K218" i="38" l="1"/>
  <c r="I218" i="38" s="1"/>
  <c r="E246" i="38"/>
  <c r="B247" i="38"/>
  <c r="C246" i="38"/>
  <c r="D246" i="38" s="1"/>
  <c r="J219" i="38" l="1"/>
  <c r="B248" i="38"/>
  <c r="E247" i="38"/>
  <c r="C247" i="38"/>
  <c r="D247" i="38" s="1"/>
  <c r="K219" i="38" l="1"/>
  <c r="I219" i="38" s="1"/>
  <c r="B249" i="38"/>
  <c r="E248" i="38"/>
  <c r="C248" i="38"/>
  <c r="D248" i="38" s="1"/>
  <c r="J220" i="38" l="1"/>
  <c r="K220" i="38" s="1"/>
  <c r="I220" i="38" s="1"/>
  <c r="E249" i="38"/>
  <c r="B250" i="38"/>
  <c r="C249" i="38"/>
  <c r="D249" i="38" s="1"/>
  <c r="J221" i="38" l="1"/>
  <c r="E250" i="38"/>
  <c r="B251" i="38"/>
  <c r="C250" i="38"/>
  <c r="D250" i="38" s="1"/>
  <c r="K221" i="38" l="1"/>
  <c r="I221" i="38" s="1"/>
  <c r="B252" i="38"/>
  <c r="E251" i="38"/>
  <c r="C251" i="38"/>
  <c r="D251" i="38" s="1"/>
  <c r="J222" i="38" l="1"/>
  <c r="K222" i="38" s="1"/>
  <c r="B253" i="38"/>
  <c r="E252" i="38"/>
  <c r="C252" i="38"/>
  <c r="D252" i="38" s="1"/>
  <c r="I222" i="38" l="1"/>
  <c r="E253" i="38"/>
  <c r="B254" i="38"/>
  <c r="C253" i="38"/>
  <c r="D253" i="38" s="1"/>
  <c r="J223" i="38" l="1"/>
  <c r="E254" i="38"/>
  <c r="B255" i="38"/>
  <c r="C254" i="38"/>
  <c r="D254" i="38" s="1"/>
  <c r="K223" i="38" l="1"/>
  <c r="I223" i="38" s="1"/>
  <c r="B256" i="38"/>
  <c r="E255" i="38"/>
  <c r="C255" i="38"/>
  <c r="D255" i="38" s="1"/>
  <c r="J224" i="38" l="1"/>
  <c r="K224" i="38" s="1"/>
  <c r="B257" i="38"/>
  <c r="E256" i="38"/>
  <c r="C256" i="38"/>
  <c r="D256" i="38" s="1"/>
  <c r="I224" i="38" l="1"/>
  <c r="E257" i="38"/>
  <c r="B258" i="38"/>
  <c r="C257" i="38"/>
  <c r="D257" i="38" s="1"/>
  <c r="J225" i="38" l="1"/>
  <c r="K225" i="38" s="1"/>
  <c r="I225" i="38" s="1"/>
  <c r="E258" i="38"/>
  <c r="B259" i="38"/>
  <c r="C258" i="38"/>
  <c r="D258" i="38" s="1"/>
  <c r="J226" i="38" l="1"/>
  <c r="K226" i="38" s="1"/>
  <c r="I226" i="38" s="1"/>
  <c r="X3" i="38"/>
  <c r="E259" i="38"/>
  <c r="C259" i="38"/>
  <c r="D259" i="38" s="1"/>
  <c r="J227" i="38" l="1"/>
  <c r="K227" i="38" s="1"/>
  <c r="I227" i="38" s="1"/>
  <c r="Y3" i="38"/>
  <c r="J228" i="38" l="1"/>
  <c r="K228" i="38" s="1"/>
  <c r="I228" i="38" s="1"/>
  <c r="O3" i="38"/>
  <c r="J229" i="38" l="1"/>
  <c r="K229" i="38" s="1"/>
  <c r="I229" i="38" s="1"/>
  <c r="AL69" i="38"/>
  <c r="AL57" i="38"/>
  <c r="AL81" i="38"/>
  <c r="AL93" i="38"/>
  <c r="AL21" i="38"/>
  <c r="AL33" i="38"/>
  <c r="AL8" i="38"/>
  <c r="AL105" i="38"/>
  <c r="AL117" i="38"/>
  <c r="AL45" i="38"/>
  <c r="J230" i="38" l="1"/>
  <c r="AL118" i="38"/>
  <c r="AL94" i="38"/>
  <c r="AL9" i="38"/>
  <c r="AL82" i="38"/>
  <c r="AL70" i="38"/>
  <c r="AL34" i="38"/>
  <c r="AL22" i="38"/>
  <c r="AL46" i="38"/>
  <c r="AL106" i="38"/>
  <c r="AL58" i="38"/>
  <c r="K230" i="38" l="1"/>
  <c r="I230" i="38" s="1"/>
  <c r="AL71" i="38"/>
  <c r="AL47" i="38"/>
  <c r="AL83" i="38"/>
  <c r="AL107" i="38"/>
  <c r="AL35" i="38"/>
  <c r="AL119" i="38"/>
  <c r="AL95" i="38"/>
  <c r="AL59" i="38"/>
  <c r="AL23" i="38"/>
  <c r="AL10" i="38"/>
  <c r="J231" i="38" l="1"/>
  <c r="AL72" i="38"/>
  <c r="AL60" i="38"/>
  <c r="AL36" i="38"/>
  <c r="AL84" i="38"/>
  <c r="AL48" i="38"/>
  <c r="AL11" i="38"/>
  <c r="AL96" i="38"/>
  <c r="AL120" i="38"/>
  <c r="AL108" i="38"/>
  <c r="AL24" i="38"/>
  <c r="K231" i="38" l="1"/>
  <c r="I231" i="38" s="1"/>
  <c r="AL25" i="38"/>
  <c r="AL12" i="38"/>
  <c r="AL61" i="38"/>
  <c r="AL109" i="38"/>
  <c r="AL73" i="38"/>
  <c r="AL49" i="38"/>
  <c r="AL97" i="38"/>
  <c r="AL121" i="38"/>
  <c r="AL85" i="38"/>
  <c r="AL37" i="38"/>
  <c r="J232" i="38" l="1"/>
  <c r="K232" i="38" s="1"/>
  <c r="I232" i="38" s="1"/>
  <c r="AL110" i="38"/>
  <c r="AL74" i="38"/>
  <c r="AL26" i="38"/>
  <c r="AL13" i="38"/>
  <c r="AL86" i="38"/>
  <c r="AL50" i="38"/>
  <c r="AL98" i="38"/>
  <c r="AL62" i="38"/>
  <c r="AL38" i="38"/>
  <c r="AL122" i="38"/>
  <c r="J233" i="38" l="1"/>
  <c r="AL63" i="38"/>
  <c r="AL27" i="38"/>
  <c r="AL51" i="38"/>
  <c r="AL75" i="38"/>
  <c r="AL39" i="38"/>
  <c r="AL87" i="38"/>
  <c r="AL111" i="38"/>
  <c r="AL123" i="38"/>
  <c r="AL99" i="38"/>
  <c r="AL14" i="38"/>
  <c r="K233" i="38" l="1"/>
  <c r="I233" i="38" s="1"/>
  <c r="AL100" i="38"/>
  <c r="AL88" i="38"/>
  <c r="AL28" i="38"/>
  <c r="AL112" i="38"/>
  <c r="AL52" i="38"/>
  <c r="AL15" i="38"/>
  <c r="AL76" i="38"/>
  <c r="AL40" i="38"/>
  <c r="AL124" i="38"/>
  <c r="AL64" i="38"/>
  <c r="J234" i="38" l="1"/>
  <c r="K234" i="38" s="1"/>
  <c r="AL41" i="38"/>
  <c r="AL16" i="38"/>
  <c r="AL89" i="38"/>
  <c r="AL65" i="38"/>
  <c r="AL125" i="38"/>
  <c r="AL129" i="38"/>
  <c r="AL101" i="38"/>
  <c r="AL77" i="38"/>
  <c r="AL113" i="38"/>
  <c r="AL53" i="38"/>
  <c r="AL29" i="38"/>
  <c r="I234" i="38" l="1"/>
  <c r="AL30" i="38"/>
  <c r="AL126" i="38"/>
  <c r="AL90" i="38"/>
  <c r="AL130" i="38"/>
  <c r="AL42" i="38"/>
  <c r="AL102" i="38"/>
  <c r="AL17" i="38"/>
  <c r="AL114" i="38"/>
  <c r="AL66" i="38"/>
  <c r="AL78" i="38"/>
  <c r="AL54" i="38"/>
  <c r="J235" i="38" l="1"/>
  <c r="K235" i="38" s="1"/>
  <c r="AL103" i="38"/>
  <c r="AL104" i="38"/>
  <c r="AL67" i="38"/>
  <c r="AL68" i="38"/>
  <c r="AL79" i="38"/>
  <c r="AL80" i="38"/>
  <c r="AL31" i="38"/>
  <c r="AL32" i="38"/>
  <c r="AL55" i="38"/>
  <c r="AL115" i="38"/>
  <c r="AL116" i="38"/>
  <c r="AL18" i="38"/>
  <c r="AL128" i="38"/>
  <c r="AL43" i="38"/>
  <c r="AL91" i="38"/>
  <c r="I235" i="38" l="1"/>
  <c r="AL19" i="38"/>
  <c r="AL44" i="38"/>
  <c r="AL127" i="38"/>
  <c r="AL92" i="38"/>
  <c r="AL56" i="38"/>
  <c r="AL131" i="38"/>
  <c r="J236" i="38" l="1"/>
  <c r="K236" i="38" s="1"/>
  <c r="AL20" i="38"/>
  <c r="I236" i="38" l="1"/>
  <c r="AL132" i="38"/>
  <c r="J237" i="38" l="1"/>
  <c r="AL133" i="38"/>
  <c r="K237" i="38" l="1"/>
  <c r="I237" i="38" s="1"/>
  <c r="AL134" i="38"/>
  <c r="J238" i="38" l="1"/>
  <c r="AL135" i="38"/>
  <c r="K238" i="38" l="1"/>
  <c r="I238" i="38" s="1"/>
  <c r="AL136" i="38"/>
  <c r="J239" i="38" l="1"/>
  <c r="K239" i="38" s="1"/>
  <c r="AL137" i="38"/>
  <c r="I239" i="38" l="1"/>
  <c r="AL138" i="38"/>
  <c r="J240" i="38" l="1"/>
  <c r="K240" i="38" s="1"/>
  <c r="AL139" i="38"/>
  <c r="I240" i="38" l="1"/>
  <c r="AL140" i="38"/>
  <c r="J241" i="38" l="1"/>
  <c r="K241" i="38" s="1"/>
  <c r="I241" i="38" s="1"/>
  <c r="AL141" i="38"/>
  <c r="J242" i="38" l="1"/>
  <c r="AL142" i="38"/>
  <c r="K242" i="38" l="1"/>
  <c r="I242" i="38" s="1"/>
  <c r="AL143" i="38"/>
  <c r="AL144" i="38"/>
  <c r="J243" i="38" l="1"/>
  <c r="K243" i="38" s="1"/>
  <c r="AL145" i="38"/>
  <c r="I243" i="38" l="1"/>
  <c r="AL146" i="38"/>
  <c r="J244" i="38" l="1"/>
  <c r="K244" i="38" s="1"/>
  <c r="I244" i="38" s="1"/>
  <c r="AL147" i="38"/>
  <c r="J245" i="38" l="1"/>
  <c r="K245" i="38" s="1"/>
  <c r="AL148" i="38"/>
  <c r="I245" i="38" l="1"/>
  <c r="AL149" i="38"/>
  <c r="J246" i="38" l="1"/>
  <c r="K246" i="38" s="1"/>
  <c r="AL150" i="38"/>
  <c r="I246" i="38" l="1"/>
  <c r="AL151" i="38"/>
  <c r="J247" i="38" l="1"/>
  <c r="K247" i="38" s="1"/>
  <c r="I247" i="38" s="1"/>
  <c r="AL152" i="38"/>
  <c r="J248" i="38" l="1"/>
  <c r="AL153" i="38"/>
  <c r="K248" i="38" l="1"/>
  <c r="I248" i="38" s="1"/>
  <c r="AL154" i="38"/>
  <c r="J249" i="38" l="1"/>
  <c r="K249" i="38" s="1"/>
  <c r="I249" i="38" s="1"/>
  <c r="AL155" i="38"/>
  <c r="J250" i="38" l="1"/>
  <c r="K250" i="38" s="1"/>
  <c r="AL156" i="38"/>
  <c r="AL157" i="38"/>
  <c r="I250" i="38" l="1"/>
  <c r="AL158" i="38"/>
  <c r="J251" i="38" l="1"/>
  <c r="K251" i="38" s="1"/>
  <c r="I251" i="38" s="1"/>
  <c r="AL159" i="38"/>
  <c r="J252" i="38" l="1"/>
  <c r="K252" i="38" s="1"/>
  <c r="AL160" i="38"/>
  <c r="I252" i="38" l="1"/>
  <c r="AL161" i="38"/>
  <c r="J253" i="38" l="1"/>
  <c r="K253" i="38" s="1"/>
  <c r="AL162" i="38"/>
  <c r="I253" i="38" l="1"/>
  <c r="AL163" i="38"/>
  <c r="J254" i="38" l="1"/>
  <c r="K254" i="38" s="1"/>
  <c r="I254" i="38" s="1"/>
  <c r="AL164" i="38"/>
  <c r="J255" i="38" l="1"/>
  <c r="K255" i="38" s="1"/>
  <c r="I255" i="38" s="1"/>
  <c r="AL165" i="38"/>
  <c r="J256" i="38" l="1"/>
  <c r="K256" i="38" s="1"/>
  <c r="I256" i="38" s="1"/>
  <c r="AL166" i="38"/>
  <c r="J257" i="38" l="1"/>
  <c r="K257" i="38" s="1"/>
  <c r="AL167" i="38"/>
  <c r="AL168" i="38"/>
  <c r="I257" i="38" l="1"/>
  <c r="AL169" i="38"/>
  <c r="J258" i="38" l="1"/>
  <c r="K258" i="38" s="1"/>
  <c r="I258" i="38" s="1"/>
  <c r="AL170" i="38"/>
  <c r="N3" i="38" l="1"/>
  <c r="AA4" i="38" s="1"/>
  <c r="J259" i="38"/>
  <c r="K259" i="38" s="1"/>
  <c r="AL171" i="38"/>
  <c r="I259" i="38" l="1"/>
  <c r="AL172" i="38"/>
  <c r="AL173" i="38" l="1"/>
  <c r="AL174" i="38" l="1"/>
  <c r="AL175" i="38" l="1"/>
  <c r="AL176" i="38" l="1"/>
  <c r="AL177" i="38" l="1"/>
  <c r="AL178" i="38" l="1"/>
  <c r="AL179" i="38" l="1"/>
  <c r="AL180" i="38" l="1"/>
  <c r="AL181" i="38" l="1"/>
  <c r="AL182" i="38" l="1"/>
  <c r="AL183" i="38" l="1"/>
  <c r="AL184" i="38" l="1"/>
  <c r="AL185" i="38" l="1"/>
  <c r="AL186" i="38" l="1"/>
  <c r="R3" i="38"/>
  <c r="AK3" i="38" l="1"/>
  <c r="AL187" i="38" l="1"/>
  <c r="AL188" i="38" l="1"/>
  <c r="AL189" i="38" l="1"/>
  <c r="AL190" i="38" l="1"/>
  <c r="AL191" i="38" l="1"/>
  <c r="AL192" i="38" l="1"/>
  <c r="AL193" i="38" l="1"/>
  <c r="AL194" i="38" l="1"/>
  <c r="AL196" i="38" l="1"/>
  <c r="AL195" i="38"/>
  <c r="AL197" i="38" l="1"/>
  <c r="AL198" i="38" l="1"/>
  <c r="AL199" i="38" l="1"/>
  <c r="AL200" i="38" l="1"/>
  <c r="AL201" i="38" l="1"/>
  <c r="AL202" i="38" l="1"/>
  <c r="AL203" i="38" l="1"/>
  <c r="AL204" i="38" l="1"/>
  <c r="AL205" i="38" l="1"/>
  <c r="AL206" i="38" l="1"/>
  <c r="AL207" i="38" l="1"/>
  <c r="AL208" i="38" l="1"/>
  <c r="AL209" i="38" l="1"/>
  <c r="AL210" i="38" l="1"/>
  <c r="AL211" i="38" l="1"/>
  <c r="AL212" i="38" l="1"/>
  <c r="AL213" i="38" l="1"/>
  <c r="AL214" i="38" l="1"/>
  <c r="AL215" i="38" l="1"/>
  <c r="AL216" i="38" l="1"/>
  <c r="AL217" i="38" l="1"/>
  <c r="AL218" i="38" l="1"/>
  <c r="AL219" i="38" l="1"/>
  <c r="AL220" i="38" l="1"/>
  <c r="AL221" i="38" l="1"/>
  <c r="AL222" i="38" l="1"/>
  <c r="AL223" i="38" l="1"/>
  <c r="AL224" i="38" l="1"/>
  <c r="AL225" i="38" l="1"/>
  <c r="AL226" i="38" l="1"/>
  <c r="AL227" i="38" l="1"/>
  <c r="AL228" i="38" l="1"/>
  <c r="AL229" i="38" l="1"/>
  <c r="AL230" i="38" l="1"/>
  <c r="AL231" i="38" l="1"/>
  <c r="AL232" i="38" l="1"/>
  <c r="AL233" i="38" l="1"/>
  <c r="AL234" i="38" l="1"/>
  <c r="AL235" i="38" l="1"/>
  <c r="AL236" i="38" l="1"/>
  <c r="AL237" i="38" l="1"/>
  <c r="AL238" i="38" l="1"/>
  <c r="AL239" i="38" l="1"/>
  <c r="AL240" i="38" l="1"/>
  <c r="AL241" i="38" l="1"/>
  <c r="AL242" i="38" l="1"/>
  <c r="AL243" i="38" l="1"/>
  <c r="AL244" i="38" l="1"/>
  <c r="AL245" i="38" l="1"/>
  <c r="AL246" i="38" l="1"/>
  <c r="AL247" i="38" l="1"/>
  <c r="AL248" i="38" l="1"/>
  <c r="AL249" i="38" l="1"/>
  <c r="AL250" i="38" l="1"/>
  <c r="AL251" i="38" l="1"/>
  <c r="AL252" i="38" l="1"/>
  <c r="AL253" i="38" l="1"/>
  <c r="AL254" i="38" l="1"/>
  <c r="AL255" i="38" l="1"/>
  <c r="AL256" i="38" l="1"/>
  <c r="AL257" i="38" l="1"/>
  <c r="AH3" i="38" l="1"/>
  <c r="AL258" i="38"/>
  <c r="AG3" i="38"/>
  <c r="AL259" i="38" l="1"/>
  <c r="AL3" i="38" s="1"/>
  <c r="AI3" i="38"/>
</calcChain>
</file>

<file path=xl/sharedStrings.xml><?xml version="1.0" encoding="utf-8"?>
<sst xmlns="http://schemas.openxmlformats.org/spreadsheetml/2006/main" count="126" uniqueCount="110">
  <si>
    <t>Expenses</t>
  </si>
  <si>
    <t xml:space="preserve">  $ per policy</t>
  </si>
  <si>
    <t>Commission</t>
  </si>
  <si>
    <t>Risk discount rate</t>
  </si>
  <si>
    <t>Acquisition</t>
  </si>
  <si>
    <t>Inflation</t>
  </si>
  <si>
    <t>Lapse Rate</t>
  </si>
  <si>
    <t>Males</t>
  </si>
  <si>
    <t>Females</t>
  </si>
  <si>
    <t>Nonsmoker</t>
  </si>
  <si>
    <t>Smoker</t>
  </si>
  <si>
    <t>Aggregate</t>
  </si>
  <si>
    <t>Lapse Rates</t>
  </si>
  <si>
    <t>Lapse Rate (Annual)</t>
  </si>
  <si>
    <t>Year</t>
  </si>
  <si>
    <t>10+</t>
  </si>
  <si>
    <t>Policy Start Date</t>
  </si>
  <si>
    <t>Date of Birth</t>
  </si>
  <si>
    <t>Valuation date</t>
  </si>
  <si>
    <t>Gender</t>
  </si>
  <si>
    <t>Smoking Status</t>
  </si>
  <si>
    <t>N</t>
  </si>
  <si>
    <t>M</t>
  </si>
  <si>
    <t>Time</t>
  </si>
  <si>
    <t>Duration (Months)</t>
  </si>
  <si>
    <t>Mortality Rate</t>
  </si>
  <si>
    <t>Duration (Years)</t>
  </si>
  <si>
    <t>No. Lapses (EOM)</t>
  </si>
  <si>
    <t>No. Deaths (EOM)</t>
  </si>
  <si>
    <t>Age (Months)</t>
  </si>
  <si>
    <t>Premium (BOM)</t>
  </si>
  <si>
    <t>Inforce (BOM)</t>
  </si>
  <si>
    <t>Assumptions</t>
  </si>
  <si>
    <t>Per Annum</t>
  </si>
  <si>
    <t>Per Month</t>
  </si>
  <si>
    <t>PV:</t>
  </si>
  <si>
    <t>Details of new business sold</t>
  </si>
  <si>
    <t>Age last birthday</t>
  </si>
  <si>
    <t>Annual Renewal Expenses</t>
  </si>
  <si>
    <t>Calculations</t>
  </si>
  <si>
    <t>Mortality Rates (Annual) - Death</t>
  </si>
  <si>
    <t>No. Policies</t>
  </si>
  <si>
    <t>Average Premium per policy</t>
  </si>
  <si>
    <t>Calculation of Investment Return</t>
  </si>
  <si>
    <t>Asset Class</t>
  </si>
  <si>
    <t>Proportion of Fund</t>
  </si>
  <si>
    <t>Equities</t>
  </si>
  <si>
    <t>Property</t>
  </si>
  <si>
    <t>Corporate Bonds</t>
  </si>
  <si>
    <t>Government Bonds</t>
  </si>
  <si>
    <t>Cash</t>
  </si>
  <si>
    <t>Correlation Matrix</t>
  </si>
  <si>
    <t>Portfolio</t>
  </si>
  <si>
    <r>
      <t>Gross Expected Return</t>
    </r>
    <r>
      <rPr>
        <sz val="10"/>
        <rFont val="Arial"/>
        <family val="2"/>
      </rPr>
      <t>  </t>
    </r>
  </si>
  <si>
    <t>Fees</t>
  </si>
  <si>
    <t>Initial</t>
  </si>
  <si>
    <t>Fund Balance (BOM)</t>
  </si>
  <si>
    <t>Investment Fluctuation Reserve (BOM)</t>
  </si>
  <si>
    <t>years</t>
  </si>
  <si>
    <t>Commission (BOM)</t>
  </si>
  <si>
    <t>DAC Margin</t>
  </si>
  <si>
    <t>Tax rate</t>
  </si>
  <si>
    <t>of premium</t>
  </si>
  <si>
    <t>premiums</t>
  </si>
  <si>
    <t>applied to per policy expenses</t>
  </si>
  <si>
    <t>Initial Fees (BOM)</t>
  </si>
  <si>
    <t>Monthly</t>
  </si>
  <si>
    <t>Investment Return (EOM)</t>
  </si>
  <si>
    <t>Profit after Tax (EOM)</t>
  </si>
  <si>
    <t>Profit before Tax (EOM)</t>
  </si>
  <si>
    <t>Monthly return</t>
  </si>
  <si>
    <t>Standard Deviation</t>
  </si>
  <si>
    <t>Weighted Standard Deviation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</si>
  <si>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</si>
  <si>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</si>
  <si>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</si>
  <si>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</si>
  <si>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</si>
  <si>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</si>
  <si>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</si>
  <si>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</si>
  <si>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</si>
  <si>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</si>
  <si>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</si>
  <si>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</si>
  <si>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Account Balance (excl. IFR) (BOM)</t>
  </si>
  <si>
    <t>Tax (EOM)</t>
  </si>
  <si>
    <t>PV Premiums (BOM)</t>
  </si>
  <si>
    <t>Crediting rate</t>
  </si>
  <si>
    <t>Interim crediting rate</t>
  </si>
  <si>
    <t>Profit before Tax (Fees Less Expenses) (EOM)</t>
  </si>
  <si>
    <t>Check (should equal zero)</t>
  </si>
  <si>
    <t>Term of Policies</t>
  </si>
  <si>
    <t>Starting Values</t>
  </si>
  <si>
    <t>Account Balance (excl. IFR) (EOM)</t>
  </si>
  <si>
    <t>Death/Lapse Payments from Account Balance (Mid-Month)</t>
  </si>
  <si>
    <t>Death/Lapse Payments from Interim Crediting (Mid-Month)</t>
  </si>
  <si>
    <t>Maturity Payments (excl. IFR) (EOM)</t>
  </si>
  <si>
    <t>Maturity Payments inc. IFR) (EOM)</t>
  </si>
  <si>
    <t>Initial Expenses (BOM)</t>
  </si>
  <si>
    <t>Renewal Expenses (BOM)</t>
  </si>
  <si>
    <t xml:space="preserve">  % of Premium</t>
  </si>
  <si>
    <t>Policy Liabilities (EOM)</t>
  </si>
  <si>
    <t>DAC (EOM)</t>
  </si>
  <si>
    <t>Monthly Fees (Before Crediting Rate) (EOM)</t>
  </si>
  <si>
    <t>Credited Return on EOM Account Balance</t>
  </si>
  <si>
    <t>per annum payable annually in advance</t>
  </si>
  <si>
    <t>of end of month account balance prior to crediting rate</t>
  </si>
  <si>
    <t>Student input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</si>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</sst>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_-* #,##0.00000_-;\-* #,##0.00000_-;_-* &quot;-&quot;??_-;_-@_-"/>
    <numFmt numFmtId="167" formatCode="_-&quot;$&quot;* #,##0_-;\-&quot;$&quot;* #,##0_-;_-&quot;$&quot;* &quot;-&quot;??_-;_-@_-"/>
    <numFmt numFmtId="168" formatCode="_-* #,##0.000000_-;\-* #,##0.000000_-;_-* &quot;-&quot;??_-;_-@_-"/>
    <numFmt numFmtId="169" formatCode="_-* #,##0.0_-;\-* #,##0.0_-;_-* &quot;-&quot;??_-;_-@_-"/>
    <numFmt numFmtId="170" formatCode="_-* #,##0_-;\-* #,##0_-;_-* &quot;-&quot;??_-;_-@_-"/>
    <numFmt numFmtId="171" formatCode="0.0%"/>
    <numFmt numFmtId="172" formatCode="_(* #,##0_);_(* \(#,##0\);_(* &quot;-&quot;??_);_(@_)"/>
    <numFmt numFmtId="173" formatCode="0.000%"/>
    <numFmt numFmtId="174" formatCode="#,##0.000000"/>
    <numFmt numFmtId="175" formatCode="0.0000"/>
    <numFmt numFmtId="176" formatCode="0.0000000%"/>
    <numFmt numFmtId="177" formatCode="_(* #,##0.0000_);_(* \(#,##0.0000\);_(* &quot;-&quot;??_);_(@_)"/>
  </numFmts>
  <fonts count="10" x14ac:knownFonts="1">
    <font>
      <sz val="11"/>
      <color theme="1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7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Border="1"/>
    <xf numFmtId="9" fontId="1" fillId="0" borderId="0" xfId="3" applyFont="1" applyBorder="1"/>
    <xf numFmtId="0" fontId="1" fillId="0" borderId="1" xfId="0" applyFont="1" applyBorder="1"/>
    <xf numFmtId="9" fontId="1" fillId="0" borderId="1" xfId="3" applyFont="1" applyBorder="1"/>
    <xf numFmtId="171" fontId="1" fillId="0" borderId="1" xfId="3" applyNumberFormat="1" applyFont="1" applyBorder="1"/>
    <xf numFmtId="14" fontId="1" fillId="0" borderId="1" xfId="2" applyNumberFormat="1" applyFont="1" applyBorder="1"/>
    <xf numFmtId="167" fontId="1" fillId="0" borderId="0" xfId="2" applyNumberFormat="1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0" xfId="0" applyFont="1" applyBorder="1"/>
    <xf numFmtId="171" fontId="1" fillId="0" borderId="0" xfId="3" applyNumberFormat="1" applyFont="1" applyBorder="1"/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/>
    </xf>
    <xf numFmtId="0" fontId="1" fillId="0" borderId="1" xfId="0" applyFont="1" applyFill="1" applyBorder="1"/>
    <xf numFmtId="14" fontId="1" fillId="0" borderId="1" xfId="0" applyNumberFormat="1" applyFont="1" applyBorder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166" fontId="5" fillId="0" borderId="1" xfId="1" applyNumberFormat="1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right"/>
    </xf>
    <xf numFmtId="10" fontId="5" fillId="0" borderId="1" xfId="3" applyNumberFormat="1" applyFont="1" applyBorder="1"/>
    <xf numFmtId="0" fontId="6" fillId="0" borderId="0" xfId="0" applyFont="1"/>
    <xf numFmtId="0" fontId="7" fillId="0" borderId="0" xfId="0" applyFont="1"/>
    <xf numFmtId="0" fontId="7" fillId="0" borderId="1" xfId="0" applyFont="1" applyBorder="1" applyAlignment="1">
      <alignment vertical="center" wrapText="1"/>
    </xf>
    <xf numFmtId="9" fontId="7" fillId="0" borderId="1" xfId="0" applyNumberFormat="1" applyFont="1" applyBorder="1" applyAlignment="1">
      <alignment horizontal="right" vertical="center" wrapText="1"/>
    </xf>
    <xf numFmtId="0" fontId="7" fillId="0" borderId="1" xfId="0" applyFont="1" applyBorder="1"/>
    <xf numFmtId="10" fontId="7" fillId="3" borderId="1" xfId="3" applyNumberFormat="1" applyFont="1" applyFill="1" applyBorder="1"/>
    <xf numFmtId="0" fontId="7" fillId="0" borderId="2" xfId="0" applyFont="1" applyBorder="1" applyAlignment="1">
      <alignment vertical="center" wrapText="1"/>
    </xf>
    <xf numFmtId="9" fontId="7" fillId="0" borderId="1" xfId="3" applyFont="1" applyBorder="1" applyAlignment="1">
      <alignment horizontal="right" vertical="center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9" fontId="7" fillId="0" borderId="1" xfId="3" applyFont="1" applyFill="1" applyBorder="1"/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top" wrapText="1"/>
    </xf>
    <xf numFmtId="9" fontId="7" fillId="3" borderId="1" xfId="3" applyNumberFormat="1" applyFont="1" applyFill="1" applyBorder="1"/>
    <xf numFmtId="9" fontId="1" fillId="0" borderId="1" xfId="3" applyNumberFormat="1" applyFont="1" applyBorder="1"/>
    <xf numFmtId="171" fontId="7" fillId="0" borderId="1" xfId="0" applyNumberFormat="1" applyFont="1" applyBorder="1" applyAlignment="1">
      <alignment horizontal="right" vertical="center" wrapText="1"/>
    </xf>
    <xf numFmtId="171" fontId="1" fillId="0" borderId="1" xfId="3" applyNumberFormat="1" applyFont="1" applyFill="1" applyBorder="1"/>
    <xf numFmtId="9" fontId="7" fillId="0" borderId="0" xfId="3" applyFont="1" applyFill="1" applyBorder="1"/>
    <xf numFmtId="0" fontId="3" fillId="0" borderId="1" xfId="0" applyFont="1" applyBorder="1" applyAlignment="1">
      <alignment horizontal="center"/>
    </xf>
    <xf numFmtId="171" fontId="1" fillId="3" borderId="1" xfId="3" applyNumberFormat="1" applyFont="1" applyFill="1" applyBorder="1"/>
    <xf numFmtId="174" fontId="5" fillId="0" borderId="0" xfId="0" applyNumberFormat="1" applyFont="1"/>
    <xf numFmtId="175" fontId="5" fillId="0" borderId="0" xfId="0" applyNumberFormat="1" applyFont="1"/>
    <xf numFmtId="2" fontId="5" fillId="0" borderId="0" xfId="0" applyNumberFormat="1" applyFont="1"/>
    <xf numFmtId="170" fontId="1" fillId="0" borderId="1" xfId="0" applyNumberFormat="1" applyFont="1" applyFill="1" applyBorder="1" applyAlignment="1">
      <alignment horizontal="center" vertical="top" wrapText="1"/>
    </xf>
    <xf numFmtId="165" fontId="1" fillId="0" borderId="1" xfId="0" applyNumberFormat="1" applyFont="1" applyFill="1" applyBorder="1" applyAlignment="1">
      <alignment horizontal="center" vertical="top" wrapText="1"/>
    </xf>
    <xf numFmtId="8" fontId="3" fillId="0" borderId="0" xfId="0" applyNumberFormat="1" applyFont="1"/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/>
    <xf numFmtId="170" fontId="1" fillId="0" borderId="0" xfId="0" applyNumberFormat="1" applyFont="1" applyFill="1"/>
    <xf numFmtId="43" fontId="1" fillId="0" borderId="0" xfId="1" applyFont="1" applyFill="1"/>
    <xf numFmtId="0" fontId="1" fillId="0" borderId="0" xfId="0" applyFont="1" applyAlignment="1">
      <alignment horizontal="right" vertical="center"/>
    </xf>
    <xf numFmtId="170" fontId="1" fillId="0" borderId="1" xfId="1" applyNumberFormat="1" applyFont="1" applyBorder="1" applyAlignment="1">
      <alignment vertical="center"/>
    </xf>
    <xf numFmtId="170" fontId="1" fillId="0" borderId="1" xfId="0" applyNumberFormat="1" applyFont="1" applyFill="1" applyBorder="1" applyAlignment="1">
      <alignment vertical="center"/>
    </xf>
    <xf numFmtId="170" fontId="1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horizontal="right"/>
    </xf>
    <xf numFmtId="9" fontId="1" fillId="0" borderId="1" xfId="3" applyFont="1" applyFill="1" applyBorder="1"/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170" fontId="1" fillId="2" borderId="1" xfId="1" applyNumberFormat="1" applyFont="1" applyFill="1" applyBorder="1"/>
    <xf numFmtId="168" fontId="1" fillId="3" borderId="1" xfId="1" applyNumberFormat="1" applyFont="1" applyFill="1" applyBorder="1"/>
    <xf numFmtId="170" fontId="1" fillId="3" borderId="1" xfId="1" applyNumberFormat="1" applyFont="1" applyFill="1" applyBorder="1"/>
    <xf numFmtId="169" fontId="1" fillId="3" borderId="1" xfId="1" applyNumberFormat="1" applyFont="1" applyFill="1" applyBorder="1"/>
    <xf numFmtId="170" fontId="1" fillId="3" borderId="1" xfId="0" applyNumberFormat="1" applyFont="1" applyFill="1" applyBorder="1"/>
    <xf numFmtId="172" fontId="1" fillId="3" borderId="1" xfId="1" applyNumberFormat="1" applyFont="1" applyFill="1" applyBorder="1"/>
    <xf numFmtId="170" fontId="1" fillId="0" borderId="0" xfId="0" applyNumberFormat="1" applyFont="1"/>
    <xf numFmtId="170" fontId="1" fillId="0" borderId="1" xfId="0" applyNumberFormat="1" applyFont="1" applyFill="1" applyBorder="1"/>
    <xf numFmtId="172" fontId="1" fillId="0" borderId="0" xfId="0" applyNumberFormat="1" applyFont="1"/>
    <xf numFmtId="0" fontId="1" fillId="4" borderId="0" xfId="0" applyFont="1" applyFill="1"/>
    <xf numFmtId="10" fontId="7" fillId="0" borderId="0" xfId="3" applyNumberFormat="1" applyFont="1"/>
    <xf numFmtId="176" fontId="7" fillId="0" borderId="0" xfId="0" applyNumberFormat="1" applyFont="1"/>
    <xf numFmtId="177" fontId="1" fillId="3" borderId="1" xfId="1" applyNumberFormat="1" applyFont="1" applyFill="1" applyBorder="1"/>
    <xf numFmtId="10" fontId="9" fillId="0" borderId="1" xfId="3" applyNumberFormat="1" applyFont="1" applyBorder="1"/>
    <xf numFmtId="170" fontId="9" fillId="0" borderId="1" xfId="1" applyNumberFormat="1" applyFont="1" applyBorder="1"/>
    <xf numFmtId="167" fontId="9" fillId="0" borderId="1" xfId="2" applyNumberFormat="1" applyFont="1" applyFill="1" applyBorder="1"/>
    <xf numFmtId="0" fontId="9" fillId="0" borderId="1" xfId="0" applyFont="1" applyBorder="1" applyAlignment="1">
      <alignment horizontal="center"/>
    </xf>
    <xf numFmtId="172" fontId="9" fillId="0" borderId="1" xfId="1" applyNumberFormat="1" applyFont="1" applyBorder="1"/>
    <xf numFmtId="172" fontId="1" fillId="0" borderId="0" xfId="1" applyNumberFormat="1" applyFont="1"/>
    <xf numFmtId="171" fontId="9" fillId="0" borderId="1" xfId="3" applyNumberFormat="1" applyFont="1" applyBorder="1"/>
    <xf numFmtId="167" fontId="9" fillId="0" borderId="1" xfId="2" applyNumberFormat="1" applyFont="1" applyBorder="1"/>
    <xf numFmtId="164" fontId="9" fillId="0" borderId="1" xfId="2" applyNumberFormat="1" applyFont="1" applyBorder="1"/>
    <xf numFmtId="170" fontId="1" fillId="5" borderId="1" xfId="0" applyNumberFormat="1" applyFont="1" applyFill="1" applyBorder="1" applyAlignment="1">
      <alignment vertical="center"/>
    </xf>
    <xf numFmtId="171" fontId="9" fillId="0" borderId="1" xfId="0" applyNumberFormat="1" applyFont="1" applyBorder="1"/>
    <xf numFmtId="173" fontId="9" fillId="0" borderId="1" xfId="3" applyNumberFormat="1" applyFont="1" applyBorder="1"/>
    <xf numFmtId="0" fontId="9" fillId="0" borderId="0" xfId="0" applyFont="1"/>
    <xf numFmtId="171" fontId="1" fillId="5" borderId="1" xfId="3" applyNumberFormat="1" applyFont="1" applyFill="1" applyBorder="1"/>
    <xf numFmtId="172" fontId="7" fillId="3" borderId="1" xfId="1" applyNumberFormat="1" applyFont="1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  <xf numFmtId="43" fontId="1" fillId="3" borderId="1" xfId="0" applyNumberFormat="1" applyFont="1" applyFill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Deloitte">
  <a:themeElements>
    <a:clrScheme name="Deloitte Standard">
      <a:dk1>
        <a:sysClr val="windowText" lastClr="000000"/>
      </a:dk1>
      <a:lt1>
        <a:srgbClr val="FFFFFF"/>
      </a:lt1>
      <a:dk2>
        <a:srgbClr val="002776"/>
      </a:dk2>
      <a:lt2>
        <a:srgbClr val="FFFFFF"/>
      </a:lt2>
      <a:accent1>
        <a:srgbClr val="81BC00"/>
      </a:accent1>
      <a:accent2>
        <a:srgbClr val="00A1DE"/>
      </a:accent2>
      <a:accent3>
        <a:srgbClr val="313131"/>
      </a:accent3>
      <a:accent4>
        <a:srgbClr val="3C8A2E"/>
      </a:accent4>
      <a:accent5>
        <a:srgbClr val="575757"/>
      </a:accent5>
      <a:accent6>
        <a:srgbClr val="8C8C8C"/>
      </a:accent6>
      <a:hlink>
        <a:srgbClr val="0070C0"/>
      </a:hlink>
      <a:folHlink>
        <a:srgbClr val="7030A0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3"/>
  <sheetViews>
    <sheetView showGridLines="0" topLeftCell="A10" zoomScale="130" zoomScaleNormal="130" workbookViewId="0">
      <selection activeCell="C13" sqref="C13"/>
    </sheetView>
  </sheetViews>
  <sheetFormatPr defaultColWidth="9" defaultRowHeight="12.75" x14ac:dyDescent="0.2"/>
  <cols>
    <col min="1" max="1" width="2.625" style="1" customWidth="1"/>
    <col min="2" max="2" width="19.375" style="1" customWidth="1"/>
    <col min="3" max="3" width="10.625" style="1" customWidth="1"/>
    <col min="4" max="4" width="40.625" style="1" bestFit="1" customWidth="1"/>
    <col min="5" max="6" width="2.625" style="1" customWidth="1"/>
    <col min="7" max="7" width="21.625" style="1" bestFit="1" customWidth="1"/>
    <col min="8" max="8" width="9.625" style="1" bestFit="1" customWidth="1"/>
    <col min="9" max="9" width="29.875" style="1" bestFit="1" customWidth="1"/>
    <col min="10" max="10" width="9" style="1"/>
    <col min="11" max="11" width="10.375" style="1" bestFit="1" customWidth="1"/>
    <col min="12" max="16384" width="9" style="1"/>
  </cols>
  <sheetData>
    <row r="1" spans="1:12" x14ac:dyDescent="0.2">
      <c r="A1" s="2" t="s">
        <v>32</v>
      </c>
      <c r="F1" s="2" t="s">
        <v>36</v>
      </c>
      <c r="K1" s="2" t="s">
        <v>109</v>
      </c>
    </row>
    <row r="2" spans="1:12" x14ac:dyDescent="0.2">
      <c r="K2" s="1" t="s">
        <v>108</v>
      </c>
      <c r="L2" s="73"/>
    </row>
    <row r="3" spans="1:12" x14ac:dyDescent="0.2">
      <c r="B3" s="10" t="s">
        <v>18</v>
      </c>
      <c r="C3" s="8">
        <v>43830</v>
      </c>
      <c r="G3" s="5" t="s">
        <v>41</v>
      </c>
      <c r="H3" s="78">
        <v>5000</v>
      </c>
      <c r="I3" s="5"/>
    </row>
    <row r="4" spans="1:12" x14ac:dyDescent="0.2">
      <c r="G4" s="16" t="s">
        <v>42</v>
      </c>
      <c r="H4" s="79">
        <v>2500</v>
      </c>
      <c r="I4" s="16" t="s">
        <v>106</v>
      </c>
    </row>
    <row r="5" spans="1:12" x14ac:dyDescent="0.2">
      <c r="B5" s="15"/>
      <c r="C5" s="14" t="s">
        <v>54</v>
      </c>
      <c r="G5" s="5" t="s">
        <v>16</v>
      </c>
      <c r="H5" s="17">
        <f>C3</f>
        <v>43830</v>
      </c>
      <c r="I5" s="17"/>
    </row>
    <row r="6" spans="1:12" x14ac:dyDescent="0.2">
      <c r="B6" s="5" t="s">
        <v>55</v>
      </c>
      <c r="C6" s="77">
        <v>0.01</v>
      </c>
      <c r="D6" s="5" t="s">
        <v>62</v>
      </c>
      <c r="G6" s="5" t="s">
        <v>17</v>
      </c>
      <c r="H6" s="17">
        <v>27030</v>
      </c>
      <c r="I6" s="5"/>
    </row>
    <row r="7" spans="1:12" x14ac:dyDescent="0.2">
      <c r="B7" s="5" t="s">
        <v>66</v>
      </c>
      <c r="C7" s="88">
        <v>5.0000000000000001E-4</v>
      </c>
      <c r="D7" s="5" t="s">
        <v>107</v>
      </c>
      <c r="G7" s="5" t="s">
        <v>19</v>
      </c>
      <c r="H7" s="80" t="s">
        <v>22</v>
      </c>
      <c r="I7" s="5" t="str">
        <f>IF(H7="M","Male","Female")</f>
        <v>Male</v>
      </c>
    </row>
    <row r="8" spans="1:12" x14ac:dyDescent="0.2">
      <c r="G8" s="5" t="s">
        <v>20</v>
      </c>
      <c r="H8" s="80" t="s">
        <v>21</v>
      </c>
      <c r="I8" s="5" t="str">
        <f>IF(H8="N","Non-Smoker","Smoker")</f>
        <v>Non-Smoker</v>
      </c>
    </row>
    <row r="9" spans="1:12" x14ac:dyDescent="0.2">
      <c r="B9" s="15" t="s">
        <v>0</v>
      </c>
      <c r="C9" s="14" t="s">
        <v>4</v>
      </c>
      <c r="D9" s="14" t="s">
        <v>38</v>
      </c>
      <c r="G9" s="5" t="s">
        <v>92</v>
      </c>
      <c r="H9" s="81">
        <v>15</v>
      </c>
      <c r="I9" s="5" t="s">
        <v>58</v>
      </c>
    </row>
    <row r="10" spans="1:12" x14ac:dyDescent="0.2">
      <c r="B10" s="5" t="s">
        <v>101</v>
      </c>
      <c r="C10" s="83">
        <v>0.01</v>
      </c>
      <c r="D10" s="83">
        <v>5.0000000000000001E-3</v>
      </c>
    </row>
    <row r="11" spans="1:12" x14ac:dyDescent="0.2">
      <c r="B11" s="5" t="s">
        <v>1</v>
      </c>
      <c r="C11" s="84">
        <v>150</v>
      </c>
      <c r="D11" s="85">
        <v>6.5</v>
      </c>
    </row>
    <row r="12" spans="1:12" x14ac:dyDescent="0.2">
      <c r="B12" s="3"/>
      <c r="C12" s="9"/>
      <c r="D12" s="9"/>
    </row>
    <row r="13" spans="1:12" x14ac:dyDescent="0.2">
      <c r="B13" s="11" t="s">
        <v>2</v>
      </c>
      <c r="C13" s="87">
        <v>5.0000000000000001E-3</v>
      </c>
      <c r="D13" s="5" t="s">
        <v>63</v>
      </c>
    </row>
    <row r="14" spans="1:12" x14ac:dyDescent="0.2">
      <c r="B14" s="3"/>
      <c r="C14" s="9"/>
      <c r="D14" s="9"/>
    </row>
    <row r="15" spans="1:12" x14ac:dyDescent="0.2">
      <c r="B15" s="5"/>
      <c r="C15" s="44" t="s">
        <v>33</v>
      </c>
      <c r="D15" s="44" t="s">
        <v>34</v>
      </c>
    </row>
    <row r="16" spans="1:12" x14ac:dyDescent="0.2">
      <c r="B16" s="10" t="s">
        <v>5</v>
      </c>
      <c r="C16" s="6">
        <v>0.02</v>
      </c>
      <c r="D16" s="83">
        <f>(1+C16)^(1/12)-1</f>
        <v>1.6515813019202241E-3</v>
      </c>
      <c r="E16" s="89" t="s">
        <v>64</v>
      </c>
    </row>
    <row r="17" spans="2:4" x14ac:dyDescent="0.2">
      <c r="B17" s="10" t="s">
        <v>88</v>
      </c>
      <c r="C17" s="83">
        <v>0.05</v>
      </c>
      <c r="D17" s="90">
        <f>(1+C17)^(1/12)-1</f>
        <v>4.0741237836483535E-3</v>
      </c>
    </row>
    <row r="18" spans="2:4" x14ac:dyDescent="0.2">
      <c r="B18" s="10" t="s">
        <v>61</v>
      </c>
      <c r="C18" s="40">
        <v>0.3</v>
      </c>
      <c r="D18" s="7"/>
    </row>
    <row r="19" spans="2:4" x14ac:dyDescent="0.2">
      <c r="B19" s="10" t="s">
        <v>3</v>
      </c>
      <c r="C19" s="42">
        <f>'(a)'!C9</f>
        <v>5.2750000000000005E-2</v>
      </c>
      <c r="D19" s="7">
        <f>(1+C19)^(1/12)-1</f>
        <v>4.2930043261615314E-3</v>
      </c>
    </row>
    <row r="20" spans="2:4" x14ac:dyDescent="0.2">
      <c r="B20" s="12"/>
      <c r="C20" s="4"/>
      <c r="D20" s="13"/>
    </row>
    <row r="21" spans="2:4" x14ac:dyDescent="0.2">
      <c r="B21" s="10" t="s">
        <v>89</v>
      </c>
      <c r="C21" s="5"/>
      <c r="D21" s="44" t="s">
        <v>33</v>
      </c>
    </row>
    <row r="22" spans="2:4" x14ac:dyDescent="0.2">
      <c r="B22" s="5" t="s">
        <v>73</v>
      </c>
      <c r="C22" s="5">
        <v>1</v>
      </c>
      <c r="D22" s="45">
        <f>75%*C22/12*$C$17</f>
        <v>3.1250000000000002E-3</v>
      </c>
    </row>
    <row r="23" spans="2:4" x14ac:dyDescent="0.2">
      <c r="B23" s="5" t="s">
        <v>74</v>
      </c>
      <c r="C23" s="5">
        <f t="shared" ref="C23:C33" si="0">C22+1</f>
        <v>2</v>
      </c>
      <c r="D23" s="45">
        <f t="shared" ref="D23:D33" si="1">75%*C23/12*$C$17</f>
        <v>6.2500000000000003E-3</v>
      </c>
    </row>
    <row r="24" spans="2:4" x14ac:dyDescent="0.2">
      <c r="B24" s="5" t="s">
        <v>75</v>
      </c>
      <c r="C24" s="5">
        <f t="shared" si="0"/>
        <v>3</v>
      </c>
      <c r="D24" s="45">
        <f t="shared" si="1"/>
        <v>9.3750000000000014E-3</v>
      </c>
    </row>
    <row r="25" spans="2:4" x14ac:dyDescent="0.2">
      <c r="B25" s="5" t="s">
        <v>76</v>
      </c>
      <c r="C25" s="5">
        <f t="shared" si="0"/>
        <v>4</v>
      </c>
      <c r="D25" s="45">
        <f t="shared" si="1"/>
        <v>1.2500000000000001E-2</v>
      </c>
    </row>
    <row r="26" spans="2:4" x14ac:dyDescent="0.2">
      <c r="B26" s="5" t="s">
        <v>77</v>
      </c>
      <c r="C26" s="5">
        <f t="shared" si="0"/>
        <v>5</v>
      </c>
      <c r="D26" s="45">
        <f t="shared" si="1"/>
        <v>1.5625E-2</v>
      </c>
    </row>
    <row r="27" spans="2:4" x14ac:dyDescent="0.2">
      <c r="B27" s="5" t="s">
        <v>78</v>
      </c>
      <c r="C27" s="5">
        <f t="shared" si="0"/>
        <v>6</v>
      </c>
      <c r="D27" s="45">
        <f t="shared" si="1"/>
        <v>1.8750000000000003E-2</v>
      </c>
    </row>
    <row r="28" spans="2:4" x14ac:dyDescent="0.2">
      <c r="B28" s="5" t="s">
        <v>79</v>
      </c>
      <c r="C28" s="5">
        <f t="shared" si="0"/>
        <v>7</v>
      </c>
      <c r="D28" s="45">
        <f t="shared" si="1"/>
        <v>2.1875000000000002E-2</v>
      </c>
    </row>
    <row r="29" spans="2:4" x14ac:dyDescent="0.2">
      <c r="B29" s="5" t="s">
        <v>80</v>
      </c>
      <c r="C29" s="5">
        <f t="shared" si="0"/>
        <v>8</v>
      </c>
      <c r="D29" s="45">
        <f t="shared" si="1"/>
        <v>2.5000000000000001E-2</v>
      </c>
    </row>
    <row r="30" spans="2:4" x14ac:dyDescent="0.2">
      <c r="B30" s="5" t="s">
        <v>81</v>
      </c>
      <c r="C30" s="5">
        <f t="shared" si="0"/>
        <v>9</v>
      </c>
      <c r="D30" s="45">
        <f t="shared" si="1"/>
        <v>2.8125000000000001E-2</v>
      </c>
    </row>
    <row r="31" spans="2:4" x14ac:dyDescent="0.2">
      <c r="B31" s="5" t="s">
        <v>82</v>
      </c>
      <c r="C31" s="5">
        <f t="shared" si="0"/>
        <v>10</v>
      </c>
      <c r="D31" s="45">
        <f t="shared" si="1"/>
        <v>3.125E-2</v>
      </c>
    </row>
    <row r="32" spans="2:4" x14ac:dyDescent="0.2">
      <c r="B32" s="5" t="s">
        <v>83</v>
      </c>
      <c r="C32" s="5">
        <f t="shared" si="0"/>
        <v>11</v>
      </c>
      <c r="D32" s="45">
        <f t="shared" si="1"/>
        <v>3.4375000000000003E-2</v>
      </c>
    </row>
    <row r="33" spans="2:4" x14ac:dyDescent="0.2">
      <c r="B33" s="5" t="s">
        <v>84</v>
      </c>
      <c r="C33" s="5">
        <f t="shared" si="0"/>
        <v>12</v>
      </c>
      <c r="D33" s="45">
        <f t="shared" si="1"/>
        <v>3.7500000000000006E-2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showGridLines="0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8.625" defaultRowHeight="12.75" x14ac:dyDescent="0.2"/>
  <cols>
    <col min="1" max="1" width="2.625" style="19" customWidth="1"/>
    <col min="2" max="2" width="8.625" style="19"/>
    <col min="3" max="8" width="11.125" style="19" customWidth="1"/>
    <col min="9" max="9" width="8.625" style="19"/>
    <col min="10" max="10" width="10.875" style="19" bestFit="1" customWidth="1"/>
    <col min="11" max="16384" width="8.625" style="19"/>
  </cols>
  <sheetData>
    <row r="1" spans="1:8" x14ac:dyDescent="0.2">
      <c r="A1" s="18" t="s">
        <v>40</v>
      </c>
    </row>
    <row r="3" spans="1:8" x14ac:dyDescent="0.2">
      <c r="B3" s="93" t="s">
        <v>37</v>
      </c>
      <c r="C3" s="92" t="s">
        <v>7</v>
      </c>
      <c r="D3" s="92"/>
      <c r="E3" s="92"/>
      <c r="F3" s="92" t="s">
        <v>8</v>
      </c>
      <c r="G3" s="92"/>
      <c r="H3" s="92"/>
    </row>
    <row r="4" spans="1:8" x14ac:dyDescent="0.2">
      <c r="B4" s="94"/>
      <c r="C4" s="22" t="s">
        <v>9</v>
      </c>
      <c r="D4" s="22" t="s">
        <v>10</v>
      </c>
      <c r="E4" s="22" t="s">
        <v>11</v>
      </c>
      <c r="F4" s="22" t="s">
        <v>9</v>
      </c>
      <c r="G4" s="22" t="s">
        <v>10</v>
      </c>
      <c r="H4" s="22" t="s">
        <v>11</v>
      </c>
    </row>
    <row r="5" spans="1:8" x14ac:dyDescent="0.2">
      <c r="B5" s="20">
        <v>0</v>
      </c>
      <c r="C5" s="21">
        <v>5.2300000000000003E-3</v>
      </c>
      <c r="D5" s="21">
        <v>1.0460000000000001E-2</v>
      </c>
      <c r="E5" s="21">
        <v>5.2300000000000003E-3</v>
      </c>
      <c r="F5" s="21">
        <v>4.4000000000000003E-3</v>
      </c>
      <c r="G5" s="21">
        <v>7.4799999999999997E-3</v>
      </c>
      <c r="H5" s="21">
        <v>4.4000000000000003E-3</v>
      </c>
    </row>
    <row r="6" spans="1:8" x14ac:dyDescent="0.2">
      <c r="B6" s="20">
        <v>1</v>
      </c>
      <c r="C6" s="21">
        <v>2.82E-3</v>
      </c>
      <c r="D6" s="21">
        <v>5.64E-3</v>
      </c>
      <c r="E6" s="21">
        <v>2.82E-3</v>
      </c>
      <c r="F6" s="21">
        <v>2.3600000000000001E-3</v>
      </c>
      <c r="G6" s="21">
        <v>4.0099999999999997E-3</v>
      </c>
      <c r="H6" s="21">
        <v>2.3600000000000001E-3</v>
      </c>
    </row>
    <row r="7" spans="1:8" x14ac:dyDescent="0.2">
      <c r="B7" s="20">
        <v>2</v>
      </c>
      <c r="C7" s="21">
        <v>3.4000000000000002E-4</v>
      </c>
      <c r="D7" s="21">
        <v>6.8000000000000005E-4</v>
      </c>
      <c r="E7" s="21">
        <v>3.4000000000000002E-4</v>
      </c>
      <c r="F7" s="21">
        <v>2.5999999999999998E-4</v>
      </c>
      <c r="G7" s="21">
        <v>4.4000000000000002E-4</v>
      </c>
      <c r="H7" s="21">
        <v>2.5999999999999998E-4</v>
      </c>
    </row>
    <row r="8" spans="1:8" x14ac:dyDescent="0.2">
      <c r="B8" s="20">
        <v>3</v>
      </c>
      <c r="C8" s="21">
        <v>2.3000000000000001E-4</v>
      </c>
      <c r="D8" s="21">
        <v>4.6000000000000001E-4</v>
      </c>
      <c r="E8" s="21">
        <v>2.3000000000000001E-4</v>
      </c>
      <c r="F8" s="21">
        <v>1.7000000000000001E-4</v>
      </c>
      <c r="G8" s="21">
        <v>2.9E-4</v>
      </c>
      <c r="H8" s="21">
        <v>1.7000000000000001E-4</v>
      </c>
    </row>
    <row r="9" spans="1:8" x14ac:dyDescent="0.2">
      <c r="B9" s="20">
        <v>4</v>
      </c>
      <c r="C9" s="21">
        <v>1.6000000000000001E-4</v>
      </c>
      <c r="D9" s="21">
        <v>3.2000000000000003E-4</v>
      </c>
      <c r="E9" s="21">
        <v>1.6000000000000001E-4</v>
      </c>
      <c r="F9" s="21">
        <v>1.3999999999999999E-4</v>
      </c>
      <c r="G9" s="21">
        <v>2.4000000000000001E-4</v>
      </c>
      <c r="H9" s="21">
        <v>1.3999999999999999E-4</v>
      </c>
    </row>
    <row r="10" spans="1:8" x14ac:dyDescent="0.2">
      <c r="B10" s="20">
        <v>5</v>
      </c>
      <c r="C10" s="21">
        <v>1.3999999999999999E-4</v>
      </c>
      <c r="D10" s="21">
        <v>2.7999999999999998E-4</v>
      </c>
      <c r="E10" s="21">
        <v>1.3999999999999999E-4</v>
      </c>
      <c r="F10" s="21">
        <v>1.2E-4</v>
      </c>
      <c r="G10" s="21">
        <v>2.0000000000000001E-4</v>
      </c>
      <c r="H10" s="21">
        <v>1.2E-4</v>
      </c>
    </row>
    <row r="11" spans="1:8" x14ac:dyDescent="0.2">
      <c r="B11" s="20">
        <v>6</v>
      </c>
      <c r="C11" s="21">
        <v>1.2999999999999999E-4</v>
      </c>
      <c r="D11" s="21">
        <v>2.5999999999999998E-4</v>
      </c>
      <c r="E11" s="21">
        <v>1.2999999999999999E-4</v>
      </c>
      <c r="F11" s="21">
        <v>1.1E-4</v>
      </c>
      <c r="G11" s="21">
        <v>1.9000000000000001E-4</v>
      </c>
      <c r="H11" s="21">
        <v>1.1E-4</v>
      </c>
    </row>
    <row r="12" spans="1:8" x14ac:dyDescent="0.2">
      <c r="B12" s="20">
        <v>7</v>
      </c>
      <c r="C12" s="21">
        <v>1.2E-4</v>
      </c>
      <c r="D12" s="21">
        <v>2.4000000000000001E-4</v>
      </c>
      <c r="E12" s="21">
        <v>1.2E-4</v>
      </c>
      <c r="F12" s="21">
        <v>1E-4</v>
      </c>
      <c r="G12" s="21">
        <v>1.7000000000000001E-4</v>
      </c>
      <c r="H12" s="21">
        <v>1E-4</v>
      </c>
    </row>
    <row r="13" spans="1:8" x14ac:dyDescent="0.2">
      <c r="B13" s="20">
        <v>8</v>
      </c>
      <c r="C13" s="21">
        <v>1.1E-4</v>
      </c>
      <c r="D13" s="21">
        <v>2.2000000000000001E-4</v>
      </c>
      <c r="E13" s="21">
        <v>1.1E-4</v>
      </c>
      <c r="F13" s="21">
        <v>9.0000000000000006E-5</v>
      </c>
      <c r="G13" s="21">
        <v>1.4999999999999999E-4</v>
      </c>
      <c r="H13" s="21">
        <v>9.0000000000000006E-5</v>
      </c>
    </row>
    <row r="14" spans="1:8" x14ac:dyDescent="0.2">
      <c r="B14" s="20">
        <v>9</v>
      </c>
      <c r="C14" s="21">
        <v>1E-4</v>
      </c>
      <c r="D14" s="21">
        <v>2.0000000000000001E-4</v>
      </c>
      <c r="E14" s="21">
        <v>1E-4</v>
      </c>
      <c r="F14" s="21">
        <v>8.0000000000000007E-5</v>
      </c>
      <c r="G14" s="21">
        <v>1.3999999999999999E-4</v>
      </c>
      <c r="H14" s="21">
        <v>8.0000000000000007E-5</v>
      </c>
    </row>
    <row r="15" spans="1:8" x14ac:dyDescent="0.2">
      <c r="B15" s="20">
        <v>10</v>
      </c>
      <c r="C15" s="21">
        <v>1E-4</v>
      </c>
      <c r="D15" s="21">
        <v>2.0000000000000001E-4</v>
      </c>
      <c r="E15" s="21">
        <v>1E-4</v>
      </c>
      <c r="F15" s="21">
        <v>6.9999999999999994E-5</v>
      </c>
      <c r="G15" s="21">
        <v>1.2E-4</v>
      </c>
      <c r="H15" s="21">
        <v>6.9999999999999994E-5</v>
      </c>
    </row>
    <row r="16" spans="1:8" x14ac:dyDescent="0.2">
      <c r="B16" s="20">
        <v>11</v>
      </c>
      <c r="C16" s="21">
        <v>1.1E-4</v>
      </c>
      <c r="D16" s="21">
        <v>2.2000000000000001E-4</v>
      </c>
      <c r="E16" s="21">
        <v>1.1E-4</v>
      </c>
      <c r="F16" s="21">
        <v>6.9999999999999994E-5</v>
      </c>
      <c r="G16" s="21">
        <v>1.2E-4</v>
      </c>
      <c r="H16" s="21">
        <v>6.9999999999999994E-5</v>
      </c>
    </row>
    <row r="17" spans="2:8" x14ac:dyDescent="0.2">
      <c r="B17" s="20">
        <v>12</v>
      </c>
      <c r="C17" s="21">
        <v>1.2E-4</v>
      </c>
      <c r="D17" s="21">
        <v>2.4000000000000001E-4</v>
      </c>
      <c r="E17" s="21">
        <v>1.2E-4</v>
      </c>
      <c r="F17" s="21">
        <v>8.0000000000000007E-5</v>
      </c>
      <c r="G17" s="21">
        <v>1.3999999999999999E-4</v>
      </c>
      <c r="H17" s="21">
        <v>8.0000000000000007E-5</v>
      </c>
    </row>
    <row r="18" spans="2:8" x14ac:dyDescent="0.2">
      <c r="B18" s="20">
        <v>13</v>
      </c>
      <c r="C18" s="21">
        <v>1.2999999999999999E-4</v>
      </c>
      <c r="D18" s="21">
        <v>2.5999999999999998E-4</v>
      </c>
      <c r="E18" s="21">
        <v>1.2999999999999999E-4</v>
      </c>
      <c r="F18" s="21">
        <v>9.0000000000000006E-5</v>
      </c>
      <c r="G18" s="21">
        <v>1.4999999999999999E-4</v>
      </c>
      <c r="H18" s="21">
        <v>9.0000000000000006E-5</v>
      </c>
    </row>
    <row r="19" spans="2:8" x14ac:dyDescent="0.2">
      <c r="B19" s="20">
        <v>14</v>
      </c>
      <c r="C19" s="21">
        <v>1.4999999999999999E-4</v>
      </c>
      <c r="D19" s="21">
        <v>2.9999999999999997E-4</v>
      </c>
      <c r="E19" s="21">
        <v>1.4999999999999999E-4</v>
      </c>
      <c r="F19" s="21">
        <v>1.2E-4</v>
      </c>
      <c r="G19" s="21">
        <v>2.0000000000000001E-4</v>
      </c>
      <c r="H19" s="21">
        <v>1.2E-4</v>
      </c>
    </row>
    <row r="20" spans="2:8" x14ac:dyDescent="0.2">
      <c r="B20" s="20">
        <v>15</v>
      </c>
      <c r="C20" s="21">
        <v>1.9000000000000001E-4</v>
      </c>
      <c r="D20" s="21">
        <v>3.8000000000000002E-4</v>
      </c>
      <c r="E20" s="21">
        <v>1.9000000000000001E-4</v>
      </c>
      <c r="F20" s="21">
        <v>1.6000000000000001E-4</v>
      </c>
      <c r="G20" s="21">
        <v>2.7E-4</v>
      </c>
      <c r="H20" s="21">
        <v>1.6000000000000001E-4</v>
      </c>
    </row>
    <row r="21" spans="2:8" x14ac:dyDescent="0.2">
      <c r="B21" s="20">
        <v>16</v>
      </c>
      <c r="C21" s="21">
        <v>2.7999999999999998E-4</v>
      </c>
      <c r="D21" s="21">
        <v>5.5999999999999995E-4</v>
      </c>
      <c r="E21" s="21">
        <v>2.9E-4</v>
      </c>
      <c r="F21" s="21">
        <v>2.0000000000000001E-4</v>
      </c>
      <c r="G21" s="21">
        <v>3.4000000000000002E-4</v>
      </c>
      <c r="H21" s="21">
        <v>2.0000000000000001E-4</v>
      </c>
    </row>
    <row r="22" spans="2:8" x14ac:dyDescent="0.2">
      <c r="B22" s="20">
        <v>17</v>
      </c>
      <c r="C22" s="21">
        <v>4.0999999999999999E-4</v>
      </c>
      <c r="D22" s="21">
        <v>8.1999999999999998E-4</v>
      </c>
      <c r="E22" s="21">
        <v>4.2999999999999999E-4</v>
      </c>
      <c r="F22" s="21">
        <v>2.3000000000000001E-4</v>
      </c>
      <c r="G22" s="21">
        <v>3.8999999999999999E-4</v>
      </c>
      <c r="H22" s="21">
        <v>2.4000000000000001E-4</v>
      </c>
    </row>
    <row r="23" spans="2:8" x14ac:dyDescent="0.2">
      <c r="B23" s="20">
        <v>18</v>
      </c>
      <c r="C23" s="21">
        <v>4.4999999999999999E-4</v>
      </c>
      <c r="D23" s="21">
        <v>8.9999999999999998E-4</v>
      </c>
      <c r="E23" s="21">
        <v>4.8000000000000001E-4</v>
      </c>
      <c r="F23" s="21">
        <v>2.5000000000000001E-4</v>
      </c>
      <c r="G23" s="21">
        <v>4.2999999999999999E-4</v>
      </c>
      <c r="H23" s="21">
        <v>2.7E-4</v>
      </c>
    </row>
    <row r="24" spans="2:8" x14ac:dyDescent="0.2">
      <c r="B24" s="20">
        <v>19</v>
      </c>
      <c r="C24" s="21">
        <v>5.2999999999999998E-4</v>
      </c>
      <c r="D24" s="21">
        <v>1.06E-3</v>
      </c>
      <c r="E24" s="21">
        <v>5.8E-4</v>
      </c>
      <c r="F24" s="21">
        <v>2.5000000000000001E-4</v>
      </c>
      <c r="G24" s="21">
        <v>4.2999999999999999E-4</v>
      </c>
      <c r="H24" s="21">
        <v>2.7999999999999998E-4</v>
      </c>
    </row>
    <row r="25" spans="2:8" x14ac:dyDescent="0.2">
      <c r="B25" s="20">
        <v>20</v>
      </c>
      <c r="C25" s="21">
        <v>5.9999999999999995E-4</v>
      </c>
      <c r="D25" s="21">
        <v>1.1999999999999999E-3</v>
      </c>
      <c r="E25" s="21">
        <v>6.7000000000000002E-4</v>
      </c>
      <c r="F25" s="21">
        <v>2.4000000000000001E-4</v>
      </c>
      <c r="G25" s="21">
        <v>4.0999999999999999E-4</v>
      </c>
      <c r="H25" s="21">
        <v>2.7999999999999998E-4</v>
      </c>
    </row>
    <row r="26" spans="2:8" x14ac:dyDescent="0.2">
      <c r="B26" s="20">
        <v>21</v>
      </c>
      <c r="C26" s="21">
        <v>6.0999999999999997E-4</v>
      </c>
      <c r="D26" s="21">
        <v>1.2199999999999999E-3</v>
      </c>
      <c r="E26" s="21">
        <v>6.9999999999999999E-4</v>
      </c>
      <c r="F26" s="21">
        <v>2.4000000000000001E-4</v>
      </c>
      <c r="G26" s="21">
        <v>4.0999999999999999E-4</v>
      </c>
      <c r="H26" s="21">
        <v>2.7999999999999998E-4</v>
      </c>
    </row>
    <row r="27" spans="2:8" x14ac:dyDescent="0.2">
      <c r="B27" s="20">
        <v>22</v>
      </c>
      <c r="C27" s="21">
        <v>5.9999999999999995E-4</v>
      </c>
      <c r="D27" s="21">
        <v>1.1999999999999999E-3</v>
      </c>
      <c r="E27" s="21">
        <v>6.9999999999999999E-4</v>
      </c>
      <c r="F27" s="21">
        <v>2.2000000000000001E-4</v>
      </c>
      <c r="G27" s="21">
        <v>3.6999999999999999E-4</v>
      </c>
      <c r="H27" s="21">
        <v>2.7E-4</v>
      </c>
    </row>
    <row r="28" spans="2:8" x14ac:dyDescent="0.2">
      <c r="B28" s="20">
        <v>23</v>
      </c>
      <c r="C28" s="21">
        <v>5.6999999999999998E-4</v>
      </c>
      <c r="D28" s="21">
        <v>1.14E-3</v>
      </c>
      <c r="E28" s="21">
        <v>6.8999999999999997E-4</v>
      </c>
      <c r="F28" s="21">
        <v>2.1000000000000001E-4</v>
      </c>
      <c r="G28" s="21">
        <v>3.6000000000000002E-4</v>
      </c>
      <c r="H28" s="21">
        <v>2.5999999999999998E-4</v>
      </c>
    </row>
    <row r="29" spans="2:8" x14ac:dyDescent="0.2">
      <c r="B29" s="20">
        <v>24</v>
      </c>
      <c r="C29" s="21">
        <v>5.5000000000000003E-4</v>
      </c>
      <c r="D29" s="21">
        <v>1.1000000000000001E-3</v>
      </c>
      <c r="E29" s="21">
        <v>6.8000000000000005E-4</v>
      </c>
      <c r="F29" s="21">
        <v>1.9000000000000001E-4</v>
      </c>
      <c r="G29" s="21">
        <v>3.2000000000000003E-4</v>
      </c>
      <c r="H29" s="21">
        <v>2.4000000000000001E-4</v>
      </c>
    </row>
    <row r="30" spans="2:8" x14ac:dyDescent="0.2">
      <c r="B30" s="20">
        <v>25</v>
      </c>
      <c r="C30" s="21">
        <v>5.2999999999999998E-4</v>
      </c>
      <c r="D30" s="21">
        <v>1.06E-3</v>
      </c>
      <c r="E30" s="21">
        <v>6.6E-4</v>
      </c>
      <c r="F30" s="21">
        <v>1.7000000000000001E-4</v>
      </c>
      <c r="G30" s="21">
        <v>2.9E-4</v>
      </c>
      <c r="H30" s="21">
        <v>2.2000000000000001E-4</v>
      </c>
    </row>
    <row r="31" spans="2:8" x14ac:dyDescent="0.2">
      <c r="B31" s="20">
        <v>26</v>
      </c>
      <c r="C31" s="21">
        <v>5.0000000000000001E-4</v>
      </c>
      <c r="D31" s="21">
        <v>1E-3</v>
      </c>
      <c r="E31" s="21">
        <v>6.4000000000000005E-4</v>
      </c>
      <c r="F31" s="21">
        <v>1.6000000000000001E-4</v>
      </c>
      <c r="G31" s="21">
        <v>2.7E-4</v>
      </c>
      <c r="H31" s="21">
        <v>2.1000000000000001E-4</v>
      </c>
    </row>
    <row r="32" spans="2:8" x14ac:dyDescent="0.2">
      <c r="B32" s="20">
        <v>27</v>
      </c>
      <c r="C32" s="21">
        <v>4.8000000000000001E-4</v>
      </c>
      <c r="D32" s="21">
        <v>9.6000000000000002E-4</v>
      </c>
      <c r="E32" s="21">
        <v>6.2E-4</v>
      </c>
      <c r="F32" s="21">
        <v>1.6000000000000001E-4</v>
      </c>
      <c r="G32" s="21">
        <v>2.7E-4</v>
      </c>
      <c r="H32" s="21">
        <v>2.1000000000000001E-4</v>
      </c>
    </row>
    <row r="33" spans="2:8" x14ac:dyDescent="0.2">
      <c r="B33" s="20">
        <v>28</v>
      </c>
      <c r="C33" s="21">
        <v>4.6000000000000001E-4</v>
      </c>
      <c r="D33" s="21">
        <v>9.2000000000000003E-4</v>
      </c>
      <c r="E33" s="21">
        <v>5.9999999999999995E-4</v>
      </c>
      <c r="F33" s="21">
        <v>1.7000000000000001E-4</v>
      </c>
      <c r="G33" s="21">
        <v>2.9E-4</v>
      </c>
      <c r="H33" s="21">
        <v>2.2000000000000001E-4</v>
      </c>
    </row>
    <row r="34" spans="2:8" x14ac:dyDescent="0.2">
      <c r="B34" s="20">
        <v>29</v>
      </c>
      <c r="C34" s="21">
        <v>4.4999999999999999E-4</v>
      </c>
      <c r="D34" s="21">
        <v>8.9999999999999998E-4</v>
      </c>
      <c r="E34" s="21">
        <v>5.8E-4</v>
      </c>
      <c r="F34" s="21">
        <v>1.9000000000000001E-4</v>
      </c>
      <c r="G34" s="21">
        <v>3.2000000000000003E-4</v>
      </c>
      <c r="H34" s="21">
        <v>2.4000000000000001E-4</v>
      </c>
    </row>
    <row r="35" spans="2:8" x14ac:dyDescent="0.2">
      <c r="B35" s="20">
        <v>30</v>
      </c>
      <c r="C35" s="21">
        <v>4.2999999999999999E-4</v>
      </c>
      <c r="D35" s="21">
        <v>8.5999999999999998E-4</v>
      </c>
      <c r="E35" s="21">
        <v>5.5999999999999995E-4</v>
      </c>
      <c r="F35" s="21">
        <v>2.1000000000000001E-4</v>
      </c>
      <c r="G35" s="21">
        <v>3.6000000000000002E-4</v>
      </c>
      <c r="H35" s="21">
        <v>2.5999999999999998E-4</v>
      </c>
    </row>
    <row r="36" spans="2:8" x14ac:dyDescent="0.2">
      <c r="B36" s="20">
        <v>31</v>
      </c>
      <c r="C36" s="21">
        <v>4.2000000000000002E-4</v>
      </c>
      <c r="D36" s="21">
        <v>8.4000000000000003E-4</v>
      </c>
      <c r="E36" s="21">
        <v>5.5000000000000003E-4</v>
      </c>
      <c r="F36" s="21">
        <v>2.3000000000000001E-4</v>
      </c>
      <c r="G36" s="21">
        <v>3.8999999999999999E-4</v>
      </c>
      <c r="H36" s="21">
        <v>2.9E-4</v>
      </c>
    </row>
    <row r="37" spans="2:8" x14ac:dyDescent="0.2">
      <c r="B37" s="20">
        <v>32</v>
      </c>
      <c r="C37" s="21">
        <v>4.0999999999999999E-4</v>
      </c>
      <c r="D37" s="21">
        <v>8.1999999999999998E-4</v>
      </c>
      <c r="E37" s="21">
        <v>5.4000000000000001E-4</v>
      </c>
      <c r="F37" s="21">
        <v>2.5000000000000001E-4</v>
      </c>
      <c r="G37" s="21">
        <v>4.2999999999999999E-4</v>
      </c>
      <c r="H37" s="21">
        <v>3.1E-4</v>
      </c>
    </row>
    <row r="38" spans="2:8" x14ac:dyDescent="0.2">
      <c r="B38" s="20">
        <v>33</v>
      </c>
      <c r="C38" s="21">
        <v>4.0000000000000002E-4</v>
      </c>
      <c r="D38" s="21">
        <v>8.0000000000000004E-4</v>
      </c>
      <c r="E38" s="21">
        <v>5.2999999999999998E-4</v>
      </c>
      <c r="F38" s="21">
        <v>2.7E-4</v>
      </c>
      <c r="G38" s="21">
        <v>4.6000000000000001E-4</v>
      </c>
      <c r="H38" s="21">
        <v>3.3E-4</v>
      </c>
    </row>
    <row r="39" spans="2:8" x14ac:dyDescent="0.2">
      <c r="B39" s="20">
        <v>34</v>
      </c>
      <c r="C39" s="21">
        <v>4.0999999999999999E-4</v>
      </c>
      <c r="D39" s="21">
        <v>8.1999999999999998E-4</v>
      </c>
      <c r="E39" s="21">
        <v>5.2999999999999998E-4</v>
      </c>
      <c r="F39" s="21">
        <v>2.9999999999999997E-4</v>
      </c>
      <c r="G39" s="21">
        <v>5.1000000000000004E-4</v>
      </c>
      <c r="H39" s="21">
        <v>3.6000000000000002E-4</v>
      </c>
    </row>
    <row r="40" spans="2:8" x14ac:dyDescent="0.2">
      <c r="B40" s="20">
        <v>35</v>
      </c>
      <c r="C40" s="21">
        <v>4.2000000000000002E-4</v>
      </c>
      <c r="D40" s="21">
        <v>8.4000000000000003E-4</v>
      </c>
      <c r="E40" s="21">
        <v>5.4000000000000001E-4</v>
      </c>
      <c r="F40" s="21">
        <v>3.2000000000000003E-4</v>
      </c>
      <c r="G40" s="21">
        <v>5.4000000000000001E-4</v>
      </c>
      <c r="H40" s="21">
        <v>3.8000000000000002E-4</v>
      </c>
    </row>
    <row r="41" spans="2:8" x14ac:dyDescent="0.2">
      <c r="B41" s="20">
        <v>36</v>
      </c>
      <c r="C41" s="21">
        <v>4.2999999999999999E-4</v>
      </c>
      <c r="D41" s="21">
        <v>8.5999999999999998E-4</v>
      </c>
      <c r="E41" s="21">
        <v>5.5000000000000003E-4</v>
      </c>
      <c r="F41" s="21">
        <v>3.4000000000000002E-4</v>
      </c>
      <c r="G41" s="21">
        <v>5.8E-4</v>
      </c>
      <c r="H41" s="21">
        <v>4.0000000000000002E-4</v>
      </c>
    </row>
    <row r="42" spans="2:8" x14ac:dyDescent="0.2">
      <c r="B42" s="20">
        <v>37</v>
      </c>
      <c r="C42" s="21">
        <v>4.4999999999999999E-4</v>
      </c>
      <c r="D42" s="21">
        <v>8.9999999999999998E-4</v>
      </c>
      <c r="E42" s="21">
        <v>5.8E-4</v>
      </c>
      <c r="F42" s="21">
        <v>3.6999999999999999E-4</v>
      </c>
      <c r="G42" s="21">
        <v>6.3000000000000003E-4</v>
      </c>
      <c r="H42" s="21">
        <v>4.2000000000000002E-4</v>
      </c>
    </row>
    <row r="43" spans="2:8" x14ac:dyDescent="0.2">
      <c r="B43" s="20">
        <v>38</v>
      </c>
      <c r="C43" s="21">
        <v>4.8999999999999998E-4</v>
      </c>
      <c r="D43" s="21">
        <v>9.7999999999999997E-4</v>
      </c>
      <c r="E43" s="21">
        <v>6.2E-4</v>
      </c>
      <c r="F43" s="21">
        <v>4.0000000000000002E-4</v>
      </c>
      <c r="G43" s="21">
        <v>6.8000000000000005E-4</v>
      </c>
      <c r="H43" s="21">
        <v>4.4999999999999999E-4</v>
      </c>
    </row>
    <row r="44" spans="2:8" x14ac:dyDescent="0.2">
      <c r="B44" s="20">
        <v>39</v>
      </c>
      <c r="C44" s="21">
        <v>5.2999999999999998E-4</v>
      </c>
      <c r="D44" s="21">
        <v>1.06E-3</v>
      </c>
      <c r="E44" s="21">
        <v>6.7000000000000002E-4</v>
      </c>
      <c r="F44" s="21">
        <v>4.2999999999999999E-4</v>
      </c>
      <c r="G44" s="21">
        <v>7.2999999999999996E-4</v>
      </c>
      <c r="H44" s="21">
        <v>4.8999999999999998E-4</v>
      </c>
    </row>
    <row r="45" spans="2:8" x14ac:dyDescent="0.2">
      <c r="B45" s="20">
        <v>40</v>
      </c>
      <c r="C45" s="21">
        <v>5.8E-4</v>
      </c>
      <c r="D45" s="21">
        <v>1.16E-3</v>
      </c>
      <c r="E45" s="21">
        <v>7.2999999999999996E-4</v>
      </c>
      <c r="F45" s="21">
        <v>4.6999999999999999E-4</v>
      </c>
      <c r="G45" s="21">
        <v>8.0000000000000004E-4</v>
      </c>
      <c r="H45" s="21">
        <v>5.2999999999999998E-4</v>
      </c>
    </row>
    <row r="46" spans="2:8" x14ac:dyDescent="0.2">
      <c r="B46" s="20">
        <v>41</v>
      </c>
      <c r="C46" s="21">
        <v>6.3000000000000003E-4</v>
      </c>
      <c r="D46" s="21">
        <v>1.2600000000000001E-3</v>
      </c>
      <c r="E46" s="21">
        <v>7.7999999999999999E-4</v>
      </c>
      <c r="F46" s="21">
        <v>5.1000000000000004E-4</v>
      </c>
      <c r="G46" s="21">
        <v>8.7000000000000001E-4</v>
      </c>
      <c r="H46" s="21">
        <v>5.6999999999999998E-4</v>
      </c>
    </row>
    <row r="47" spans="2:8" x14ac:dyDescent="0.2">
      <c r="B47" s="20">
        <v>42</v>
      </c>
      <c r="C47" s="21">
        <v>6.8000000000000005E-4</v>
      </c>
      <c r="D47" s="21">
        <v>1.3600000000000001E-3</v>
      </c>
      <c r="E47" s="21">
        <v>8.4000000000000003E-4</v>
      </c>
      <c r="F47" s="21">
        <v>5.5000000000000003E-4</v>
      </c>
      <c r="G47" s="21">
        <v>9.3999999999999997E-4</v>
      </c>
      <c r="H47" s="21">
        <v>6.0999999999999997E-4</v>
      </c>
    </row>
    <row r="48" spans="2:8" x14ac:dyDescent="0.2">
      <c r="B48" s="20">
        <v>43</v>
      </c>
      <c r="C48" s="21">
        <v>7.3999999999999999E-4</v>
      </c>
      <c r="D48" s="21">
        <v>1.48E-3</v>
      </c>
      <c r="E48" s="21">
        <v>8.9999999999999998E-4</v>
      </c>
      <c r="F48" s="21">
        <v>5.9000000000000003E-4</v>
      </c>
      <c r="G48" s="21">
        <v>1E-3</v>
      </c>
      <c r="H48" s="21">
        <v>6.4999999999999997E-4</v>
      </c>
    </row>
    <row r="49" spans="2:13" x14ac:dyDescent="0.2">
      <c r="B49" s="20">
        <v>44</v>
      </c>
      <c r="C49" s="21">
        <v>7.9000000000000001E-4</v>
      </c>
      <c r="D49" s="21">
        <v>1.58E-3</v>
      </c>
      <c r="E49" s="21">
        <v>9.6000000000000002E-4</v>
      </c>
      <c r="F49" s="21">
        <v>6.3000000000000003E-4</v>
      </c>
      <c r="G49" s="21">
        <v>1.07E-3</v>
      </c>
      <c r="H49" s="21">
        <v>6.9999999999999999E-4</v>
      </c>
    </row>
    <row r="50" spans="2:13" x14ac:dyDescent="0.2">
      <c r="B50" s="20">
        <v>45</v>
      </c>
      <c r="C50" s="21">
        <v>8.5999999999999998E-4</v>
      </c>
      <c r="D50" s="21">
        <v>1.72E-3</v>
      </c>
      <c r="E50" s="21">
        <v>1.0300000000000001E-3</v>
      </c>
      <c r="F50" s="21">
        <v>6.8999999999999997E-4</v>
      </c>
      <c r="G50" s="21">
        <v>1.17E-3</v>
      </c>
      <c r="H50" s="21">
        <v>7.6000000000000004E-4</v>
      </c>
      <c r="M50" s="48"/>
    </row>
    <row r="51" spans="2:13" x14ac:dyDescent="0.2">
      <c r="B51" s="20">
        <v>46</v>
      </c>
      <c r="C51" s="21">
        <v>9.3000000000000005E-4</v>
      </c>
      <c r="D51" s="21">
        <v>1.8600000000000001E-3</v>
      </c>
      <c r="E51" s="21">
        <v>1.1100000000000001E-3</v>
      </c>
      <c r="F51" s="21">
        <v>7.5000000000000002E-4</v>
      </c>
      <c r="G51" s="21">
        <v>1.2800000000000001E-3</v>
      </c>
      <c r="H51" s="21">
        <v>8.3000000000000001E-4</v>
      </c>
      <c r="J51" s="46"/>
      <c r="M51" s="47"/>
    </row>
    <row r="52" spans="2:13" x14ac:dyDescent="0.2">
      <c r="B52" s="20">
        <v>47</v>
      </c>
      <c r="C52" s="21">
        <v>1.0300000000000001E-3</v>
      </c>
      <c r="D52" s="21">
        <v>2.0600000000000002E-3</v>
      </c>
      <c r="E52" s="21">
        <v>1.2199999999999999E-3</v>
      </c>
      <c r="F52" s="21">
        <v>8.4000000000000003E-4</v>
      </c>
      <c r="G52" s="21">
        <v>1.4300000000000001E-3</v>
      </c>
      <c r="H52" s="21">
        <v>9.2000000000000003E-4</v>
      </c>
      <c r="L52" s="48"/>
      <c r="M52" s="47"/>
    </row>
    <row r="53" spans="2:13" x14ac:dyDescent="0.2">
      <c r="B53" s="20">
        <v>48</v>
      </c>
      <c r="C53" s="21">
        <v>1.15E-3</v>
      </c>
      <c r="D53" s="21">
        <v>2.3E-3</v>
      </c>
      <c r="E53" s="21">
        <v>1.3500000000000001E-3</v>
      </c>
      <c r="F53" s="21">
        <v>9.3000000000000005E-4</v>
      </c>
      <c r="G53" s="21">
        <v>1.58E-3</v>
      </c>
      <c r="H53" s="21">
        <v>1.0200000000000001E-3</v>
      </c>
      <c r="L53" s="48"/>
      <c r="M53" s="47"/>
    </row>
    <row r="54" spans="2:13" x14ac:dyDescent="0.2">
      <c r="B54" s="20">
        <v>49</v>
      </c>
      <c r="C54" s="21">
        <v>1.2800000000000001E-3</v>
      </c>
      <c r="D54" s="21">
        <v>2.5600000000000002E-3</v>
      </c>
      <c r="E54" s="21">
        <v>1.5E-3</v>
      </c>
      <c r="F54" s="21">
        <v>1.0499999999999999E-3</v>
      </c>
      <c r="G54" s="21">
        <v>1.7899999999999999E-3</v>
      </c>
      <c r="H54" s="21">
        <v>1.15E-3</v>
      </c>
      <c r="L54" s="48"/>
      <c r="M54" s="47"/>
    </row>
    <row r="55" spans="2:13" x14ac:dyDescent="0.2">
      <c r="B55" s="20">
        <v>50</v>
      </c>
      <c r="C55" s="21">
        <v>1.42E-3</v>
      </c>
      <c r="D55" s="21">
        <v>2.8400000000000001E-3</v>
      </c>
      <c r="E55" s="21">
        <v>1.66E-3</v>
      </c>
      <c r="F55" s="21">
        <v>1.17E-3</v>
      </c>
      <c r="G55" s="21">
        <v>1.99E-3</v>
      </c>
      <c r="H55" s="21">
        <v>1.2800000000000001E-3</v>
      </c>
      <c r="L55" s="48"/>
      <c r="M55" s="47"/>
    </row>
    <row r="56" spans="2:13" x14ac:dyDescent="0.2">
      <c r="B56" s="20">
        <v>51</v>
      </c>
      <c r="C56" s="21">
        <v>1.56E-3</v>
      </c>
      <c r="D56" s="21">
        <v>3.1199999999999999E-3</v>
      </c>
      <c r="E56" s="21">
        <v>1.82E-3</v>
      </c>
      <c r="F56" s="21">
        <v>1.2899999999999999E-3</v>
      </c>
      <c r="G56" s="21">
        <v>2.1900000000000001E-3</v>
      </c>
      <c r="H56" s="21">
        <v>1.41E-3</v>
      </c>
      <c r="L56" s="48"/>
      <c r="M56" s="47"/>
    </row>
    <row r="57" spans="2:13" x14ac:dyDescent="0.2">
      <c r="B57" s="20">
        <v>52</v>
      </c>
      <c r="C57" s="21">
        <v>1.72E-3</v>
      </c>
      <c r="D57" s="21">
        <v>3.4399999999999999E-3</v>
      </c>
      <c r="E57" s="21">
        <v>2E-3</v>
      </c>
      <c r="F57" s="21">
        <v>1.39E-3</v>
      </c>
      <c r="G57" s="21">
        <v>2.3600000000000001E-3</v>
      </c>
      <c r="H57" s="21">
        <v>1.5200000000000001E-3</v>
      </c>
      <c r="L57" s="48"/>
      <c r="M57" s="47"/>
    </row>
    <row r="58" spans="2:13" x14ac:dyDescent="0.2">
      <c r="B58" s="20">
        <v>53</v>
      </c>
      <c r="C58" s="21">
        <v>1.89E-3</v>
      </c>
      <c r="D58" s="21">
        <v>3.7799999999999999E-3</v>
      </c>
      <c r="E58" s="21">
        <v>2.1900000000000001E-3</v>
      </c>
      <c r="F58" s="21">
        <v>1.49E-3</v>
      </c>
      <c r="G58" s="21">
        <v>2.5300000000000001E-3</v>
      </c>
      <c r="H58" s="21">
        <v>1.6299999999999999E-3</v>
      </c>
      <c r="L58" s="48"/>
      <c r="M58" s="47"/>
    </row>
    <row r="59" spans="2:13" x14ac:dyDescent="0.2">
      <c r="B59" s="20">
        <v>54</v>
      </c>
      <c r="C59" s="21">
        <v>2.0799999999999998E-3</v>
      </c>
      <c r="D59" s="21">
        <v>4.1599999999999996E-3</v>
      </c>
      <c r="E59" s="21">
        <v>2.3999999999999998E-3</v>
      </c>
      <c r="F59" s="21">
        <v>1.57E-3</v>
      </c>
      <c r="G59" s="21">
        <v>2.6700000000000001E-3</v>
      </c>
      <c r="H59" s="21">
        <v>1.72E-3</v>
      </c>
      <c r="L59" s="48"/>
      <c r="M59" s="47"/>
    </row>
    <row r="60" spans="2:13" x14ac:dyDescent="0.2">
      <c r="B60" s="20">
        <v>55</v>
      </c>
      <c r="C60" s="21">
        <v>2.3E-3</v>
      </c>
      <c r="D60" s="21">
        <v>4.5999999999999999E-3</v>
      </c>
      <c r="E60" s="21">
        <v>2.64E-3</v>
      </c>
      <c r="F60" s="21">
        <v>1.66E-3</v>
      </c>
      <c r="G60" s="21">
        <v>2.82E-3</v>
      </c>
      <c r="H60" s="21">
        <v>1.81E-3</v>
      </c>
      <c r="L60" s="48"/>
      <c r="M60" s="47"/>
    </row>
    <row r="61" spans="2:13" x14ac:dyDescent="0.2">
      <c r="B61" s="20">
        <v>56</v>
      </c>
      <c r="C61" s="21">
        <v>2.5500000000000002E-3</v>
      </c>
      <c r="D61" s="21">
        <v>5.1000000000000004E-3</v>
      </c>
      <c r="E61" s="21">
        <v>2.9199999999999999E-3</v>
      </c>
      <c r="F61" s="21">
        <v>1.7899999999999999E-3</v>
      </c>
      <c r="G61" s="21">
        <v>3.0400000000000002E-3</v>
      </c>
      <c r="H61" s="21">
        <v>1.9499999999999999E-3</v>
      </c>
      <c r="L61" s="48"/>
      <c r="M61" s="47"/>
    </row>
    <row r="62" spans="2:13" x14ac:dyDescent="0.2">
      <c r="B62" s="20">
        <v>57</v>
      </c>
      <c r="C62" s="21">
        <v>2.8600000000000001E-3</v>
      </c>
      <c r="D62" s="21">
        <v>5.7200000000000003E-3</v>
      </c>
      <c r="E62" s="21">
        <v>3.2599999999999999E-3</v>
      </c>
      <c r="F62" s="21">
        <v>1.9599999999999999E-3</v>
      </c>
      <c r="G62" s="21">
        <v>3.3300000000000001E-3</v>
      </c>
      <c r="H62" s="21">
        <v>2.1299999999999999E-3</v>
      </c>
      <c r="L62" s="48"/>
      <c r="M62" s="47"/>
    </row>
    <row r="63" spans="2:13" x14ac:dyDescent="0.2">
      <c r="B63" s="20">
        <v>58</v>
      </c>
      <c r="C63" s="21">
        <v>3.2000000000000002E-3</v>
      </c>
      <c r="D63" s="21">
        <v>6.4000000000000003E-3</v>
      </c>
      <c r="E63" s="21">
        <v>3.64E-3</v>
      </c>
      <c r="F63" s="21">
        <v>2.1900000000000001E-3</v>
      </c>
      <c r="G63" s="21">
        <v>3.7200000000000002E-3</v>
      </c>
      <c r="H63" s="21">
        <v>2.3800000000000002E-3</v>
      </c>
      <c r="L63" s="48"/>
    </row>
    <row r="64" spans="2:13" x14ac:dyDescent="0.2">
      <c r="B64" s="20">
        <v>59</v>
      </c>
      <c r="C64" s="21">
        <v>3.5799999999999998E-3</v>
      </c>
      <c r="D64" s="21">
        <v>7.1599999999999997E-3</v>
      </c>
      <c r="E64" s="21">
        <v>4.0499999999999998E-3</v>
      </c>
      <c r="F64" s="21">
        <v>2.48E-3</v>
      </c>
      <c r="G64" s="21">
        <v>4.2199999999999998E-3</v>
      </c>
      <c r="H64" s="21">
        <v>2.6900000000000001E-3</v>
      </c>
    </row>
    <row r="65" spans="2:8" x14ac:dyDescent="0.2">
      <c r="B65" s="20">
        <v>60</v>
      </c>
      <c r="C65" s="21">
        <v>3.9699999999999996E-3</v>
      </c>
      <c r="D65" s="21">
        <v>7.9399999999999991E-3</v>
      </c>
      <c r="E65" s="21">
        <v>4.47E-3</v>
      </c>
      <c r="F65" s="21">
        <v>2.8400000000000001E-3</v>
      </c>
      <c r="G65" s="21">
        <v>4.8300000000000001E-3</v>
      </c>
      <c r="H65" s="21">
        <v>3.0799999999999998E-3</v>
      </c>
    </row>
    <row r="66" spans="2:8" x14ac:dyDescent="0.2">
      <c r="B66" s="20">
        <v>61</v>
      </c>
      <c r="C66" s="21">
        <v>4.3800000000000002E-3</v>
      </c>
      <c r="D66" s="21">
        <v>8.7600000000000004E-3</v>
      </c>
      <c r="E66" s="21">
        <v>4.9100000000000003E-3</v>
      </c>
      <c r="F66" s="21">
        <v>3.2699999999999999E-3</v>
      </c>
      <c r="G66" s="21">
        <v>5.5599999999999998E-3</v>
      </c>
      <c r="H66" s="21">
        <v>3.5300000000000002E-3</v>
      </c>
    </row>
    <row r="67" spans="2:8" x14ac:dyDescent="0.2">
      <c r="B67" s="20">
        <v>62</v>
      </c>
      <c r="C67" s="21">
        <v>4.79E-3</v>
      </c>
      <c r="D67" s="21">
        <v>9.58E-3</v>
      </c>
      <c r="E67" s="21">
        <v>5.3499999999999997E-3</v>
      </c>
      <c r="F67" s="21">
        <v>3.7499999999999999E-3</v>
      </c>
      <c r="G67" s="21">
        <v>6.3800000000000003E-3</v>
      </c>
      <c r="H67" s="21">
        <v>4.0400000000000002E-3</v>
      </c>
    </row>
    <row r="68" spans="2:8" x14ac:dyDescent="0.2">
      <c r="B68" s="20">
        <v>63</v>
      </c>
      <c r="C68" s="21">
        <v>5.2500000000000003E-3</v>
      </c>
      <c r="D68" s="21">
        <v>1.0500000000000001E-2</v>
      </c>
      <c r="E68" s="21">
        <v>5.8300000000000001E-3</v>
      </c>
      <c r="F68" s="21">
        <v>4.28E-3</v>
      </c>
      <c r="G68" s="21">
        <v>7.28E-3</v>
      </c>
      <c r="H68" s="21">
        <v>4.5999999999999999E-3</v>
      </c>
    </row>
    <row r="69" spans="2:8" x14ac:dyDescent="0.2">
      <c r="B69" s="20">
        <v>64</v>
      </c>
      <c r="C69" s="21">
        <v>5.79E-3</v>
      </c>
      <c r="D69" s="21">
        <v>1.158E-2</v>
      </c>
      <c r="E69" s="21">
        <v>6.4000000000000003E-3</v>
      </c>
      <c r="F69" s="21">
        <v>4.8599999999999997E-3</v>
      </c>
      <c r="G69" s="21">
        <v>8.26E-3</v>
      </c>
      <c r="H69" s="21">
        <v>5.2100000000000002E-3</v>
      </c>
    </row>
    <row r="70" spans="2:8" x14ac:dyDescent="0.2">
      <c r="B70" s="20">
        <v>65</v>
      </c>
      <c r="C70" s="21">
        <v>6.4599999999999996E-3</v>
      </c>
      <c r="D70" s="21">
        <v>1.2919999999999999E-2</v>
      </c>
      <c r="E70" s="21">
        <v>7.11E-3</v>
      </c>
      <c r="F70" s="21">
        <v>5.4900000000000001E-3</v>
      </c>
      <c r="G70" s="21">
        <v>9.3299999999999998E-3</v>
      </c>
      <c r="H70" s="21">
        <v>5.8700000000000002E-3</v>
      </c>
    </row>
    <row r="71" spans="2:8" x14ac:dyDescent="0.2">
      <c r="B71" s="20">
        <v>66</v>
      </c>
      <c r="C71" s="21">
        <v>7.3200000000000001E-3</v>
      </c>
      <c r="D71" s="21">
        <v>1.464E-2</v>
      </c>
      <c r="E71" s="21">
        <v>8.0099999999999998E-3</v>
      </c>
      <c r="F71" s="21">
        <v>6.1599999999999997E-3</v>
      </c>
      <c r="G71" s="21">
        <v>1.047E-2</v>
      </c>
      <c r="H71" s="21">
        <v>6.5700000000000003E-3</v>
      </c>
    </row>
    <row r="72" spans="2:8" x14ac:dyDescent="0.2">
      <c r="B72" s="20">
        <v>67</v>
      </c>
      <c r="C72" s="21">
        <v>8.4200000000000004E-3</v>
      </c>
      <c r="D72" s="21">
        <v>1.6840000000000001E-2</v>
      </c>
      <c r="E72" s="21">
        <v>9.1699999999999993E-3</v>
      </c>
      <c r="F72" s="21">
        <v>6.9100000000000003E-3</v>
      </c>
      <c r="G72" s="21">
        <v>1.175E-2</v>
      </c>
      <c r="H72" s="21">
        <v>7.3499999999999998E-3</v>
      </c>
    </row>
    <row r="73" spans="2:8" x14ac:dyDescent="0.2">
      <c r="B73" s="20">
        <v>68</v>
      </c>
      <c r="C73" s="21">
        <v>9.7699999999999992E-3</v>
      </c>
      <c r="D73" s="21">
        <v>1.9539999999999998E-2</v>
      </c>
      <c r="E73" s="21">
        <v>1.0580000000000001E-2</v>
      </c>
      <c r="F73" s="21">
        <v>7.7299999999999999E-3</v>
      </c>
      <c r="G73" s="21">
        <v>1.3140000000000001E-2</v>
      </c>
      <c r="H73" s="21">
        <v>8.1899999999999994E-3</v>
      </c>
    </row>
    <row r="74" spans="2:8" x14ac:dyDescent="0.2">
      <c r="B74" s="20">
        <v>69</v>
      </c>
      <c r="C74" s="21">
        <v>1.136E-2</v>
      </c>
      <c r="D74" s="21">
        <v>2.2720000000000001E-2</v>
      </c>
      <c r="E74" s="21">
        <v>1.2239999999999999E-2</v>
      </c>
      <c r="F74" s="21">
        <v>8.6499999999999997E-3</v>
      </c>
      <c r="G74" s="21">
        <v>1.4710000000000001E-2</v>
      </c>
      <c r="H74" s="21">
        <v>9.1299999999999992E-3</v>
      </c>
    </row>
    <row r="75" spans="2:8" x14ac:dyDescent="0.2">
      <c r="B75" s="20">
        <v>70</v>
      </c>
      <c r="C75" s="21">
        <v>1.321E-2</v>
      </c>
      <c r="D75" s="21">
        <v>2.6419999999999999E-2</v>
      </c>
      <c r="E75" s="21">
        <v>1.4160000000000001E-2</v>
      </c>
      <c r="F75" s="21">
        <v>9.6699999999999998E-3</v>
      </c>
      <c r="G75" s="21">
        <v>1.644E-2</v>
      </c>
      <c r="H75" s="21">
        <v>1.017E-2</v>
      </c>
    </row>
    <row r="76" spans="2:8" x14ac:dyDescent="0.2">
      <c r="B76" s="20">
        <v>71</v>
      </c>
      <c r="C76" s="21">
        <v>1.5350000000000001E-2</v>
      </c>
      <c r="D76" s="21">
        <v>3.0700000000000002E-2</v>
      </c>
      <c r="E76" s="21">
        <v>1.6379999999999999E-2</v>
      </c>
      <c r="F76" s="21">
        <v>1.0829999999999999E-2</v>
      </c>
      <c r="G76" s="21">
        <v>1.8409999999999999E-2</v>
      </c>
      <c r="H76" s="21">
        <v>1.1350000000000001E-2</v>
      </c>
    </row>
    <row r="77" spans="2:8" x14ac:dyDescent="0.2">
      <c r="B77" s="20">
        <v>72</v>
      </c>
      <c r="C77" s="21">
        <v>1.78E-2</v>
      </c>
      <c r="D77" s="21">
        <v>3.56E-2</v>
      </c>
      <c r="E77" s="21">
        <v>1.891E-2</v>
      </c>
      <c r="F77" s="21">
        <v>1.2160000000000001E-2</v>
      </c>
      <c r="G77" s="21">
        <v>2.0670000000000001E-2</v>
      </c>
      <c r="H77" s="21">
        <v>1.2699999999999999E-2</v>
      </c>
    </row>
    <row r="78" spans="2:8" x14ac:dyDescent="0.2">
      <c r="B78" s="20">
        <v>73</v>
      </c>
      <c r="C78" s="21">
        <v>2.0480000000000002E-2</v>
      </c>
      <c r="D78" s="21">
        <v>4.0960000000000003E-2</v>
      </c>
      <c r="E78" s="21">
        <v>2.1659999999999999E-2</v>
      </c>
      <c r="F78" s="21">
        <v>1.3690000000000001E-2</v>
      </c>
      <c r="G78" s="21">
        <v>2.3269999999999999E-2</v>
      </c>
      <c r="H78" s="21">
        <v>1.4250000000000001E-2</v>
      </c>
    </row>
    <row r="79" spans="2:8" x14ac:dyDescent="0.2">
      <c r="B79" s="20">
        <v>74</v>
      </c>
      <c r="C79" s="21">
        <v>2.341E-2</v>
      </c>
      <c r="D79" s="21">
        <v>4.6820000000000001E-2</v>
      </c>
      <c r="E79" s="21">
        <v>2.4670000000000001E-2</v>
      </c>
      <c r="F79" s="21">
        <v>1.5469999999999999E-2</v>
      </c>
      <c r="G79" s="21">
        <v>2.63E-2</v>
      </c>
      <c r="H79" s="21">
        <v>1.6049999999999998E-2</v>
      </c>
    </row>
    <row r="80" spans="2:8" x14ac:dyDescent="0.2">
      <c r="B80" s="20">
        <v>75</v>
      </c>
      <c r="C80" s="21">
        <v>2.674E-2</v>
      </c>
      <c r="D80" s="21">
        <v>5.348E-2</v>
      </c>
      <c r="E80" s="21">
        <v>2.8080000000000001E-2</v>
      </c>
      <c r="F80" s="21">
        <v>1.7510000000000001E-2</v>
      </c>
      <c r="G80" s="21">
        <v>2.9770000000000001E-2</v>
      </c>
      <c r="H80" s="21">
        <v>1.8120000000000001E-2</v>
      </c>
    </row>
    <row r="81" spans="2:8" x14ac:dyDescent="0.2">
      <c r="B81" s="20">
        <v>76</v>
      </c>
      <c r="C81" s="21">
        <v>3.0630000000000001E-2</v>
      </c>
      <c r="D81" s="21">
        <v>6.0339999999999998E-2</v>
      </c>
      <c r="E81" s="21">
        <v>3.202E-2</v>
      </c>
      <c r="F81" s="21">
        <v>1.985E-2</v>
      </c>
      <c r="G81" s="21">
        <v>3.3390000000000003E-2</v>
      </c>
      <c r="H81" s="21">
        <v>2.0480000000000002E-2</v>
      </c>
    </row>
    <row r="82" spans="2:8" x14ac:dyDescent="0.2">
      <c r="B82" s="20">
        <v>77</v>
      </c>
      <c r="C82" s="21">
        <v>3.5069999999999997E-2</v>
      </c>
      <c r="D82" s="21">
        <v>6.8040000000000003E-2</v>
      </c>
      <c r="E82" s="21">
        <v>3.6519999999999997E-2</v>
      </c>
      <c r="F82" s="21">
        <v>2.256E-2</v>
      </c>
      <c r="G82" s="21">
        <v>3.7539999999999997E-2</v>
      </c>
      <c r="H82" s="21">
        <v>2.3210000000000001E-2</v>
      </c>
    </row>
    <row r="83" spans="2:8" x14ac:dyDescent="0.2">
      <c r="B83" s="20">
        <v>78</v>
      </c>
      <c r="C83" s="21">
        <v>4.0099999999999997E-2</v>
      </c>
      <c r="D83" s="21">
        <v>7.6590000000000005E-2</v>
      </c>
      <c r="E83" s="21">
        <v>4.1619999999999997E-2</v>
      </c>
      <c r="F83" s="21">
        <v>2.5680000000000001E-2</v>
      </c>
      <c r="G83" s="21">
        <v>4.2270000000000002E-2</v>
      </c>
      <c r="H83" s="21">
        <v>2.6360000000000001E-2</v>
      </c>
    </row>
    <row r="84" spans="2:8" x14ac:dyDescent="0.2">
      <c r="B84" s="20">
        <v>79</v>
      </c>
      <c r="C84" s="21">
        <v>4.5749999999999999E-2</v>
      </c>
      <c r="D84" s="21">
        <v>8.6010000000000003E-2</v>
      </c>
      <c r="E84" s="21">
        <v>4.734E-2</v>
      </c>
      <c r="F84" s="21">
        <v>2.93E-2</v>
      </c>
      <c r="G84" s="21">
        <v>4.7699999999999999E-2</v>
      </c>
      <c r="H84" s="21">
        <v>3.0020000000000002E-2</v>
      </c>
    </row>
    <row r="85" spans="2:8" x14ac:dyDescent="0.2">
      <c r="B85" s="20">
        <v>80</v>
      </c>
      <c r="C85" s="21">
        <v>5.2060000000000002E-2</v>
      </c>
      <c r="D85" s="21">
        <v>9.6310000000000007E-2</v>
      </c>
      <c r="E85" s="21">
        <v>5.373E-2</v>
      </c>
      <c r="F85" s="21">
        <v>3.347E-2</v>
      </c>
      <c r="G85" s="21">
        <v>5.389E-2</v>
      </c>
      <c r="H85" s="21">
        <v>3.4229999999999997E-2</v>
      </c>
    </row>
    <row r="86" spans="2:8" x14ac:dyDescent="0.2">
      <c r="B86" s="20">
        <v>81</v>
      </c>
      <c r="C86" s="21">
        <v>5.9020000000000003E-2</v>
      </c>
      <c r="D86" s="21">
        <v>0.10742</v>
      </c>
      <c r="E86" s="21">
        <v>6.0769999999999998E-2</v>
      </c>
      <c r="F86" s="21">
        <v>3.8370000000000001E-2</v>
      </c>
      <c r="G86" s="21">
        <v>6.1089999999999998E-2</v>
      </c>
      <c r="H86" s="21">
        <v>3.918E-2</v>
      </c>
    </row>
    <row r="87" spans="2:8" x14ac:dyDescent="0.2">
      <c r="B87" s="20">
        <v>82</v>
      </c>
      <c r="C87" s="21">
        <v>6.6110000000000002E-2</v>
      </c>
      <c r="D87" s="21">
        <v>0.11834</v>
      </c>
      <c r="E87" s="21">
        <v>6.7909999999999998E-2</v>
      </c>
      <c r="F87" s="21">
        <v>4.385E-2</v>
      </c>
      <c r="G87" s="21">
        <v>6.9019999999999998E-2</v>
      </c>
      <c r="H87" s="21">
        <v>4.471E-2</v>
      </c>
    </row>
    <row r="88" spans="2:8" x14ac:dyDescent="0.2">
      <c r="B88" s="20">
        <v>83</v>
      </c>
      <c r="C88" s="21">
        <v>7.3859999999999995E-2</v>
      </c>
      <c r="D88" s="21">
        <v>0.12998999999999999</v>
      </c>
      <c r="E88" s="21">
        <v>7.5719999999999996E-2</v>
      </c>
      <c r="F88" s="21">
        <v>5.0139999999999997E-2</v>
      </c>
      <c r="G88" s="21">
        <v>7.8020000000000006E-2</v>
      </c>
      <c r="H88" s="21">
        <v>5.1060000000000001E-2</v>
      </c>
    </row>
    <row r="89" spans="2:8" x14ac:dyDescent="0.2">
      <c r="B89" s="20">
        <v>84</v>
      </c>
      <c r="C89" s="21">
        <v>8.2500000000000004E-2</v>
      </c>
      <c r="D89" s="21">
        <v>0.14273</v>
      </c>
      <c r="E89" s="21">
        <v>8.4400000000000003E-2</v>
      </c>
      <c r="F89" s="21">
        <v>5.7340000000000002E-2</v>
      </c>
      <c r="G89" s="21">
        <v>8.8190000000000004E-2</v>
      </c>
      <c r="H89" s="21">
        <v>5.8310000000000001E-2</v>
      </c>
    </row>
    <row r="90" spans="2:8" x14ac:dyDescent="0.2">
      <c r="B90" s="20">
        <v>85</v>
      </c>
      <c r="C90" s="21">
        <v>9.2090000000000005E-2</v>
      </c>
      <c r="D90" s="21">
        <v>0.15654999999999999</v>
      </c>
      <c r="E90" s="21">
        <v>9.4020000000000006E-2</v>
      </c>
      <c r="F90" s="21">
        <v>6.5500000000000003E-2</v>
      </c>
      <c r="G90" s="21">
        <v>9.9559999999999996E-2</v>
      </c>
      <c r="H90" s="21">
        <v>6.6519999999999996E-2</v>
      </c>
    </row>
    <row r="91" spans="2:8" x14ac:dyDescent="0.2">
      <c r="B91" s="20">
        <v>86</v>
      </c>
      <c r="C91" s="21">
        <v>0.10269</v>
      </c>
      <c r="D91" s="21">
        <v>0.17149</v>
      </c>
      <c r="E91" s="21">
        <v>0.10464</v>
      </c>
      <c r="F91" s="21">
        <v>7.4709999999999999E-2</v>
      </c>
      <c r="G91" s="21">
        <v>0.11221</v>
      </c>
      <c r="H91" s="21">
        <v>7.5770000000000004E-2</v>
      </c>
    </row>
    <row r="92" spans="2:8" x14ac:dyDescent="0.2">
      <c r="B92" s="20">
        <v>87</v>
      </c>
      <c r="C92" s="21">
        <v>0.11434</v>
      </c>
      <c r="D92" s="21">
        <v>0.18751999999999999</v>
      </c>
      <c r="E92" s="21">
        <v>0.11627999999999999</v>
      </c>
      <c r="F92" s="21">
        <v>8.5010000000000002E-2</v>
      </c>
      <c r="G92" s="21">
        <v>0.12615000000000001</v>
      </c>
      <c r="H92" s="21">
        <v>8.6099999999999996E-2</v>
      </c>
    </row>
    <row r="93" spans="2:8" x14ac:dyDescent="0.2">
      <c r="B93" s="20">
        <v>88</v>
      </c>
      <c r="C93" s="21">
        <v>0.12695000000000001</v>
      </c>
      <c r="D93" s="21">
        <v>0.20438999999999999</v>
      </c>
      <c r="E93" s="21">
        <v>0.12884999999999999</v>
      </c>
      <c r="F93" s="21">
        <v>9.6449999999999994E-2</v>
      </c>
      <c r="G93" s="21">
        <v>0.1414</v>
      </c>
      <c r="H93" s="21">
        <v>9.7559999999999994E-2</v>
      </c>
    </row>
    <row r="94" spans="2:8" x14ac:dyDescent="0.2">
      <c r="B94" s="20">
        <v>89</v>
      </c>
      <c r="C94" s="21">
        <v>0.14029</v>
      </c>
      <c r="D94" s="21">
        <v>0.22166</v>
      </c>
      <c r="E94" s="21">
        <v>0.14213000000000001</v>
      </c>
      <c r="F94" s="21">
        <v>0.10907</v>
      </c>
      <c r="G94" s="21">
        <v>0.15792999999999999</v>
      </c>
      <c r="H94" s="21">
        <v>0.11018</v>
      </c>
    </row>
    <row r="95" spans="2:8" x14ac:dyDescent="0.2">
      <c r="B95" s="20">
        <v>90</v>
      </c>
      <c r="C95" s="21">
        <v>0.15415000000000001</v>
      </c>
      <c r="D95" s="21">
        <v>0.23893</v>
      </c>
      <c r="E95" s="21">
        <v>0.15589</v>
      </c>
      <c r="F95" s="21">
        <v>0.12277</v>
      </c>
      <c r="G95" s="21">
        <v>0.17555999999999999</v>
      </c>
      <c r="H95" s="21">
        <v>0.12386</v>
      </c>
    </row>
    <row r="96" spans="2:8" x14ac:dyDescent="0.2">
      <c r="B96" s="20">
        <v>91</v>
      </c>
      <c r="C96" s="21">
        <v>0.16829</v>
      </c>
      <c r="D96" s="21">
        <v>0.25580000000000003</v>
      </c>
      <c r="E96" s="21">
        <v>0.16991000000000001</v>
      </c>
      <c r="F96" s="21">
        <v>0.13735</v>
      </c>
      <c r="G96" s="21">
        <v>0.19394</v>
      </c>
      <c r="H96" s="21">
        <v>0.1384</v>
      </c>
    </row>
    <row r="97" spans="2:8" x14ac:dyDescent="0.2">
      <c r="B97" s="20">
        <v>92</v>
      </c>
      <c r="C97" s="21">
        <v>0.18253</v>
      </c>
      <c r="D97" s="21">
        <v>0.27196999999999999</v>
      </c>
      <c r="E97" s="21">
        <v>0.18398999999999999</v>
      </c>
      <c r="F97" s="21">
        <v>0.15259</v>
      </c>
      <c r="G97" s="21">
        <v>0.21271000000000001</v>
      </c>
      <c r="H97" s="21">
        <v>0.15357999999999999</v>
      </c>
    </row>
    <row r="98" spans="2:8" x14ac:dyDescent="0.2">
      <c r="B98" s="20">
        <v>93</v>
      </c>
      <c r="C98" s="21">
        <v>0.19664000000000001</v>
      </c>
      <c r="D98" s="21">
        <v>0.28709000000000001</v>
      </c>
      <c r="E98" s="21">
        <v>0.19792999999999999</v>
      </c>
      <c r="F98" s="21">
        <v>0.16830000000000001</v>
      </c>
      <c r="G98" s="21">
        <v>0.23158000000000001</v>
      </c>
      <c r="H98" s="21">
        <v>0.16919999999999999</v>
      </c>
    </row>
    <row r="99" spans="2:8" x14ac:dyDescent="0.2">
      <c r="B99" s="20">
        <v>94</v>
      </c>
      <c r="C99" s="21">
        <v>0.21045</v>
      </c>
      <c r="D99" s="21">
        <v>0.30093999999999999</v>
      </c>
      <c r="E99" s="21">
        <v>0.21154000000000001</v>
      </c>
      <c r="F99" s="21">
        <v>0.18426999999999999</v>
      </c>
      <c r="G99" s="21">
        <v>0.25024000000000002</v>
      </c>
      <c r="H99" s="21">
        <v>0.18507000000000001</v>
      </c>
    </row>
    <row r="100" spans="2:8" x14ac:dyDescent="0.2">
      <c r="B100" s="20">
        <v>95</v>
      </c>
      <c r="C100" s="21">
        <v>0.22375</v>
      </c>
      <c r="D100" s="21">
        <v>0.31324999999999997</v>
      </c>
      <c r="E100" s="21">
        <v>0.22464999999999999</v>
      </c>
      <c r="F100" s="21">
        <v>0.20032</v>
      </c>
      <c r="G100" s="21">
        <v>0.26843</v>
      </c>
      <c r="H100" s="21">
        <v>0.20100000000000001</v>
      </c>
    </row>
    <row r="101" spans="2:8" x14ac:dyDescent="0.2">
      <c r="B101" s="20">
        <v>96</v>
      </c>
      <c r="C101" s="21">
        <v>0.23641000000000001</v>
      </c>
      <c r="D101" s="21">
        <v>0.32388</v>
      </c>
      <c r="E101" s="21">
        <v>0.23710999999999999</v>
      </c>
      <c r="F101" s="21">
        <v>0.21626000000000001</v>
      </c>
      <c r="G101" s="21">
        <v>0.28589999999999999</v>
      </c>
      <c r="H101" s="21">
        <v>0.21681</v>
      </c>
    </row>
    <row r="102" spans="2:8" x14ac:dyDescent="0.2">
      <c r="B102" s="20">
        <v>97</v>
      </c>
      <c r="C102" s="21">
        <v>0.24826000000000001</v>
      </c>
      <c r="D102" s="21">
        <v>0.33267000000000002</v>
      </c>
      <c r="E102" s="21">
        <v>0.24876000000000001</v>
      </c>
      <c r="F102" s="21">
        <v>0.23194000000000001</v>
      </c>
      <c r="G102" s="21">
        <v>0.30245</v>
      </c>
      <c r="H102" s="21">
        <v>0.23236000000000001</v>
      </c>
    </row>
    <row r="103" spans="2:8" x14ac:dyDescent="0.2">
      <c r="B103" s="20">
        <v>98</v>
      </c>
      <c r="C103" s="21">
        <v>0.25916</v>
      </c>
      <c r="D103" s="21">
        <v>0.33950000000000002</v>
      </c>
      <c r="E103" s="21">
        <v>0.25947999999999999</v>
      </c>
      <c r="F103" s="21">
        <v>0.24722</v>
      </c>
      <c r="G103" s="21">
        <v>0.31791999999999998</v>
      </c>
      <c r="H103" s="21">
        <v>0.2475</v>
      </c>
    </row>
    <row r="104" spans="2:8" x14ac:dyDescent="0.2">
      <c r="B104" s="20">
        <v>99</v>
      </c>
      <c r="C104" s="21">
        <v>0.26896999999999999</v>
      </c>
      <c r="D104" s="21">
        <v>0.34427999999999997</v>
      </c>
      <c r="E104" s="21">
        <v>0.26912000000000003</v>
      </c>
      <c r="F104" s="21">
        <v>0.26196000000000003</v>
      </c>
      <c r="G104" s="21">
        <v>0.33217000000000002</v>
      </c>
      <c r="H104" s="21">
        <v>0.2621</v>
      </c>
    </row>
    <row r="105" spans="2:8" x14ac:dyDescent="0.2">
      <c r="B105" s="20">
        <v>100</v>
      </c>
      <c r="C105" s="21">
        <v>1</v>
      </c>
      <c r="D105" s="21">
        <v>1</v>
      </c>
      <c r="E105" s="21">
        <v>1</v>
      </c>
      <c r="F105" s="21">
        <v>1</v>
      </c>
      <c r="G105" s="21">
        <v>1</v>
      </c>
      <c r="H105" s="21">
        <v>1</v>
      </c>
    </row>
  </sheetData>
  <mergeCells count="3">
    <mergeCell ref="C3:E3"/>
    <mergeCell ref="F3:H3"/>
    <mergeCell ref="B3:B4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showGridLines="0" workbookViewId="0">
      <pane ySplit="3" topLeftCell="A4" activePane="bottomLeft" state="frozen"/>
      <selection pane="bottomLeft" activeCell="A4" sqref="A4"/>
    </sheetView>
  </sheetViews>
  <sheetFormatPr defaultColWidth="8.625" defaultRowHeight="12.75" x14ac:dyDescent="0.2"/>
  <cols>
    <col min="1" max="1" width="2.625" style="19" customWidth="1"/>
    <col min="2" max="3" width="10.875" style="19" customWidth="1"/>
    <col min="4" max="16384" width="8.625" style="19"/>
  </cols>
  <sheetData>
    <row r="1" spans="1:3" x14ac:dyDescent="0.2">
      <c r="A1" s="18" t="s">
        <v>12</v>
      </c>
    </row>
    <row r="3" spans="1:3" ht="25.5" x14ac:dyDescent="0.2">
      <c r="B3" s="23" t="s">
        <v>14</v>
      </c>
      <c r="C3" s="23" t="s">
        <v>13</v>
      </c>
    </row>
    <row r="4" spans="1:3" x14ac:dyDescent="0.2">
      <c r="B4" s="24">
        <v>0</v>
      </c>
      <c r="C4" s="25">
        <v>0.1</v>
      </c>
    </row>
    <row r="5" spans="1:3" x14ac:dyDescent="0.2">
      <c r="B5" s="24">
        <f t="shared" ref="B5:B13" si="0">B4+1</f>
        <v>1</v>
      </c>
      <c r="C5" s="25">
        <v>0.08</v>
      </c>
    </row>
    <row r="6" spans="1:3" x14ac:dyDescent="0.2">
      <c r="B6" s="24">
        <f t="shared" si="0"/>
        <v>2</v>
      </c>
      <c r="C6" s="25">
        <v>7.0000000000000007E-2</v>
      </c>
    </row>
    <row r="7" spans="1:3" x14ac:dyDescent="0.2">
      <c r="B7" s="24">
        <f t="shared" si="0"/>
        <v>3</v>
      </c>
      <c r="C7" s="25">
        <v>0.06</v>
      </c>
    </row>
    <row r="8" spans="1:3" x14ac:dyDescent="0.2">
      <c r="B8" s="24">
        <f t="shared" si="0"/>
        <v>4</v>
      </c>
      <c r="C8" s="25">
        <v>0.05</v>
      </c>
    </row>
    <row r="9" spans="1:3" x14ac:dyDescent="0.2">
      <c r="B9" s="24">
        <f t="shared" si="0"/>
        <v>5</v>
      </c>
      <c r="C9" s="25">
        <v>0.04</v>
      </c>
    </row>
    <row r="10" spans="1:3" x14ac:dyDescent="0.2">
      <c r="B10" s="24">
        <f t="shared" si="0"/>
        <v>6</v>
      </c>
      <c r="C10" s="25">
        <v>0.03</v>
      </c>
    </row>
    <row r="11" spans="1:3" x14ac:dyDescent="0.2">
      <c r="B11" s="24">
        <f t="shared" si="0"/>
        <v>7</v>
      </c>
      <c r="C11" s="25">
        <v>0.02</v>
      </c>
    </row>
    <row r="12" spans="1:3" x14ac:dyDescent="0.2">
      <c r="B12" s="24">
        <f t="shared" si="0"/>
        <v>8</v>
      </c>
      <c r="C12" s="25">
        <v>0.02</v>
      </c>
    </row>
    <row r="13" spans="1:3" x14ac:dyDescent="0.2">
      <c r="B13" s="24">
        <f t="shared" si="0"/>
        <v>9</v>
      </c>
      <c r="C13" s="25">
        <v>0.02</v>
      </c>
    </row>
    <row r="14" spans="1:3" x14ac:dyDescent="0.2">
      <c r="B14" s="24" t="s">
        <v>15</v>
      </c>
      <c r="C14" s="25">
        <v>0.02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17"/>
  <sheetViews>
    <sheetView showGridLines="0" workbookViewId="0"/>
  </sheetViews>
  <sheetFormatPr defaultColWidth="9" defaultRowHeight="12.75" x14ac:dyDescent="0.2"/>
  <cols>
    <col min="1" max="1" width="2.625" style="27" customWidth="1"/>
    <col min="2" max="2" width="11.75" style="27" customWidth="1"/>
    <col min="3" max="3" width="14" style="27" customWidth="1"/>
    <col min="4" max="7" width="13.25" style="27" customWidth="1"/>
    <col min="8" max="9" width="9.25" style="27" customWidth="1"/>
    <col min="10" max="13" width="9" style="27"/>
    <col min="14" max="14" width="10.375" style="27" bestFit="1" customWidth="1"/>
    <col min="15" max="16384" width="9" style="27"/>
  </cols>
  <sheetData>
    <row r="1" spans="1:15" x14ac:dyDescent="0.2">
      <c r="A1" s="26" t="s">
        <v>43</v>
      </c>
      <c r="N1" s="2" t="s">
        <v>109</v>
      </c>
      <c r="O1" s="1"/>
    </row>
    <row r="2" spans="1:15" x14ac:dyDescent="0.2">
      <c r="N2" s="1" t="s">
        <v>108</v>
      </c>
      <c r="O2" s="73"/>
    </row>
    <row r="3" spans="1:15" ht="38.25" x14ac:dyDescent="0.2">
      <c r="B3" s="34" t="s">
        <v>44</v>
      </c>
      <c r="C3" s="35" t="s">
        <v>53</v>
      </c>
      <c r="D3" s="35" t="s">
        <v>71</v>
      </c>
      <c r="E3" s="35" t="s">
        <v>45</v>
      </c>
      <c r="F3" s="35" t="s">
        <v>72</v>
      </c>
    </row>
    <row r="4" spans="1:15" x14ac:dyDescent="0.2">
      <c r="B4" s="28" t="s">
        <v>46</v>
      </c>
      <c r="C4" s="41">
        <v>8.5000000000000006E-2</v>
      </c>
      <c r="D4" s="29">
        <v>0.14000000000000001</v>
      </c>
      <c r="E4" s="29">
        <v>0.15</v>
      </c>
      <c r="F4" s="31">
        <f>D4*E4</f>
        <v>2.1000000000000001E-2</v>
      </c>
      <c r="I4" s="74"/>
    </row>
    <row r="5" spans="1:15" x14ac:dyDescent="0.2">
      <c r="B5" s="28" t="s">
        <v>47</v>
      </c>
      <c r="C5" s="41">
        <v>7.0000000000000007E-2</v>
      </c>
      <c r="D5" s="29">
        <v>0.15</v>
      </c>
      <c r="E5" s="29">
        <v>0.15</v>
      </c>
      <c r="F5" s="31">
        <f t="shared" ref="F5:F8" si="0">D5*E5</f>
        <v>2.2499999999999999E-2</v>
      </c>
      <c r="H5" s="74"/>
      <c r="I5" s="74"/>
    </row>
    <row r="6" spans="1:15" ht="25.5" x14ac:dyDescent="0.2">
      <c r="B6" s="28" t="s">
        <v>48</v>
      </c>
      <c r="C6" s="41">
        <v>6.5000000000000002E-2</v>
      </c>
      <c r="D6" s="29">
        <v>0.1</v>
      </c>
      <c r="E6" s="29">
        <v>0.2</v>
      </c>
      <c r="F6" s="31">
        <f t="shared" si="0"/>
        <v>2.0000000000000004E-2</v>
      </c>
      <c r="H6" s="74"/>
    </row>
    <row r="7" spans="1:15" ht="25.5" x14ac:dyDescent="0.2">
      <c r="B7" s="28" t="s">
        <v>49</v>
      </c>
      <c r="C7" s="41">
        <v>4.4999999999999998E-2</v>
      </c>
      <c r="D7" s="29">
        <v>0.06</v>
      </c>
      <c r="E7" s="29">
        <v>0.2</v>
      </c>
      <c r="F7" s="31">
        <f t="shared" si="0"/>
        <v>1.2E-2</v>
      </c>
      <c r="H7" s="74"/>
      <c r="I7" s="75"/>
    </row>
    <row r="8" spans="1:15" x14ac:dyDescent="0.2">
      <c r="B8" s="28" t="s">
        <v>50</v>
      </c>
      <c r="C8" s="41">
        <v>2.5000000000000001E-2</v>
      </c>
      <c r="D8" s="29">
        <v>0.01</v>
      </c>
      <c r="E8" s="29">
        <v>0.3</v>
      </c>
      <c r="F8" s="31">
        <f t="shared" si="0"/>
        <v>3.0000000000000001E-3</v>
      </c>
    </row>
    <row r="9" spans="1:15" x14ac:dyDescent="0.2">
      <c r="B9" s="30" t="s">
        <v>52</v>
      </c>
      <c r="C9" s="31">
        <f>SUMPRODUCT(C4:C8,E4:E8)</f>
        <v>5.2750000000000005E-2</v>
      </c>
      <c r="D9" s="31">
        <f t="array" ref="D9">SQRT(MMULT(MMULT(TRANSPOSE(F4:F8),C13:G17),F4:F8))</f>
        <v>5.334275958365859E-2</v>
      </c>
      <c r="E9" s="39">
        <f>SUM(E4:E8)</f>
        <v>1</v>
      </c>
      <c r="F9" s="36"/>
    </row>
    <row r="10" spans="1:15" x14ac:dyDescent="0.2">
      <c r="B10" s="30" t="s">
        <v>70</v>
      </c>
      <c r="C10" s="31">
        <f>(1+C9)^(1/12)-1</f>
        <v>4.2930043261615314E-3</v>
      </c>
      <c r="D10" s="43"/>
      <c r="E10" s="43"/>
      <c r="F10" s="43"/>
    </row>
    <row r="12" spans="1:15" ht="25.5" x14ac:dyDescent="0.2">
      <c r="B12" s="37" t="s">
        <v>51</v>
      </c>
      <c r="C12" s="38" t="str">
        <f t="array" ref="C12:G12">TRANSPOSE(B13:B17)</f>
        <v>Equities</v>
      </c>
      <c r="D12" s="38" t="str">
        <v>Property</v>
      </c>
      <c r="E12" s="38" t="str">
        <v>Corporate Bonds</v>
      </c>
      <c r="F12" s="38" t="str">
        <v>Government Bonds</v>
      </c>
      <c r="G12" s="38" t="str">
        <v>Cash</v>
      </c>
    </row>
    <row r="13" spans="1:15" x14ac:dyDescent="0.2">
      <c r="B13" s="32" t="s">
        <v>46</v>
      </c>
      <c r="C13" s="33">
        <v>1</v>
      </c>
      <c r="D13" s="33">
        <f t="array" ref="D13:G13">TRANSPOSE(C14:C17)</f>
        <v>0.6</v>
      </c>
      <c r="E13" s="33">
        <v>-0.25</v>
      </c>
      <c r="F13" s="33">
        <v>-0.2</v>
      </c>
      <c r="G13" s="33">
        <v>0</v>
      </c>
    </row>
    <row r="14" spans="1:15" x14ac:dyDescent="0.2">
      <c r="B14" s="32" t="s">
        <v>47</v>
      </c>
      <c r="C14" s="33">
        <v>0.6</v>
      </c>
      <c r="D14" s="33">
        <v>1</v>
      </c>
      <c r="E14" s="33">
        <f t="array" ref="E14:G14">TRANSPOSE(D15:D17)</f>
        <v>0.5</v>
      </c>
      <c r="F14" s="33">
        <v>0.25</v>
      </c>
      <c r="G14" s="33">
        <v>0</v>
      </c>
    </row>
    <row r="15" spans="1:15" ht="25.5" x14ac:dyDescent="0.2">
      <c r="B15" s="32" t="s">
        <v>48</v>
      </c>
      <c r="C15" s="33">
        <v>-0.25</v>
      </c>
      <c r="D15" s="33">
        <v>0.5</v>
      </c>
      <c r="E15" s="33">
        <v>1</v>
      </c>
      <c r="F15" s="33">
        <f t="array" ref="F15:G15">TRANSPOSE(E16:E17)</f>
        <v>0.75</v>
      </c>
      <c r="G15" s="33">
        <v>0.75</v>
      </c>
    </row>
    <row r="16" spans="1:15" ht="25.5" x14ac:dyDescent="0.2">
      <c r="B16" s="32" t="s">
        <v>49</v>
      </c>
      <c r="C16" s="33">
        <v>-0.2</v>
      </c>
      <c r="D16" s="33">
        <v>0.25</v>
      </c>
      <c r="E16" s="33">
        <v>0.75</v>
      </c>
      <c r="F16" s="33">
        <v>1</v>
      </c>
      <c r="G16" s="33">
        <f>F17</f>
        <v>0.75</v>
      </c>
    </row>
    <row r="17" spans="2:7" x14ac:dyDescent="0.2">
      <c r="B17" s="32" t="s">
        <v>50</v>
      </c>
      <c r="C17" s="33">
        <v>0</v>
      </c>
      <c r="D17" s="33">
        <v>0</v>
      </c>
      <c r="E17" s="33">
        <v>0.75</v>
      </c>
      <c r="F17" s="33">
        <v>0.75</v>
      </c>
      <c r="G17" s="33">
        <v>1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L259"/>
  <sheetViews>
    <sheetView showGridLines="0" tabSelected="1" zoomScale="85" zoomScaleNormal="85" workbookViewId="0">
      <pane xSplit="2" ySplit="6" topLeftCell="C7" activePane="bottomRight" state="frozen"/>
      <selection pane="topRight"/>
      <selection pane="bottomLeft"/>
      <selection pane="bottomRight" activeCell="J8" sqref="J8"/>
    </sheetView>
  </sheetViews>
  <sheetFormatPr defaultColWidth="8.625" defaultRowHeight="12.75" x14ac:dyDescent="0.2"/>
  <cols>
    <col min="1" max="1" width="2.625" style="1" customWidth="1"/>
    <col min="2" max="2" width="13.5" style="1" bestFit="1" customWidth="1"/>
    <col min="3" max="3" width="8.375" style="1" bestFit="1" customWidth="1"/>
    <col min="4" max="5" width="8.625" style="1"/>
    <col min="6" max="6" width="12.125" style="1" bestFit="1" customWidth="1"/>
    <col min="7" max="7" width="11.25" style="1" bestFit="1" customWidth="1"/>
    <col min="8" max="8" width="7.625" style="1" customWidth="1"/>
    <col min="9" max="9" width="14.125" style="1" bestFit="1" customWidth="1"/>
    <col min="10" max="10" width="8.625" style="1" bestFit="1" customWidth="1"/>
    <col min="11" max="11" width="9.375" style="1" bestFit="1" customWidth="1"/>
    <col min="12" max="12" width="2.625" style="1" customWidth="1"/>
    <col min="13" max="13" width="16" style="1" customWidth="1"/>
    <col min="14" max="14" width="16" style="1" bestFit="1" customWidth="1"/>
    <col min="15" max="20" width="16" style="1" customWidth="1"/>
    <col min="21" max="21" width="14.625" style="1" customWidth="1"/>
    <col min="22" max="23" width="16" style="1" customWidth="1"/>
    <col min="24" max="27" width="12" style="1" customWidth="1"/>
    <col min="28" max="28" width="9.25" style="1" bestFit="1" customWidth="1"/>
    <col min="29" max="29" width="11.125" style="1" bestFit="1" customWidth="1"/>
    <col min="30" max="30" width="10.25" style="1" bestFit="1" customWidth="1"/>
    <col min="31" max="32" width="12.375" style="1" customWidth="1"/>
    <col min="33" max="33" width="13.625" style="1" bestFit="1" customWidth="1"/>
    <col min="34" max="34" width="12.625" style="1" bestFit="1" customWidth="1"/>
    <col min="35" max="35" width="13.625" style="1" bestFit="1" customWidth="1"/>
    <col min="36" max="36" width="2.625" style="1" customWidth="1"/>
    <col min="37" max="37" width="12.625" style="1" customWidth="1"/>
    <col min="38" max="38" width="10.125" style="1" bestFit="1" customWidth="1"/>
    <col min="39" max="16384" width="8.625" style="1"/>
  </cols>
  <sheetData>
    <row r="1" spans="1:38" x14ac:dyDescent="0.2">
      <c r="A1" s="51" t="s">
        <v>39</v>
      </c>
      <c r="C1" s="52"/>
      <c r="D1" s="52"/>
      <c r="E1" s="52"/>
      <c r="F1" s="52"/>
      <c r="G1" s="2" t="s">
        <v>109</v>
      </c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</row>
    <row r="2" spans="1:38" x14ac:dyDescent="0.2">
      <c r="C2" s="53"/>
      <c r="D2" s="53"/>
      <c r="E2" s="53"/>
      <c r="F2" s="53"/>
      <c r="G2" s="1" t="s">
        <v>108</v>
      </c>
      <c r="H2" s="73"/>
      <c r="I2" s="53"/>
      <c r="J2" s="53"/>
      <c r="K2" s="53"/>
      <c r="L2" s="53"/>
      <c r="M2" s="53"/>
      <c r="N2" s="54"/>
      <c r="O2" s="54"/>
      <c r="P2" s="54"/>
      <c r="Q2" s="53"/>
      <c r="R2" s="54"/>
      <c r="S2" s="53"/>
      <c r="T2" s="53"/>
      <c r="U2" s="53"/>
      <c r="V2" s="53"/>
      <c r="W2" s="54"/>
      <c r="X2" s="53"/>
      <c r="Y2" s="54"/>
      <c r="Z2" s="53"/>
      <c r="AA2" s="55"/>
      <c r="AB2" s="53"/>
      <c r="AC2" s="53"/>
      <c r="AD2" s="53"/>
      <c r="AE2" s="53"/>
      <c r="AF2" s="53"/>
      <c r="AG2" s="54"/>
      <c r="AH2" s="53"/>
      <c r="AI2" s="53"/>
      <c r="AJ2" s="53"/>
      <c r="AK2" s="53"/>
      <c r="AL2" s="53"/>
    </row>
    <row r="3" spans="1:38" ht="25.5" x14ac:dyDescent="0.2">
      <c r="B3" s="5"/>
      <c r="C3" s="14" t="s">
        <v>24</v>
      </c>
      <c r="D3" s="5"/>
      <c r="E3" s="14" t="s">
        <v>29</v>
      </c>
      <c r="L3" s="56" t="s">
        <v>35</v>
      </c>
      <c r="M3" s="57"/>
      <c r="N3" s="58">
        <f>NPV(Assumptions!$D$19,N8:N259)*(1+Assumptions!$D$19)</f>
        <v>95352276.153941199</v>
      </c>
      <c r="O3" s="58">
        <f>NPV(Assumptions!$D$19,O8:O259)*(1+Assumptions!$D$19)</f>
        <v>125000</v>
      </c>
      <c r="P3" s="86">
        <f>NPV(Assumptions!$D$19,P8:P259)*(1+Assumptions!$D$19)^0.5</f>
        <v>1713917.9589905692</v>
      </c>
      <c r="Q3" s="86">
        <f>NPV(Assumptions!$D$19,Q8:Q259)*(1+Assumptions!$D$19)^0.5</f>
        <v>-79848536.067049176</v>
      </c>
      <c r="R3" s="58">
        <f>NPV(Assumptions!$D$19,R8:R259)*(1+Assumptions!$D$19)</f>
        <v>356969.70126610406</v>
      </c>
      <c r="S3" s="57"/>
      <c r="T3" s="59"/>
      <c r="U3" s="59"/>
      <c r="V3" s="58"/>
      <c r="W3" s="58">
        <f>NPV(Assumptions!$D$19,W8:W259)*(1+Assumptions!$D$19)</f>
        <v>875000</v>
      </c>
      <c r="X3" s="58">
        <f>NPV(Assumptions!$D$19,X8:X259)*(1+Assumptions!$D$19)</f>
        <v>817106.7287559933</v>
      </c>
      <c r="Y3" s="58">
        <f>NPV(Assumptions!$D$19,Y8:Y259)*(1+Assumptions!$D$19)</f>
        <v>476761.38076970598</v>
      </c>
      <c r="Z3" s="57"/>
      <c r="AA3" s="57"/>
      <c r="AC3" s="57"/>
      <c r="AD3" s="57"/>
      <c r="AE3" s="57"/>
      <c r="AF3" s="57"/>
      <c r="AG3" s="58">
        <f>NPV(Assumptions!$D$19,AG8:AG259)</f>
        <v>0</v>
      </c>
      <c r="AH3" s="58">
        <f>NPV(Assumptions!$D$19,AH8:AH259)</f>
        <v>0</v>
      </c>
      <c r="AI3" s="58">
        <f>NPV(Assumptions!$D$19,AI8:AI259)</f>
        <v>0</v>
      </c>
      <c r="AK3" s="58">
        <f>NPV(Assumptions!$D$19,AK8:AK259)</f>
        <v>0</v>
      </c>
      <c r="AL3" s="58">
        <f>NPV(Assumptions!$D$19,AL8:AL259)</f>
        <v>0</v>
      </c>
    </row>
    <row r="4" spans="1:38" x14ac:dyDescent="0.2">
      <c r="B4" s="60" t="s">
        <v>93</v>
      </c>
      <c r="C4" s="5">
        <f>DATEDIF(Assumptions!H5,Assumptions!C3,"M")</f>
        <v>0</v>
      </c>
      <c r="D4" s="5"/>
      <c r="E4" s="5">
        <f>DATEDIF(Assumptions!H6,Assumptions!C3,"m")</f>
        <v>551</v>
      </c>
      <c r="Z4" s="5" t="s">
        <v>60</v>
      </c>
      <c r="AA4" s="61">
        <f>W8/N3</f>
        <v>9.1764982997087439E-3</v>
      </c>
      <c r="AL4" s="53"/>
    </row>
    <row r="5" spans="1:38" x14ac:dyDescent="0.2">
      <c r="I5" s="95" t="s">
        <v>41</v>
      </c>
      <c r="J5" s="95"/>
      <c r="K5" s="95"/>
      <c r="AL5" s="53"/>
    </row>
    <row r="6" spans="1:38" ht="51" x14ac:dyDescent="0.2">
      <c r="B6" s="62" t="s">
        <v>23</v>
      </c>
      <c r="C6" s="14" t="s">
        <v>24</v>
      </c>
      <c r="D6" s="14" t="s">
        <v>26</v>
      </c>
      <c r="E6" s="14" t="s">
        <v>37</v>
      </c>
      <c r="F6" s="14" t="s">
        <v>25</v>
      </c>
      <c r="G6" s="14" t="s">
        <v>6</v>
      </c>
      <c r="I6" s="14" t="s">
        <v>31</v>
      </c>
      <c r="J6" s="14" t="s">
        <v>28</v>
      </c>
      <c r="K6" s="14" t="s">
        <v>27</v>
      </c>
      <c r="M6" s="63" t="s">
        <v>85</v>
      </c>
      <c r="N6" s="63" t="s">
        <v>30</v>
      </c>
      <c r="O6" s="63" t="s">
        <v>65</v>
      </c>
      <c r="P6" s="63" t="s">
        <v>95</v>
      </c>
      <c r="Q6" s="63" t="s">
        <v>96</v>
      </c>
      <c r="R6" s="63" t="s">
        <v>104</v>
      </c>
      <c r="S6" s="63" t="s">
        <v>105</v>
      </c>
      <c r="T6" s="63" t="s">
        <v>97</v>
      </c>
      <c r="U6" s="63" t="s">
        <v>98</v>
      </c>
      <c r="V6" s="63" t="s">
        <v>94</v>
      </c>
      <c r="W6" s="63" t="s">
        <v>99</v>
      </c>
      <c r="X6" s="63" t="s">
        <v>100</v>
      </c>
      <c r="Y6" s="63" t="s">
        <v>59</v>
      </c>
      <c r="Z6" s="63" t="s">
        <v>87</v>
      </c>
      <c r="AA6" s="63" t="s">
        <v>103</v>
      </c>
      <c r="AC6" s="63" t="s">
        <v>56</v>
      </c>
      <c r="AD6" s="63" t="s">
        <v>67</v>
      </c>
      <c r="AE6" s="63" t="s">
        <v>57</v>
      </c>
      <c r="AF6" s="63" t="s">
        <v>102</v>
      </c>
      <c r="AG6" s="63" t="s">
        <v>69</v>
      </c>
      <c r="AH6" s="63" t="s">
        <v>86</v>
      </c>
      <c r="AI6" s="63" t="s">
        <v>68</v>
      </c>
      <c r="AK6" s="63" t="s">
        <v>90</v>
      </c>
      <c r="AL6" s="63" t="s">
        <v>91</v>
      </c>
    </row>
    <row r="7" spans="1:38" x14ac:dyDescent="0.2">
      <c r="B7" s="5">
        <v>0</v>
      </c>
      <c r="C7" s="14"/>
      <c r="D7" s="14"/>
      <c r="E7" s="14"/>
      <c r="F7" s="14"/>
      <c r="G7" s="14"/>
      <c r="I7" s="64">
        <f>Assumptions!H3</f>
        <v>5000</v>
      </c>
      <c r="J7" s="14"/>
      <c r="K7" s="14"/>
      <c r="M7" s="63"/>
      <c r="N7" s="63"/>
      <c r="O7" s="63"/>
      <c r="P7" s="49"/>
      <c r="Q7" s="63"/>
      <c r="R7" s="50"/>
      <c r="S7" s="63"/>
      <c r="T7" s="63"/>
      <c r="U7" s="63"/>
      <c r="V7" s="50"/>
      <c r="W7" s="63"/>
      <c r="X7" s="63"/>
      <c r="Y7" s="63"/>
      <c r="Z7" s="63"/>
      <c r="AA7" s="63"/>
      <c r="AC7" s="63"/>
      <c r="AD7" s="63"/>
      <c r="AE7" s="63"/>
      <c r="AF7" s="63"/>
      <c r="AG7" s="63"/>
      <c r="AH7" s="63"/>
      <c r="AI7" s="63"/>
      <c r="AK7" s="63"/>
      <c r="AL7" s="63"/>
    </row>
    <row r="8" spans="1:38" x14ac:dyDescent="0.2">
      <c r="B8" s="5">
        <f t="shared" ref="B8:B71" si="0">B7+1</f>
        <v>1</v>
      </c>
      <c r="C8" s="5">
        <f t="shared" ref="C8:C71" si="1">$C$4+B8</f>
        <v>1</v>
      </c>
      <c r="D8" s="5">
        <f t="shared" ref="D8:D71" si="2">ROUNDDOWN((C8-1)/12,0)</f>
        <v>0</v>
      </c>
      <c r="E8" s="5">
        <f t="shared" ref="E8:E71" si="3">ROUNDDOWN(($E$4+B8)/12,0)</f>
        <v>46</v>
      </c>
      <c r="F8" s="65">
        <f>1-(1-VLOOKUP($E8,'Annual Mortality Rates'!$B$5:$C$105,2,FALSE))^(1/12)</f>
        <v>7.7533054016254432E-5</v>
      </c>
      <c r="G8" s="76">
        <f>IF(D8+1&gt;Assumptions!$H$9,100%,1-(1-IF(D8&gt;=7,2%,VLOOKUP($D8,'Annual Lapse Rates'!$B$4:$C$14,2,FALSE)))^(1/12))</f>
        <v>8.7416109546967213E-3</v>
      </c>
      <c r="H8" s="82">
        <f>C8</f>
        <v>1</v>
      </c>
      <c r="I8" s="66">
        <f>I7-J8-K8</f>
        <v>4955.9042799564349</v>
      </c>
      <c r="J8" s="67">
        <f>$I7*F8</f>
        <v>0.38766527008127216</v>
      </c>
      <c r="K8" s="67">
        <f>IF(G8=100%,I7-J8,$I7*G8)</f>
        <v>43.70805477348361</v>
      </c>
      <c r="M8" s="64">
        <v>0</v>
      </c>
      <c r="N8" s="68">
        <f>IF(AND(H8=1,D8&lt;15),Assumptions!$H$4*I7,0)</f>
        <v>12500000</v>
      </c>
      <c r="O8" s="68">
        <f>Assumptions!$C$6*N8</f>
        <v>125000</v>
      </c>
      <c r="P8" s="91">
        <f>$M8*(1+VLOOKUP($H8,Assumptions!$C$22:$D$33,2,FALSE))*F8</f>
        <v>0</v>
      </c>
      <c r="Q8" s="91">
        <f>$M8*(1+VLOOKUP($H8,Assumptions!$C$22:$D$33,2,FALSE))*G8</f>
        <v>0</v>
      </c>
      <c r="R8" s="68">
        <f>IF(AND(H8=12,D8&lt;15),Assumptions!$C$7*M8,0)</f>
        <v>0</v>
      </c>
      <c r="S8" s="69">
        <f>M8*Assumptions!$D$17</f>
        <v>0</v>
      </c>
      <c r="T8" s="69">
        <f>(M8+S8)*(G8=100%)</f>
        <v>0</v>
      </c>
      <c r="U8" s="68">
        <f>T8+AE8*(1+Assumptions!$D$17)</f>
        <v>53559.693564111731</v>
      </c>
      <c r="V8" s="68">
        <f>(M8+N8-O8)*(1+Assumptions!$D$17)-(P8+Q8)*(1+Assumptions!$D$17)^0.5-R8-T8</f>
        <v>12425417.281822648</v>
      </c>
      <c r="W8" s="68">
        <f>Assumptions!$C$10*N8+Assumptions!$C$11*$I$7</f>
        <v>875000</v>
      </c>
      <c r="X8" s="68"/>
      <c r="Y8" s="66">
        <f>Assumptions!$C$13*N8</f>
        <v>62500</v>
      </c>
      <c r="Z8" s="66">
        <f>NPV(Assumptions!$D$19,N8:$N$259)*(1+Assumptions!$D$19)</f>
        <v>95352276.153941199</v>
      </c>
      <c r="AA8" s="69">
        <f>Z9*$AA$4</f>
        <v>763557.71570278646</v>
      </c>
      <c r="AB8" s="70"/>
      <c r="AC8" s="68">
        <f>V8</f>
        <v>12425417.281822648</v>
      </c>
      <c r="AD8" s="96">
        <f>AC8*Assumptions!$D$19</f>
        <v>53342.370145226887</v>
      </c>
      <c r="AE8" s="68">
        <f>AD8-S8</f>
        <v>53342.370145226887</v>
      </c>
      <c r="AF8" s="68"/>
      <c r="AG8" s="68"/>
      <c r="AH8" s="68"/>
      <c r="AI8" s="68"/>
      <c r="AK8" s="68"/>
      <c r="AL8" s="71">
        <f t="shared" ref="AL8:AL71" si="4">ROUND(AK8-AG8,3)</f>
        <v>0</v>
      </c>
    </row>
    <row r="9" spans="1:38" x14ac:dyDescent="0.2">
      <c r="B9" s="5">
        <f t="shared" si="0"/>
        <v>2</v>
      </c>
      <c r="C9" s="5">
        <f t="shared" si="1"/>
        <v>2</v>
      </c>
      <c r="D9" s="5">
        <f t="shared" si="2"/>
        <v>0</v>
      </c>
      <c r="E9" s="5">
        <f t="shared" si="3"/>
        <v>46</v>
      </c>
      <c r="F9" s="65">
        <f>1-(1-VLOOKUP($E9,'Annual Mortality Rates'!$B$5:$C$105,2,FALSE))^(1/12)</f>
        <v>7.7533054016254432E-5</v>
      </c>
      <c r="G9" s="76">
        <f>IF(D9+1&gt;Assumptions!$H$9,100%,1-(1-IF(D9&gt;=7,2%,VLOOKUP($D9,'Annual Lapse Rates'!$B$4:$C$14,2,FALSE)))^(1/12))</f>
        <v>8.7416109546967213E-3</v>
      </c>
      <c r="H9" s="82">
        <f>IF(H8=12,1,H8+1)</f>
        <v>2</v>
      </c>
      <c r="I9" s="66">
        <f t="shared" ref="I9:I72" si="5">I8-J9-K9</f>
        <v>4912.1974464181021</v>
      </c>
      <c r="J9" s="67">
        <f t="shared" ref="J9:J72" si="6">$I8*F9</f>
        <v>0.38424639423724882</v>
      </c>
      <c r="K9" s="67">
        <f t="shared" ref="K9:K72" si="7">IF(G9=100%,I8-J9,$I8*G9)</f>
        <v>43.322587144095536</v>
      </c>
      <c r="M9" s="68">
        <f>V8</f>
        <v>12425417.281822648</v>
      </c>
      <c r="N9" s="68">
        <f>IF(AND(H9=1,D9&lt;15),Assumptions!$H$4*I8,0)</f>
        <v>0</v>
      </c>
      <c r="O9" s="68"/>
      <c r="P9" s="91">
        <f>$M9*(1+VLOOKUP($H9,Assumptions!$C$22:$D$33,2,FALSE))*F9</f>
        <v>969.40167771909466</v>
      </c>
      <c r="Q9" s="91">
        <f>$M9*(1+VLOOKUP($H9,Assumptions!$C$22:$D$33,2,FALSE))*G9</f>
        <v>109297.02735138044</v>
      </c>
      <c r="R9" s="68">
        <f>IF(AND(H9=12,D9&lt;15),Assumptions!$C$7*M9,0)</f>
        <v>0</v>
      </c>
      <c r="S9" s="69">
        <f>M9*Assumptions!$D$17</f>
        <v>50622.688069628923</v>
      </c>
      <c r="T9" s="69">
        <f t="shared" ref="T9:T72" si="8">(M9+S9)*(G9=100%)</f>
        <v>0</v>
      </c>
      <c r="U9" s="68">
        <f>T9+AE9*(1+Assumptions!$D$17)</f>
        <v>0</v>
      </c>
      <c r="V9" s="68">
        <f>(M9+N9-O9)*(1+Assumptions!$D$17)-(P9+Q9)*(1+Assumptions!$D$17)^0.5-R9-T9</f>
        <v>12365549.149639748</v>
      </c>
      <c r="W9" s="68"/>
      <c r="X9" s="68"/>
      <c r="Y9" s="66">
        <f>Assumptions!$C$13*N9</f>
        <v>0</v>
      </c>
      <c r="Z9" s="66">
        <f>NPV(Assumptions!$D$19,N9:$N$259)*(1+Assumptions!$D$19)</f>
        <v>83207961.333902419</v>
      </c>
      <c r="AA9" s="69">
        <f t="shared" ref="AA9:AA72" si="9">Z10*$AA$4</f>
        <v>766835.67227957223</v>
      </c>
      <c r="AC9" s="68">
        <f t="shared" ref="AC9:AC72" si="10">V9</f>
        <v>12365549.149639748</v>
      </c>
      <c r="AD9" s="68"/>
      <c r="AE9" s="68"/>
      <c r="AF9" s="68"/>
      <c r="AG9" s="68"/>
      <c r="AH9" s="68"/>
      <c r="AI9" s="68"/>
      <c r="AK9" s="68"/>
      <c r="AL9" s="71">
        <f t="shared" si="4"/>
        <v>0</v>
      </c>
    </row>
    <row r="10" spans="1:38" x14ac:dyDescent="0.2">
      <c r="B10" s="5">
        <f t="shared" si="0"/>
        <v>3</v>
      </c>
      <c r="C10" s="5">
        <f t="shared" si="1"/>
        <v>3</v>
      </c>
      <c r="D10" s="5">
        <f t="shared" si="2"/>
        <v>0</v>
      </c>
      <c r="E10" s="5">
        <f t="shared" si="3"/>
        <v>46</v>
      </c>
      <c r="F10" s="65">
        <f>1-(1-VLOOKUP($E10,'Annual Mortality Rates'!$B$5:$C$105,2,FALSE))^(1/12)</f>
        <v>7.7533054016254432E-5</v>
      </c>
      <c r="G10" s="76">
        <f>IF(D10+1&gt;Assumptions!$H$9,100%,1-(1-IF(D10&gt;=7,2%,VLOOKUP($D10,'Annual Lapse Rates'!$B$4:$C$14,2,FALSE)))^(1/12))</f>
        <v>8.7416109546967213E-3</v>
      </c>
      <c r="H10" s="82">
        <f t="shared" ref="H10:H73" si="11">IF(H9=12,1,H9+1)</f>
        <v>3</v>
      </c>
      <c r="I10" s="66">
        <f t="shared" si="5"/>
        <v>4868.876069738908</v>
      </c>
      <c r="J10" s="67">
        <f t="shared" si="6"/>
        <v>0.38085766995164178</v>
      </c>
      <c r="K10" s="67">
        <f t="shared" si="7"/>
        <v>42.94051900924174</v>
      </c>
      <c r="M10" s="68">
        <f t="shared" ref="M10:M73" si="12">V9</f>
        <v>12365549.149639748</v>
      </c>
      <c r="N10" s="68">
        <f>IF(AND(H10=1,D10&lt;15),Assumptions!$H$4*I9,0)</f>
        <v>0</v>
      </c>
      <c r="O10" s="68"/>
      <c r="P10" s="91">
        <f>$M10*(1+VLOOKUP($H10,Assumptions!$C$22:$D$33,2,FALSE))*F10</f>
        <v>967.72696631741439</v>
      </c>
      <c r="Q10" s="91">
        <f>$M10*(1+VLOOKUP($H10,Assumptions!$C$22:$D$33,2,FALSE))*G10</f>
        <v>109108.20884396277</v>
      </c>
      <c r="R10" s="68">
        <f>IF(AND(H10=12,D10&lt;15),Assumptions!$C$7*M10,0)</f>
        <v>0</v>
      </c>
      <c r="S10" s="69">
        <f>M10*Assumptions!$D$17</f>
        <v>50378.777888419972</v>
      </c>
      <c r="T10" s="69">
        <f t="shared" si="8"/>
        <v>0</v>
      </c>
      <c r="U10" s="68">
        <f>T10+AE10*(1+Assumptions!$D$17)</f>
        <v>0</v>
      </c>
      <c r="V10" s="68">
        <f>(M10+N10-O10)*(1+Assumptions!$D$17)-(P10+Q10)*(1+Assumptions!$D$17)^0.5-R10-T10</f>
        <v>12305627.988146501</v>
      </c>
      <c r="W10" s="68"/>
      <c r="X10" s="68"/>
      <c r="Y10" s="66">
        <f>Assumptions!$C$13*N10</f>
        <v>0</v>
      </c>
      <c r="Z10" s="66">
        <f>NPV(Assumptions!$D$19,N10:$N$259)*(1+Assumptions!$D$19)</f>
        <v>83565173.471879914</v>
      </c>
      <c r="AA10" s="69">
        <f t="shared" si="9"/>
        <v>770127.70113812352</v>
      </c>
      <c r="AC10" s="68">
        <f t="shared" si="10"/>
        <v>12305627.988146501</v>
      </c>
      <c r="AD10" s="68"/>
      <c r="AE10" s="68"/>
      <c r="AF10" s="68"/>
      <c r="AG10" s="68"/>
      <c r="AH10" s="68"/>
      <c r="AI10" s="68"/>
      <c r="AK10" s="68"/>
      <c r="AL10" s="71">
        <f t="shared" si="4"/>
        <v>0</v>
      </c>
    </row>
    <row r="11" spans="1:38" x14ac:dyDescent="0.2">
      <c r="B11" s="5">
        <f t="shared" si="0"/>
        <v>4</v>
      </c>
      <c r="C11" s="5">
        <f t="shared" si="1"/>
        <v>4</v>
      </c>
      <c r="D11" s="5">
        <f t="shared" si="2"/>
        <v>0</v>
      </c>
      <c r="E11" s="5">
        <f t="shared" si="3"/>
        <v>46</v>
      </c>
      <c r="F11" s="65">
        <f>1-(1-VLOOKUP($E11,'Annual Mortality Rates'!$B$5:$C$105,2,FALSE))^(1/12)</f>
        <v>7.7533054016254432E-5</v>
      </c>
      <c r="G11" s="76">
        <f>IF(D11+1&gt;Assumptions!$H$9,100%,1-(1-IF(D11&gt;=7,2%,VLOOKUP($D11,'Annual Lapse Rates'!$B$4:$C$14,2,FALSE)))^(1/12))</f>
        <v>8.7416109546967213E-3</v>
      </c>
      <c r="H11" s="82">
        <f t="shared" si="11"/>
        <v>4</v>
      </c>
      <c r="I11" s="66">
        <f t="shared" si="5"/>
        <v>4825.936750519304</v>
      </c>
      <c r="J11" s="67">
        <f t="shared" si="6"/>
        <v>0.37749883131351536</v>
      </c>
      <c r="K11" s="67">
        <f t="shared" si="7"/>
        <v>42.561820388290357</v>
      </c>
      <c r="M11" s="68">
        <f t="shared" si="12"/>
        <v>12305627.988146501</v>
      </c>
      <c r="N11" s="68">
        <f>IF(AND(H11=1,D11&lt;15),Assumptions!$H$4*I10,0)</f>
        <v>0</v>
      </c>
      <c r="O11" s="68"/>
      <c r="P11" s="91">
        <f>$M11*(1+VLOOKUP($H11,Assumptions!$C$22:$D$33,2,FALSE))*F11</f>
        <v>966.01908100275602</v>
      </c>
      <c r="Q11" s="91">
        <f>$M11*(1+VLOOKUP($H11,Assumptions!$C$22:$D$33,2,FALSE))*G11</f>
        <v>108915.65008092407</v>
      </c>
      <c r="R11" s="68">
        <f>IF(AND(H11=12,D11&lt;15),Assumptions!$C$7*M11,0)</f>
        <v>0</v>
      </c>
      <c r="S11" s="69">
        <f>M11*Assumptions!$D$17</f>
        <v>50134.651659236501</v>
      </c>
      <c r="T11" s="69">
        <f t="shared" si="8"/>
        <v>0</v>
      </c>
      <c r="U11" s="68">
        <f>T11+AE11*(1+Assumptions!$D$17)</f>
        <v>0</v>
      </c>
      <c r="V11" s="68">
        <f>(M11+N11-O11)*(1+Assumptions!$D$17)-(P11+Q11)*(1+Assumptions!$D$17)^0.5-R11-T11</f>
        <v>12245657.362403363</v>
      </c>
      <c r="W11" s="68"/>
      <c r="X11" s="68"/>
      <c r="Y11" s="66">
        <f>Assumptions!$C$13*N11</f>
        <v>0</v>
      </c>
      <c r="Z11" s="66">
        <f>NPV(Assumptions!$D$19,N11:$N$259)*(1+Assumptions!$D$19)</f>
        <v>83923919.123111144</v>
      </c>
      <c r="AA11" s="69">
        <f t="shared" si="9"/>
        <v>773433.86269080639</v>
      </c>
      <c r="AC11" s="68">
        <f t="shared" si="10"/>
        <v>12245657.362403363</v>
      </c>
      <c r="AD11" s="68"/>
      <c r="AE11" s="68"/>
      <c r="AF11" s="68"/>
      <c r="AG11" s="68"/>
      <c r="AH11" s="68"/>
      <c r="AI11" s="68"/>
      <c r="AK11" s="68"/>
      <c r="AL11" s="71">
        <f t="shared" si="4"/>
        <v>0</v>
      </c>
    </row>
    <row r="12" spans="1:38" x14ac:dyDescent="0.2">
      <c r="B12" s="5">
        <f t="shared" si="0"/>
        <v>5</v>
      </c>
      <c r="C12" s="5">
        <f t="shared" si="1"/>
        <v>5</v>
      </c>
      <c r="D12" s="5">
        <f t="shared" si="2"/>
        <v>0</v>
      </c>
      <c r="E12" s="5">
        <f t="shared" si="3"/>
        <v>46</v>
      </c>
      <c r="F12" s="65">
        <f>1-(1-VLOOKUP($E12,'Annual Mortality Rates'!$B$5:$C$105,2,FALSE))^(1/12)</f>
        <v>7.7533054016254432E-5</v>
      </c>
      <c r="G12" s="76">
        <f>IF(D12+1&gt;Assumptions!$H$9,100%,1-(1-IF(D12&gt;=7,2%,VLOOKUP($D12,'Annual Lapse Rates'!$B$4:$C$14,2,FALSE)))^(1/12))</f>
        <v>8.7416109546967213E-3</v>
      </c>
      <c r="H12" s="82">
        <f t="shared" si="11"/>
        <v>5</v>
      </c>
      <c r="I12" s="66">
        <f t="shared" si="5"/>
        <v>4783.3761193395339</v>
      </c>
      <c r="J12" s="67">
        <f t="shared" si="6"/>
        <v>0.37416961475704058</v>
      </c>
      <c r="K12" s="67">
        <f t="shared" si="7"/>
        <v>42.186461565013047</v>
      </c>
      <c r="M12" s="68">
        <f t="shared" si="12"/>
        <v>12245657.362403363</v>
      </c>
      <c r="N12" s="68">
        <f>IF(AND(H12=1,D12&lt;15),Assumptions!$H$4*I11,0)</f>
        <v>0</v>
      </c>
      <c r="O12" s="68"/>
      <c r="P12" s="91">
        <f>$M12*(1+VLOOKUP($H12,Assumptions!$C$22:$D$33,2,FALSE))*F12</f>
        <v>964.27826395851002</v>
      </c>
      <c r="Q12" s="91">
        <f>$M12*(1+VLOOKUP($H12,Assumptions!$C$22:$D$33,2,FALSE))*G12</f>
        <v>108719.37836768918</v>
      </c>
      <c r="R12" s="68">
        <f>IF(AND(H12=12,D12&lt;15),Assumptions!$C$7*M12,0)</f>
        <v>0</v>
      </c>
      <c r="S12" s="69">
        <f>M12*Assumptions!$D$17</f>
        <v>49890.323906576108</v>
      </c>
      <c r="T12" s="69">
        <f t="shared" si="8"/>
        <v>0</v>
      </c>
      <c r="U12" s="68">
        <f>T12+AE12*(1+Assumptions!$D$17)</f>
        <v>0</v>
      </c>
      <c r="V12" s="68">
        <f>(M12+N12-O12)*(1+Assumptions!$D$17)-(P12+Q12)*(1+Assumptions!$D$17)^0.5-R12-T12</f>
        <v>12185640.824391618</v>
      </c>
      <c r="W12" s="68"/>
      <c r="X12" s="68"/>
      <c r="Y12" s="66">
        <f>Assumptions!$C$13*N12</f>
        <v>0</v>
      </c>
      <c r="Z12" s="66">
        <f>NPV(Assumptions!$D$19,N12:$N$259)*(1+Assumptions!$D$19)</f>
        <v>84284204.870975092</v>
      </c>
      <c r="AA12" s="69">
        <f t="shared" si="9"/>
        <v>776754.21760933776</v>
      </c>
      <c r="AC12" s="68">
        <f t="shared" si="10"/>
        <v>12185640.824391618</v>
      </c>
      <c r="AD12" s="68"/>
      <c r="AE12" s="68"/>
      <c r="AF12" s="68"/>
      <c r="AG12" s="68"/>
      <c r="AH12" s="68"/>
      <c r="AI12" s="68"/>
      <c r="AK12" s="68"/>
      <c r="AL12" s="71">
        <f t="shared" si="4"/>
        <v>0</v>
      </c>
    </row>
    <row r="13" spans="1:38" x14ac:dyDescent="0.2">
      <c r="B13" s="5">
        <f t="shared" si="0"/>
        <v>6</v>
      </c>
      <c r="C13" s="5">
        <f t="shared" si="1"/>
        <v>6</v>
      </c>
      <c r="D13" s="5">
        <f t="shared" si="2"/>
        <v>0</v>
      </c>
      <c r="E13" s="5">
        <f t="shared" si="3"/>
        <v>46</v>
      </c>
      <c r="F13" s="65">
        <f>1-(1-VLOOKUP($E13,'Annual Mortality Rates'!$B$5:$C$105,2,FALSE))^(1/12)</f>
        <v>7.7533054016254432E-5</v>
      </c>
      <c r="G13" s="76">
        <f>IF(D13+1&gt;Assumptions!$H$9,100%,1-(1-IF(D13&gt;=7,2%,VLOOKUP($D13,'Annual Lapse Rates'!$B$4:$C$14,2,FALSE)))^(1/12))</f>
        <v>8.7416109546967213E-3</v>
      </c>
      <c r="H13" s="82">
        <f t="shared" si="11"/>
        <v>6</v>
      </c>
      <c r="I13" s="66">
        <f t="shared" si="5"/>
        <v>4741.1908364952396</v>
      </c>
      <c r="J13" s="67">
        <f t="shared" si="6"/>
        <v>0.3708697590408136</v>
      </c>
      <c r="K13" s="67">
        <f t="shared" si="7"/>
        <v>41.814413085253165</v>
      </c>
      <c r="M13" s="68">
        <f t="shared" si="12"/>
        <v>12185640.824391618</v>
      </c>
      <c r="N13" s="68">
        <f>IF(AND(H13=1,D13&lt;15),Assumptions!$H$4*I12,0)</f>
        <v>0</v>
      </c>
      <c r="O13" s="68"/>
      <c r="P13" s="91">
        <f>$M13*(1+VLOOKUP($H13,Assumptions!$C$22:$D$33,2,FALSE))*F13</f>
        <v>962.50475979010992</v>
      </c>
      <c r="Q13" s="91">
        <f>$M13*(1+VLOOKUP($H13,Assumptions!$C$22:$D$33,2,FALSE))*G13</f>
        <v>108519.42128276076</v>
      </c>
      <c r="R13" s="68">
        <f>IF(AND(H13=12,D13&lt;15),Assumptions!$C$7*M13,0)</f>
        <v>0</v>
      </c>
      <c r="S13" s="69">
        <f>M13*Assumptions!$D$17</f>
        <v>49645.809101650222</v>
      </c>
      <c r="T13" s="69">
        <f t="shared" si="8"/>
        <v>0</v>
      </c>
      <c r="U13" s="68">
        <f>T13+AE13*(1+Assumptions!$D$17)</f>
        <v>0</v>
      </c>
      <c r="V13" s="68">
        <f>(M13+N13-O13)*(1+Assumptions!$D$17)-(P13+Q13)*(1+Assumptions!$D$17)^0.5-R13-T13</f>
        <v>12125581.912684038</v>
      </c>
      <c r="W13" s="68"/>
      <c r="X13" s="68"/>
      <c r="Y13" s="66">
        <f>Assumptions!$C$13*N13</f>
        <v>0</v>
      </c>
      <c r="Z13" s="66">
        <f>NPV(Assumptions!$D$19,N13:$N$259)*(1+Assumptions!$D$19)</f>
        <v>84646037.327113271</v>
      </c>
      <c r="AA13" s="69">
        <f t="shared" si="9"/>
        <v>780088.82682589884</v>
      </c>
      <c r="AC13" s="68">
        <f t="shared" si="10"/>
        <v>12125581.912684038</v>
      </c>
      <c r="AD13" s="68"/>
      <c r="AE13" s="68"/>
      <c r="AF13" s="68"/>
      <c r="AG13" s="68"/>
      <c r="AH13" s="68"/>
      <c r="AI13" s="68"/>
      <c r="AK13" s="68"/>
      <c r="AL13" s="71">
        <f t="shared" si="4"/>
        <v>0</v>
      </c>
    </row>
    <row r="14" spans="1:38" x14ac:dyDescent="0.2">
      <c r="B14" s="5">
        <f t="shared" si="0"/>
        <v>7</v>
      </c>
      <c r="C14" s="5">
        <f t="shared" si="1"/>
        <v>7</v>
      </c>
      <c r="D14" s="5">
        <f t="shared" si="2"/>
        <v>0</v>
      </c>
      <c r="E14" s="5">
        <f t="shared" si="3"/>
        <v>46</v>
      </c>
      <c r="F14" s="65">
        <f>1-(1-VLOOKUP($E14,'Annual Mortality Rates'!$B$5:$C$105,2,FALSE))^(1/12)</f>
        <v>7.7533054016254432E-5</v>
      </c>
      <c r="G14" s="76">
        <f>IF(D14+1&gt;Assumptions!$H$9,100%,1-(1-IF(D14&gt;=7,2%,VLOOKUP($D14,'Annual Lapse Rates'!$B$4:$C$14,2,FALSE)))^(1/12))</f>
        <v>8.7416109546967213E-3</v>
      </c>
      <c r="H14" s="82">
        <f t="shared" si="11"/>
        <v>7</v>
      </c>
      <c r="I14" s="66">
        <f t="shared" si="5"/>
        <v>4699.3775917353978</v>
      </c>
      <c r="J14" s="67">
        <f t="shared" si="6"/>
        <v>0.36759900522735595</v>
      </c>
      <c r="K14" s="67">
        <f t="shared" si="7"/>
        <v>41.445645754614496</v>
      </c>
      <c r="M14" s="68">
        <f t="shared" si="12"/>
        <v>12125581.912684038</v>
      </c>
      <c r="N14" s="68">
        <f>IF(AND(H14=1,D14&lt;15),Assumptions!$H$4*I13,0)</f>
        <v>0</v>
      </c>
      <c r="O14" s="68"/>
      <c r="P14" s="91">
        <f>$M14*(1+VLOOKUP($H14,Assumptions!$C$22:$D$33,2,FALSE))*F14</f>
        <v>960.69881548309479</v>
      </c>
      <c r="Q14" s="91">
        <f>$M14*(1+VLOOKUP($H14,Assumptions!$C$22:$D$33,2,FALSE))*G14</f>
        <v>108315.80667299104</v>
      </c>
      <c r="R14" s="68">
        <f>IF(AND(H14=12,D14&lt;15),Assumptions!$C$7*M14,0)</f>
        <v>0</v>
      </c>
      <c r="S14" s="69">
        <f>M14*Assumptions!$D$17</f>
        <v>49401.121661042336</v>
      </c>
      <c r="T14" s="69">
        <f t="shared" si="8"/>
        <v>0</v>
      </c>
      <c r="U14" s="68">
        <f>T14+AE14*(1+Assumptions!$D$17)</f>
        <v>0</v>
      </c>
      <c r="V14" s="68">
        <f>(M14+N14-O14)*(1+Assumptions!$D$17)-(P14+Q14)*(1+Assumptions!$D$17)^0.5-R14-T14</f>
        <v>12065484.152118968</v>
      </c>
      <c r="W14" s="68"/>
      <c r="X14" s="68"/>
      <c r="Y14" s="66">
        <f>Assumptions!$C$13*N14</f>
        <v>0</v>
      </c>
      <c r="Z14" s="66">
        <f>NPV(Assumptions!$D$19,N14:$N$259)*(1+Assumptions!$D$19)</f>
        <v>85009423.131550997</v>
      </c>
      <c r="AA14" s="69">
        <f t="shared" si="9"/>
        <v>783437.75153425289</v>
      </c>
      <c r="AC14" s="68">
        <f t="shared" si="10"/>
        <v>12065484.152118968</v>
      </c>
      <c r="AD14" s="68"/>
      <c r="AE14" s="68"/>
      <c r="AF14" s="68"/>
      <c r="AG14" s="68"/>
      <c r="AH14" s="68"/>
      <c r="AI14" s="68"/>
      <c r="AK14" s="68"/>
      <c r="AL14" s="71">
        <f t="shared" si="4"/>
        <v>0</v>
      </c>
    </row>
    <row r="15" spans="1:38" x14ac:dyDescent="0.2">
      <c r="B15" s="5">
        <f t="shared" si="0"/>
        <v>8</v>
      </c>
      <c r="C15" s="5">
        <f t="shared" si="1"/>
        <v>8</v>
      </c>
      <c r="D15" s="5">
        <f t="shared" si="2"/>
        <v>0</v>
      </c>
      <c r="E15" s="5">
        <f t="shared" si="3"/>
        <v>46</v>
      </c>
      <c r="F15" s="65">
        <f>1-(1-VLOOKUP($E15,'Annual Mortality Rates'!$B$5:$C$105,2,FALSE))^(1/12)</f>
        <v>7.7533054016254432E-5</v>
      </c>
      <c r="G15" s="76">
        <f>IF(D15+1&gt;Assumptions!$H$9,100%,1-(1-IF(D15&gt;=7,2%,VLOOKUP($D15,'Annual Lapse Rates'!$B$4:$C$14,2,FALSE)))^(1/12))</f>
        <v>8.7416109546967213E-3</v>
      </c>
      <c r="H15" s="82">
        <f t="shared" si="11"/>
        <v>8</v>
      </c>
      <c r="I15" s="66">
        <f t="shared" si="5"/>
        <v>4657.9331040025645</v>
      </c>
      <c r="J15" s="67">
        <f t="shared" si="6"/>
        <v>0.36435709666279625</v>
      </c>
      <c r="K15" s="67">
        <f t="shared" si="7"/>
        <v>41.080130636170452</v>
      </c>
      <c r="M15" s="68">
        <f t="shared" si="12"/>
        <v>12065484.152118968</v>
      </c>
      <c r="N15" s="68">
        <f>IF(AND(H15=1,D15&lt;15),Assumptions!$H$4*I14,0)</f>
        <v>0</v>
      </c>
      <c r="O15" s="68"/>
      <c r="P15" s="91">
        <f>$M15*(1+VLOOKUP($H15,Assumptions!$C$22:$D$33,2,FALSE))*F15</f>
        <v>958.86068036096424</v>
      </c>
      <c r="Q15" s="91">
        <f>$M15*(1+VLOOKUP($H15,Assumptions!$C$22:$D$33,2,FALSE))*G15</f>
        <v>108108.56264882992</v>
      </c>
      <c r="R15" s="68">
        <f>IF(AND(H15=12,D15&lt;15),Assumptions!$C$7*M15,0)</f>
        <v>0</v>
      </c>
      <c r="S15" s="69">
        <f>M15*Assumptions!$D$17</f>
        <v>49156.275945380177</v>
      </c>
      <c r="T15" s="69">
        <f t="shared" si="8"/>
        <v>0</v>
      </c>
      <c r="U15" s="68">
        <f>T15+AE15*(1+Assumptions!$D$17)</f>
        <v>0</v>
      </c>
      <c r="V15" s="68">
        <f>(M15+N15-O15)*(1+Assumptions!$D$17)-(P15+Q15)*(1+Assumptions!$D$17)^0.5-R15-T15</f>
        <v>12005351.053477893</v>
      </c>
      <c r="W15" s="68"/>
      <c r="X15" s="68"/>
      <c r="Y15" s="66">
        <f>Assumptions!$C$13*N15</f>
        <v>0</v>
      </c>
      <c r="Z15" s="66">
        <f>NPV(Assumptions!$D$19,N15:$N$259)*(1+Assumptions!$D$19)</f>
        <v>85374368.952819258</v>
      </c>
      <c r="AA15" s="69">
        <f t="shared" si="9"/>
        <v>786801.05319086753</v>
      </c>
      <c r="AC15" s="68">
        <f t="shared" si="10"/>
        <v>12005351.053477893</v>
      </c>
      <c r="AD15" s="68"/>
      <c r="AE15" s="68"/>
      <c r="AF15" s="68"/>
      <c r="AG15" s="68"/>
      <c r="AH15" s="68"/>
      <c r="AI15" s="68"/>
      <c r="AK15" s="68"/>
      <c r="AL15" s="71">
        <f t="shared" si="4"/>
        <v>0</v>
      </c>
    </row>
    <row r="16" spans="1:38" x14ac:dyDescent="0.2">
      <c r="B16" s="5">
        <f t="shared" si="0"/>
        <v>9</v>
      </c>
      <c r="C16" s="5">
        <f t="shared" si="1"/>
        <v>9</v>
      </c>
      <c r="D16" s="5">
        <f t="shared" si="2"/>
        <v>0</v>
      </c>
      <c r="E16" s="5">
        <f t="shared" si="3"/>
        <v>46</v>
      </c>
      <c r="F16" s="65">
        <f>1-(1-VLOOKUP($E16,'Annual Mortality Rates'!$B$5:$C$105,2,FALSE))^(1/12)</f>
        <v>7.7533054016254432E-5</v>
      </c>
      <c r="G16" s="76">
        <f>IF(D16+1&gt;Assumptions!$H$9,100%,1-(1-IF(D16&gt;=7,2%,VLOOKUP($D16,'Annual Lapse Rates'!$B$4:$C$14,2,FALSE)))^(1/12))</f>
        <v>8.7416109546967213E-3</v>
      </c>
      <c r="H16" s="82">
        <f t="shared" si="11"/>
        <v>9</v>
      </c>
      <c r="I16" s="66">
        <f t="shared" si="5"/>
        <v>4616.8541211754145</v>
      </c>
      <c r="J16" s="67">
        <f t="shared" si="6"/>
        <v>0.3611437789567305</v>
      </c>
      <c r="K16" s="67">
        <f t="shared" si="7"/>
        <v>40.717839048193319</v>
      </c>
      <c r="M16" s="68">
        <f t="shared" si="12"/>
        <v>12005351.053477893</v>
      </c>
      <c r="N16" s="68">
        <f>IF(AND(H16=1,D16&lt;15),Assumptions!$H$4*I15,0)</f>
        <v>0</v>
      </c>
      <c r="O16" s="68"/>
      <c r="P16" s="91">
        <f>$M16*(1+VLOOKUP($H16,Assumptions!$C$22:$D$33,2,FALSE))*F16</f>
        <v>956.99060604283773</v>
      </c>
      <c r="Q16" s="91">
        <f>$M16*(1+VLOOKUP($H16,Assumptions!$C$22:$D$33,2,FALSE))*G16</f>
        <v>107897.7175795514</v>
      </c>
      <c r="R16" s="68">
        <f>IF(AND(H16=12,D16&lt;15),Assumptions!$C$7*M16,0)</f>
        <v>0</v>
      </c>
      <c r="S16" s="69">
        <f>M16*Assumptions!$D$17</f>
        <v>48911.286258022097</v>
      </c>
      <c r="T16" s="69">
        <f t="shared" si="8"/>
        <v>0</v>
      </c>
      <c r="U16" s="68">
        <f>T16+AE16*(1+Assumptions!$D$17)</f>
        <v>0</v>
      </c>
      <c r="V16" s="68">
        <f>(M16+N16-O16)*(1+Assumptions!$D$17)-(P16+Q16)*(1+Assumptions!$D$17)^0.5-R16-T16</f>
        <v>11945186.11316652</v>
      </c>
      <c r="W16" s="68"/>
      <c r="X16" s="68"/>
      <c r="Y16" s="66">
        <f>Assumptions!$C$13*N16</f>
        <v>0</v>
      </c>
      <c r="Z16" s="66">
        <f>NPV(Assumptions!$D$19,N16:$N$259)*(1+Assumptions!$D$19)</f>
        <v>85740881.488077</v>
      </c>
      <c r="AA16" s="69">
        <f t="shared" si="9"/>
        <v>790178.7935160445</v>
      </c>
      <c r="AC16" s="68">
        <f t="shared" si="10"/>
        <v>11945186.11316652</v>
      </c>
      <c r="AD16" s="68"/>
      <c r="AE16" s="68"/>
      <c r="AF16" s="68"/>
      <c r="AG16" s="68"/>
      <c r="AH16" s="68"/>
      <c r="AI16" s="68"/>
      <c r="AK16" s="68"/>
      <c r="AL16" s="71">
        <f t="shared" si="4"/>
        <v>0</v>
      </c>
    </row>
    <row r="17" spans="2:38" x14ac:dyDescent="0.2">
      <c r="B17" s="5">
        <f t="shared" si="0"/>
        <v>10</v>
      </c>
      <c r="C17" s="5">
        <f t="shared" si="1"/>
        <v>10</v>
      </c>
      <c r="D17" s="5">
        <f t="shared" si="2"/>
        <v>0</v>
      </c>
      <c r="E17" s="5">
        <f t="shared" si="3"/>
        <v>46</v>
      </c>
      <c r="F17" s="65">
        <f>1-(1-VLOOKUP($E17,'Annual Mortality Rates'!$B$5:$C$105,2,FALSE))^(1/12)</f>
        <v>7.7533054016254432E-5</v>
      </c>
      <c r="G17" s="76">
        <f>IF(D17+1&gt;Assumptions!$H$9,100%,1-(1-IF(D17&gt;=7,2%,VLOOKUP($D17,'Annual Lapse Rates'!$B$4:$C$14,2,FALSE)))^(1/12))</f>
        <v>8.7416109546967213E-3</v>
      </c>
      <c r="H17" s="82">
        <f t="shared" si="11"/>
        <v>10</v>
      </c>
      <c r="I17" s="66">
        <f t="shared" si="5"/>
        <v>4576.1374198135491</v>
      </c>
      <c r="J17" s="67">
        <f t="shared" si="6"/>
        <v>0.35795879996226032</v>
      </c>
      <c r="K17" s="67">
        <f t="shared" si="7"/>
        <v>40.358742561903711</v>
      </c>
      <c r="M17" s="68">
        <f t="shared" si="12"/>
        <v>11945186.11316652</v>
      </c>
      <c r="N17" s="68">
        <f>IF(AND(H17=1,D17&lt;15),Assumptions!$H$4*I16,0)</f>
        <v>0</v>
      </c>
      <c r="O17" s="68"/>
      <c r="P17" s="91">
        <f>$M17*(1+VLOOKUP($H17,Assumptions!$C$22:$D$33,2,FALSE))*F17</f>
        <v>955.0888464009256</v>
      </c>
      <c r="Q17" s="91">
        <f>$M17*(1+VLOOKUP($H17,Assumptions!$C$22:$D$33,2,FALSE))*G17</f>
        <v>107683.30008845846</v>
      </c>
      <c r="R17" s="68">
        <f>IF(AND(H17=12,D17&lt;15),Assumptions!$C$7*M17,0)</f>
        <v>0</v>
      </c>
      <c r="S17" s="69">
        <f>M17*Assumptions!$D$17</f>
        <v>48666.166843757754</v>
      </c>
      <c r="T17" s="69">
        <f t="shared" si="8"/>
        <v>0</v>
      </c>
      <c r="U17" s="68">
        <f>T17+AE17*(1+Assumptions!$D$17)</f>
        <v>0</v>
      </c>
      <c r="V17" s="68">
        <f>(M17+N17-O17)*(1+Assumptions!$D$17)-(P17+Q17)*(1+Assumptions!$D$17)^0.5-R17-T17</f>
        <v>11884992.812899413</v>
      </c>
      <c r="W17" s="68"/>
      <c r="X17" s="68"/>
      <c r="Y17" s="66">
        <f>Assumptions!$C$13*N17</f>
        <v>0</v>
      </c>
      <c r="Z17" s="66">
        <f>NPV(Assumptions!$D$19,N17:$N$259)*(1+Assumptions!$D$19)</f>
        <v>86108967.463234231</v>
      </c>
      <c r="AA17" s="69">
        <f t="shared" si="9"/>
        <v>793571.03449505009</v>
      </c>
      <c r="AC17" s="68">
        <f t="shared" si="10"/>
        <v>11884992.812899413</v>
      </c>
      <c r="AD17" s="68"/>
      <c r="AE17" s="68"/>
      <c r="AF17" s="68"/>
      <c r="AG17" s="68"/>
      <c r="AH17" s="68"/>
      <c r="AI17" s="68"/>
      <c r="AK17" s="68"/>
      <c r="AL17" s="71">
        <f t="shared" si="4"/>
        <v>0</v>
      </c>
    </row>
    <row r="18" spans="2:38" x14ac:dyDescent="0.2">
      <c r="B18" s="5">
        <f t="shared" si="0"/>
        <v>11</v>
      </c>
      <c r="C18" s="5">
        <f t="shared" si="1"/>
        <v>11</v>
      </c>
      <c r="D18" s="5">
        <f t="shared" si="2"/>
        <v>0</v>
      </c>
      <c r="E18" s="5">
        <f t="shared" si="3"/>
        <v>46</v>
      </c>
      <c r="F18" s="65">
        <f>1-(1-VLOOKUP($E18,'Annual Mortality Rates'!$B$5:$C$105,2,FALSE))^(1/12)</f>
        <v>7.7533054016254432E-5</v>
      </c>
      <c r="G18" s="76">
        <f>IF(D18+1&gt;Assumptions!$H$9,100%,1-(1-IF(D18&gt;=7,2%,VLOOKUP($D18,'Annual Lapse Rates'!$B$4:$C$14,2,FALSE)))^(1/12))</f>
        <v>8.7416109546967213E-3</v>
      </c>
      <c r="H18" s="82">
        <f t="shared" si="11"/>
        <v>11</v>
      </c>
      <c r="I18" s="66">
        <f t="shared" si="5"/>
        <v>4535.7798049045532</v>
      </c>
      <c r="J18" s="67">
        <f t="shared" si="6"/>
        <v>0.35480190975620707</v>
      </c>
      <c r="K18" s="67">
        <f t="shared" si="7"/>
        <v>40.002812999239708</v>
      </c>
      <c r="M18" s="68">
        <f t="shared" si="12"/>
        <v>11884992.812899413</v>
      </c>
      <c r="N18" s="68">
        <f>IF(AND(H18=1,D18&lt;15),Assumptions!$H$4*I17,0)</f>
        <v>0</v>
      </c>
      <c r="O18" s="68"/>
      <c r="P18" s="91">
        <f>$M18*(1+VLOOKUP($H18,Assumptions!$C$22:$D$33,2,FALSE))*F18</f>
        <v>953.1556575178214</v>
      </c>
      <c r="Q18" s="91">
        <f>$M18*(1+VLOOKUP($H18,Assumptions!$C$22:$D$33,2,FALSE))*G18</f>
        <v>107465.33904806788</v>
      </c>
      <c r="R18" s="68">
        <f>IF(AND(H18=12,D18&lt;15),Assumptions!$C$7*M18,0)</f>
        <v>0</v>
      </c>
      <c r="S18" s="69">
        <f>M18*Assumptions!$D$17</f>
        <v>48420.931887523242</v>
      </c>
      <c r="T18" s="69">
        <f t="shared" si="8"/>
        <v>0</v>
      </c>
      <c r="U18" s="68">
        <f>T18+AE18*(1+Assumptions!$D$17)</f>
        <v>0</v>
      </c>
      <c r="V18" s="68">
        <f>(M18+N18-O18)*(1+Assumptions!$D$17)-(P18+Q18)*(1+Assumptions!$D$17)^0.5-R18-T18</f>
        <v>11824774.619388185</v>
      </c>
      <c r="W18" s="68"/>
      <c r="X18" s="68"/>
      <c r="Y18" s="66">
        <f>Assumptions!$C$13*N18</f>
        <v>0</v>
      </c>
      <c r="Z18" s="66">
        <f>NPV(Assumptions!$D$19,N18:$N$259)*(1+Assumptions!$D$19)</f>
        <v>86478633.633075207</v>
      </c>
      <c r="AA18" s="69">
        <f t="shared" si="9"/>
        <v>796977.83837925387</v>
      </c>
      <c r="AC18" s="68">
        <f t="shared" si="10"/>
        <v>11824774.619388185</v>
      </c>
      <c r="AD18" s="68"/>
      <c r="AE18" s="68"/>
      <c r="AF18" s="68"/>
      <c r="AG18" s="68"/>
      <c r="AH18" s="68"/>
      <c r="AI18" s="68"/>
      <c r="AK18" s="68"/>
      <c r="AL18" s="71">
        <f t="shared" si="4"/>
        <v>0</v>
      </c>
    </row>
    <row r="19" spans="2:38" x14ac:dyDescent="0.2">
      <c r="B19" s="5">
        <f t="shared" si="0"/>
        <v>12</v>
      </c>
      <c r="C19" s="5">
        <f t="shared" si="1"/>
        <v>12</v>
      </c>
      <c r="D19" s="5">
        <f t="shared" si="2"/>
        <v>0</v>
      </c>
      <c r="E19" s="5">
        <f t="shared" si="3"/>
        <v>46</v>
      </c>
      <c r="F19" s="65">
        <f>1-(1-VLOOKUP($E19,'Annual Mortality Rates'!$B$5:$C$105,2,FALSE))^(1/12)</f>
        <v>7.7533054016254432E-5</v>
      </c>
      <c r="G19" s="76">
        <f>IF(D19+1&gt;Assumptions!$H$9,100%,1-(1-IF(D19&gt;=7,2%,VLOOKUP($D19,'Annual Lapse Rates'!$B$4:$C$14,2,FALSE)))^(1/12))</f>
        <v>8.7416109546967213E-3</v>
      </c>
      <c r="H19" s="82">
        <f t="shared" si="11"/>
        <v>12</v>
      </c>
      <c r="I19" s="66">
        <f t="shared" si="5"/>
        <v>4495.7781096132885</v>
      </c>
      <c r="J19" s="67">
        <f t="shared" si="6"/>
        <v>0.3516728606195007</v>
      </c>
      <c r="K19" s="67">
        <f t="shared" si="7"/>
        <v>39.650022430645798</v>
      </c>
      <c r="M19" s="68">
        <f t="shared" si="12"/>
        <v>11824774.619388185</v>
      </c>
      <c r="N19" s="68">
        <f>IF(AND(H19=1,D19&lt;15),Assumptions!$H$4*I18,0)</f>
        <v>0</v>
      </c>
      <c r="O19" s="68"/>
      <c r="P19" s="91">
        <f>$M19*(1+VLOOKUP($H19,Assumptions!$C$22:$D$33,2,FALSE))*F19</f>
        <v>951.19129764362344</v>
      </c>
      <c r="Q19" s="91">
        <f>$M19*(1+VLOOKUP($H19,Assumptions!$C$22:$D$33,2,FALSE))*G19</f>
        <v>107243.86357527591</v>
      </c>
      <c r="R19" s="68">
        <f>IF(AND(H19=12,D19&lt;15),Assumptions!$C$7*M19,0)</f>
        <v>5912.3873096940924</v>
      </c>
      <c r="S19" s="69">
        <f>M19*Assumptions!$D$17</f>
        <v>48175.595513130815</v>
      </c>
      <c r="T19" s="69">
        <f t="shared" si="8"/>
        <v>0</v>
      </c>
      <c r="U19" s="68">
        <f>T19+AE19*(1+Assumptions!$D$17)</f>
        <v>0</v>
      </c>
      <c r="V19" s="68">
        <f>(M19+N19-O19)*(1+Assumptions!$D$17)-(P19+Q19)*(1+Assumptions!$D$17)^0.5-R19-T19</f>
        <v>11758622.596723653</v>
      </c>
      <c r="W19" s="68"/>
      <c r="X19" s="68"/>
      <c r="Y19" s="66">
        <f>Assumptions!$C$13*N19</f>
        <v>0</v>
      </c>
      <c r="Z19" s="66">
        <f>NPV(Assumptions!$D$19,N19:$N$259)*(1+Assumptions!$D$19)</f>
        <v>86849886.781382546</v>
      </c>
      <c r="AA19" s="69">
        <f t="shared" si="9"/>
        <v>800399.26768727053</v>
      </c>
      <c r="AC19" s="68">
        <f t="shared" si="10"/>
        <v>11758622.596723653</v>
      </c>
      <c r="AD19" s="68"/>
      <c r="AE19" s="68"/>
      <c r="AF19" s="68"/>
      <c r="AG19" s="68"/>
      <c r="AH19" s="68"/>
      <c r="AI19" s="68"/>
      <c r="AK19" s="68"/>
      <c r="AL19" s="71">
        <f t="shared" si="4"/>
        <v>0</v>
      </c>
    </row>
    <row r="20" spans="2:38" x14ac:dyDescent="0.2">
      <c r="B20" s="5">
        <f t="shared" si="0"/>
        <v>13</v>
      </c>
      <c r="C20" s="5">
        <f t="shared" si="1"/>
        <v>13</v>
      </c>
      <c r="D20" s="5">
        <f t="shared" si="2"/>
        <v>1</v>
      </c>
      <c r="E20" s="5">
        <f t="shared" si="3"/>
        <v>47</v>
      </c>
      <c r="F20" s="65">
        <f>1-(1-VLOOKUP($E20,'Annual Mortality Rates'!$B$5:$C$105,2,FALSE))^(1/12)</f>
        <v>8.5873880504183653E-5</v>
      </c>
      <c r="G20" s="76">
        <f>IF(D20+1&gt;Assumptions!$H$9,100%,1-(1-IF(D20&gt;=7,2%,VLOOKUP($D20,'Annual Lapse Rates'!$B$4:$C$14,2,FALSE)))^(1/12))</f>
        <v>6.9243826282994192E-3</v>
      </c>
      <c r="H20" s="82">
        <f t="shared" si="11"/>
        <v>1</v>
      </c>
      <c r="I20" s="66">
        <f t="shared" si="5"/>
        <v>4464.2615518582352</v>
      </c>
      <c r="J20" s="67">
        <f t="shared" si="6"/>
        <v>0.3860699121582562</v>
      </c>
      <c r="K20" s="67">
        <f t="shared" si="7"/>
        <v>31.130487842895057</v>
      </c>
      <c r="M20" s="68">
        <f t="shared" si="12"/>
        <v>11758622.596723653</v>
      </c>
      <c r="N20" s="68">
        <f>IF(AND(H20=1,D20&lt;15),Assumptions!$H$4*I19,0)</f>
        <v>11239445.27403322</v>
      </c>
      <c r="O20" s="68"/>
      <c r="P20" s="91">
        <f>$M20*(1+VLOOKUP($H20,Assumptions!$C$22:$D$33,2,FALSE))*F20</f>
        <v>1012.9140472391059</v>
      </c>
      <c r="Q20" s="91">
        <f>$M20*(1+VLOOKUP($H20,Assumptions!$C$22:$D$33,2,FALSE))*G20</f>
        <v>81675.643297861912</v>
      </c>
      <c r="R20" s="68">
        <f>IF(AND(H20=12,D20&lt;15),Assumptions!$C$7*M20,0)</f>
        <v>0</v>
      </c>
      <c r="S20" s="69">
        <f>M20*Assumptions!$D$17</f>
        <v>47906.083984256795</v>
      </c>
      <c r="T20" s="69">
        <f t="shared" si="8"/>
        <v>0</v>
      </c>
      <c r="U20" s="68">
        <f>T20+AE20*(1+Assumptions!$D$17)</f>
        <v>0</v>
      </c>
      <c r="V20" s="68">
        <f>(M20+N20-O20)*(1+Assumptions!$D$17)-(P20+Q20)*(1+Assumptions!$D$17)^0.5-R20-T20</f>
        <v>23008908.01820742</v>
      </c>
      <c r="W20" s="68"/>
      <c r="X20" s="68">
        <f>IF(AND(H20=1,D20&lt;15),Assumptions!$D$10*N20+Assumptions!$D$11*(1+Assumptions!$D$16)^(B20-1)*$I$7,0)</f>
        <v>89347.226370166114</v>
      </c>
      <c r="Y20" s="66">
        <f>Assumptions!$C$13*N20</f>
        <v>56197.226370166107</v>
      </c>
      <c r="Z20" s="66">
        <f>NPV(Assumptions!$D$19,N20:$N$259)*(1+Assumptions!$D$19)</f>
        <v>87222733.721061632</v>
      </c>
      <c r="AA20" s="69">
        <f t="shared" si="9"/>
        <v>700253.8596574103</v>
      </c>
      <c r="AC20" s="68">
        <f t="shared" si="10"/>
        <v>23008908.01820742</v>
      </c>
      <c r="AD20" s="68"/>
      <c r="AE20" s="68"/>
      <c r="AF20" s="68"/>
      <c r="AG20" s="68"/>
      <c r="AH20" s="68"/>
      <c r="AI20" s="68"/>
      <c r="AK20" s="68"/>
      <c r="AL20" s="71">
        <f t="shared" si="4"/>
        <v>0</v>
      </c>
    </row>
    <row r="21" spans="2:38" x14ac:dyDescent="0.2">
      <c r="B21" s="5">
        <f t="shared" si="0"/>
        <v>14</v>
      </c>
      <c r="C21" s="5">
        <f t="shared" si="1"/>
        <v>14</v>
      </c>
      <c r="D21" s="5">
        <f t="shared" si="2"/>
        <v>1</v>
      </c>
      <c r="E21" s="5">
        <f t="shared" si="3"/>
        <v>47</v>
      </c>
      <c r="F21" s="65">
        <f>1-(1-VLOOKUP($E21,'Annual Mortality Rates'!$B$5:$C$105,2,FALSE))^(1/12)</f>
        <v>8.5873880504183653E-5</v>
      </c>
      <c r="G21" s="76">
        <f>IF(D21+1&gt;Assumptions!$H$9,100%,1-(1-IF(D21&gt;=7,2%,VLOOKUP($D21,'Annual Lapse Rates'!$B$4:$C$14,2,FALSE)))^(1/12))</f>
        <v>6.9243826282994192E-3</v>
      </c>
      <c r="H21" s="82">
        <f t="shared" si="11"/>
        <v>2</v>
      </c>
      <c r="I21" s="66">
        <f t="shared" si="5"/>
        <v>4432.9659332573192</v>
      </c>
      <c r="J21" s="67">
        <f t="shared" si="6"/>
        <v>0.38336346304369556</v>
      </c>
      <c r="K21" s="67">
        <f t="shared" si="7"/>
        <v>30.912255137872169</v>
      </c>
      <c r="M21" s="68">
        <f t="shared" si="12"/>
        <v>23008908.01820742</v>
      </c>
      <c r="N21" s="68">
        <f>IF(AND(H21=1,D21&lt;15),Assumptions!$H$4*I20,0)</f>
        <v>0</v>
      </c>
      <c r="O21" s="68"/>
      <c r="P21" s="91">
        <f>$M21*(1+VLOOKUP($H21,Assumptions!$C$22:$D$33,2,FALSE))*F21</f>
        <v>1988.2133690478427</v>
      </c>
      <c r="Q21" s="91">
        <f>$M21*(1+VLOOKUP($H21,Assumptions!$C$22:$D$33,2,FALSE))*G21</f>
        <v>160318.24849602353</v>
      </c>
      <c r="R21" s="68">
        <f>IF(AND(H21=12,D21&lt;15),Assumptions!$C$7*M21,0)</f>
        <v>0</v>
      </c>
      <c r="S21" s="69">
        <f>M21*Assumptions!$D$17</f>
        <v>93741.139392756144</v>
      </c>
      <c r="T21" s="69">
        <f t="shared" si="8"/>
        <v>0</v>
      </c>
      <c r="U21" s="68">
        <f>T21+AE21*(1+Assumptions!$D$17)</f>
        <v>0</v>
      </c>
      <c r="V21" s="68">
        <f>(M21+N21-O21)*(1+Assumptions!$D$17)-(P21+Q21)*(1+Assumptions!$D$17)^0.5-R21-T21</f>
        <v>22940012.403497756</v>
      </c>
      <c r="W21" s="68"/>
      <c r="X21" s="68">
        <f>IF(AND(H21=1,D21&lt;15),Assumptions!$D$10*N21+Assumptions!$D$11*(1+Assumptions!$D$16)^(B21-1)*$I$7,0)</f>
        <v>0</v>
      </c>
      <c r="Y21" s="66">
        <f>Assumptions!$C$13*N21</f>
        <v>0</v>
      </c>
      <c r="Z21" s="66">
        <f>NPV(Assumptions!$D$19,N21:$N$259)*(1+Assumptions!$D$19)</f>
        <v>76309485.033047512</v>
      </c>
      <c r="AA21" s="69">
        <f t="shared" si="9"/>
        <v>703260.05250633077</v>
      </c>
      <c r="AC21" s="68">
        <f t="shared" si="10"/>
        <v>22940012.403497756</v>
      </c>
      <c r="AD21" s="68"/>
      <c r="AE21" s="68"/>
      <c r="AF21" s="68"/>
      <c r="AG21" s="68"/>
      <c r="AH21" s="68"/>
      <c r="AI21" s="68"/>
      <c r="AK21" s="68"/>
      <c r="AL21" s="71">
        <f t="shared" si="4"/>
        <v>0</v>
      </c>
    </row>
    <row r="22" spans="2:38" x14ac:dyDescent="0.2">
      <c r="B22" s="5">
        <f t="shared" si="0"/>
        <v>15</v>
      </c>
      <c r="C22" s="5">
        <f t="shared" si="1"/>
        <v>15</v>
      </c>
      <c r="D22" s="5">
        <f t="shared" si="2"/>
        <v>1</v>
      </c>
      <c r="E22" s="5">
        <f t="shared" si="3"/>
        <v>47</v>
      </c>
      <c r="F22" s="65">
        <f>1-(1-VLOOKUP($E22,'Annual Mortality Rates'!$B$5:$C$105,2,FALSE))^(1/12)</f>
        <v>8.5873880504183653E-5</v>
      </c>
      <c r="G22" s="76">
        <f>IF(D22+1&gt;Assumptions!$H$9,100%,1-(1-IF(D22&gt;=7,2%,VLOOKUP($D22,'Annual Lapse Rates'!$B$4:$C$14,2,FALSE)))^(1/12))</f>
        <v>6.9243826282994192E-3</v>
      </c>
      <c r="H22" s="82">
        <f t="shared" si="11"/>
        <v>3</v>
      </c>
      <c r="I22" s="66">
        <f t="shared" si="5"/>
        <v>4401.8897049703974</v>
      </c>
      <c r="J22" s="67">
        <f t="shared" si="6"/>
        <v>0.38067598683165599</v>
      </c>
      <c r="K22" s="67">
        <f t="shared" si="7"/>
        <v>30.695552300090103</v>
      </c>
      <c r="M22" s="68">
        <f t="shared" si="12"/>
        <v>22940012.403497756</v>
      </c>
      <c r="N22" s="68">
        <f>IF(AND(H22=1,D22&lt;15),Assumptions!$H$4*I21,0)</f>
        <v>0</v>
      </c>
      <c r="O22" s="68"/>
      <c r="P22" s="91">
        <f>$M22*(1+VLOOKUP($H22,Assumptions!$C$22:$D$33,2,FALSE))*F22</f>
        <v>1988.4161453140425</v>
      </c>
      <c r="Q22" s="91">
        <f>$M22*(1+VLOOKUP($H22,Assumptions!$C$22:$D$33,2,FALSE))*G22</f>
        <v>160334.59922393825</v>
      </c>
      <c r="R22" s="68">
        <f>IF(AND(H22=12,D22&lt;15),Assumptions!$C$7*M22,0)</f>
        <v>0</v>
      </c>
      <c r="S22" s="69">
        <f>M22*Assumptions!$D$17</f>
        <v>93460.450130278434</v>
      </c>
      <c r="T22" s="69">
        <f t="shared" si="8"/>
        <v>0</v>
      </c>
      <c r="U22" s="68">
        <f>T22+AE22*(1+Assumptions!$D$17)</f>
        <v>0</v>
      </c>
      <c r="V22" s="68">
        <f>(M22+N22-O22)*(1+Assumptions!$D$17)-(P22+Q22)*(1+Assumptions!$D$17)^0.5-R22-T22</f>
        <v>22870819.5123352</v>
      </c>
      <c r="W22" s="68"/>
      <c r="X22" s="68">
        <f>IF(AND(H22=1,D22&lt;15),Assumptions!$D$10*N22+Assumptions!$D$11*(1+Assumptions!$D$16)^(B22-1)*$I$7,0)</f>
        <v>0</v>
      </c>
      <c r="Y22" s="66">
        <f>Assumptions!$C$13*N22</f>
        <v>0</v>
      </c>
      <c r="Z22" s="66">
        <f>NPV(Assumptions!$D$19,N22:$N$259)*(1+Assumptions!$D$19)</f>
        <v>76637081.982421532</v>
      </c>
      <c r="AA22" s="69">
        <f t="shared" si="9"/>
        <v>706279.15095415688</v>
      </c>
      <c r="AC22" s="68">
        <f t="shared" si="10"/>
        <v>22870819.5123352</v>
      </c>
      <c r="AD22" s="68"/>
      <c r="AE22" s="68"/>
      <c r="AF22" s="68"/>
      <c r="AG22" s="68"/>
      <c r="AH22" s="68"/>
      <c r="AI22" s="68"/>
      <c r="AK22" s="68"/>
      <c r="AL22" s="71">
        <f t="shared" si="4"/>
        <v>0</v>
      </c>
    </row>
    <row r="23" spans="2:38" x14ac:dyDescent="0.2">
      <c r="B23" s="5">
        <f t="shared" si="0"/>
        <v>16</v>
      </c>
      <c r="C23" s="5">
        <f t="shared" si="1"/>
        <v>16</v>
      </c>
      <c r="D23" s="5">
        <f t="shared" si="2"/>
        <v>1</v>
      </c>
      <c r="E23" s="5">
        <f t="shared" si="3"/>
        <v>47</v>
      </c>
      <c r="F23" s="65">
        <f>1-(1-VLOOKUP($E23,'Annual Mortality Rates'!$B$5:$C$105,2,FALSE))^(1/12)</f>
        <v>8.5873880504183653E-5</v>
      </c>
      <c r="G23" s="76">
        <f>IF(D23+1&gt;Assumptions!$H$9,100%,1-(1-IF(D23&gt;=7,2%,VLOOKUP($D23,'Annual Lapse Rates'!$B$4:$C$14,2,FALSE)))^(1/12))</f>
        <v>6.9243826282994192E-3</v>
      </c>
      <c r="H23" s="82">
        <f t="shared" si="11"/>
        <v>4</v>
      </c>
      <c r="I23" s="66">
        <f t="shared" si="5"/>
        <v>4371.0313290150934</v>
      </c>
      <c r="J23" s="67">
        <f t="shared" si="6"/>
        <v>0.37800735051722412</v>
      </c>
      <c r="K23" s="67">
        <f t="shared" si="7"/>
        <v>30.480368604787074</v>
      </c>
      <c r="M23" s="68">
        <f t="shared" si="12"/>
        <v>22870819.5123352</v>
      </c>
      <c r="N23" s="68">
        <f>IF(AND(H23=1,D23&lt;15),Assumptions!$H$4*I22,0)</f>
        <v>0</v>
      </c>
      <c r="O23" s="68"/>
      <c r="P23" s="91">
        <f>$M23*(1+VLOOKUP($H23,Assumptions!$C$22:$D$33,2,FALSE))*F23</f>
        <v>1988.5560971079624</v>
      </c>
      <c r="Q23" s="91">
        <f>$M23*(1+VLOOKUP($H23,Assumptions!$C$22:$D$33,2,FALSE))*G23</f>
        <v>160345.88414276254</v>
      </c>
      <c r="R23" s="68">
        <f>IF(AND(H23=12,D23&lt;15),Assumptions!$C$7*M23,0)</f>
        <v>0</v>
      </c>
      <c r="S23" s="69">
        <f>M23*Assumptions!$D$17</f>
        <v>93178.549726733676</v>
      </c>
      <c r="T23" s="69">
        <f t="shared" si="8"/>
        <v>0</v>
      </c>
      <c r="U23" s="68">
        <f>T23+AE23*(1+Assumptions!$D$17)</f>
        <v>0</v>
      </c>
      <c r="V23" s="68">
        <f>(M23+N23-O23)*(1+Assumptions!$D$17)-(P23+Q23)*(1+Assumptions!$D$17)^0.5-R23-T23</f>
        <v>22801333.272648964</v>
      </c>
      <c r="W23" s="68"/>
      <c r="X23" s="68">
        <f>IF(AND(H23=1,D23&lt;15),Assumptions!$D$10*N23+Assumptions!$D$11*(1+Assumptions!$D$16)^(B23-1)*$I$7,0)</f>
        <v>0</v>
      </c>
      <c r="Y23" s="66">
        <f>Assumptions!$C$13*N23</f>
        <v>0</v>
      </c>
      <c r="Z23" s="66">
        <f>NPV(Assumptions!$D$19,N23:$N$259)*(1+Assumptions!$D$19)</f>
        <v>76966085.306916445</v>
      </c>
      <c r="AA23" s="69">
        <f t="shared" si="9"/>
        <v>709311.21040468093</v>
      </c>
      <c r="AC23" s="68">
        <f t="shared" si="10"/>
        <v>22801333.272648964</v>
      </c>
      <c r="AD23" s="68"/>
      <c r="AE23" s="68"/>
      <c r="AF23" s="68"/>
      <c r="AG23" s="68"/>
      <c r="AH23" s="68"/>
      <c r="AI23" s="68"/>
      <c r="AK23" s="68"/>
      <c r="AL23" s="71">
        <f t="shared" si="4"/>
        <v>0</v>
      </c>
    </row>
    <row r="24" spans="2:38" x14ac:dyDescent="0.2">
      <c r="B24" s="5">
        <f t="shared" si="0"/>
        <v>17</v>
      </c>
      <c r="C24" s="5">
        <f t="shared" si="1"/>
        <v>17</v>
      </c>
      <c r="D24" s="5">
        <f t="shared" si="2"/>
        <v>1</v>
      </c>
      <c r="E24" s="5">
        <f t="shared" si="3"/>
        <v>47</v>
      </c>
      <c r="F24" s="65">
        <f>1-(1-VLOOKUP($E24,'Annual Mortality Rates'!$B$5:$C$105,2,FALSE))^(1/12)</f>
        <v>8.5873880504183653E-5</v>
      </c>
      <c r="G24" s="76">
        <f>IF(D24+1&gt;Assumptions!$H$9,100%,1-(1-IF(D24&gt;=7,2%,VLOOKUP($D24,'Annual Lapse Rates'!$B$4:$C$14,2,FALSE)))^(1/12))</f>
        <v>6.9243826282994192E-3</v>
      </c>
      <c r="H24" s="82">
        <f t="shared" si="11"/>
        <v>5</v>
      </c>
      <c r="I24" s="66">
        <f t="shared" si="5"/>
        <v>4340.3892781906807</v>
      </c>
      <c r="J24" s="67">
        <f t="shared" si="6"/>
        <v>0.37535742202788519</v>
      </c>
      <c r="K24" s="67">
        <f t="shared" si="7"/>
        <v>30.266693402384636</v>
      </c>
      <c r="M24" s="68">
        <f t="shared" si="12"/>
        <v>22801333.272648964</v>
      </c>
      <c r="N24" s="68">
        <f>IF(AND(H24=1,D24&lt;15),Assumptions!$H$4*I23,0)</f>
        <v>0</v>
      </c>
      <c r="O24" s="68"/>
      <c r="P24" s="91">
        <f>$M24*(1+VLOOKUP($H24,Assumptions!$C$22:$D$33,2,FALSE))*F24</f>
        <v>1988.6333276788916</v>
      </c>
      <c r="Q24" s="91">
        <f>$M24*(1+VLOOKUP($H24,Assumptions!$C$22:$D$33,2,FALSE))*G24</f>
        <v>160352.11157793348</v>
      </c>
      <c r="R24" s="68">
        <f>IF(AND(H24=12,D24&lt;15),Assumptions!$C$7*M24,0)</f>
        <v>0</v>
      </c>
      <c r="S24" s="69">
        <f>M24*Assumptions!$D$17</f>
        <v>92895.454184991686</v>
      </c>
      <c r="T24" s="69">
        <f t="shared" si="8"/>
        <v>0</v>
      </c>
      <c r="U24" s="68">
        <f>T24+AE24*(1+Assumptions!$D$17)</f>
        <v>0</v>
      </c>
      <c r="V24" s="68">
        <f>(M24+N24-O24)*(1+Assumptions!$D$17)-(P24+Q24)*(1+Assumptions!$D$17)^0.5-R24-T24</f>
        <v>22731557.619925305</v>
      </c>
      <c r="W24" s="68"/>
      <c r="X24" s="68">
        <f>IF(AND(H24=1,D24&lt;15),Assumptions!$D$10*N24+Assumptions!$D$11*(1+Assumptions!$D$16)^(B24-1)*$I$7,0)</f>
        <v>0</v>
      </c>
      <c r="Y24" s="66">
        <f>Assumptions!$C$13*N24</f>
        <v>0</v>
      </c>
      <c r="Z24" s="66">
        <f>NPV(Assumptions!$D$19,N24:$N$259)*(1+Assumptions!$D$19)</f>
        <v>77296501.044106767</v>
      </c>
      <c r="AA24" s="69">
        <f t="shared" si="9"/>
        <v>712356.28649954323</v>
      </c>
      <c r="AC24" s="68">
        <f t="shared" si="10"/>
        <v>22731557.619925305</v>
      </c>
      <c r="AD24" s="68"/>
      <c r="AE24" s="68"/>
      <c r="AF24" s="68"/>
      <c r="AG24" s="68"/>
      <c r="AH24" s="68"/>
      <c r="AI24" s="68"/>
      <c r="AK24" s="68"/>
      <c r="AL24" s="71">
        <f t="shared" si="4"/>
        <v>0</v>
      </c>
    </row>
    <row r="25" spans="2:38" x14ac:dyDescent="0.2">
      <c r="B25" s="5">
        <f t="shared" si="0"/>
        <v>18</v>
      </c>
      <c r="C25" s="5">
        <f t="shared" si="1"/>
        <v>18</v>
      </c>
      <c r="D25" s="5">
        <f t="shared" si="2"/>
        <v>1</v>
      </c>
      <c r="E25" s="5">
        <f t="shared" si="3"/>
        <v>47</v>
      </c>
      <c r="F25" s="65">
        <f>1-(1-VLOOKUP($E25,'Annual Mortality Rates'!$B$5:$C$105,2,FALSE))^(1/12)</f>
        <v>8.5873880504183653E-5</v>
      </c>
      <c r="G25" s="76">
        <f>IF(D25+1&gt;Assumptions!$H$9,100%,1-(1-IF(D25&gt;=7,2%,VLOOKUP($D25,'Annual Lapse Rates'!$B$4:$C$14,2,FALSE)))^(1/12))</f>
        <v>6.9243826282994192E-3</v>
      </c>
      <c r="H25" s="82">
        <f t="shared" si="11"/>
        <v>6</v>
      </c>
      <c r="I25" s="66">
        <f t="shared" si="5"/>
        <v>4309.9620360025028</v>
      </c>
      <c r="J25" s="67">
        <f t="shared" si="6"/>
        <v>0.37272607021698645</v>
      </c>
      <c r="K25" s="67">
        <f t="shared" si="7"/>
        <v>30.054516117960603</v>
      </c>
      <c r="M25" s="68">
        <f t="shared" si="12"/>
        <v>22731557.619925305</v>
      </c>
      <c r="N25" s="68">
        <f>IF(AND(H25=1,D25&lt;15),Assumptions!$H$4*I24,0)</f>
        <v>0</v>
      </c>
      <c r="O25" s="68"/>
      <c r="P25" s="91">
        <f>$M25*(1+VLOOKUP($H25,Assumptions!$C$22:$D$33,2,FALSE))*F25</f>
        <v>1988.6479451535704</v>
      </c>
      <c r="Q25" s="91">
        <f>$M25*(1+VLOOKUP($H25,Assumptions!$C$22:$D$33,2,FALSE))*G25</f>
        <v>160353.29024817803</v>
      </c>
      <c r="R25" s="68">
        <f>IF(AND(H25=12,D25&lt;15),Assumptions!$C$7*M25,0)</f>
        <v>0</v>
      </c>
      <c r="S25" s="69">
        <f>M25*Assumptions!$D$17</f>
        <v>92611.179538710639</v>
      </c>
      <c r="T25" s="69">
        <f t="shared" si="8"/>
        <v>0</v>
      </c>
      <c r="U25" s="68">
        <f>T25+AE25*(1+Assumptions!$D$17)</f>
        <v>0</v>
      </c>
      <c r="V25" s="68">
        <f>(M25+N25-O25)*(1+Assumptions!$D$17)-(P25+Q25)*(1+Assumptions!$D$17)^0.5-R25-T25</f>
        <v>22661496.496839318</v>
      </c>
      <c r="W25" s="68"/>
      <c r="X25" s="68">
        <f>IF(AND(H25=1,D25&lt;15),Assumptions!$D$10*N25+Assumptions!$D$11*(1+Assumptions!$D$16)^(B25-1)*$I$7,0)</f>
        <v>0</v>
      </c>
      <c r="Y25" s="66">
        <f>Assumptions!$C$13*N25</f>
        <v>0</v>
      </c>
      <c r="Z25" s="66">
        <f>NPV(Assumptions!$D$19,N25:$N$259)*(1+Assumptions!$D$19)</f>
        <v>77628335.257486284</v>
      </c>
      <c r="AA25" s="69">
        <f t="shared" si="9"/>
        <v>715414.43511925393</v>
      </c>
      <c r="AC25" s="68">
        <f t="shared" si="10"/>
        <v>22661496.496839318</v>
      </c>
      <c r="AD25" s="68"/>
      <c r="AE25" s="68"/>
      <c r="AF25" s="68"/>
      <c r="AG25" s="68"/>
      <c r="AH25" s="68"/>
      <c r="AI25" s="68"/>
      <c r="AK25" s="68"/>
      <c r="AL25" s="71">
        <f t="shared" si="4"/>
        <v>0</v>
      </c>
    </row>
    <row r="26" spans="2:38" x14ac:dyDescent="0.2">
      <c r="B26" s="5">
        <f t="shared" si="0"/>
        <v>19</v>
      </c>
      <c r="C26" s="5">
        <f t="shared" si="1"/>
        <v>19</v>
      </c>
      <c r="D26" s="5">
        <f t="shared" si="2"/>
        <v>1</v>
      </c>
      <c r="E26" s="5">
        <f t="shared" si="3"/>
        <v>47</v>
      </c>
      <c r="F26" s="65">
        <f>1-(1-VLOOKUP($E26,'Annual Mortality Rates'!$B$5:$C$105,2,FALSE))^(1/12)</f>
        <v>8.5873880504183653E-5</v>
      </c>
      <c r="G26" s="76">
        <f>IF(D26+1&gt;Assumptions!$H$9,100%,1-(1-IF(D26&gt;=7,2%,VLOOKUP($D26,'Annual Lapse Rates'!$B$4:$C$14,2,FALSE)))^(1/12))</f>
        <v>6.9243826282994192E-3</v>
      </c>
      <c r="H26" s="82">
        <f t="shared" si="11"/>
        <v>7</v>
      </c>
      <c r="I26" s="66">
        <f t="shared" si="5"/>
        <v>4279.748096586919</v>
      </c>
      <c r="J26" s="67">
        <f t="shared" si="6"/>
        <v>0.37011316485724699</v>
      </c>
      <c r="K26" s="67">
        <f t="shared" si="7"/>
        <v>29.843826250725726</v>
      </c>
      <c r="M26" s="68">
        <f t="shared" si="12"/>
        <v>22661496.496839318</v>
      </c>
      <c r="N26" s="68">
        <f>IF(AND(H26=1,D26&lt;15),Assumptions!$H$4*I25,0)</f>
        <v>0</v>
      </c>
      <c r="O26" s="68"/>
      <c r="P26" s="91">
        <f>$M26*(1+VLOOKUP($H26,Assumptions!$C$22:$D$33,2,FALSE))*F26</f>
        <v>1988.6000625140214</v>
      </c>
      <c r="Q26" s="91">
        <f>$M26*(1+VLOOKUP($H26,Assumptions!$C$22:$D$33,2,FALSE))*G26</f>
        <v>160349.4292637257</v>
      </c>
      <c r="R26" s="68">
        <f>IF(AND(H26=12,D26&lt;15),Assumptions!$C$7*M26,0)</f>
        <v>0</v>
      </c>
      <c r="S26" s="69">
        <f>M26*Assumptions!$D$17</f>
        <v>92325.741850836916</v>
      </c>
      <c r="T26" s="69">
        <f t="shared" si="8"/>
        <v>0</v>
      </c>
      <c r="U26" s="68">
        <f>T26+AE26*(1+Assumptions!$D$17)</f>
        <v>0</v>
      </c>
      <c r="V26" s="68">
        <f>(M26+N26-O26)*(1+Assumptions!$D$17)-(P26+Q26)*(1+Assumptions!$D$17)^0.5-R26-T26</f>
        <v>22591153.85288706</v>
      </c>
      <c r="W26" s="68"/>
      <c r="X26" s="68">
        <f>IF(AND(H26=1,D26&lt;15),Assumptions!$D$10*N26+Assumptions!$D$11*(1+Assumptions!$D$16)^(B26-1)*$I$7,0)</f>
        <v>0</v>
      </c>
      <c r="Y26" s="66">
        <f>Assumptions!$C$13*N26</f>
        <v>0</v>
      </c>
      <c r="Z26" s="66">
        <f>NPV(Assumptions!$D$19,N26:$N$259)*(1+Assumptions!$D$19)</f>
        <v>77961594.03657937</v>
      </c>
      <c r="AA26" s="69">
        <f t="shared" si="9"/>
        <v>718485.71238421951</v>
      </c>
      <c r="AC26" s="68">
        <f t="shared" si="10"/>
        <v>22591153.85288706</v>
      </c>
      <c r="AD26" s="68"/>
      <c r="AE26" s="68"/>
      <c r="AF26" s="68"/>
      <c r="AG26" s="68"/>
      <c r="AH26" s="68"/>
      <c r="AI26" s="68"/>
      <c r="AK26" s="68"/>
      <c r="AL26" s="71">
        <f t="shared" si="4"/>
        <v>0</v>
      </c>
    </row>
    <row r="27" spans="2:38" x14ac:dyDescent="0.2">
      <c r="B27" s="5">
        <f t="shared" si="0"/>
        <v>20</v>
      </c>
      <c r="C27" s="5">
        <f t="shared" si="1"/>
        <v>20</v>
      </c>
      <c r="D27" s="5">
        <f t="shared" si="2"/>
        <v>1</v>
      </c>
      <c r="E27" s="5">
        <f t="shared" si="3"/>
        <v>47</v>
      </c>
      <c r="F27" s="65">
        <f>1-(1-VLOOKUP($E27,'Annual Mortality Rates'!$B$5:$C$105,2,FALSE))^(1/12)</f>
        <v>8.5873880504183653E-5</v>
      </c>
      <c r="G27" s="76">
        <f>IF(D27+1&gt;Assumptions!$H$9,100%,1-(1-IF(D27&gt;=7,2%,VLOOKUP($D27,'Annual Lapse Rates'!$B$4:$C$14,2,FALSE)))^(1/12))</f>
        <v>6.9243826282994192E-3</v>
      </c>
      <c r="H27" s="82">
        <f t="shared" si="11"/>
        <v>8</v>
      </c>
      <c r="I27" s="66">
        <f t="shared" si="5"/>
        <v>4249.7459646367806</v>
      </c>
      <c r="J27" s="67">
        <f t="shared" si="6"/>
        <v>0.36751857663431253</v>
      </c>
      <c r="K27" s="67">
        <f t="shared" si="7"/>
        <v>29.634613373503967</v>
      </c>
      <c r="M27" s="68">
        <f t="shared" si="12"/>
        <v>22591153.85288706</v>
      </c>
      <c r="N27" s="68">
        <f>IF(AND(H27=1,D27&lt;15),Assumptions!$H$4*I26,0)</f>
        <v>0</v>
      </c>
      <c r="O27" s="68"/>
      <c r="P27" s="91">
        <f>$M27*(1+VLOOKUP($H27,Assumptions!$C$22:$D$33,2,FALSE))*F27</f>
        <v>1988.4897975748127</v>
      </c>
      <c r="Q27" s="91">
        <f>$M27*(1+VLOOKUP($H27,Assumptions!$C$22:$D$33,2,FALSE))*G27</f>
        <v>160340.5381244749</v>
      </c>
      <c r="R27" s="68">
        <f>IF(AND(H27=12,D27&lt;15),Assumptions!$C$7*M27,0)</f>
        <v>0</v>
      </c>
      <c r="S27" s="69">
        <f>M27*Assumptions!$D$17</f>
        <v>92039.157212106307</v>
      </c>
      <c r="T27" s="69">
        <f t="shared" si="8"/>
        <v>0</v>
      </c>
      <c r="U27" s="68">
        <f>T27+AE27*(1+Assumptions!$D$17)</f>
        <v>0</v>
      </c>
      <c r="V27" s="68">
        <f>(M27+N27-O27)*(1+Assumptions!$D$17)-(P27+Q27)*(1+Assumptions!$D$17)^0.5-R27-T27</f>
        <v>22520533.644018039</v>
      </c>
      <c r="W27" s="68"/>
      <c r="X27" s="68">
        <f>IF(AND(H27=1,D27&lt;15),Assumptions!$D$10*N27+Assumptions!$D$11*(1+Assumptions!$D$16)^(B27-1)*$I$7,0)</f>
        <v>0</v>
      </c>
      <c r="Y27" s="66">
        <f>Assumptions!$C$13*N27</f>
        <v>0</v>
      </c>
      <c r="Z27" s="66">
        <f>NPV(Assumptions!$D$19,N27:$N$259)*(1+Assumptions!$D$19)</f>
        <v>78296283.497052878</v>
      </c>
      <c r="AA27" s="69">
        <f t="shared" si="9"/>
        <v>721570.17465577007</v>
      </c>
      <c r="AC27" s="68">
        <f t="shared" si="10"/>
        <v>22520533.644018039</v>
      </c>
      <c r="AD27" s="68"/>
      <c r="AE27" s="68"/>
      <c r="AF27" s="68"/>
      <c r="AG27" s="68"/>
      <c r="AH27" s="68"/>
      <c r="AI27" s="68"/>
      <c r="AK27" s="68"/>
      <c r="AL27" s="71">
        <f t="shared" si="4"/>
        <v>0</v>
      </c>
    </row>
    <row r="28" spans="2:38" x14ac:dyDescent="0.2">
      <c r="B28" s="5">
        <f t="shared" si="0"/>
        <v>21</v>
      </c>
      <c r="C28" s="5">
        <f t="shared" si="1"/>
        <v>21</v>
      </c>
      <c r="D28" s="5">
        <f t="shared" si="2"/>
        <v>1</v>
      </c>
      <c r="E28" s="5">
        <f t="shared" si="3"/>
        <v>47</v>
      </c>
      <c r="F28" s="65">
        <f>1-(1-VLOOKUP($E28,'Annual Mortality Rates'!$B$5:$C$105,2,FALSE))^(1/12)</f>
        <v>8.5873880504183653E-5</v>
      </c>
      <c r="G28" s="76">
        <f>IF(D28+1&gt;Assumptions!$H$9,100%,1-(1-IF(D28&gt;=7,2%,VLOOKUP($D28,'Annual Lapse Rates'!$B$4:$C$14,2,FALSE)))^(1/12))</f>
        <v>6.9243826282994192E-3</v>
      </c>
      <c r="H28" s="82">
        <f t="shared" si="11"/>
        <v>9</v>
      </c>
      <c r="I28" s="66">
        <f t="shared" si="5"/>
        <v>4219.9541553274239</v>
      </c>
      <c r="J28" s="67">
        <f t="shared" si="6"/>
        <v>0.36494217714035559</v>
      </c>
      <c r="K28" s="67">
        <f t="shared" si="7"/>
        <v>29.426867132216483</v>
      </c>
      <c r="M28" s="68">
        <f t="shared" si="12"/>
        <v>22520533.644018039</v>
      </c>
      <c r="N28" s="68">
        <f>IF(AND(H28=1,D28&lt;15),Assumptions!$H$4*I27,0)</f>
        <v>0</v>
      </c>
      <c r="O28" s="68"/>
      <c r="P28" s="91">
        <f>$M28*(1+VLOOKUP($H28,Assumptions!$C$22:$D$33,2,FALSE))*F28</f>
        <v>1988.3172729597643</v>
      </c>
      <c r="Q28" s="91">
        <f>$M28*(1+VLOOKUP($H28,Assumptions!$C$22:$D$33,2,FALSE))*G28</f>
        <v>160326.626718115</v>
      </c>
      <c r="R28" s="68">
        <f>IF(AND(H28=12,D28&lt;15),Assumptions!$C$7*M28,0)</f>
        <v>0</v>
      </c>
      <c r="S28" s="69">
        <f>M28*Assumptions!$D$17</f>
        <v>91751.441739546819</v>
      </c>
      <c r="T28" s="69">
        <f t="shared" si="8"/>
        <v>0</v>
      </c>
      <c r="U28" s="68">
        <f>T28+AE28*(1+Assumptions!$D$17)</f>
        <v>0</v>
      </c>
      <c r="V28" s="68">
        <f>(M28+N28-O28)*(1+Assumptions!$D$17)-(P28+Q28)*(1+Assumptions!$D$17)^0.5-R28-T28</f>
        <v>22449639.832268111</v>
      </c>
      <c r="W28" s="68"/>
      <c r="X28" s="68">
        <f>IF(AND(H28=1,D28&lt;15),Assumptions!$D$10*N28+Assumptions!$D$11*(1+Assumptions!$D$16)^(B28-1)*$I$7,0)</f>
        <v>0</v>
      </c>
      <c r="Y28" s="66">
        <f>Assumptions!$C$13*N28</f>
        <v>0</v>
      </c>
      <c r="Z28" s="66">
        <f>NPV(Assumptions!$D$19,N28:$N$259)*(1+Assumptions!$D$19)</f>
        <v>78632409.780828074</v>
      </c>
      <c r="AA28" s="69">
        <f t="shared" si="9"/>
        <v>724667.87853719632</v>
      </c>
      <c r="AC28" s="68">
        <f t="shared" si="10"/>
        <v>22449639.832268111</v>
      </c>
      <c r="AD28" s="68"/>
      <c r="AE28" s="68"/>
      <c r="AF28" s="68"/>
      <c r="AG28" s="68"/>
      <c r="AH28" s="68"/>
      <c r="AI28" s="68"/>
      <c r="AK28" s="68"/>
      <c r="AL28" s="71">
        <f t="shared" si="4"/>
        <v>0</v>
      </c>
    </row>
    <row r="29" spans="2:38" x14ac:dyDescent="0.2">
      <c r="B29" s="5">
        <f t="shared" si="0"/>
        <v>22</v>
      </c>
      <c r="C29" s="5">
        <f t="shared" si="1"/>
        <v>22</v>
      </c>
      <c r="D29" s="5">
        <f t="shared" si="2"/>
        <v>1</v>
      </c>
      <c r="E29" s="5">
        <f t="shared" si="3"/>
        <v>47</v>
      </c>
      <c r="F29" s="65">
        <f>1-(1-VLOOKUP($E29,'Annual Mortality Rates'!$B$5:$C$105,2,FALSE))^(1/12)</f>
        <v>8.5873880504183653E-5</v>
      </c>
      <c r="G29" s="76">
        <f>IF(D29+1&gt;Assumptions!$H$9,100%,1-(1-IF(D29&gt;=7,2%,VLOOKUP($D29,'Annual Lapse Rates'!$B$4:$C$14,2,FALSE)))^(1/12))</f>
        <v>6.9243826282994192E-3</v>
      </c>
      <c r="H29" s="82">
        <f t="shared" si="11"/>
        <v>10</v>
      </c>
      <c r="I29" s="66">
        <f t="shared" si="5"/>
        <v>4190.3711942431873</v>
      </c>
      <c r="J29" s="67">
        <f t="shared" si="6"/>
        <v>0.36238383886772046</v>
      </c>
      <c r="K29" s="67">
        <f t="shared" si="7"/>
        <v>29.220577245369164</v>
      </c>
      <c r="M29" s="68">
        <f t="shared" si="12"/>
        <v>22449639.832268111</v>
      </c>
      <c r="N29" s="68">
        <f>IF(AND(H29=1,D29&lt;15),Assumptions!$H$4*I28,0)</f>
        <v>0</v>
      </c>
      <c r="O29" s="68"/>
      <c r="P29" s="91">
        <f>$M29*(1+VLOOKUP($H29,Assumptions!$C$22:$D$33,2,FALSE))*F29</f>
        <v>1988.0826160780957</v>
      </c>
      <c r="Q29" s="91">
        <f>$M29*(1+VLOOKUP($H29,Assumptions!$C$22:$D$33,2,FALSE))*G29</f>
        <v>160307.70531820276</v>
      </c>
      <c r="R29" s="68">
        <f>IF(AND(H29=12,D29&lt;15),Assumptions!$C$7*M29,0)</f>
        <v>0</v>
      </c>
      <c r="S29" s="69">
        <f>M29*Assumptions!$D$17</f>
        <v>91462.611574982948</v>
      </c>
      <c r="T29" s="69">
        <f t="shared" si="8"/>
        <v>0</v>
      </c>
      <c r="U29" s="68">
        <f>T29+AE29*(1+Assumptions!$D$17)</f>
        <v>0</v>
      </c>
      <c r="V29" s="68">
        <f>(M29+N29-O29)*(1+Assumptions!$D$17)-(P29+Q29)*(1+Assumptions!$D$17)^0.5-R29-T29</f>
        <v>22378476.385392819</v>
      </c>
      <c r="W29" s="68"/>
      <c r="X29" s="68">
        <f>IF(AND(H29=1,D29&lt;15),Assumptions!$D$10*N29+Assumptions!$D$11*(1+Assumptions!$D$16)^(B29-1)*$I$7,0)</f>
        <v>0</v>
      </c>
      <c r="Y29" s="66">
        <f>Assumptions!$C$13*N29</f>
        <v>0</v>
      </c>
      <c r="Z29" s="66">
        <f>NPV(Assumptions!$D$19,N29:$N$259)*(1+Assumptions!$D$19)</f>
        <v>78969979.056193665</v>
      </c>
      <c r="AA29" s="69">
        <f t="shared" si="9"/>
        <v>727778.88087478676</v>
      </c>
      <c r="AC29" s="68">
        <f t="shared" si="10"/>
        <v>22378476.385392819</v>
      </c>
      <c r="AD29" s="68"/>
      <c r="AE29" s="68"/>
      <c r="AF29" s="68"/>
      <c r="AG29" s="68"/>
      <c r="AH29" s="68"/>
      <c r="AI29" s="68"/>
      <c r="AK29" s="68"/>
      <c r="AL29" s="71">
        <f t="shared" si="4"/>
        <v>0</v>
      </c>
    </row>
    <row r="30" spans="2:38" x14ac:dyDescent="0.2">
      <c r="B30" s="5">
        <f t="shared" si="0"/>
        <v>23</v>
      </c>
      <c r="C30" s="5">
        <f t="shared" si="1"/>
        <v>23</v>
      </c>
      <c r="D30" s="5">
        <f t="shared" si="2"/>
        <v>1</v>
      </c>
      <c r="E30" s="5">
        <f t="shared" si="3"/>
        <v>47</v>
      </c>
      <c r="F30" s="65">
        <f>1-(1-VLOOKUP($E30,'Annual Mortality Rates'!$B$5:$C$105,2,FALSE))^(1/12)</f>
        <v>8.5873880504183653E-5</v>
      </c>
      <c r="G30" s="76">
        <f>IF(D30+1&gt;Assumptions!$H$9,100%,1-(1-IF(D30&gt;=7,2%,VLOOKUP($D30,'Annual Lapse Rates'!$B$4:$C$14,2,FALSE)))^(1/12))</f>
        <v>6.9243826282994192E-3</v>
      </c>
      <c r="H30" s="82">
        <f t="shared" si="11"/>
        <v>11</v>
      </c>
      <c r="I30" s="66">
        <f t="shared" si="5"/>
        <v>4160.9956173044411</v>
      </c>
      <c r="J30" s="67">
        <f t="shared" si="6"/>
        <v>0.3598434352026128</v>
      </c>
      <c r="K30" s="67">
        <f t="shared" si="7"/>
        <v>29.015733503543817</v>
      </c>
      <c r="M30" s="68">
        <f t="shared" si="12"/>
        <v>22378476.385392819</v>
      </c>
      <c r="N30" s="68">
        <f>IF(AND(H30=1,D30&lt;15),Assumptions!$H$4*I29,0)</f>
        <v>0</v>
      </c>
      <c r="O30" s="68"/>
      <c r="P30" s="91">
        <f>$M30*(1+VLOOKUP($H30,Assumptions!$C$22:$D$33,2,FALSE))*F30</f>
        <v>1987.7859591000251</v>
      </c>
      <c r="Q30" s="91">
        <f>$M30*(1+VLOOKUP($H30,Assumptions!$C$22:$D$33,2,FALSE))*G30</f>
        <v>160283.78458219484</v>
      </c>
      <c r="R30" s="68">
        <f>IF(AND(H30=12,D30&lt;15),Assumptions!$C$7*M30,0)</f>
        <v>0</v>
      </c>
      <c r="S30" s="69">
        <f>M30*Assumptions!$D$17</f>
        <v>91172.682883541915</v>
      </c>
      <c r="T30" s="69">
        <f t="shared" si="8"/>
        <v>0</v>
      </c>
      <c r="U30" s="68">
        <f>T30+AE30*(1+Assumptions!$D$17)</f>
        <v>0</v>
      </c>
      <c r="V30" s="68">
        <f>(M30+N30-O30)*(1+Assumptions!$D$17)-(P30+Q30)*(1+Assumptions!$D$17)^0.5-R30-T30</f>
        <v>22307047.276501257</v>
      </c>
      <c r="W30" s="68"/>
      <c r="X30" s="68">
        <f>IF(AND(H30=1,D30&lt;15),Assumptions!$D$10*N30+Assumptions!$D$11*(1+Assumptions!$D$16)^(B30-1)*$I$7,0)</f>
        <v>0</v>
      </c>
      <c r="Y30" s="66">
        <f>Assumptions!$C$13*N30</f>
        <v>0</v>
      </c>
      <c r="Z30" s="66">
        <f>NPV(Assumptions!$D$19,N30:$N$259)*(1+Assumptions!$D$19)</f>
        <v>79308997.517918795</v>
      </c>
      <c r="AA30" s="69">
        <f t="shared" si="9"/>
        <v>730903.23875887133</v>
      </c>
      <c r="AC30" s="68">
        <f t="shared" si="10"/>
        <v>22307047.276501257</v>
      </c>
      <c r="AD30" s="68"/>
      <c r="AE30" s="68"/>
      <c r="AF30" s="68"/>
      <c r="AG30" s="68"/>
      <c r="AH30" s="68"/>
      <c r="AI30" s="68"/>
      <c r="AK30" s="68"/>
      <c r="AL30" s="71">
        <f t="shared" si="4"/>
        <v>0</v>
      </c>
    </row>
    <row r="31" spans="2:38" x14ac:dyDescent="0.2">
      <c r="B31" s="5">
        <f t="shared" si="0"/>
        <v>24</v>
      </c>
      <c r="C31" s="5">
        <f t="shared" si="1"/>
        <v>24</v>
      </c>
      <c r="D31" s="5">
        <f t="shared" si="2"/>
        <v>1</v>
      </c>
      <c r="E31" s="5">
        <f t="shared" si="3"/>
        <v>47</v>
      </c>
      <c r="F31" s="65">
        <f>1-(1-VLOOKUP($E31,'Annual Mortality Rates'!$B$5:$C$105,2,FALSE))^(1/12)</f>
        <v>8.5873880504183653E-5</v>
      </c>
      <c r="G31" s="76">
        <f>IF(D31+1&gt;Assumptions!$H$9,100%,1-(1-IF(D31&gt;=7,2%,VLOOKUP($D31,'Annual Lapse Rates'!$B$4:$C$14,2,FALSE)))^(1/12))</f>
        <v>6.9243826282994192E-3</v>
      </c>
      <c r="H31" s="82">
        <f t="shared" si="11"/>
        <v>12</v>
      </c>
      <c r="I31" s="66">
        <f t="shared" si="5"/>
        <v>4131.8259706951294</v>
      </c>
      <c r="J31" s="67">
        <f t="shared" si="6"/>
        <v>0.3573208404188335</v>
      </c>
      <c r="K31" s="67">
        <f t="shared" si="7"/>
        <v>28.81232576889289</v>
      </c>
      <c r="M31" s="68">
        <f t="shared" si="12"/>
        <v>22307047.276501257</v>
      </c>
      <c r="N31" s="68">
        <f>IF(AND(H31=1,D31&lt;15),Assumptions!$H$4*I30,0)</f>
        <v>0</v>
      </c>
      <c r="O31" s="68"/>
      <c r="P31" s="91">
        <f>$M31*(1+VLOOKUP($H31,Assumptions!$C$22:$D$33,2,FALSE))*F31</f>
        <v>1987.4274389318239</v>
      </c>
      <c r="Q31" s="91">
        <f>$M31*(1+VLOOKUP($H31,Assumptions!$C$22:$D$33,2,FALSE))*G31</f>
        <v>160254.87554943643</v>
      </c>
      <c r="R31" s="68">
        <f>IF(AND(H31=12,D31&lt;15),Assumptions!$C$7*M31,0)</f>
        <v>11153.523638250628</v>
      </c>
      <c r="S31" s="69">
        <f>M31*Assumptions!$D$17</f>
        <v>90881.671852162006</v>
      </c>
      <c r="T31" s="69">
        <f t="shared" si="8"/>
        <v>0</v>
      </c>
      <c r="U31" s="68">
        <f>T31+AE31*(1+Assumptions!$D$17)</f>
        <v>0</v>
      </c>
      <c r="V31" s="68">
        <f>(M31+N31-O31)*(1+Assumptions!$D$17)-(P31+Q31)*(1+Assumptions!$D$17)^0.5-R31-T31</f>
        <v>22224202.960052203</v>
      </c>
      <c r="W31" s="68"/>
      <c r="X31" s="68">
        <f>IF(AND(H31=1,D31&lt;15),Assumptions!$D$10*N31+Assumptions!$D$11*(1+Assumptions!$D$16)^(B31-1)*$I$7,0)</f>
        <v>0</v>
      </c>
      <c r="Y31" s="66">
        <f>Assumptions!$C$13*N31</f>
        <v>0</v>
      </c>
      <c r="Z31" s="66">
        <f>NPV(Assumptions!$D$19,N31:$N$259)*(1+Assumptions!$D$19)</f>
        <v>79649471.387366757</v>
      </c>
      <c r="AA31" s="69">
        <f t="shared" si="9"/>
        <v>734041.00952486868</v>
      </c>
      <c r="AC31" s="68">
        <f t="shared" si="10"/>
        <v>22224202.960052203</v>
      </c>
      <c r="AD31" s="68"/>
      <c r="AE31" s="68"/>
      <c r="AF31" s="68"/>
      <c r="AG31" s="68"/>
      <c r="AH31" s="68"/>
      <c r="AI31" s="68"/>
      <c r="AK31" s="68"/>
      <c r="AL31" s="71">
        <f t="shared" si="4"/>
        <v>0</v>
      </c>
    </row>
    <row r="32" spans="2:38" x14ac:dyDescent="0.2">
      <c r="B32" s="5">
        <f t="shared" si="0"/>
        <v>25</v>
      </c>
      <c r="C32" s="5">
        <f t="shared" si="1"/>
        <v>25</v>
      </c>
      <c r="D32" s="5">
        <f t="shared" si="2"/>
        <v>2</v>
      </c>
      <c r="E32" s="5">
        <f t="shared" si="3"/>
        <v>48</v>
      </c>
      <c r="F32" s="65">
        <f>1-(1-VLOOKUP($E32,'Annual Mortality Rates'!$B$5:$C$105,2,FALSE))^(1/12)</f>
        <v>9.5883882629710371E-5</v>
      </c>
      <c r="G32" s="76">
        <f>IF(D32+1&gt;Assumptions!$H$9,100%,1-(1-IF(D32&gt;=7,2%,VLOOKUP($D32,'Annual Lapse Rates'!$B$4:$C$14,2,FALSE)))^(1/12))</f>
        <v>6.0293080661268927E-3</v>
      </c>
      <c r="H32" s="82">
        <f t="shared" si="11"/>
        <v>1</v>
      </c>
      <c r="I32" s="66">
        <f t="shared" si="5"/>
        <v>4106.5177435257638</v>
      </c>
      <c r="J32" s="67">
        <f t="shared" si="6"/>
        <v>0.3961755164205209</v>
      </c>
      <c r="K32" s="67">
        <f t="shared" si="7"/>
        <v>24.912051652944722</v>
      </c>
      <c r="M32" s="68">
        <f t="shared" si="12"/>
        <v>22224202.960052203</v>
      </c>
      <c r="N32" s="68">
        <f>IF(AND(H32=1,D32&lt;15),Assumptions!$H$4*I31,0)</f>
        <v>10329564.926737823</v>
      </c>
      <c r="O32" s="68"/>
      <c r="P32" s="91">
        <f>$M32*(1+VLOOKUP($H32,Assumptions!$C$22:$D$33,2,FALSE))*F32</f>
        <v>2137.6020646235088</v>
      </c>
      <c r="Q32" s="91">
        <f>$M32*(1+VLOOKUP($H32,Assumptions!$C$22:$D$33,2,FALSE))*G32</f>
        <v>134415.30543956606</v>
      </c>
      <c r="R32" s="68">
        <f>IF(AND(H32=12,D32&lt;15),Assumptions!$C$7*M32,0)</f>
        <v>0</v>
      </c>
      <c r="S32" s="69">
        <f>M32*Assumptions!$D$17</f>
        <v>90544.153852176823</v>
      </c>
      <c r="T32" s="69">
        <f t="shared" si="8"/>
        <v>0</v>
      </c>
      <c r="U32" s="68">
        <f>T32+AE32*(1+Assumptions!$D$17)</f>
        <v>0</v>
      </c>
      <c r="V32" s="68">
        <f>(M32+N32-O32)*(1+Assumptions!$D$17)-(P32+Q32)*(1+Assumptions!$D$17)^0.5-R32-T32</f>
        <v>32549565.17530242</v>
      </c>
      <c r="W32" s="68"/>
      <c r="X32" s="68">
        <f>IF(AND(H32=1,D32&lt;15),Assumptions!$D$10*N32+Assumptions!$D$11*(1+Assumptions!$D$16)^(B32-1)*$I$7,0)</f>
        <v>85460.824633689146</v>
      </c>
      <c r="Y32" s="66">
        <f>Assumptions!$C$13*N32</f>
        <v>51647.824633689117</v>
      </c>
      <c r="Z32" s="66">
        <f>NPV(Assumptions!$D$19,N32:$N$259)*(1+Assumptions!$D$19)</f>
        <v>79991406.912609205</v>
      </c>
      <c r="AA32" s="69">
        <f t="shared" si="9"/>
        <v>641996.08517152572</v>
      </c>
      <c r="AC32" s="68">
        <f t="shared" si="10"/>
        <v>32549565.17530242</v>
      </c>
      <c r="AD32" s="68"/>
      <c r="AE32" s="68"/>
      <c r="AF32" s="68"/>
      <c r="AG32" s="68"/>
      <c r="AH32" s="68"/>
      <c r="AI32" s="68"/>
      <c r="AK32" s="68"/>
      <c r="AL32" s="71">
        <f t="shared" si="4"/>
        <v>0</v>
      </c>
    </row>
    <row r="33" spans="2:38" x14ac:dyDescent="0.2">
      <c r="B33" s="5">
        <f t="shared" si="0"/>
        <v>26</v>
      </c>
      <c r="C33" s="5">
        <f t="shared" si="1"/>
        <v>26</v>
      </c>
      <c r="D33" s="5">
        <f t="shared" si="2"/>
        <v>2</v>
      </c>
      <c r="E33" s="5">
        <f t="shared" si="3"/>
        <v>48</v>
      </c>
      <c r="F33" s="65">
        <f>1-(1-VLOOKUP($E33,'Annual Mortality Rates'!$B$5:$C$105,2,FALSE))^(1/12)</f>
        <v>9.5883882629710371E-5</v>
      </c>
      <c r="G33" s="76">
        <f>IF(D33+1&gt;Assumptions!$H$9,100%,1-(1-IF(D33&gt;=7,2%,VLOOKUP($D33,'Annual Lapse Rates'!$B$4:$C$14,2,FALSE)))^(1/12))</f>
        <v>6.0293080661268927E-3</v>
      </c>
      <c r="H33" s="82">
        <f t="shared" si="11"/>
        <v>2</v>
      </c>
      <c r="I33" s="66">
        <f t="shared" si="5"/>
        <v>4081.3645341056936</v>
      </c>
      <c r="J33" s="67">
        <f t="shared" si="6"/>
        <v>0.39374886533704739</v>
      </c>
      <c r="K33" s="67">
        <f t="shared" si="7"/>
        <v>24.759460554733096</v>
      </c>
      <c r="M33" s="68">
        <f t="shared" si="12"/>
        <v>32549565.17530242</v>
      </c>
      <c r="N33" s="68">
        <f>IF(AND(H33=1,D33&lt;15),Assumptions!$H$4*I32,0)</f>
        <v>0</v>
      </c>
      <c r="O33" s="68"/>
      <c r="P33" s="91">
        <f>$M33*(1+VLOOKUP($H33,Assumptions!$C$22:$D$33,2,FALSE))*F33</f>
        <v>3140.4848037100355</v>
      </c>
      <c r="Q33" s="91">
        <f>$M33*(1+VLOOKUP($H33,Assumptions!$C$22:$D$33,2,FALSE))*G33</f>
        <v>197477.92683450124</v>
      </c>
      <c r="R33" s="68">
        <f>IF(AND(H33=12,D33&lt;15),Assumptions!$C$7*M33,0)</f>
        <v>0</v>
      </c>
      <c r="S33" s="69">
        <f>M33*Assumptions!$D$17</f>
        <v>132610.95762811176</v>
      </c>
      <c r="T33" s="69">
        <f t="shared" si="8"/>
        <v>0</v>
      </c>
      <c r="U33" s="68">
        <f>T33+AE33*(1+Assumptions!$D$17)</f>
        <v>0</v>
      </c>
      <c r="V33" s="68">
        <f>(M33+N33-O33)*(1+Assumptions!$D$17)-(P33+Q33)*(1+Assumptions!$D$17)^0.5-R33-T33</f>
        <v>32481149.464570612</v>
      </c>
      <c r="W33" s="68"/>
      <c r="X33" s="68">
        <f>IF(AND(H33=1,D33&lt;15),Assumptions!$D$10*N33+Assumptions!$D$11*(1+Assumptions!$D$16)^(B33-1)*$I$7,0)</f>
        <v>0</v>
      </c>
      <c r="Y33" s="66">
        <f>Assumptions!$C$13*N33</f>
        <v>0</v>
      </c>
      <c r="Z33" s="66">
        <f>NPV(Assumptions!$D$19,N33:$N$259)*(1+Assumptions!$D$19)</f>
        <v>69960900.574885115</v>
      </c>
      <c r="AA33" s="69">
        <f t="shared" si="9"/>
        <v>644752.17714254593</v>
      </c>
      <c r="AC33" s="68">
        <f t="shared" si="10"/>
        <v>32481149.464570612</v>
      </c>
      <c r="AD33" s="68"/>
      <c r="AE33" s="68"/>
      <c r="AF33" s="68"/>
      <c r="AG33" s="68"/>
      <c r="AH33" s="68"/>
      <c r="AI33" s="68"/>
      <c r="AK33" s="68"/>
      <c r="AL33" s="71">
        <f t="shared" si="4"/>
        <v>0</v>
      </c>
    </row>
    <row r="34" spans="2:38" x14ac:dyDescent="0.2">
      <c r="B34" s="5">
        <f t="shared" si="0"/>
        <v>27</v>
      </c>
      <c r="C34" s="5">
        <f t="shared" si="1"/>
        <v>27</v>
      </c>
      <c r="D34" s="5">
        <f t="shared" si="2"/>
        <v>2</v>
      </c>
      <c r="E34" s="5">
        <f t="shared" si="3"/>
        <v>48</v>
      </c>
      <c r="F34" s="65">
        <f>1-(1-VLOOKUP($E34,'Annual Mortality Rates'!$B$5:$C$105,2,FALSE))^(1/12)</f>
        <v>9.5883882629710371E-5</v>
      </c>
      <c r="G34" s="76">
        <f>IF(D34+1&gt;Assumptions!$H$9,100%,1-(1-IF(D34&gt;=7,2%,VLOOKUP($D34,'Annual Lapse Rates'!$B$4:$C$14,2,FALSE)))^(1/12))</f>
        <v>6.0293080661268927E-3</v>
      </c>
      <c r="H34" s="82">
        <f t="shared" si="11"/>
        <v>3</v>
      </c>
      <c r="I34" s="66">
        <f t="shared" si="5"/>
        <v>4056.3653929214483</v>
      </c>
      <c r="J34" s="67">
        <f t="shared" si="6"/>
        <v>0.39133707795725287</v>
      </c>
      <c r="K34" s="67">
        <f t="shared" si="7"/>
        <v>24.607804106287684</v>
      </c>
      <c r="M34" s="68">
        <f t="shared" si="12"/>
        <v>32481149.464570612</v>
      </c>
      <c r="N34" s="68">
        <f>IF(AND(H34=1,D34&lt;15),Assumptions!$H$4*I33,0)</f>
        <v>0</v>
      </c>
      <c r="O34" s="68"/>
      <c r="P34" s="91">
        <f>$M34*(1+VLOOKUP($H34,Assumptions!$C$22:$D$33,2,FALSE))*F34</f>
        <v>3143.6163984665209</v>
      </c>
      <c r="Q34" s="91">
        <f>$M34*(1+VLOOKUP($H34,Assumptions!$C$22:$D$33,2,FALSE))*G34</f>
        <v>197674.84574315697</v>
      </c>
      <c r="R34" s="68">
        <f>IF(AND(H34=12,D34&lt;15),Assumptions!$C$7*M34,0)</f>
        <v>0</v>
      </c>
      <c r="S34" s="69">
        <f>M34*Assumptions!$D$17</f>
        <v>132332.22355384412</v>
      </c>
      <c r="T34" s="69">
        <f t="shared" si="8"/>
        <v>0</v>
      </c>
      <c r="U34" s="68">
        <f>T34+AE34*(1+Assumptions!$D$17)</f>
        <v>0</v>
      </c>
      <c r="V34" s="68">
        <f>(M34+N34-O34)*(1+Assumptions!$D$17)-(P34+Q34)*(1+Assumptions!$D$17)^0.5-R34-T34</f>
        <v>32412254.56216009</v>
      </c>
      <c r="W34" s="68"/>
      <c r="X34" s="68">
        <f>IF(AND(H34=1,D34&lt;15),Assumptions!$D$10*N34+Assumptions!$D$11*(1+Assumptions!$D$16)^(B34-1)*$I$7,0)</f>
        <v>0</v>
      </c>
      <c r="Y34" s="66">
        <f>Assumptions!$C$13*N34</f>
        <v>0</v>
      </c>
      <c r="Z34" s="66">
        <f>NPV(Assumptions!$D$19,N34:$N$259)*(1+Assumptions!$D$19)</f>
        <v>70261243.023715258</v>
      </c>
      <c r="AA34" s="69">
        <f t="shared" si="9"/>
        <v>647520.10102832085</v>
      </c>
      <c r="AC34" s="68">
        <f t="shared" si="10"/>
        <v>32412254.56216009</v>
      </c>
      <c r="AD34" s="68"/>
      <c r="AE34" s="68"/>
      <c r="AF34" s="68"/>
      <c r="AG34" s="68"/>
      <c r="AH34" s="68"/>
      <c r="AI34" s="68"/>
      <c r="AK34" s="68"/>
      <c r="AL34" s="71">
        <f t="shared" si="4"/>
        <v>0</v>
      </c>
    </row>
    <row r="35" spans="2:38" x14ac:dyDescent="0.2">
      <c r="B35" s="5">
        <f t="shared" si="0"/>
        <v>28</v>
      </c>
      <c r="C35" s="5">
        <f t="shared" si="1"/>
        <v>28</v>
      </c>
      <c r="D35" s="5">
        <f t="shared" si="2"/>
        <v>2</v>
      </c>
      <c r="E35" s="5">
        <f t="shared" si="3"/>
        <v>48</v>
      </c>
      <c r="F35" s="65">
        <f>1-(1-VLOOKUP($E35,'Annual Mortality Rates'!$B$5:$C$105,2,FALSE))^(1/12)</f>
        <v>9.5883882629710371E-5</v>
      </c>
      <c r="G35" s="76">
        <f>IF(D35+1&gt;Assumptions!$H$9,100%,1-(1-IF(D35&gt;=7,2%,VLOOKUP($D35,'Annual Lapse Rates'!$B$4:$C$14,2,FALSE)))^(1/12))</f>
        <v>6.0293080661268927E-3</v>
      </c>
      <c r="H35" s="82">
        <f t="shared" si="11"/>
        <v>4</v>
      </c>
      <c r="I35" s="66">
        <f t="shared" si="5"/>
        <v>4031.5193762755111</v>
      </c>
      <c r="J35" s="67">
        <f t="shared" si="6"/>
        <v>0.38894006323809915</v>
      </c>
      <c r="K35" s="67">
        <f t="shared" si="7"/>
        <v>24.457076582699273</v>
      </c>
      <c r="M35" s="68">
        <f t="shared" si="12"/>
        <v>32412254.56216009</v>
      </c>
      <c r="N35" s="68">
        <f>IF(AND(H35=1,D35&lt;15),Assumptions!$H$4*I34,0)</f>
        <v>0</v>
      </c>
      <c r="O35" s="68"/>
      <c r="P35" s="91">
        <f>$M35*(1+VLOOKUP($H35,Assumptions!$C$22:$D$33,2,FALSE))*F35</f>
        <v>3146.6604723549831</v>
      </c>
      <c r="Q35" s="91">
        <f>$M35*(1+VLOOKUP($H35,Assumptions!$C$22:$D$33,2,FALSE))*G35</f>
        <v>197866.26122140238</v>
      </c>
      <c r="R35" s="68">
        <f>IF(AND(H35=12,D35&lt;15),Assumptions!$C$7*M35,0)</f>
        <v>0</v>
      </c>
      <c r="S35" s="69">
        <f>M35*Assumptions!$D$17</f>
        <v>132051.53719336126</v>
      </c>
      <c r="T35" s="69">
        <f t="shared" si="8"/>
        <v>0</v>
      </c>
      <c r="U35" s="68">
        <f>T35+AE35*(1+Assumptions!$D$17)</f>
        <v>0</v>
      </c>
      <c r="V35" s="68">
        <f>(M35+N35-O35)*(1+Assumptions!$D$17)-(P35+Q35)*(1+Assumptions!$D$17)^0.5-R35-T35</f>
        <v>32342884.118113454</v>
      </c>
      <c r="W35" s="68"/>
      <c r="X35" s="68">
        <f>IF(AND(H35=1,D35&lt;15),Assumptions!$D$10*N35+Assumptions!$D$11*(1+Assumptions!$D$16)^(B35-1)*$I$7,0)</f>
        <v>0</v>
      </c>
      <c r="Y35" s="66">
        <f>Assumptions!$C$13*N35</f>
        <v>0</v>
      </c>
      <c r="Z35" s="66">
        <f>NPV(Assumptions!$D$19,N35:$N$259)*(1+Assumptions!$D$19)</f>
        <v>70562874.843977541</v>
      </c>
      <c r="AA35" s="69">
        <f t="shared" si="9"/>
        <v>650299.90762331197</v>
      </c>
      <c r="AC35" s="68">
        <f t="shared" si="10"/>
        <v>32342884.118113454</v>
      </c>
      <c r="AD35" s="68"/>
      <c r="AE35" s="68"/>
      <c r="AF35" s="68"/>
      <c r="AG35" s="68"/>
      <c r="AH35" s="68"/>
      <c r="AI35" s="68"/>
      <c r="AK35" s="68"/>
      <c r="AL35" s="71">
        <f t="shared" si="4"/>
        <v>0</v>
      </c>
    </row>
    <row r="36" spans="2:38" x14ac:dyDescent="0.2">
      <c r="B36" s="5">
        <f t="shared" si="0"/>
        <v>29</v>
      </c>
      <c r="C36" s="5">
        <f t="shared" si="1"/>
        <v>29</v>
      </c>
      <c r="D36" s="5">
        <f t="shared" si="2"/>
        <v>2</v>
      </c>
      <c r="E36" s="5">
        <f t="shared" si="3"/>
        <v>48</v>
      </c>
      <c r="F36" s="65">
        <f>1-(1-VLOOKUP($E36,'Annual Mortality Rates'!$B$5:$C$105,2,FALSE))^(1/12)</f>
        <v>9.5883882629710371E-5</v>
      </c>
      <c r="G36" s="76">
        <f>IF(D36+1&gt;Assumptions!$H$9,100%,1-(1-IF(D36&gt;=7,2%,VLOOKUP($D36,'Annual Lapse Rates'!$B$4:$C$14,2,FALSE)))^(1/12))</f>
        <v>6.0293080661268927E-3</v>
      </c>
      <c r="H36" s="82">
        <f t="shared" si="11"/>
        <v>5</v>
      </c>
      <c r="I36" s="66">
        <f t="shared" si="5"/>
        <v>4006.8255462506922</v>
      </c>
      <c r="J36" s="67">
        <f t="shared" si="6"/>
        <v>0.38655773069420429</v>
      </c>
      <c r="K36" s="67">
        <f t="shared" si="7"/>
        <v>24.3072722941248</v>
      </c>
      <c r="M36" s="68">
        <f t="shared" si="12"/>
        <v>32342884.118113454</v>
      </c>
      <c r="N36" s="68">
        <f>IF(AND(H36=1,D36&lt;15),Assumptions!$H$4*I35,0)</f>
        <v>0</v>
      </c>
      <c r="O36" s="68"/>
      <c r="P36" s="91">
        <f>$M36*(1+VLOOKUP($H36,Assumptions!$C$22:$D$33,2,FALSE))*F36</f>
        <v>3149.6169500732567</v>
      </c>
      <c r="Q36" s="91">
        <f>$M36*(1+VLOOKUP($H36,Assumptions!$C$22:$D$33,2,FALSE))*G36</f>
        <v>198052.16853413553</v>
      </c>
      <c r="R36" s="68">
        <f>IF(AND(H36=12,D36&lt;15),Assumptions!$C$7*M36,0)</f>
        <v>0</v>
      </c>
      <c r="S36" s="69">
        <f>M36*Assumptions!$D$17</f>
        <v>131768.91341738863</v>
      </c>
      <c r="T36" s="69">
        <f t="shared" si="8"/>
        <v>0</v>
      </c>
      <c r="U36" s="68">
        <f>T36+AE36*(1+Assumptions!$D$17)</f>
        <v>0</v>
      </c>
      <c r="V36" s="68">
        <f>(M36+N36-O36)*(1+Assumptions!$D$17)-(P36+Q36)*(1+Assumptions!$D$17)^0.5-R36-T36</f>
        <v>32273041.802164227</v>
      </c>
      <c r="W36" s="68"/>
      <c r="X36" s="68">
        <f>IF(AND(H36=1,D36&lt;15),Assumptions!$D$10*N36+Assumptions!$D$11*(1+Assumptions!$D$16)^(B36-1)*$I$7,0)</f>
        <v>0</v>
      </c>
      <c r="Y36" s="66">
        <f>Assumptions!$C$13*N36</f>
        <v>0</v>
      </c>
      <c r="Z36" s="66">
        <f>NPV(Assumptions!$D$19,N36:$N$259)*(1+Assumptions!$D$19)</f>
        <v>70865801.570949137</v>
      </c>
      <c r="AA36" s="69">
        <f t="shared" si="9"/>
        <v>653091.64794004138</v>
      </c>
      <c r="AC36" s="68">
        <f t="shared" si="10"/>
        <v>32273041.802164227</v>
      </c>
      <c r="AD36" s="68"/>
      <c r="AE36" s="68"/>
      <c r="AF36" s="68"/>
      <c r="AG36" s="68"/>
      <c r="AH36" s="68"/>
      <c r="AI36" s="68"/>
      <c r="AK36" s="68"/>
      <c r="AL36" s="71">
        <f t="shared" si="4"/>
        <v>0</v>
      </c>
    </row>
    <row r="37" spans="2:38" x14ac:dyDescent="0.2">
      <c r="B37" s="5">
        <f t="shared" si="0"/>
        <v>30</v>
      </c>
      <c r="C37" s="5">
        <f t="shared" si="1"/>
        <v>30</v>
      </c>
      <c r="D37" s="5">
        <f t="shared" si="2"/>
        <v>2</v>
      </c>
      <c r="E37" s="5">
        <f t="shared" si="3"/>
        <v>48</v>
      </c>
      <c r="F37" s="65">
        <f>1-(1-VLOOKUP($E37,'Annual Mortality Rates'!$B$5:$C$105,2,FALSE))^(1/12)</f>
        <v>9.5883882629710371E-5</v>
      </c>
      <c r="G37" s="76">
        <f>IF(D37+1&gt;Assumptions!$H$9,100%,1-(1-IF(D37&gt;=7,2%,VLOOKUP($D37,'Annual Lapse Rates'!$B$4:$C$14,2,FALSE)))^(1/12))</f>
        <v>6.0293080661268927E-3</v>
      </c>
      <c r="H37" s="82">
        <f t="shared" si="11"/>
        <v>6</v>
      </c>
      <c r="I37" s="66">
        <f t="shared" si="5"/>
        <v>3982.2829706747252</v>
      </c>
      <c r="J37" s="67">
        <f t="shared" si="6"/>
        <v>0.38418999039442653</v>
      </c>
      <c r="K37" s="67">
        <f t="shared" si="7"/>
        <v>24.158385585572592</v>
      </c>
      <c r="M37" s="68">
        <f t="shared" si="12"/>
        <v>32273041.802164227</v>
      </c>
      <c r="N37" s="68">
        <f>IF(AND(H37=1,D37&lt;15),Assumptions!$H$4*I36,0)</f>
        <v>0</v>
      </c>
      <c r="O37" s="68"/>
      <c r="P37" s="91">
        <f>$M37*(1+VLOOKUP($H37,Assumptions!$C$22:$D$33,2,FALSE))*F37</f>
        <v>3152.4857626173725</v>
      </c>
      <c r="Q37" s="91">
        <f>$M37*(1+VLOOKUP($H37,Assumptions!$C$22:$D$33,2,FALSE))*G37</f>
        <v>198232.56334229367</v>
      </c>
      <c r="R37" s="68">
        <f>IF(AND(H37=12,D37&lt;15),Assumptions!$C$7*M37,0)</f>
        <v>0</v>
      </c>
      <c r="S37" s="69">
        <f>M37*Assumptions!$D$17</f>
        <v>131484.3671768748</v>
      </c>
      <c r="T37" s="69">
        <f t="shared" si="8"/>
        <v>0</v>
      </c>
      <c r="U37" s="68">
        <f>T37+AE37*(1+Assumptions!$D$17)</f>
        <v>0</v>
      </c>
      <c r="V37" s="68">
        <f>(M37+N37-O37)*(1+Assumptions!$D$17)-(P37+Q37)*(1+Assumptions!$D$17)^0.5-R37-T37</f>
        <v>32202731.303413909</v>
      </c>
      <c r="W37" s="68"/>
      <c r="X37" s="68">
        <f>IF(AND(H37=1,D37&lt;15),Assumptions!$D$10*N37+Assumptions!$D$11*(1+Assumptions!$D$16)^(B37-1)*$I$7,0)</f>
        <v>0</v>
      </c>
      <c r="Y37" s="66">
        <f>Assumptions!$C$13*N37</f>
        <v>0</v>
      </c>
      <c r="Z37" s="66">
        <f>NPV(Assumptions!$D$19,N37:$N$259)*(1+Assumptions!$D$19)</f>
        <v>71170028.763670132</v>
      </c>
      <c r="AA37" s="69">
        <f t="shared" si="9"/>
        <v>655895.37321002793</v>
      </c>
      <c r="AC37" s="68">
        <f t="shared" si="10"/>
        <v>32202731.303413909</v>
      </c>
      <c r="AD37" s="68"/>
      <c r="AE37" s="68"/>
      <c r="AF37" s="68"/>
      <c r="AG37" s="68"/>
      <c r="AH37" s="68"/>
      <c r="AI37" s="68"/>
      <c r="AK37" s="68"/>
      <c r="AL37" s="71">
        <f t="shared" si="4"/>
        <v>0</v>
      </c>
    </row>
    <row r="38" spans="2:38" x14ac:dyDescent="0.2">
      <c r="B38" s="5">
        <f t="shared" si="0"/>
        <v>31</v>
      </c>
      <c r="C38" s="5">
        <f t="shared" si="1"/>
        <v>31</v>
      </c>
      <c r="D38" s="5">
        <f t="shared" si="2"/>
        <v>2</v>
      </c>
      <c r="E38" s="5">
        <f t="shared" si="3"/>
        <v>48</v>
      </c>
      <c r="F38" s="65">
        <f>1-(1-VLOOKUP($E38,'Annual Mortality Rates'!$B$5:$C$105,2,FALSE))^(1/12)</f>
        <v>9.5883882629710371E-5</v>
      </c>
      <c r="G38" s="76">
        <f>IF(D38+1&gt;Assumptions!$H$9,100%,1-(1-IF(D38&gt;=7,2%,VLOOKUP($D38,'Annual Lapse Rates'!$B$4:$C$14,2,FALSE)))^(1/12))</f>
        <v>6.0293080661268927E-3</v>
      </c>
      <c r="H38" s="82">
        <f t="shared" si="11"/>
        <v>7</v>
      </c>
      <c r="I38" s="66">
        <f t="shared" si="5"/>
        <v>3957.8907230850778</v>
      </c>
      <c r="J38" s="67">
        <f t="shared" si="6"/>
        <v>0.38183675295846969</v>
      </c>
      <c r="K38" s="67">
        <f t="shared" si="7"/>
        <v>24.010410836688884</v>
      </c>
      <c r="M38" s="68">
        <f t="shared" si="12"/>
        <v>32202731.303413909</v>
      </c>
      <c r="N38" s="68">
        <f>IF(AND(H38=1,D38&lt;15),Assumptions!$H$4*I37,0)</f>
        <v>0</v>
      </c>
      <c r="O38" s="68"/>
      <c r="P38" s="91">
        <f>$M38*(1+VLOOKUP($H38,Assumptions!$C$22:$D$33,2,FALSE))*F38</f>
        <v>3155.2668472794162</v>
      </c>
      <c r="Q38" s="91">
        <f>$M38*(1+VLOOKUP($H38,Assumptions!$C$22:$D$33,2,FALSE))*G38</f>
        <v>198407.44170271841</v>
      </c>
      <c r="R38" s="68">
        <f>IF(AND(H38=12,D38&lt;15),Assumptions!$C$7*M38,0)</f>
        <v>0</v>
      </c>
      <c r="S38" s="69">
        <f>M38*Assumptions!$D$17</f>
        <v>131197.91350167594</v>
      </c>
      <c r="T38" s="69">
        <f t="shared" si="8"/>
        <v>0</v>
      </c>
      <c r="U38" s="68">
        <f>T38+AE38*(1+Assumptions!$D$17)</f>
        <v>0</v>
      </c>
      <c r="V38" s="68">
        <f>(M38+N38-O38)*(1+Assumptions!$D$17)-(P38+Q38)*(1+Assumptions!$D$17)^0.5-R38-T38</f>
        <v>32131956.330007881</v>
      </c>
      <c r="W38" s="68"/>
      <c r="X38" s="68">
        <f>IF(AND(H38=1,D38&lt;15),Assumptions!$D$10*N38+Assumptions!$D$11*(1+Assumptions!$D$16)^(B38-1)*$I$7,0)</f>
        <v>0</v>
      </c>
      <c r="Y38" s="66">
        <f>Assumptions!$C$13*N38</f>
        <v>0</v>
      </c>
      <c r="Z38" s="66">
        <f>NPV(Assumptions!$D$19,N38:$N$259)*(1+Assumptions!$D$19)</f>
        <v>71475562.005045608</v>
      </c>
      <c r="AA38" s="69">
        <f t="shared" si="9"/>
        <v>658711.13488472789</v>
      </c>
      <c r="AC38" s="68">
        <f t="shared" si="10"/>
        <v>32131956.330007881</v>
      </c>
      <c r="AD38" s="68"/>
      <c r="AE38" s="68"/>
      <c r="AF38" s="68"/>
      <c r="AG38" s="68"/>
      <c r="AH38" s="68"/>
      <c r="AI38" s="68"/>
      <c r="AK38" s="68"/>
      <c r="AL38" s="71">
        <f t="shared" si="4"/>
        <v>0</v>
      </c>
    </row>
    <row r="39" spans="2:38" x14ac:dyDescent="0.2">
      <c r="B39" s="5">
        <f t="shared" si="0"/>
        <v>32</v>
      </c>
      <c r="C39" s="5">
        <f t="shared" si="1"/>
        <v>32</v>
      </c>
      <c r="D39" s="5">
        <f t="shared" si="2"/>
        <v>2</v>
      </c>
      <c r="E39" s="5">
        <f t="shared" si="3"/>
        <v>48</v>
      </c>
      <c r="F39" s="65">
        <f>1-(1-VLOOKUP($E39,'Annual Mortality Rates'!$B$5:$C$105,2,FALSE))^(1/12)</f>
        <v>9.5883882629710371E-5</v>
      </c>
      <c r="G39" s="76">
        <f>IF(D39+1&gt;Assumptions!$H$9,100%,1-(1-IF(D39&gt;=7,2%,VLOOKUP($D39,'Annual Lapse Rates'!$B$4:$C$14,2,FALSE)))^(1/12))</f>
        <v>6.0293080661268927E-3</v>
      </c>
      <c r="H39" s="82">
        <f t="shared" si="11"/>
        <v>8</v>
      </c>
      <c r="I39" s="66">
        <f t="shared" si="5"/>
        <v>3933.6478826939788</v>
      </c>
      <c r="J39" s="67">
        <f t="shared" si="6"/>
        <v>0.37949792955350908</v>
      </c>
      <c r="K39" s="67">
        <f t="shared" si="7"/>
        <v>23.86334246154566</v>
      </c>
      <c r="M39" s="68">
        <f t="shared" si="12"/>
        <v>32131956.330007881</v>
      </c>
      <c r="N39" s="68">
        <f>IF(AND(H39=1,D39&lt;15),Assumptions!$H$4*I38,0)</f>
        <v>0</v>
      </c>
      <c r="O39" s="68"/>
      <c r="P39" s="91">
        <f>$M39*(1+VLOOKUP($H39,Assumptions!$C$22:$D$33,2,FALSE))*F39</f>
        <v>3157.960147644691</v>
      </c>
      <c r="Q39" s="91">
        <f>$M39*(1+VLOOKUP($H39,Assumptions!$C$22:$D$33,2,FALSE))*G39</f>
        <v>198576.8000679774</v>
      </c>
      <c r="R39" s="68">
        <f>IF(AND(H39=12,D39&lt;15),Assumptions!$C$7*M39,0)</f>
        <v>0</v>
      </c>
      <c r="S39" s="69">
        <f>M39*Assumptions!$D$17</f>
        <v>130909.56749923537</v>
      </c>
      <c r="T39" s="69">
        <f t="shared" si="8"/>
        <v>0</v>
      </c>
      <c r="U39" s="68">
        <f>T39+AE39*(1+Assumptions!$D$17)</f>
        <v>0</v>
      </c>
      <c r="V39" s="68">
        <f>(M39+N39-O39)*(1+Assumptions!$D$17)-(P39+Q39)*(1+Assumptions!$D$17)^0.5-R39-T39</f>
        <v>32060720.608810145</v>
      </c>
      <c r="W39" s="68"/>
      <c r="X39" s="68">
        <f>IF(AND(H39=1,D39&lt;15),Assumptions!$D$10*N39+Assumptions!$D$11*(1+Assumptions!$D$16)^(B39-1)*$I$7,0)</f>
        <v>0</v>
      </c>
      <c r="Y39" s="66">
        <f>Assumptions!$C$13*N39</f>
        <v>0</v>
      </c>
      <c r="Z39" s="66">
        <f>NPV(Assumptions!$D$19,N39:$N$259)*(1+Assumptions!$D$19)</f>
        <v>71782406.901948094</v>
      </c>
      <c r="AA39" s="69">
        <f t="shared" si="9"/>
        <v>661538.98463647882</v>
      </c>
      <c r="AC39" s="68">
        <f t="shared" si="10"/>
        <v>32060720.608810145</v>
      </c>
      <c r="AD39" s="68"/>
      <c r="AE39" s="68"/>
      <c r="AF39" s="68"/>
      <c r="AG39" s="68"/>
      <c r="AH39" s="68"/>
      <c r="AI39" s="68"/>
      <c r="AK39" s="68"/>
      <c r="AL39" s="71">
        <f t="shared" si="4"/>
        <v>0</v>
      </c>
    </row>
    <row r="40" spans="2:38" x14ac:dyDescent="0.2">
      <c r="B40" s="5">
        <f t="shared" si="0"/>
        <v>33</v>
      </c>
      <c r="C40" s="5">
        <f t="shared" si="1"/>
        <v>33</v>
      </c>
      <c r="D40" s="5">
        <f t="shared" si="2"/>
        <v>2</v>
      </c>
      <c r="E40" s="5">
        <f t="shared" si="3"/>
        <v>48</v>
      </c>
      <c r="F40" s="65">
        <f>1-(1-VLOOKUP($E40,'Annual Mortality Rates'!$B$5:$C$105,2,FALSE))^(1/12)</f>
        <v>9.5883882629710371E-5</v>
      </c>
      <c r="G40" s="76">
        <f>IF(D40+1&gt;Assumptions!$H$9,100%,1-(1-IF(D40&gt;=7,2%,VLOOKUP($D40,'Annual Lapse Rates'!$B$4:$C$14,2,FALSE)))^(1/12))</f>
        <v>6.0293080661268927E-3</v>
      </c>
      <c r="H40" s="82">
        <f t="shared" si="11"/>
        <v>9</v>
      </c>
      <c r="I40" s="66">
        <f t="shared" si="5"/>
        <v>3909.5535343536585</v>
      </c>
      <c r="J40" s="67">
        <f t="shared" si="6"/>
        <v>0.37717343189083818</v>
      </c>
      <c r="K40" s="67">
        <f t="shared" si="7"/>
        <v>23.717174908429779</v>
      </c>
      <c r="M40" s="68">
        <f t="shared" si="12"/>
        <v>32060720.608810145</v>
      </c>
      <c r="N40" s="68">
        <f>IF(AND(H40=1,D40&lt;15),Assumptions!$H$4*I39,0)</f>
        <v>0</v>
      </c>
      <c r="O40" s="68"/>
      <c r="P40" s="91">
        <f>$M40*(1+VLOOKUP($H40,Assumptions!$C$22:$D$33,2,FALSE))*F40</f>
        <v>3160.5656135881877</v>
      </c>
      <c r="Q40" s="91">
        <f>$M40*(1+VLOOKUP($H40,Assumptions!$C$22:$D$33,2,FALSE))*G40</f>
        <v>198740.63528614238</v>
      </c>
      <c r="R40" s="68">
        <f>IF(AND(H40=12,D40&lt;15),Assumptions!$C$7*M40,0)</f>
        <v>0</v>
      </c>
      <c r="S40" s="69">
        <f>M40*Assumptions!$D$17</f>
        <v>130619.34435325833</v>
      </c>
      <c r="T40" s="69">
        <f t="shared" si="8"/>
        <v>0</v>
      </c>
      <c r="U40" s="68">
        <f>T40+AE40*(1+Assumptions!$D$17)</f>
        <v>0</v>
      </c>
      <c r="V40" s="68">
        <f>(M40+N40-O40)*(1+Assumptions!$D$17)-(P40+Q40)*(1+Assumptions!$D$17)^0.5-R40-T40</f>
        <v>31989027.885076981</v>
      </c>
      <c r="W40" s="68"/>
      <c r="X40" s="68">
        <f>IF(AND(H40=1,D40&lt;15),Assumptions!$D$10*N40+Assumptions!$D$11*(1+Assumptions!$D$16)^(B40-1)*$I$7,0)</f>
        <v>0</v>
      </c>
      <c r="Y40" s="66">
        <f>Assumptions!$C$13*N40</f>
        <v>0</v>
      </c>
      <c r="Z40" s="66">
        <f>NPV(Assumptions!$D$19,N40:$N$259)*(1+Assumptions!$D$19)</f>
        <v>72090569.085320443</v>
      </c>
      <c r="AA40" s="69">
        <f t="shared" si="9"/>
        <v>664378.97435944784</v>
      </c>
      <c r="AC40" s="68">
        <f t="shared" si="10"/>
        <v>31989027.885076981</v>
      </c>
      <c r="AD40" s="68"/>
      <c r="AE40" s="68"/>
      <c r="AF40" s="68"/>
      <c r="AG40" s="68"/>
      <c r="AH40" s="68"/>
      <c r="AI40" s="68"/>
      <c r="AK40" s="68"/>
      <c r="AL40" s="71">
        <f t="shared" si="4"/>
        <v>0</v>
      </c>
    </row>
    <row r="41" spans="2:38" x14ac:dyDescent="0.2">
      <c r="B41" s="5">
        <f t="shared" si="0"/>
        <v>34</v>
      </c>
      <c r="C41" s="5">
        <f t="shared" si="1"/>
        <v>34</v>
      </c>
      <c r="D41" s="5">
        <f t="shared" si="2"/>
        <v>2</v>
      </c>
      <c r="E41" s="5">
        <f t="shared" si="3"/>
        <v>48</v>
      </c>
      <c r="F41" s="65">
        <f>1-(1-VLOOKUP($E41,'Annual Mortality Rates'!$B$5:$C$105,2,FALSE))^(1/12)</f>
        <v>9.5883882629710371E-5</v>
      </c>
      <c r="G41" s="76">
        <f>IF(D41+1&gt;Assumptions!$H$9,100%,1-(1-IF(D41&gt;=7,2%,VLOOKUP($D41,'Annual Lapse Rates'!$B$4:$C$14,2,FALSE)))^(1/12))</f>
        <v>6.0293080661268927E-3</v>
      </c>
      <c r="H41" s="82">
        <f t="shared" si="11"/>
        <v>10</v>
      </c>
      <c r="I41" s="66">
        <f t="shared" si="5"/>
        <v>3885.6067685218027</v>
      </c>
      <c r="J41" s="67">
        <f t="shared" si="6"/>
        <v>0.37486317222253557</v>
      </c>
      <c r="K41" s="67">
        <f t="shared" si="7"/>
        <v>23.571902659633416</v>
      </c>
      <c r="M41" s="68">
        <f t="shared" si="12"/>
        <v>31989027.885076981</v>
      </c>
      <c r="N41" s="68">
        <f>IF(AND(H41=1,D41&lt;15),Assumptions!$H$4*I40,0)</f>
        <v>0</v>
      </c>
      <c r="O41" s="68"/>
      <c r="P41" s="91">
        <f>$M41*(1+VLOOKUP($H41,Assumptions!$C$22:$D$33,2,FALSE))*F41</f>
        <v>3163.0832012703549</v>
      </c>
      <c r="Q41" s="91">
        <f>$M41*(1+VLOOKUP($H41,Assumptions!$C$22:$D$33,2,FALSE))*G41</f>
        <v>198898.94460052313</v>
      </c>
      <c r="R41" s="68">
        <f>IF(AND(H41=12,D41&lt;15),Assumptions!$C$7*M41,0)</f>
        <v>0</v>
      </c>
      <c r="S41" s="69">
        <f>M41*Assumptions!$D$17</f>
        <v>130327.25932238251</v>
      </c>
      <c r="T41" s="69">
        <f t="shared" si="8"/>
        <v>0</v>
      </c>
      <c r="U41" s="68">
        <f>T41+AE41*(1+Assumptions!$D$17)</f>
        <v>0</v>
      </c>
      <c r="V41" s="68">
        <f>(M41+N41-O41)*(1+Assumptions!$D$17)-(P41+Q41)*(1+Assumptions!$D$17)^0.5-R41-T41</f>
        <v>31916881.92212953</v>
      </c>
      <c r="W41" s="68"/>
      <c r="X41" s="68">
        <f>IF(AND(H41=1,D41&lt;15),Assumptions!$D$10*N41+Assumptions!$D$11*(1+Assumptions!$D$16)^(B41-1)*$I$7,0)</f>
        <v>0</v>
      </c>
      <c r="Y41" s="66">
        <f>Assumptions!$C$13*N41</f>
        <v>0</v>
      </c>
      <c r="Z41" s="66">
        <f>NPV(Assumptions!$D$19,N41:$N$259)*(1+Assumptions!$D$19)</f>
        <v>72400054.210279182</v>
      </c>
      <c r="AA41" s="69">
        <f t="shared" si="9"/>
        <v>667231.15617058345</v>
      </c>
      <c r="AC41" s="68">
        <f t="shared" si="10"/>
        <v>31916881.92212953</v>
      </c>
      <c r="AD41" s="68"/>
      <c r="AE41" s="68"/>
      <c r="AF41" s="68"/>
      <c r="AG41" s="68"/>
      <c r="AH41" s="68"/>
      <c r="AI41" s="68"/>
      <c r="AK41" s="68"/>
      <c r="AL41" s="71">
        <f t="shared" si="4"/>
        <v>0</v>
      </c>
    </row>
    <row r="42" spans="2:38" x14ac:dyDescent="0.2">
      <c r="B42" s="5">
        <f t="shared" si="0"/>
        <v>35</v>
      </c>
      <c r="C42" s="5">
        <f t="shared" si="1"/>
        <v>35</v>
      </c>
      <c r="D42" s="5">
        <f t="shared" si="2"/>
        <v>2</v>
      </c>
      <c r="E42" s="5">
        <f t="shared" si="3"/>
        <v>48</v>
      </c>
      <c r="F42" s="65">
        <f>1-(1-VLOOKUP($E42,'Annual Mortality Rates'!$B$5:$C$105,2,FALSE))^(1/12)</f>
        <v>9.5883882629710371E-5</v>
      </c>
      <c r="G42" s="76">
        <f>IF(D42+1&gt;Assumptions!$H$9,100%,1-(1-IF(D42&gt;=7,2%,VLOOKUP($D42,'Annual Lapse Rates'!$B$4:$C$14,2,FALSE)))^(1/12))</f>
        <v>6.0293080661268927E-3</v>
      </c>
      <c r="H42" s="82">
        <f t="shared" si="11"/>
        <v>11</v>
      </c>
      <c r="I42" s="66">
        <f t="shared" si="5"/>
        <v>3861.8066812272191</v>
      </c>
      <c r="J42" s="67">
        <f t="shared" si="6"/>
        <v>0.3725670633381527</v>
      </c>
      <c r="K42" s="67">
        <f t="shared" si="7"/>
        <v>23.427520231245754</v>
      </c>
      <c r="M42" s="68">
        <f t="shared" si="12"/>
        <v>31916881.92212953</v>
      </c>
      <c r="N42" s="68">
        <f>IF(AND(H42=1,D42&lt;15),Assumptions!$H$4*I41,0)</f>
        <v>0</v>
      </c>
      <c r="O42" s="68"/>
      <c r="P42" s="91">
        <f>$M42*(1+VLOOKUP($H42,Assumptions!$C$22:$D$33,2,FALSE))*F42</f>
        <v>3165.5128731321856</v>
      </c>
      <c r="Q42" s="91">
        <f>$M42*(1+VLOOKUP($H42,Assumptions!$C$22:$D$33,2,FALSE))*G42</f>
        <v>199051.72564935853</v>
      </c>
      <c r="R42" s="68">
        <f>IF(AND(H42=12,D42&lt;15),Assumptions!$C$7*M42,0)</f>
        <v>0</v>
      </c>
      <c r="S42" s="69">
        <f>M42*Assumptions!$D$17</f>
        <v>130033.32773884409</v>
      </c>
      <c r="T42" s="69">
        <f t="shared" si="8"/>
        <v>0</v>
      </c>
      <c r="U42" s="68">
        <f>T42+AE42*(1+Assumptions!$D$17)</f>
        <v>0</v>
      </c>
      <c r="V42" s="68">
        <f>(M42+N42-O42)*(1+Assumptions!$D$17)-(P42+Q42)*(1+Assumptions!$D$17)^0.5-R42-T42</f>
        <v>31844286.501025379</v>
      </c>
      <c r="W42" s="68"/>
      <c r="X42" s="68">
        <f>IF(AND(H42=1,D42&lt;15),Assumptions!$D$10*N42+Assumptions!$D$11*(1+Assumptions!$D$16)^(B42-1)*$I$7,0)</f>
        <v>0</v>
      </c>
      <c r="Y42" s="66">
        <f>Assumptions!$C$13*N42</f>
        <v>0</v>
      </c>
      <c r="Z42" s="66">
        <f>NPV(Assumptions!$D$19,N42:$N$259)*(1+Assumptions!$D$19)</f>
        <v>72710867.956218213</v>
      </c>
      <c r="AA42" s="69">
        <f t="shared" si="9"/>
        <v>670095.58241057373</v>
      </c>
      <c r="AC42" s="68">
        <f t="shared" si="10"/>
        <v>31844286.501025379</v>
      </c>
      <c r="AD42" s="68"/>
      <c r="AE42" s="68"/>
      <c r="AF42" s="68"/>
      <c r="AG42" s="68"/>
      <c r="AH42" s="68"/>
      <c r="AI42" s="68"/>
      <c r="AK42" s="68"/>
      <c r="AL42" s="71">
        <f t="shared" si="4"/>
        <v>0</v>
      </c>
    </row>
    <row r="43" spans="2:38" x14ac:dyDescent="0.2">
      <c r="B43" s="5">
        <f t="shared" si="0"/>
        <v>36</v>
      </c>
      <c r="C43" s="5">
        <f t="shared" si="1"/>
        <v>36</v>
      </c>
      <c r="D43" s="5">
        <f t="shared" si="2"/>
        <v>2</v>
      </c>
      <c r="E43" s="5">
        <f t="shared" si="3"/>
        <v>48</v>
      </c>
      <c r="F43" s="65">
        <f>1-(1-VLOOKUP($E43,'Annual Mortality Rates'!$B$5:$C$105,2,FALSE))^(1/12)</f>
        <v>9.5883882629710371E-5</v>
      </c>
      <c r="G43" s="76">
        <f>IF(D43+1&gt;Assumptions!$H$9,100%,1-(1-IF(D43&gt;=7,2%,VLOOKUP($D43,'Annual Lapse Rates'!$B$4:$C$14,2,FALSE)))^(1/12))</f>
        <v>6.0293080661268927E-3</v>
      </c>
      <c r="H43" s="82">
        <f t="shared" si="11"/>
        <v>12</v>
      </c>
      <c r="I43" s="66">
        <f t="shared" si="5"/>
        <v>3838.1523740357115</v>
      </c>
      <c r="J43" s="67">
        <f t="shared" si="6"/>
        <v>0.37028501856142199</v>
      </c>
      <c r="K43" s="67">
        <f t="shared" si="7"/>
        <v>23.284022172945999</v>
      </c>
      <c r="M43" s="68">
        <f t="shared" si="12"/>
        <v>31844286.501025379</v>
      </c>
      <c r="N43" s="68">
        <f>IF(AND(H43=1,D43&lt;15),Assumptions!$H$4*I42,0)</f>
        <v>0</v>
      </c>
      <c r="O43" s="68"/>
      <c r="P43" s="91">
        <f>$M43*(1+VLOOKUP($H43,Assumptions!$C$22:$D$33,2,FALSE))*F43</f>
        <v>3167.8545978896077</v>
      </c>
      <c r="Q43" s="91">
        <f>$M43*(1+VLOOKUP($H43,Assumptions!$C$22:$D$33,2,FALSE))*G43</f>
        <v>199198.97646546387</v>
      </c>
      <c r="R43" s="68">
        <f>IF(AND(H43=12,D43&lt;15),Assumptions!$C$7*M43,0)</f>
        <v>15922.14325051269</v>
      </c>
      <c r="S43" s="69">
        <f>M43*Assumptions!$D$17</f>
        <v>129737.56500713971</v>
      </c>
      <c r="T43" s="69">
        <f t="shared" si="8"/>
        <v>0</v>
      </c>
      <c r="U43" s="68">
        <f>T43+AE43*(1+Assumptions!$D$17)</f>
        <v>0</v>
      </c>
      <c r="V43" s="68">
        <f>(M43+N43-O43)*(1+Assumptions!$D$17)-(P43+Q43)*(1+Assumptions!$D$17)^0.5-R43-T43</f>
        <v>31755323.276978627</v>
      </c>
      <c r="W43" s="68"/>
      <c r="X43" s="68">
        <f>IF(AND(H43=1,D43&lt;15),Assumptions!$D$10*N43+Assumptions!$D$11*(1+Assumptions!$D$16)^(B43-1)*$I$7,0)</f>
        <v>0</v>
      </c>
      <c r="Y43" s="66">
        <f>Assumptions!$C$13*N43</f>
        <v>0</v>
      </c>
      <c r="Z43" s="66">
        <f>NPV(Assumptions!$D$19,N43:$N$259)*(1+Assumptions!$D$19)</f>
        <v>73023016.026913241</v>
      </c>
      <c r="AA43" s="69">
        <f t="shared" si="9"/>
        <v>672972.30564480403</v>
      </c>
      <c r="AC43" s="68">
        <f t="shared" si="10"/>
        <v>31755323.276978627</v>
      </c>
      <c r="AD43" s="68"/>
      <c r="AE43" s="68"/>
      <c r="AF43" s="68"/>
      <c r="AG43" s="68"/>
      <c r="AH43" s="68"/>
      <c r="AI43" s="68"/>
      <c r="AK43" s="68"/>
      <c r="AL43" s="71">
        <f t="shared" si="4"/>
        <v>0</v>
      </c>
    </row>
    <row r="44" spans="2:38" x14ac:dyDescent="0.2">
      <c r="B44" s="5">
        <f t="shared" si="0"/>
        <v>37</v>
      </c>
      <c r="C44" s="5">
        <f t="shared" si="1"/>
        <v>37</v>
      </c>
      <c r="D44" s="5">
        <f t="shared" si="2"/>
        <v>3</v>
      </c>
      <c r="E44" s="5">
        <f t="shared" si="3"/>
        <v>49</v>
      </c>
      <c r="F44" s="65">
        <f>1-(1-VLOOKUP($E44,'Annual Mortality Rates'!$B$5:$C$105,2,FALSE))^(1/12)</f>
        <v>1.067292956670185E-4</v>
      </c>
      <c r="G44" s="76">
        <f>IF(D44+1&gt;Assumptions!$H$9,100%,1-(1-IF(D44&gt;=7,2%,VLOOKUP($D44,'Annual Lapse Rates'!$B$4:$C$14,2,FALSE)))^(1/12))</f>
        <v>5.1430128318229462E-3</v>
      </c>
      <c r="H44" s="82">
        <f t="shared" si="11"/>
        <v>1</v>
      </c>
      <c r="I44" s="66">
        <f t="shared" si="5"/>
        <v>3818.0030638260109</v>
      </c>
      <c r="J44" s="67">
        <f t="shared" si="6"/>
        <v>0.40964329954352641</v>
      </c>
      <c r="K44" s="67">
        <f t="shared" si="7"/>
        <v>19.739666910157368</v>
      </c>
      <c r="M44" s="68">
        <f t="shared" si="12"/>
        <v>31755323.276978627</v>
      </c>
      <c r="N44" s="68">
        <f>IF(AND(H44=1,D44&lt;15),Assumptions!$H$4*I43,0)</f>
        <v>9595380.935089279</v>
      </c>
      <c r="O44" s="68"/>
      <c r="P44" s="91">
        <f>$M44*(1+VLOOKUP($H44,Assumptions!$C$22:$D$33,2,FALSE))*F44</f>
        <v>3399.8146098023767</v>
      </c>
      <c r="Q44" s="91">
        <f>$M44*(1+VLOOKUP($H44,Assumptions!$C$22:$D$33,2,FALSE))*G44</f>
        <v>163828.40395185005</v>
      </c>
      <c r="R44" s="68">
        <f>IF(AND(H44=12,D44&lt;15),Assumptions!$C$7*M44,0)</f>
        <v>0</v>
      </c>
      <c r="S44" s="69">
        <f>M44*Assumptions!$D$17</f>
        <v>129375.11782018079</v>
      </c>
      <c r="T44" s="69">
        <f t="shared" si="8"/>
        <v>0</v>
      </c>
      <c r="U44" s="68">
        <f>T44+AE44*(1+Assumptions!$D$17)</f>
        <v>0</v>
      </c>
      <c r="V44" s="68">
        <f>(M44+N44-O44)*(1+Assumptions!$D$17)-(P44+Q44)*(1+Assumptions!$D$17)^0.5-R44-T44</f>
        <v>41351603.573037855</v>
      </c>
      <c r="W44" s="68"/>
      <c r="X44" s="68">
        <f>IF(AND(H44=1,D44&lt;15),Assumptions!$D$10*N44+Assumptions!$D$11*(1+Assumptions!$D$16)^(B44-1)*$I$7,0)</f>
        <v>82466.164675446431</v>
      </c>
      <c r="Y44" s="66">
        <f>Assumptions!$C$13*N44</f>
        <v>47976.904675446393</v>
      </c>
      <c r="Z44" s="66">
        <f>NPV(Assumptions!$D$19,N44:$N$259)*(1+Assumptions!$D$19)</f>
        <v>73336504.150626138</v>
      </c>
      <c r="AA44" s="69">
        <f t="shared" si="9"/>
        <v>587431.37422507582</v>
      </c>
      <c r="AC44" s="68">
        <f t="shared" si="10"/>
        <v>41351603.573037855</v>
      </c>
      <c r="AD44" s="68"/>
      <c r="AE44" s="68"/>
      <c r="AF44" s="68"/>
      <c r="AG44" s="68"/>
      <c r="AH44" s="68"/>
      <c r="AI44" s="68"/>
      <c r="AK44" s="68"/>
      <c r="AL44" s="71">
        <f t="shared" si="4"/>
        <v>0</v>
      </c>
    </row>
    <row r="45" spans="2:38" x14ac:dyDescent="0.2">
      <c r="B45" s="5">
        <f t="shared" si="0"/>
        <v>38</v>
      </c>
      <c r="C45" s="5">
        <f t="shared" si="1"/>
        <v>38</v>
      </c>
      <c r="D45" s="5">
        <f t="shared" si="2"/>
        <v>3</v>
      </c>
      <c r="E45" s="5">
        <f t="shared" si="3"/>
        <v>49</v>
      </c>
      <c r="F45" s="65">
        <f>1-(1-VLOOKUP($E45,'Annual Mortality Rates'!$B$5:$C$105,2,FALSE))^(1/12)</f>
        <v>1.067292956670185E-4</v>
      </c>
      <c r="G45" s="76">
        <f>IF(D45+1&gt;Assumptions!$H$9,100%,1-(1-IF(D45&gt;=7,2%,VLOOKUP($D45,'Annual Lapse Rates'!$B$4:$C$14,2,FALSE)))^(1/12))</f>
        <v>5.1430128318229462E-3</v>
      </c>
      <c r="H45" s="82">
        <f t="shared" si="11"/>
        <v>2</v>
      </c>
      <c r="I45" s="66">
        <f t="shared" si="5"/>
        <v>3797.959532298958</v>
      </c>
      <c r="J45" s="67">
        <f t="shared" si="6"/>
        <v>0.40749277785666882</v>
      </c>
      <c r="K45" s="67">
        <f t="shared" si="7"/>
        <v>19.636038749196498</v>
      </c>
      <c r="M45" s="68">
        <f t="shared" si="12"/>
        <v>41351603.573037855</v>
      </c>
      <c r="N45" s="68">
        <f>IF(AND(H45=1,D45&lt;15),Assumptions!$H$4*I44,0)</f>
        <v>0</v>
      </c>
      <c r="O45" s="68"/>
      <c r="P45" s="91">
        <f>$M45*(1+VLOOKUP($H45,Assumptions!$C$22:$D$33,2,FALSE))*F45</f>
        <v>4441.0114460774221</v>
      </c>
      <c r="Q45" s="91">
        <f>$M45*(1+VLOOKUP($H45,Assumptions!$C$22:$D$33,2,FALSE))*G45</f>
        <v>214001.02671629298</v>
      </c>
      <c r="R45" s="68">
        <f>IF(AND(H45=12,D45&lt;15),Assumptions!$C$7*M45,0)</f>
        <v>0</v>
      </c>
      <c r="S45" s="69">
        <f>M45*Assumptions!$D$17</f>
        <v>168471.55160891177</v>
      </c>
      <c r="T45" s="69">
        <f t="shared" si="8"/>
        <v>0</v>
      </c>
      <c r="U45" s="68">
        <f>T45+AE45*(1+Assumptions!$D$17)</f>
        <v>0</v>
      </c>
      <c r="V45" s="68">
        <f>(M45+N45-O45)*(1+Assumptions!$D$17)-(P45+Q45)*(1+Assumptions!$D$17)^0.5-R45-T45</f>
        <v>41301188.558837831</v>
      </c>
      <c r="W45" s="68"/>
      <c r="X45" s="68">
        <f>IF(AND(H45=1,D45&lt;15),Assumptions!$D$10*N45+Assumptions!$D$11*(1+Assumptions!$D$16)^(B45-1)*$I$7,0)</f>
        <v>0</v>
      </c>
      <c r="Y45" s="66">
        <f>Assumptions!$C$13*N45</f>
        <v>0</v>
      </c>
      <c r="Z45" s="66">
        <f>NPV(Assumptions!$D$19,N45:$N$259)*(1+Assumptions!$D$19)</f>
        <v>64014764.133255549</v>
      </c>
      <c r="AA45" s="69">
        <f t="shared" si="9"/>
        <v>589953.21965594706</v>
      </c>
      <c r="AC45" s="68">
        <f t="shared" si="10"/>
        <v>41301188.558837831</v>
      </c>
      <c r="AD45" s="68"/>
      <c r="AE45" s="68"/>
      <c r="AF45" s="68"/>
      <c r="AG45" s="68"/>
      <c r="AH45" s="68"/>
      <c r="AI45" s="68"/>
      <c r="AK45" s="68"/>
      <c r="AL45" s="71">
        <f t="shared" si="4"/>
        <v>0</v>
      </c>
    </row>
    <row r="46" spans="2:38" x14ac:dyDescent="0.2">
      <c r="B46" s="5">
        <f t="shared" si="0"/>
        <v>39</v>
      </c>
      <c r="C46" s="5">
        <f t="shared" si="1"/>
        <v>39</v>
      </c>
      <c r="D46" s="5">
        <f t="shared" si="2"/>
        <v>3</v>
      </c>
      <c r="E46" s="5">
        <f t="shared" si="3"/>
        <v>49</v>
      </c>
      <c r="F46" s="65">
        <f>1-(1-VLOOKUP($E46,'Annual Mortality Rates'!$B$5:$C$105,2,FALSE))^(1/12)</f>
        <v>1.067292956670185E-4</v>
      </c>
      <c r="G46" s="76">
        <f>IF(D46+1&gt;Assumptions!$H$9,100%,1-(1-IF(D46&gt;=7,2%,VLOOKUP($D46,'Annual Lapse Rates'!$B$4:$C$14,2,FALSE)))^(1/12))</f>
        <v>5.1430128318229462E-3</v>
      </c>
      <c r="H46" s="82">
        <f t="shared" si="11"/>
        <v>3</v>
      </c>
      <c r="I46" s="66">
        <f t="shared" si="5"/>
        <v>3778.0212241437462</v>
      </c>
      <c r="J46" s="67">
        <f t="shared" si="6"/>
        <v>0.40535354585410677</v>
      </c>
      <c r="K46" s="67">
        <f t="shared" si="7"/>
        <v>19.532954609357816</v>
      </c>
      <c r="M46" s="68">
        <f t="shared" si="12"/>
        <v>41301188.558837831</v>
      </c>
      <c r="N46" s="68">
        <f>IF(AND(H46=1,D46&lt;15),Assumptions!$H$4*I45,0)</f>
        <v>0</v>
      </c>
      <c r="O46" s="68"/>
      <c r="P46" s="91">
        <f>$M46*(1+VLOOKUP($H46,Assumptions!$C$22:$D$33,2,FALSE))*F46</f>
        <v>4449.3722035182545</v>
      </c>
      <c r="Q46" s="91">
        <f>$M46*(1+VLOOKUP($H46,Assumptions!$C$22:$D$33,2,FALSE))*G46</f>
        <v>214403.91031571364</v>
      </c>
      <c r="R46" s="68">
        <f>IF(AND(H46=12,D46&lt;15),Assumptions!$C$7*M46,0)</f>
        <v>0</v>
      </c>
      <c r="S46" s="69">
        <f>M46*Assumptions!$D$17</f>
        <v>168266.15460050647</v>
      </c>
      <c r="T46" s="69">
        <f t="shared" si="8"/>
        <v>0</v>
      </c>
      <c r="U46" s="68">
        <f>T46+AE46*(1+Assumptions!$D$17)</f>
        <v>0</v>
      </c>
      <c r="V46" s="68">
        <f>(M46+N46-O46)*(1+Assumptions!$D$17)-(P46+Q46)*(1+Assumptions!$D$17)^0.5-R46-T46</f>
        <v>41250156.066393852</v>
      </c>
      <c r="W46" s="68"/>
      <c r="X46" s="68">
        <f>IF(AND(H46=1,D46&lt;15),Assumptions!$D$10*N46+Assumptions!$D$11*(1+Assumptions!$D$16)^(B46-1)*$I$7,0)</f>
        <v>0</v>
      </c>
      <c r="Y46" s="66">
        <f>Assumptions!$C$13*N46</f>
        <v>0</v>
      </c>
      <c r="Z46" s="66">
        <f>NPV(Assumptions!$D$19,N46:$N$259)*(1+Assumptions!$D$19)</f>
        <v>64289579.792617828</v>
      </c>
      <c r="AA46" s="69">
        <f t="shared" si="9"/>
        <v>592485.89138016291</v>
      </c>
      <c r="AC46" s="68">
        <f t="shared" si="10"/>
        <v>41250156.066393852</v>
      </c>
      <c r="AD46" s="68"/>
      <c r="AE46" s="68"/>
      <c r="AF46" s="68"/>
      <c r="AG46" s="68"/>
      <c r="AH46" s="68"/>
      <c r="AI46" s="68"/>
      <c r="AK46" s="68"/>
      <c r="AL46" s="71">
        <f t="shared" si="4"/>
        <v>0</v>
      </c>
    </row>
    <row r="47" spans="2:38" x14ac:dyDescent="0.2">
      <c r="B47" s="5">
        <f t="shared" si="0"/>
        <v>40</v>
      </c>
      <c r="C47" s="5">
        <f t="shared" si="1"/>
        <v>40</v>
      </c>
      <c r="D47" s="5">
        <f t="shared" si="2"/>
        <v>3</v>
      </c>
      <c r="E47" s="5">
        <f t="shared" si="3"/>
        <v>49</v>
      </c>
      <c r="F47" s="65">
        <f>1-(1-VLOOKUP($E47,'Annual Mortality Rates'!$B$5:$C$105,2,FALSE))^(1/12)</f>
        <v>1.067292956670185E-4</v>
      </c>
      <c r="G47" s="76">
        <f>IF(D47+1&gt;Assumptions!$H$9,100%,1-(1-IF(D47&gt;=7,2%,VLOOKUP($D47,'Annual Lapse Rates'!$B$4:$C$14,2,FALSE)))^(1/12))</f>
        <v>5.1430128318229462E-3</v>
      </c>
      <c r="H47" s="82">
        <f t="shared" si="11"/>
        <v>4</v>
      </c>
      <c r="I47" s="66">
        <f t="shared" si="5"/>
        <v>3758.1875869648075</v>
      </c>
      <c r="J47" s="67">
        <f t="shared" si="6"/>
        <v>0.40322554426790908</v>
      </c>
      <c r="K47" s="67">
        <f t="shared" si="7"/>
        <v>19.430411634670723</v>
      </c>
      <c r="M47" s="68">
        <f t="shared" si="12"/>
        <v>41250156.066393852</v>
      </c>
      <c r="N47" s="68">
        <f>IF(AND(H47=1,D47&lt;15),Assumptions!$H$4*I46,0)</f>
        <v>0</v>
      </c>
      <c r="O47" s="68"/>
      <c r="P47" s="91">
        <f>$M47*(1+VLOOKUP($H47,Assumptions!$C$22:$D$33,2,FALSE))*F47</f>
        <v>4457.6326044098159</v>
      </c>
      <c r="Q47" s="91">
        <f>$M47*(1+VLOOKUP($H47,Assumptions!$C$22:$D$33,2,FALSE))*G47</f>
        <v>214801.95798871477</v>
      </c>
      <c r="R47" s="68">
        <f>IF(AND(H47=12,D47&lt;15),Assumptions!$C$7*M47,0)</f>
        <v>0</v>
      </c>
      <c r="S47" s="69">
        <f>M47*Assumptions!$D$17</f>
        <v>168058.24190930161</v>
      </c>
      <c r="T47" s="69">
        <f t="shared" si="8"/>
        <v>0</v>
      </c>
      <c r="U47" s="68">
        <f>T47+AE47*(1+Assumptions!$D$17)</f>
        <v>0</v>
      </c>
      <c r="V47" s="68">
        <f>(M47+N47-O47)*(1+Assumptions!$D$17)-(P47+Q47)*(1+Assumptions!$D$17)^0.5-R47-T47</f>
        <v>41198508.526351385</v>
      </c>
      <c r="W47" s="68"/>
      <c r="X47" s="68">
        <f>IF(AND(H47=1,D47&lt;15),Assumptions!$D$10*N47+Assumptions!$D$11*(1+Assumptions!$D$16)^(B47-1)*$I$7,0)</f>
        <v>0</v>
      </c>
      <c r="Y47" s="66">
        <f>Assumptions!$C$13*N47</f>
        <v>0</v>
      </c>
      <c r="Z47" s="66">
        <f>NPV(Assumptions!$D$19,N47:$N$259)*(1+Assumptions!$D$19)</f>
        <v>64565575.236794636</v>
      </c>
      <c r="AA47" s="69">
        <f t="shared" si="9"/>
        <v>595029.43587504781</v>
      </c>
      <c r="AC47" s="68">
        <f t="shared" si="10"/>
        <v>41198508.526351385</v>
      </c>
      <c r="AD47" s="68"/>
      <c r="AE47" s="68"/>
      <c r="AF47" s="68"/>
      <c r="AG47" s="68"/>
      <c r="AH47" s="68"/>
      <c r="AI47" s="68"/>
      <c r="AK47" s="68"/>
      <c r="AL47" s="71">
        <f t="shared" si="4"/>
        <v>0</v>
      </c>
    </row>
    <row r="48" spans="2:38" x14ac:dyDescent="0.2">
      <c r="B48" s="5">
        <f t="shared" si="0"/>
        <v>41</v>
      </c>
      <c r="C48" s="5">
        <f t="shared" si="1"/>
        <v>41</v>
      </c>
      <c r="D48" s="5">
        <f t="shared" si="2"/>
        <v>3</v>
      </c>
      <c r="E48" s="5">
        <f t="shared" si="3"/>
        <v>49</v>
      </c>
      <c r="F48" s="65">
        <f>1-(1-VLOOKUP($E48,'Annual Mortality Rates'!$B$5:$C$105,2,FALSE))^(1/12)</f>
        <v>1.067292956670185E-4</v>
      </c>
      <c r="G48" s="76">
        <f>IF(D48+1&gt;Assumptions!$H$9,100%,1-(1-IF(D48&gt;=7,2%,VLOOKUP($D48,'Annual Lapse Rates'!$B$4:$C$14,2,FALSE)))^(1/12))</f>
        <v>5.1430128318229462E-3</v>
      </c>
      <c r="H48" s="82">
        <f t="shared" si="11"/>
        <v>5</v>
      </c>
      <c r="I48" s="66">
        <f t="shared" si="5"/>
        <v>3738.4580712665083</v>
      </c>
      <c r="J48" s="67">
        <f t="shared" si="6"/>
        <v>0.40110871414128574</v>
      </c>
      <c r="K48" s="67">
        <f t="shared" si="7"/>
        <v>19.32840698415772</v>
      </c>
      <c r="M48" s="68">
        <f t="shared" si="12"/>
        <v>41198508.526351385</v>
      </c>
      <c r="N48" s="68">
        <f>IF(AND(H48=1,D48&lt;15),Assumptions!$H$4*I47,0)</f>
        <v>0</v>
      </c>
      <c r="O48" s="68"/>
      <c r="P48" s="91">
        <f>$M48*(1+VLOOKUP($H48,Assumptions!$C$22:$D$33,2,FALSE))*F48</f>
        <v>4465.7922943858448</v>
      </c>
      <c r="Q48" s="91">
        <f>$M48*(1+VLOOKUP($H48,Assumptions!$C$22:$D$33,2,FALSE))*G48</f>
        <v>215195.15265928899</v>
      </c>
      <c r="R48" s="68">
        <f>IF(AND(H48=12,D48&lt;15),Assumptions!$C$7*M48,0)</f>
        <v>0</v>
      </c>
      <c r="S48" s="69">
        <f>M48*Assumptions!$D$17</f>
        <v>167847.82343804766</v>
      </c>
      <c r="T48" s="69">
        <f t="shared" si="8"/>
        <v>0</v>
      </c>
      <c r="U48" s="68">
        <f>T48+AE48*(1+Assumptions!$D$17)</f>
        <v>0</v>
      </c>
      <c r="V48" s="68">
        <f>(M48+N48-O48)*(1+Assumptions!$D$17)-(P48+Q48)*(1+Assumptions!$D$17)^0.5-R48-T48</f>
        <v>41146248.396724477</v>
      </c>
      <c r="W48" s="68"/>
      <c r="X48" s="68">
        <f>IF(AND(H48=1,D48&lt;15),Assumptions!$D$10*N48+Assumptions!$D$11*(1+Assumptions!$D$16)^(B48-1)*$I$7,0)</f>
        <v>0</v>
      </c>
      <c r="Y48" s="66">
        <f>Assumptions!$C$13*N48</f>
        <v>0</v>
      </c>
      <c r="Z48" s="66">
        <f>NPV(Assumptions!$D$19,N48:$N$259)*(1+Assumptions!$D$19)</f>
        <v>64842755.530607313</v>
      </c>
      <c r="AA48" s="69">
        <f t="shared" si="9"/>
        <v>597583.89981745277</v>
      </c>
      <c r="AC48" s="68">
        <f t="shared" si="10"/>
        <v>41146248.396724477</v>
      </c>
      <c r="AD48" s="68"/>
      <c r="AE48" s="68"/>
      <c r="AF48" s="68"/>
      <c r="AG48" s="68"/>
      <c r="AH48" s="68"/>
      <c r="AI48" s="68"/>
      <c r="AK48" s="68"/>
      <c r="AL48" s="71">
        <f t="shared" si="4"/>
        <v>0</v>
      </c>
    </row>
    <row r="49" spans="2:38" x14ac:dyDescent="0.2">
      <c r="B49" s="5">
        <f t="shared" si="0"/>
        <v>42</v>
      </c>
      <c r="C49" s="5">
        <f t="shared" si="1"/>
        <v>42</v>
      </c>
      <c r="D49" s="5">
        <f t="shared" si="2"/>
        <v>3</v>
      </c>
      <c r="E49" s="5">
        <f t="shared" si="3"/>
        <v>49</v>
      </c>
      <c r="F49" s="65">
        <f>1-(1-VLOOKUP($E49,'Annual Mortality Rates'!$B$5:$C$105,2,FALSE))^(1/12)</f>
        <v>1.067292956670185E-4</v>
      </c>
      <c r="G49" s="76">
        <f>IF(D49+1&gt;Assumptions!$H$9,100%,1-(1-IF(D49&gt;=7,2%,VLOOKUP($D49,'Annual Lapse Rates'!$B$4:$C$14,2,FALSE)))^(1/12))</f>
        <v>5.1430128318229462E-3</v>
      </c>
      <c r="H49" s="82">
        <f t="shared" si="11"/>
        <v>6</v>
      </c>
      <c r="I49" s="66">
        <f t="shared" si="5"/>
        <v>3718.832130437926</v>
      </c>
      <c r="J49" s="67">
        <f t="shared" si="6"/>
        <v>0.39900299682695489</v>
      </c>
      <c r="K49" s="67">
        <f t="shared" si="7"/>
        <v>19.226937831755716</v>
      </c>
      <c r="M49" s="68">
        <f t="shared" si="12"/>
        <v>41146248.396724477</v>
      </c>
      <c r="N49" s="68">
        <f>IF(AND(H49=1,D49&lt;15),Assumptions!$H$4*I48,0)</f>
        <v>0</v>
      </c>
      <c r="O49" s="68"/>
      <c r="P49" s="91">
        <f>$M49*(1+VLOOKUP($H49,Assumptions!$C$22:$D$33,2,FALSE))*F49</f>
        <v>4473.8509252986414</v>
      </c>
      <c r="Q49" s="91">
        <f>$M49*(1+VLOOKUP($H49,Assumptions!$C$22:$D$33,2,FALSE))*G49</f>
        <v>215583.47755108573</v>
      </c>
      <c r="R49" s="68">
        <f>IF(AND(H49=12,D49&lt;15),Assumptions!$C$7*M49,0)</f>
        <v>0</v>
      </c>
      <c r="S49" s="69">
        <f>M49*Assumptions!$D$17</f>
        <v>167634.90920099814</v>
      </c>
      <c r="T49" s="69">
        <f t="shared" si="8"/>
        <v>0</v>
      </c>
      <c r="U49" s="68">
        <f>T49+AE49*(1+Assumptions!$D$17)</f>
        <v>0</v>
      </c>
      <c r="V49" s="68">
        <f>(M49+N49-O49)*(1+Assumptions!$D$17)-(P49+Q49)*(1+Assumptions!$D$17)^0.5-R49-T49</f>
        <v>41093378.162700795</v>
      </c>
      <c r="W49" s="68"/>
      <c r="X49" s="68">
        <f>IF(AND(H49=1,D49&lt;15),Assumptions!$D$10*N49+Assumptions!$D$11*(1+Assumptions!$D$16)^(B49-1)*$I$7,0)</f>
        <v>0</v>
      </c>
      <c r="Y49" s="66">
        <f>Assumptions!$C$13*N49</f>
        <v>0</v>
      </c>
      <c r="Z49" s="66">
        <f>NPV(Assumptions!$D$19,N49:$N$259)*(1+Assumptions!$D$19)</f>
        <v>65121125.760620445</v>
      </c>
      <c r="AA49" s="69">
        <f t="shared" si="9"/>
        <v>600149.33008461352</v>
      </c>
      <c r="AC49" s="68">
        <f t="shared" si="10"/>
        <v>41093378.162700795</v>
      </c>
      <c r="AD49" s="68"/>
      <c r="AE49" s="68"/>
      <c r="AF49" s="68"/>
      <c r="AG49" s="68"/>
      <c r="AH49" s="68"/>
      <c r="AI49" s="68"/>
      <c r="AK49" s="68"/>
      <c r="AL49" s="71">
        <f t="shared" si="4"/>
        <v>0</v>
      </c>
    </row>
    <row r="50" spans="2:38" x14ac:dyDescent="0.2">
      <c r="B50" s="5">
        <f t="shared" si="0"/>
        <v>43</v>
      </c>
      <c r="C50" s="5">
        <f t="shared" si="1"/>
        <v>43</v>
      </c>
      <c r="D50" s="5">
        <f t="shared" si="2"/>
        <v>3</v>
      </c>
      <c r="E50" s="5">
        <f t="shared" si="3"/>
        <v>49</v>
      </c>
      <c r="F50" s="65">
        <f>1-(1-VLOOKUP($E50,'Annual Mortality Rates'!$B$5:$C$105,2,FALSE))^(1/12)</f>
        <v>1.067292956670185E-4</v>
      </c>
      <c r="G50" s="76">
        <f>IF(D50+1&gt;Assumptions!$H$9,100%,1-(1-IF(D50&gt;=7,2%,VLOOKUP($D50,'Annual Lapse Rates'!$B$4:$C$14,2,FALSE)))^(1/12))</f>
        <v>5.1430128318229462E-3</v>
      </c>
      <c r="H50" s="82">
        <f t="shared" si="11"/>
        <v>7</v>
      </c>
      <c r="I50" s="66">
        <f t="shared" si="5"/>
        <v>3699.3092207377026</v>
      </c>
      <c r="J50" s="67">
        <f t="shared" si="6"/>
        <v>0.39690833398551773</v>
      </c>
      <c r="K50" s="67">
        <f t="shared" si="7"/>
        <v>19.12600136623772</v>
      </c>
      <c r="M50" s="68">
        <f t="shared" si="12"/>
        <v>41093378.162700795</v>
      </c>
      <c r="N50" s="68">
        <f>IF(AND(H50=1,D50&lt;15),Assumptions!$H$4*I49,0)</f>
        <v>0</v>
      </c>
      <c r="O50" s="68"/>
      <c r="P50" s="91">
        <f>$M50*(1+VLOOKUP($H50,Assumptions!$C$22:$D$33,2,FALSE))*F50</f>
        <v>4481.8081552434469</v>
      </c>
      <c r="Q50" s="91">
        <f>$M50*(1+VLOOKUP($H50,Assumptions!$C$22:$D$33,2,FALSE))*G50</f>
        <v>215966.91618858578</v>
      </c>
      <c r="R50" s="68">
        <f>IF(AND(H50=12,D50&lt;15),Assumptions!$C$7*M50,0)</f>
        <v>0</v>
      </c>
      <c r="S50" s="69">
        <f>M50*Assumptions!$D$17</f>
        <v>167419.5093231152</v>
      </c>
      <c r="T50" s="69">
        <f t="shared" si="8"/>
        <v>0</v>
      </c>
      <c r="U50" s="68">
        <f>T50+AE50*(1+Assumptions!$D$17)</f>
        <v>0</v>
      </c>
      <c r="V50" s="68">
        <f>(M50+N50-O50)*(1+Assumptions!$D$17)-(P50+Q50)*(1+Assumptions!$D$17)^0.5-R50-T50</f>
        <v>41039900.336444594</v>
      </c>
      <c r="W50" s="68"/>
      <c r="X50" s="68">
        <f>IF(AND(H50=1,D50&lt;15),Assumptions!$D$10*N50+Assumptions!$D$11*(1+Assumptions!$D$16)^(B50-1)*$I$7,0)</f>
        <v>0</v>
      </c>
      <c r="Y50" s="66">
        <f>Assumptions!$C$13*N50</f>
        <v>0</v>
      </c>
      <c r="Z50" s="66">
        <f>NPV(Assumptions!$D$19,N50:$N$259)*(1+Assumptions!$D$19)</f>
        <v>65400691.035235293</v>
      </c>
      <c r="AA50" s="69">
        <f t="shared" si="9"/>
        <v>602725.77375500975</v>
      </c>
      <c r="AC50" s="68">
        <f t="shared" si="10"/>
        <v>41039900.336444594</v>
      </c>
      <c r="AD50" s="68"/>
      <c r="AE50" s="68"/>
      <c r="AF50" s="68"/>
      <c r="AG50" s="68"/>
      <c r="AH50" s="68"/>
      <c r="AI50" s="68"/>
      <c r="AK50" s="68"/>
      <c r="AL50" s="71">
        <f t="shared" si="4"/>
        <v>0</v>
      </c>
    </row>
    <row r="51" spans="2:38" x14ac:dyDescent="0.2">
      <c r="B51" s="5">
        <f t="shared" si="0"/>
        <v>44</v>
      </c>
      <c r="C51" s="5">
        <f t="shared" si="1"/>
        <v>44</v>
      </c>
      <c r="D51" s="5">
        <f t="shared" si="2"/>
        <v>3</v>
      </c>
      <c r="E51" s="5">
        <f t="shared" si="3"/>
        <v>49</v>
      </c>
      <c r="F51" s="65">
        <f>1-(1-VLOOKUP($E51,'Annual Mortality Rates'!$B$5:$C$105,2,FALSE))^(1/12)</f>
        <v>1.067292956670185E-4</v>
      </c>
      <c r="G51" s="76">
        <f>IF(D51+1&gt;Assumptions!$H$9,100%,1-(1-IF(D51&gt;=7,2%,VLOOKUP($D51,'Annual Lapse Rates'!$B$4:$C$14,2,FALSE)))^(1/12))</f>
        <v>5.1430128318229462E-3</v>
      </c>
      <c r="H51" s="82">
        <f t="shared" si="11"/>
        <v>8</v>
      </c>
      <c r="I51" s="66">
        <f t="shared" si="5"/>
        <v>3679.8888012789839</v>
      </c>
      <c r="J51" s="67">
        <f t="shared" si="6"/>
        <v>0.39482466758384205</v>
      </c>
      <c r="K51" s="67">
        <f t="shared" si="7"/>
        <v>19.025594791134949</v>
      </c>
      <c r="M51" s="68">
        <f t="shared" si="12"/>
        <v>41039900.336444594</v>
      </c>
      <c r="N51" s="68">
        <f>IF(AND(H51=1,D51&lt;15),Assumptions!$H$4*I50,0)</f>
        <v>0</v>
      </c>
      <c r="O51" s="68"/>
      <c r="P51" s="91">
        <f>$M51*(1+VLOOKUP($H51,Assumptions!$C$22:$D$33,2,FALSE))*F51</f>
        <v>4489.6636485822009</v>
      </c>
      <c r="Q51" s="91">
        <f>$M51*(1+VLOOKUP($H51,Assumptions!$C$22:$D$33,2,FALSE))*G51</f>
        <v>216345.4523982461</v>
      </c>
      <c r="R51" s="68">
        <f>IF(AND(H51=12,D51&lt;15),Assumptions!$C$7*M51,0)</f>
        <v>0</v>
      </c>
      <c r="S51" s="69">
        <f>M51*Assumptions!$D$17</f>
        <v>167201.634039267</v>
      </c>
      <c r="T51" s="69">
        <f t="shared" si="8"/>
        <v>0</v>
      </c>
      <c r="U51" s="68">
        <f>T51+AE51*(1+Assumptions!$D$17)</f>
        <v>0</v>
      </c>
      <c r="V51" s="68">
        <f>(M51+N51-O51)*(1+Assumptions!$D$17)-(P51+Q51)*(1+Assumptions!$D$17)^0.5-R51-T51</f>
        <v>40985817.456897795</v>
      </c>
      <c r="W51" s="68"/>
      <c r="X51" s="68">
        <f>IF(AND(H51=1,D51&lt;15),Assumptions!$D$10*N51+Assumptions!$D$11*(1+Assumptions!$D$16)^(B51-1)*$I$7,0)</f>
        <v>0</v>
      </c>
      <c r="Y51" s="66">
        <f>Assumptions!$C$13*N51</f>
        <v>0</v>
      </c>
      <c r="Z51" s="66">
        <f>NPV(Assumptions!$D$19,N51:$N$259)*(1+Assumptions!$D$19)</f>
        <v>65681456.484783508</v>
      </c>
      <c r="AA51" s="69">
        <f t="shared" si="9"/>
        <v>605313.27810922894</v>
      </c>
      <c r="AC51" s="68">
        <f t="shared" si="10"/>
        <v>40985817.456897795</v>
      </c>
      <c r="AD51" s="68"/>
      <c r="AE51" s="68"/>
      <c r="AF51" s="68"/>
      <c r="AG51" s="68"/>
      <c r="AH51" s="68"/>
      <c r="AI51" s="68"/>
      <c r="AK51" s="68"/>
      <c r="AL51" s="71">
        <f t="shared" si="4"/>
        <v>0</v>
      </c>
    </row>
    <row r="52" spans="2:38" x14ac:dyDescent="0.2">
      <c r="B52" s="5">
        <f t="shared" si="0"/>
        <v>45</v>
      </c>
      <c r="C52" s="5">
        <f t="shared" si="1"/>
        <v>45</v>
      </c>
      <c r="D52" s="5">
        <f t="shared" si="2"/>
        <v>3</v>
      </c>
      <c r="E52" s="5">
        <f t="shared" si="3"/>
        <v>49</v>
      </c>
      <c r="F52" s="65">
        <f>1-(1-VLOOKUP($E52,'Annual Mortality Rates'!$B$5:$C$105,2,FALSE))^(1/12)</f>
        <v>1.067292956670185E-4</v>
      </c>
      <c r="G52" s="76">
        <f>IF(D52+1&gt;Assumptions!$H$9,100%,1-(1-IF(D52&gt;=7,2%,VLOOKUP($D52,'Annual Lapse Rates'!$B$4:$C$14,2,FALSE)))^(1/12))</f>
        <v>5.1430128318229462E-3</v>
      </c>
      <c r="H52" s="82">
        <f t="shared" si="11"/>
        <v>9</v>
      </c>
      <c r="I52" s="66">
        <f t="shared" si="5"/>
        <v>3660.570334014431</v>
      </c>
      <c r="J52" s="67">
        <f t="shared" si="6"/>
        <v>0.39275193989345497</v>
      </c>
      <c r="K52" s="67">
        <f t="shared" si="7"/>
        <v>18.925715324659375</v>
      </c>
      <c r="M52" s="68">
        <f t="shared" si="12"/>
        <v>40985817.456897795</v>
      </c>
      <c r="N52" s="68">
        <f>IF(AND(H52=1,D52&lt;15),Assumptions!$H$4*I51,0)</f>
        <v>0</v>
      </c>
      <c r="O52" s="68"/>
      <c r="P52" s="91">
        <f>$M52*(1+VLOOKUP($H52,Assumptions!$C$22:$D$33,2,FALSE))*F52</f>
        <v>4497.4170759667086</v>
      </c>
      <c r="Q52" s="91">
        <f>$M52*(1+VLOOKUP($H52,Assumptions!$C$22:$D$33,2,FALSE))*G52</f>
        <v>216719.07030961639</v>
      </c>
      <c r="R52" s="68">
        <f>IF(AND(H52=12,D52&lt;15),Assumptions!$C$7*M52,0)</f>
        <v>0</v>
      </c>
      <c r="S52" s="69">
        <f>M52*Assumptions!$D$17</f>
        <v>166981.29369341719</v>
      </c>
      <c r="T52" s="69">
        <f t="shared" si="8"/>
        <v>0</v>
      </c>
      <c r="U52" s="68">
        <f>T52+AE52*(1+Assumptions!$D$17)</f>
        <v>0</v>
      </c>
      <c r="V52" s="68">
        <f>(M52+N52-O52)*(1+Assumptions!$D$17)-(P52+Q52)*(1+Assumptions!$D$17)^0.5-R52-T52</f>
        <v>40931132.089579038</v>
      </c>
      <c r="W52" s="68"/>
      <c r="X52" s="68">
        <f>IF(AND(H52=1,D52&lt;15),Assumptions!$D$10*N52+Assumptions!$D$11*(1+Assumptions!$D$16)^(B52-1)*$I$7,0)</f>
        <v>0</v>
      </c>
      <c r="Y52" s="66">
        <f>Assumptions!$C$13*N52</f>
        <v>0</v>
      </c>
      <c r="Z52" s="66">
        <f>NPV(Assumptions!$D$19,N52:$N$259)*(1+Assumptions!$D$19)</f>
        <v>65963427.261621267</v>
      </c>
      <c r="AA52" s="69">
        <f t="shared" si="9"/>
        <v>607911.89063083497</v>
      </c>
      <c r="AC52" s="68">
        <f t="shared" si="10"/>
        <v>40931132.089579038</v>
      </c>
      <c r="AD52" s="68"/>
      <c r="AE52" s="68"/>
      <c r="AF52" s="68"/>
      <c r="AG52" s="68"/>
      <c r="AH52" s="68"/>
      <c r="AI52" s="68"/>
      <c r="AK52" s="68"/>
      <c r="AL52" s="71">
        <f t="shared" si="4"/>
        <v>0</v>
      </c>
    </row>
    <row r="53" spans="2:38" x14ac:dyDescent="0.2">
      <c r="B53" s="5">
        <f t="shared" si="0"/>
        <v>46</v>
      </c>
      <c r="C53" s="5">
        <f t="shared" si="1"/>
        <v>46</v>
      </c>
      <c r="D53" s="5">
        <f t="shared" si="2"/>
        <v>3</v>
      </c>
      <c r="E53" s="5">
        <f t="shared" si="3"/>
        <v>49</v>
      </c>
      <c r="F53" s="65">
        <f>1-(1-VLOOKUP($E53,'Annual Mortality Rates'!$B$5:$C$105,2,FALSE))^(1/12)</f>
        <v>1.067292956670185E-4</v>
      </c>
      <c r="G53" s="76">
        <f>IF(D53+1&gt;Assumptions!$H$9,100%,1-(1-IF(D53&gt;=7,2%,VLOOKUP($D53,'Annual Lapse Rates'!$B$4:$C$14,2,FALSE)))^(1/12))</f>
        <v>5.1430128318229462E-3</v>
      </c>
      <c r="H53" s="82">
        <f t="shared" si="11"/>
        <v>10</v>
      </c>
      <c r="I53" s="66">
        <f t="shared" si="5"/>
        <v>3641.3532837213152</v>
      </c>
      <c r="J53" s="67">
        <f t="shared" si="6"/>
        <v>0.39069009348894285</v>
      </c>
      <c r="K53" s="67">
        <f t="shared" si="7"/>
        <v>18.826360199626627</v>
      </c>
      <c r="M53" s="68">
        <f t="shared" si="12"/>
        <v>40931132.089579038</v>
      </c>
      <c r="N53" s="68">
        <f>IF(AND(H53=1,D53&lt;15),Assumptions!$H$4*I52,0)</f>
        <v>0</v>
      </c>
      <c r="O53" s="68"/>
      <c r="P53" s="91">
        <f>$M53*(1+VLOOKUP($H53,Assumptions!$C$22:$D$33,2,FALSE))*F53</f>
        <v>4505.0681143611719</v>
      </c>
      <c r="Q53" s="91">
        <f>$M53*(1+VLOOKUP($H53,Assumptions!$C$22:$D$33,2,FALSE))*G53</f>
        <v>217087.7543564245</v>
      </c>
      <c r="R53" s="68">
        <f>IF(AND(H53=12,D53&lt;15),Assumptions!$C$7*M53,0)</f>
        <v>0</v>
      </c>
      <c r="S53" s="69">
        <f>M53*Assumptions!$D$17</f>
        <v>166758.49873780628</v>
      </c>
      <c r="T53" s="69">
        <f t="shared" si="8"/>
        <v>0</v>
      </c>
      <c r="U53" s="68">
        <f>T53+AE53*(1+Assumptions!$D$17)</f>
        <v>0</v>
      </c>
      <c r="V53" s="68">
        <f>(M53+N53-O53)*(1+Assumptions!$D$17)-(P53+Q53)*(1+Assumptions!$D$17)^0.5-R53-T53</f>
        <v>40875846.826380841</v>
      </c>
      <c r="W53" s="68"/>
      <c r="X53" s="68">
        <f>IF(AND(H53=1,D53&lt;15),Assumptions!$D$10*N53+Assumptions!$D$11*(1+Assumptions!$D$16)^(B53-1)*$I$7,0)</f>
        <v>0</v>
      </c>
      <c r="Y53" s="66">
        <f>Assumptions!$C$13*N53</f>
        <v>0</v>
      </c>
      <c r="Z53" s="66">
        <f>NPV(Assumptions!$D$19,N53:$N$259)*(1+Assumptions!$D$19)</f>
        <v>66246608.540223859</v>
      </c>
      <c r="AA53" s="69">
        <f t="shared" si="9"/>
        <v>610521.65900723834</v>
      </c>
      <c r="AC53" s="68">
        <f t="shared" si="10"/>
        <v>40875846.826380841</v>
      </c>
      <c r="AD53" s="68"/>
      <c r="AE53" s="68"/>
      <c r="AF53" s="68"/>
      <c r="AG53" s="68"/>
      <c r="AH53" s="68"/>
      <c r="AI53" s="68"/>
      <c r="AK53" s="68"/>
      <c r="AL53" s="71">
        <f t="shared" si="4"/>
        <v>0</v>
      </c>
    </row>
    <row r="54" spans="2:38" x14ac:dyDescent="0.2">
      <c r="B54" s="5">
        <f t="shared" si="0"/>
        <v>47</v>
      </c>
      <c r="C54" s="5">
        <f t="shared" si="1"/>
        <v>47</v>
      </c>
      <c r="D54" s="5">
        <f t="shared" si="2"/>
        <v>3</v>
      </c>
      <c r="E54" s="5">
        <f t="shared" si="3"/>
        <v>49</v>
      </c>
      <c r="F54" s="65">
        <f>1-(1-VLOOKUP($E54,'Annual Mortality Rates'!$B$5:$C$105,2,FALSE))^(1/12)</f>
        <v>1.067292956670185E-4</v>
      </c>
      <c r="G54" s="76">
        <f>IF(D54+1&gt;Assumptions!$H$9,100%,1-(1-IF(D54&gt;=7,2%,VLOOKUP($D54,'Annual Lapse Rates'!$B$4:$C$14,2,FALSE)))^(1/12))</f>
        <v>5.1430128318229462E-3</v>
      </c>
      <c r="H54" s="82">
        <f t="shared" si="11"/>
        <v>11</v>
      </c>
      <c r="I54" s="66">
        <f t="shared" si="5"/>
        <v>3622.2371179866896</v>
      </c>
      <c r="J54" s="67">
        <f t="shared" si="6"/>
        <v>0.38863907124636093</v>
      </c>
      <c r="K54" s="67">
        <f t="shared" si="7"/>
        <v>18.727526663379344</v>
      </c>
      <c r="M54" s="68">
        <f t="shared" si="12"/>
        <v>40875846.826380841</v>
      </c>
      <c r="N54" s="68">
        <f>IF(AND(H54=1,D54&lt;15),Assumptions!$H$4*I53,0)</f>
        <v>0</v>
      </c>
      <c r="O54" s="68"/>
      <c r="P54" s="91">
        <f>$M54*(1+VLOOKUP($H54,Assumptions!$C$22:$D$33,2,FALSE))*F54</f>
        <v>4512.616447064117</v>
      </c>
      <c r="Q54" s="91">
        <f>$M54*(1+VLOOKUP($H54,Assumptions!$C$22:$D$33,2,FALSE))*G54</f>
        <v>217451.48927763331</v>
      </c>
      <c r="R54" s="68">
        <f>IF(AND(H54=12,D54&lt;15),Assumptions!$C$7*M54,0)</f>
        <v>0</v>
      </c>
      <c r="S54" s="69">
        <f>M54*Assumptions!$D$17</f>
        <v>166533.25973212527</v>
      </c>
      <c r="T54" s="69">
        <f t="shared" si="8"/>
        <v>0</v>
      </c>
      <c r="U54" s="68">
        <f>T54+AE54*(1+Assumptions!$D$17)</f>
        <v>0</v>
      </c>
      <c r="V54" s="68">
        <f>(M54+N54-O54)*(1+Assumptions!$D$17)-(P54+Q54)*(1+Assumptions!$D$17)^0.5-R54-T54</f>
        <v>40819964.285364866</v>
      </c>
      <c r="W54" s="68"/>
      <c r="X54" s="68">
        <f>IF(AND(H54=1,D54&lt;15),Assumptions!$D$10*N54+Assumptions!$D$11*(1+Assumptions!$D$16)^(B54-1)*$I$7,0)</f>
        <v>0</v>
      </c>
      <c r="Y54" s="66">
        <f>Assumptions!$C$13*N54</f>
        <v>0</v>
      </c>
      <c r="Z54" s="66">
        <f>NPV(Assumptions!$D$19,N54:$N$259)*(1+Assumptions!$D$19)</f>
        <v>66531005.517280579</v>
      </c>
      <c r="AA54" s="69">
        <f t="shared" si="9"/>
        <v>613142.63113057148</v>
      </c>
      <c r="AC54" s="68">
        <f t="shared" si="10"/>
        <v>40819964.285364866</v>
      </c>
      <c r="AD54" s="68"/>
      <c r="AE54" s="68"/>
      <c r="AF54" s="68"/>
      <c r="AG54" s="68"/>
      <c r="AH54" s="68"/>
      <c r="AI54" s="68"/>
      <c r="AK54" s="68"/>
      <c r="AL54" s="71">
        <f t="shared" si="4"/>
        <v>0</v>
      </c>
    </row>
    <row r="55" spans="2:38" x14ac:dyDescent="0.2">
      <c r="B55" s="5">
        <f t="shared" si="0"/>
        <v>48</v>
      </c>
      <c r="C55" s="5">
        <f t="shared" si="1"/>
        <v>48</v>
      </c>
      <c r="D55" s="5">
        <f t="shared" si="2"/>
        <v>3</v>
      </c>
      <c r="E55" s="5">
        <f t="shared" si="3"/>
        <v>49</v>
      </c>
      <c r="F55" s="65">
        <f>1-(1-VLOOKUP($E55,'Annual Mortality Rates'!$B$5:$C$105,2,FALSE))^(1/12)</f>
        <v>1.067292956670185E-4</v>
      </c>
      <c r="G55" s="76">
        <f>IF(D55+1&gt;Assumptions!$H$9,100%,1-(1-IF(D55&gt;=7,2%,VLOOKUP($D55,'Annual Lapse Rates'!$B$4:$C$14,2,FALSE)))^(1/12))</f>
        <v>5.1430128318229462E-3</v>
      </c>
      <c r="H55" s="82">
        <f t="shared" si="11"/>
        <v>12</v>
      </c>
      <c r="I55" s="66">
        <f t="shared" si="5"/>
        <v>3603.2213071926371</v>
      </c>
      <c r="J55" s="67">
        <f t="shared" si="6"/>
        <v>0.38659881634165033</v>
      </c>
      <c r="K55" s="67">
        <f t="shared" si="7"/>
        <v>18.629211977710913</v>
      </c>
      <c r="M55" s="68">
        <f t="shared" si="12"/>
        <v>40819964.285364866</v>
      </c>
      <c r="N55" s="68">
        <f>IF(AND(H55=1,D55&lt;15),Assumptions!$H$4*I54,0)</f>
        <v>0</v>
      </c>
      <c r="O55" s="68"/>
      <c r="P55" s="91">
        <f>$M55*(1+VLOOKUP($H55,Assumptions!$C$22:$D$33,2,FALSE))*F55</f>
        <v>4520.0617637297119</v>
      </c>
      <c r="Q55" s="91">
        <f>$M55*(1+VLOOKUP($H55,Assumptions!$C$22:$D$33,2,FALSE))*G55</f>
        <v>217810.26011846788</v>
      </c>
      <c r="R55" s="68">
        <f>IF(AND(H55=12,D55&lt;15),Assumptions!$C$7*M55,0)</f>
        <v>20409.982142682435</v>
      </c>
      <c r="S55" s="69">
        <f>M55*Assumptions!$D$17</f>
        <v>166305.58734268136</v>
      </c>
      <c r="T55" s="69">
        <f t="shared" si="8"/>
        <v>0</v>
      </c>
      <c r="U55" s="68">
        <f>T55+AE55*(1+Assumptions!$D$17)</f>
        <v>0</v>
      </c>
      <c r="V55" s="68">
        <f>(M55+N55-O55)*(1+Assumptions!$D$17)-(P55+Q55)*(1+Assumptions!$D$17)^0.5-R55-T55</f>
        <v>40743077.128412575</v>
      </c>
      <c r="W55" s="68"/>
      <c r="X55" s="68">
        <f>IF(AND(H55=1,D55&lt;15),Assumptions!$D$10*N55+Assumptions!$D$11*(1+Assumptions!$D$16)^(B55-1)*$I$7,0)</f>
        <v>0</v>
      </c>
      <c r="Y55" s="66">
        <f>Assumptions!$C$13*N55</f>
        <v>0</v>
      </c>
      <c r="Z55" s="66">
        <f>NPV(Assumptions!$D$19,N55:$N$259)*(1+Assumptions!$D$19)</f>
        <v>66816623.411790125</v>
      </c>
      <c r="AA55" s="69">
        <f t="shared" si="9"/>
        <v>615774.8550985693</v>
      </c>
      <c r="AC55" s="68">
        <f t="shared" si="10"/>
        <v>40743077.128412575</v>
      </c>
      <c r="AD55" s="68"/>
      <c r="AE55" s="68"/>
      <c r="AF55" s="68"/>
      <c r="AG55" s="68"/>
      <c r="AH55" s="68"/>
      <c r="AI55" s="68"/>
      <c r="AK55" s="68"/>
      <c r="AL55" s="71">
        <f t="shared" si="4"/>
        <v>0</v>
      </c>
    </row>
    <row r="56" spans="2:38" x14ac:dyDescent="0.2">
      <c r="B56" s="5">
        <f t="shared" si="0"/>
        <v>49</v>
      </c>
      <c r="C56" s="5">
        <f t="shared" si="1"/>
        <v>49</v>
      </c>
      <c r="D56" s="5">
        <f t="shared" si="2"/>
        <v>4</v>
      </c>
      <c r="E56" s="5">
        <f t="shared" si="3"/>
        <v>50</v>
      </c>
      <c r="F56" s="65">
        <f>1-(1-VLOOKUP($E56,'Annual Mortality Rates'!$B$5:$C$105,2,FALSE))^(1/12)</f>
        <v>1.184104185535384E-4</v>
      </c>
      <c r="G56" s="76">
        <f>IF(D56+1&gt;Assumptions!$H$9,100%,1-(1-IF(D56&gt;=7,2%,VLOOKUP($D56,'Annual Lapse Rates'!$B$4:$C$14,2,FALSE)))^(1/12))</f>
        <v>4.2653187775606449E-3</v>
      </c>
      <c r="H56" s="82">
        <f t="shared" si="11"/>
        <v>1</v>
      </c>
      <c r="I56" s="66">
        <f t="shared" si="5"/>
        <v>3587.4257607482359</v>
      </c>
      <c r="J56" s="67">
        <f t="shared" si="6"/>
        <v>0.4266589431257079</v>
      </c>
      <c r="K56" s="67">
        <f t="shared" si="7"/>
        <v>15.368887501275369</v>
      </c>
      <c r="M56" s="68">
        <f t="shared" si="12"/>
        <v>40743077.128412575</v>
      </c>
      <c r="N56" s="68">
        <f>IF(AND(H56=1,D56&lt;15),Assumptions!$H$4*I55,0)</f>
        <v>9008053.2679815926</v>
      </c>
      <c r="O56" s="68"/>
      <c r="P56" s="91">
        <f>$M56*(1+VLOOKUP($H56,Assumptions!$C$22:$D$33,2,FALSE))*F56</f>
        <v>4839.4810809842256</v>
      </c>
      <c r="Q56" s="91">
        <f>$M56*(1+VLOOKUP($H56,Assumptions!$C$22:$D$33,2,FALSE))*G56</f>
        <v>174325.28134370549</v>
      </c>
      <c r="R56" s="68">
        <f>IF(AND(H56=12,D56&lt;15),Assumptions!$C$7*M56,0)</f>
        <v>0</v>
      </c>
      <c r="S56" s="69">
        <f>M56*Assumptions!$D$17</f>
        <v>165992.33954788494</v>
      </c>
      <c r="T56" s="69">
        <f t="shared" si="8"/>
        <v>0</v>
      </c>
      <c r="U56" s="68">
        <f>T56+AE56*(1+Assumptions!$D$17)</f>
        <v>0</v>
      </c>
      <c r="V56" s="68">
        <f>(M56+N56-O56)*(1+Assumptions!$D$17)-(P56+Q56)*(1+Assumptions!$D$17)^0.5-R56-T56</f>
        <v>49774293.29884854</v>
      </c>
      <c r="W56" s="68"/>
      <c r="X56" s="68">
        <f>IF(AND(H56=1,D56&lt;15),Assumptions!$D$10*N56+Assumptions!$D$11*(1+Assumptions!$D$16)^(B56-1)*$I$7,0)</f>
        <v>80219.311539908027</v>
      </c>
      <c r="Y56" s="66">
        <f>Assumptions!$C$13*N56</f>
        <v>45040.266339907961</v>
      </c>
      <c r="Z56" s="66">
        <f>NPV(Assumptions!$D$19,N56:$N$259)*(1+Assumptions!$D$19)</f>
        <v>67103467.465156466</v>
      </c>
      <c r="AA56" s="69">
        <f t="shared" si="9"/>
        <v>535401.12373957911</v>
      </c>
      <c r="AC56" s="68">
        <f t="shared" si="10"/>
        <v>49774293.29884854</v>
      </c>
      <c r="AD56" s="68"/>
      <c r="AE56" s="68"/>
      <c r="AF56" s="68"/>
      <c r="AG56" s="68"/>
      <c r="AH56" s="68"/>
      <c r="AI56" s="68"/>
      <c r="AK56" s="68"/>
      <c r="AL56" s="71">
        <f t="shared" si="4"/>
        <v>0</v>
      </c>
    </row>
    <row r="57" spans="2:38" x14ac:dyDescent="0.2">
      <c r="B57" s="5">
        <f t="shared" si="0"/>
        <v>50</v>
      </c>
      <c r="C57" s="5">
        <f t="shared" si="1"/>
        <v>50</v>
      </c>
      <c r="D57" s="5">
        <f t="shared" si="2"/>
        <v>4</v>
      </c>
      <c r="E57" s="5">
        <f t="shared" si="3"/>
        <v>50</v>
      </c>
      <c r="F57" s="65">
        <f>1-(1-VLOOKUP($E57,'Annual Mortality Rates'!$B$5:$C$105,2,FALSE))^(1/12)</f>
        <v>1.184104185535384E-4</v>
      </c>
      <c r="G57" s="76">
        <f>IF(D57+1&gt;Assumptions!$H$9,100%,1-(1-IF(D57&gt;=7,2%,VLOOKUP($D57,'Annual Lapse Rates'!$B$4:$C$14,2,FALSE)))^(1/12))</f>
        <v>4.2653187775606449E-3</v>
      </c>
      <c r="H57" s="82">
        <f t="shared" si="11"/>
        <v>2</v>
      </c>
      <c r="I57" s="66">
        <f t="shared" si="5"/>
        <v>3571.6994577019518</v>
      </c>
      <c r="J57" s="67">
        <f t="shared" si="6"/>
        <v>0.4247885858599445</v>
      </c>
      <c r="K57" s="67">
        <f t="shared" si="7"/>
        <v>15.301514460424233</v>
      </c>
      <c r="M57" s="68">
        <f t="shared" si="12"/>
        <v>49774293.29884854</v>
      </c>
      <c r="N57" s="68">
        <f>IF(AND(H57=1,D57&lt;15),Assumptions!$H$4*I56,0)</f>
        <v>0</v>
      </c>
      <c r="O57" s="68"/>
      <c r="P57" s="91">
        <f>$M57*(1+VLOOKUP($H57,Assumptions!$C$22:$D$33,2,FALSE))*F57</f>
        <v>5930.6311208652578</v>
      </c>
      <c r="Q57" s="91">
        <f>$M57*(1+VLOOKUP($H57,Assumptions!$C$22:$D$33,2,FALSE))*G57</f>
        <v>213630.12302143584</v>
      </c>
      <c r="R57" s="68">
        <f>IF(AND(H57=12,D57&lt;15),Assumptions!$C$7*M57,0)</f>
        <v>0</v>
      </c>
      <c r="S57" s="69">
        <f>M57*Assumptions!$D$17</f>
        <v>202786.6321431277</v>
      </c>
      <c r="T57" s="69">
        <f t="shared" si="8"/>
        <v>0</v>
      </c>
      <c r="U57" s="68">
        <f>T57+AE57*(1+Assumptions!$D$17)</f>
        <v>0</v>
      </c>
      <c r="V57" s="68">
        <f>(M57+N57-O57)*(1+Assumptions!$D$17)-(P57+Q57)*(1+Assumptions!$D$17)^0.5-R57-T57</f>
        <v>49757072.372625515</v>
      </c>
      <c r="W57" s="68"/>
      <c r="X57" s="68">
        <f>IF(AND(H57=1,D57&lt;15),Assumptions!$D$10*N57+Assumptions!$D$11*(1+Assumptions!$D$16)^(B57-1)*$I$7,0)</f>
        <v>0</v>
      </c>
      <c r="Y57" s="66">
        <f>Assumptions!$C$13*N57</f>
        <v>0</v>
      </c>
      <c r="Z57" s="66">
        <f>NPV(Assumptions!$D$19,N57:$N$259)*(1+Assumptions!$D$19)</f>
        <v>58344818.061653472</v>
      </c>
      <c r="AA57" s="69">
        <f t="shared" si="9"/>
        <v>537699.60308002494</v>
      </c>
      <c r="AC57" s="68">
        <f t="shared" si="10"/>
        <v>49757072.372625515</v>
      </c>
      <c r="AD57" s="68"/>
      <c r="AE57" s="68"/>
      <c r="AF57" s="68"/>
      <c r="AG57" s="68"/>
      <c r="AH57" s="68"/>
      <c r="AI57" s="68"/>
      <c r="AK57" s="68"/>
      <c r="AL57" s="71">
        <f t="shared" si="4"/>
        <v>0</v>
      </c>
    </row>
    <row r="58" spans="2:38" x14ac:dyDescent="0.2">
      <c r="B58" s="5">
        <f t="shared" si="0"/>
        <v>51</v>
      </c>
      <c r="C58" s="5">
        <f t="shared" si="1"/>
        <v>51</v>
      </c>
      <c r="D58" s="5">
        <f t="shared" si="2"/>
        <v>4</v>
      </c>
      <c r="E58" s="5">
        <f t="shared" si="3"/>
        <v>50</v>
      </c>
      <c r="F58" s="65">
        <f>1-(1-VLOOKUP($E58,'Annual Mortality Rates'!$B$5:$C$105,2,FALSE))^(1/12)</f>
        <v>1.184104185535384E-4</v>
      </c>
      <c r="G58" s="76">
        <f>IF(D58+1&gt;Assumptions!$H$9,100%,1-(1-IF(D58&gt;=7,2%,VLOOKUP($D58,'Annual Lapse Rates'!$B$4:$C$14,2,FALSE)))^(1/12))</f>
        <v>4.2653187775606449E-3</v>
      </c>
      <c r="H58" s="82">
        <f t="shared" si="11"/>
        <v>3</v>
      </c>
      <c r="I58" s="66">
        <f t="shared" si="5"/>
        <v>3556.0420945094788</v>
      </c>
      <c r="J58" s="67">
        <f t="shared" si="6"/>
        <v>0.42292642773393424</v>
      </c>
      <c r="K58" s="67">
        <f t="shared" si="7"/>
        <v>15.234436764739307</v>
      </c>
      <c r="M58" s="68">
        <f t="shared" si="12"/>
        <v>49757072.372625515</v>
      </c>
      <c r="N58" s="68">
        <f>IF(AND(H58=1,D58&lt;15),Assumptions!$H$4*I57,0)</f>
        <v>0</v>
      </c>
      <c r="O58" s="68"/>
      <c r="P58" s="91">
        <f>$M58*(1+VLOOKUP($H58,Assumptions!$C$22:$D$33,2,FALSE))*F58</f>
        <v>5946.9909759441753</v>
      </c>
      <c r="Q58" s="91">
        <f>$M58*(1+VLOOKUP($H58,Assumptions!$C$22:$D$33,2,FALSE))*G58</f>
        <v>214219.42924903549</v>
      </c>
      <c r="R58" s="68">
        <f>IF(AND(H58=12,D58&lt;15),Assumptions!$C$7*M58,0)</f>
        <v>0</v>
      </c>
      <c r="S58" s="69">
        <f>M58*Assumptions!$D$17</f>
        <v>202716.47195802603</v>
      </c>
      <c r="T58" s="69">
        <f t="shared" si="8"/>
        <v>0</v>
      </c>
      <c r="U58" s="68">
        <f>T58+AE58*(1+Assumptions!$D$17)</f>
        <v>0</v>
      </c>
      <c r="V58" s="68">
        <f>(M58+N58-O58)*(1+Assumptions!$D$17)-(P58+Q58)*(1+Assumptions!$D$17)^0.5-R58-T58</f>
        <v>49739174.387609504</v>
      </c>
      <c r="W58" s="68"/>
      <c r="X58" s="68">
        <f>IF(AND(H58=1,D58&lt;15),Assumptions!$D$10*N58+Assumptions!$D$11*(1+Assumptions!$D$16)^(B58-1)*$I$7,0)</f>
        <v>0</v>
      </c>
      <c r="Y58" s="66">
        <f>Assumptions!$C$13*N58</f>
        <v>0</v>
      </c>
      <c r="Z58" s="66">
        <f>NPV(Assumptions!$D$19,N58:$N$259)*(1+Assumptions!$D$19)</f>
        <v>58595292.618001267</v>
      </c>
      <c r="AA58" s="69">
        <f t="shared" si="9"/>
        <v>540007.94980222289</v>
      </c>
      <c r="AC58" s="68">
        <f t="shared" si="10"/>
        <v>49739174.387609504</v>
      </c>
      <c r="AD58" s="68"/>
      <c r="AE58" s="68"/>
      <c r="AF58" s="68"/>
      <c r="AG58" s="68"/>
      <c r="AH58" s="68"/>
      <c r="AI58" s="68"/>
      <c r="AK58" s="68"/>
      <c r="AL58" s="71">
        <f t="shared" si="4"/>
        <v>0</v>
      </c>
    </row>
    <row r="59" spans="2:38" x14ac:dyDescent="0.2">
      <c r="B59" s="5">
        <f t="shared" si="0"/>
        <v>52</v>
      </c>
      <c r="C59" s="5">
        <f t="shared" si="1"/>
        <v>52</v>
      </c>
      <c r="D59" s="5">
        <f t="shared" si="2"/>
        <v>4</v>
      </c>
      <c r="E59" s="5">
        <f t="shared" si="3"/>
        <v>50</v>
      </c>
      <c r="F59" s="65">
        <f>1-(1-VLOOKUP($E59,'Annual Mortality Rates'!$B$5:$C$105,2,FALSE))^(1/12)</f>
        <v>1.184104185535384E-4</v>
      </c>
      <c r="G59" s="76">
        <f>IF(D59+1&gt;Assumptions!$H$9,100%,1-(1-IF(D59&gt;=7,2%,VLOOKUP($D59,'Annual Lapse Rates'!$B$4:$C$14,2,FALSE)))^(1/12))</f>
        <v>4.2653187775606449E-3</v>
      </c>
      <c r="H59" s="82">
        <f t="shared" si="11"/>
        <v>4</v>
      </c>
      <c r="I59" s="66">
        <f t="shared" si="5"/>
        <v>3540.4533689571663</v>
      </c>
      <c r="J59" s="67">
        <f t="shared" si="6"/>
        <v>0.42107243280486872</v>
      </c>
      <c r="K59" s="67">
        <f t="shared" si="7"/>
        <v>15.167653119507365</v>
      </c>
      <c r="M59" s="68">
        <f t="shared" si="12"/>
        <v>49739174.387609504</v>
      </c>
      <c r="N59" s="68">
        <f>IF(AND(H59=1,D59&lt;15),Assumptions!$H$4*I58,0)</f>
        <v>0</v>
      </c>
      <c r="O59" s="68"/>
      <c r="P59" s="91">
        <f>$M59*(1+VLOOKUP($H59,Assumptions!$C$22:$D$33,2,FALSE))*F59</f>
        <v>5963.2569134660816</v>
      </c>
      <c r="Q59" s="91">
        <f>$M59*(1+VLOOKUP($H59,Assumptions!$C$22:$D$33,2,FALSE))*G59</f>
        <v>214805.35242703222</v>
      </c>
      <c r="R59" s="68">
        <f>IF(AND(H59=12,D59&lt;15),Assumptions!$C$7*M59,0)</f>
        <v>0</v>
      </c>
      <c r="S59" s="69">
        <f>M59*Assumptions!$D$17</f>
        <v>202643.55335159291</v>
      </c>
      <c r="T59" s="69">
        <f t="shared" si="8"/>
        <v>0</v>
      </c>
      <c r="U59" s="68">
        <f>T59+AE59*(1+Assumptions!$D$17)</f>
        <v>0</v>
      </c>
      <c r="V59" s="68">
        <f>(M59+N59-O59)*(1+Assumptions!$D$17)-(P59+Q59)*(1+Assumptions!$D$17)^0.5-R59-T59</f>
        <v>49720600.069421932</v>
      </c>
      <c r="W59" s="68"/>
      <c r="X59" s="68">
        <f>IF(AND(H59=1,D59&lt;15),Assumptions!$D$10*N59+Assumptions!$D$11*(1+Assumptions!$D$16)^(B59-1)*$I$7,0)</f>
        <v>0</v>
      </c>
      <c r="Y59" s="66">
        <f>Assumptions!$C$13*N59</f>
        <v>0</v>
      </c>
      <c r="Z59" s="66">
        <f>NPV(Assumptions!$D$19,N59:$N$259)*(1+Assumptions!$D$19)</f>
        <v>58846842.462703049</v>
      </c>
      <c r="AA59" s="69">
        <f t="shared" si="9"/>
        <v>542326.20626688539</v>
      </c>
      <c r="AC59" s="68">
        <f t="shared" si="10"/>
        <v>49720600.069421932</v>
      </c>
      <c r="AD59" s="68"/>
      <c r="AE59" s="68"/>
      <c r="AF59" s="68"/>
      <c r="AG59" s="68"/>
      <c r="AH59" s="68"/>
      <c r="AI59" s="68"/>
      <c r="AK59" s="68"/>
      <c r="AL59" s="71">
        <f t="shared" si="4"/>
        <v>0</v>
      </c>
    </row>
    <row r="60" spans="2:38" x14ac:dyDescent="0.2">
      <c r="B60" s="5">
        <f t="shared" si="0"/>
        <v>53</v>
      </c>
      <c r="C60" s="5">
        <f t="shared" si="1"/>
        <v>53</v>
      </c>
      <c r="D60" s="5">
        <f t="shared" si="2"/>
        <v>4</v>
      </c>
      <c r="E60" s="5">
        <f t="shared" si="3"/>
        <v>50</v>
      </c>
      <c r="F60" s="65">
        <f>1-(1-VLOOKUP($E60,'Annual Mortality Rates'!$B$5:$C$105,2,FALSE))^(1/12)</f>
        <v>1.184104185535384E-4</v>
      </c>
      <c r="G60" s="76">
        <f>IF(D60+1&gt;Assumptions!$H$9,100%,1-(1-IF(D60&gt;=7,2%,VLOOKUP($D60,'Annual Lapse Rates'!$B$4:$C$14,2,FALSE)))^(1/12))</f>
        <v>4.2653187775606449E-3</v>
      </c>
      <c r="H60" s="82">
        <f t="shared" si="11"/>
        <v>5</v>
      </c>
      <c r="I60" s="66">
        <f t="shared" si="5"/>
        <v>3524.932980156188</v>
      </c>
      <c r="J60" s="67">
        <f t="shared" si="6"/>
        <v>0.41922656528750318</v>
      </c>
      <c r="K60" s="67">
        <f t="shared" si="7"/>
        <v>15.101162235690847</v>
      </c>
      <c r="M60" s="68">
        <f t="shared" si="12"/>
        <v>49720600.069421932</v>
      </c>
      <c r="N60" s="68">
        <f>IF(AND(H60=1,D60&lt;15),Assumptions!$H$4*I59,0)</f>
        <v>0</v>
      </c>
      <c r="O60" s="68"/>
      <c r="P60" s="91">
        <f>$M60*(1+VLOOKUP($H60,Assumptions!$C$22:$D$33,2,FALSE))*F60</f>
        <v>5979.4282690932368</v>
      </c>
      <c r="Q60" s="91">
        <f>$M60*(1+VLOOKUP($H60,Assumptions!$C$22:$D$33,2,FALSE))*G60</f>
        <v>215387.8686249961</v>
      </c>
      <c r="R60" s="68">
        <f>IF(AND(H60=12,D60&lt;15),Assumptions!$C$7*M60,0)</f>
        <v>0</v>
      </c>
      <c r="S60" s="69">
        <f>M60*Assumptions!$D$17</f>
        <v>202567.87928009988</v>
      </c>
      <c r="T60" s="69">
        <f t="shared" si="8"/>
        <v>0</v>
      </c>
      <c r="U60" s="68">
        <f>T60+AE60*(1+Assumptions!$D$17)</f>
        <v>0</v>
      </c>
      <c r="V60" s="68">
        <f>(M60+N60-O60)*(1+Assumptions!$D$17)-(P60+Q60)*(1+Assumptions!$D$17)^0.5-R60-T60</f>
        <v>49701350.171285316</v>
      </c>
      <c r="W60" s="68"/>
      <c r="X60" s="68">
        <f>IF(AND(H60=1,D60&lt;15),Assumptions!$D$10*N60+Assumptions!$D$11*(1+Assumptions!$D$16)^(B60-1)*$I$7,0)</f>
        <v>0</v>
      </c>
      <c r="Y60" s="66">
        <f>Assumptions!$C$13*N60</f>
        <v>0</v>
      </c>
      <c r="Z60" s="66">
        <f>NPV(Assumptions!$D$19,N60:$N$259)*(1+Assumptions!$D$19)</f>
        <v>59099472.211976379</v>
      </c>
      <c r="AA60" s="69">
        <f t="shared" si="9"/>
        <v>544654.41501657991</v>
      </c>
      <c r="AC60" s="68">
        <f t="shared" si="10"/>
        <v>49701350.171285316</v>
      </c>
      <c r="AD60" s="68"/>
      <c r="AE60" s="68"/>
      <c r="AF60" s="68"/>
      <c r="AG60" s="68"/>
      <c r="AH60" s="68"/>
      <c r="AI60" s="68"/>
      <c r="AK60" s="68"/>
      <c r="AL60" s="71">
        <f t="shared" si="4"/>
        <v>0</v>
      </c>
    </row>
    <row r="61" spans="2:38" x14ac:dyDescent="0.2">
      <c r="B61" s="5">
        <f t="shared" si="0"/>
        <v>54</v>
      </c>
      <c r="C61" s="5">
        <f t="shared" si="1"/>
        <v>54</v>
      </c>
      <c r="D61" s="5">
        <f t="shared" si="2"/>
        <v>4</v>
      </c>
      <c r="E61" s="5">
        <f t="shared" si="3"/>
        <v>50</v>
      </c>
      <c r="F61" s="65">
        <f>1-(1-VLOOKUP($E61,'Annual Mortality Rates'!$B$5:$C$105,2,FALSE))^(1/12)</f>
        <v>1.184104185535384E-4</v>
      </c>
      <c r="G61" s="76">
        <f>IF(D61+1&gt;Assumptions!$H$9,100%,1-(1-IF(D61&gt;=7,2%,VLOOKUP($D61,'Annual Lapse Rates'!$B$4:$C$14,2,FALSE)))^(1/12))</f>
        <v>4.2653187775606449E-3</v>
      </c>
      <c r="H61" s="82">
        <f t="shared" si="11"/>
        <v>6</v>
      </c>
      <c r="I61" s="66">
        <f t="shared" si="5"/>
        <v>3509.4806285367313</v>
      </c>
      <c r="J61" s="67">
        <f t="shared" si="6"/>
        <v>0.4173887895534657</v>
      </c>
      <c r="K61" s="67">
        <f t="shared" si="7"/>
        <v>15.034962829902993</v>
      </c>
      <c r="M61" s="68">
        <f t="shared" si="12"/>
        <v>49701350.171285316</v>
      </c>
      <c r="N61" s="68">
        <f>IF(AND(H61=1,D61&lt;15),Assumptions!$H$4*I60,0)</f>
        <v>0</v>
      </c>
      <c r="O61" s="68"/>
      <c r="P61" s="91">
        <f>$M61*(1+VLOOKUP($H61,Assumptions!$C$22:$D$33,2,FALSE))*F61</f>
        <v>5995.5043828914568</v>
      </c>
      <c r="Q61" s="91">
        <f>$M61*(1+VLOOKUP($H61,Assumptions!$C$22:$D$33,2,FALSE))*G61</f>
        <v>215966.95407111963</v>
      </c>
      <c r="R61" s="68">
        <f>IF(AND(H61=12,D61&lt;15),Assumptions!$C$7*M61,0)</f>
        <v>0</v>
      </c>
      <c r="S61" s="69">
        <f>M61*Assumptions!$D$17</f>
        <v>202489.45281226866</v>
      </c>
      <c r="T61" s="69">
        <f t="shared" si="8"/>
        <v>0</v>
      </c>
      <c r="U61" s="68">
        <f>T61+AE61*(1+Assumptions!$D$17)</f>
        <v>0</v>
      </c>
      <c r="V61" s="68">
        <f>(M61+N61-O61)*(1+Assumptions!$D$17)-(P61+Q61)*(1+Assumptions!$D$17)^0.5-R61-T61</f>
        <v>49681425.47397235</v>
      </c>
      <c r="W61" s="68"/>
      <c r="X61" s="68">
        <f>IF(AND(H61=1,D61&lt;15),Assumptions!$D$10*N61+Assumptions!$D$11*(1+Assumptions!$D$16)^(B61-1)*$I$7,0)</f>
        <v>0</v>
      </c>
      <c r="Y61" s="66">
        <f>Assumptions!$C$13*N61</f>
        <v>0</v>
      </c>
      <c r="Z61" s="66">
        <f>NPV(Assumptions!$D$19,N61:$N$259)*(1+Assumptions!$D$19)</f>
        <v>59353186.50185626</v>
      </c>
      <c r="AA61" s="69">
        <f t="shared" si="9"/>
        <v>546992.61877650907</v>
      </c>
      <c r="AC61" s="68">
        <f t="shared" si="10"/>
        <v>49681425.47397235</v>
      </c>
      <c r="AD61" s="68"/>
      <c r="AE61" s="68"/>
      <c r="AF61" s="68"/>
      <c r="AG61" s="68"/>
      <c r="AH61" s="68"/>
      <c r="AI61" s="68"/>
      <c r="AK61" s="68"/>
      <c r="AL61" s="71">
        <f t="shared" si="4"/>
        <v>0</v>
      </c>
    </row>
    <row r="62" spans="2:38" x14ac:dyDescent="0.2">
      <c r="B62" s="5">
        <f t="shared" si="0"/>
        <v>55</v>
      </c>
      <c r="C62" s="5">
        <f t="shared" si="1"/>
        <v>55</v>
      </c>
      <c r="D62" s="5">
        <f t="shared" si="2"/>
        <v>4</v>
      </c>
      <c r="E62" s="5">
        <f t="shared" si="3"/>
        <v>50</v>
      </c>
      <c r="F62" s="65">
        <f>1-(1-VLOOKUP($E62,'Annual Mortality Rates'!$B$5:$C$105,2,FALSE))^(1/12)</f>
        <v>1.184104185535384E-4</v>
      </c>
      <c r="G62" s="76">
        <f>IF(D62+1&gt;Assumptions!$H$9,100%,1-(1-IF(D62&gt;=7,2%,VLOOKUP($D62,'Annual Lapse Rates'!$B$4:$C$14,2,FALSE)))^(1/12))</f>
        <v>4.2653187775606449E-3</v>
      </c>
      <c r="H62" s="82">
        <f t="shared" si="11"/>
        <v>7</v>
      </c>
      <c r="I62" s="66">
        <f t="shared" si="5"/>
        <v>3494.0960158422176</v>
      </c>
      <c r="J62" s="67">
        <f t="shared" si="6"/>
        <v>0.41555907013056936</v>
      </c>
      <c r="K62" s="67">
        <f t="shared" si="7"/>
        <v>14.969053624383054</v>
      </c>
      <c r="M62" s="68">
        <f t="shared" si="12"/>
        <v>49681425.47397235</v>
      </c>
      <c r="N62" s="68">
        <f>IF(AND(H62=1,D62&lt;15),Assumptions!$H$4*I61,0)</f>
        <v>0</v>
      </c>
      <c r="O62" s="68"/>
      <c r="P62" s="91">
        <f>$M62*(1+VLOOKUP($H62,Assumptions!$C$22:$D$33,2,FALSE))*F62</f>
        <v>6011.4845993750114</v>
      </c>
      <c r="Q62" s="91">
        <f>$M62*(1+VLOOKUP($H62,Assumptions!$C$22:$D$33,2,FALSE))*G62</f>
        <v>216542.58515383527</v>
      </c>
      <c r="R62" s="68">
        <f>IF(AND(H62=12,D62&lt;15),Assumptions!$C$7*M62,0)</f>
        <v>0</v>
      </c>
      <c r="S62" s="69">
        <f>M62*Assumptions!$D$17</f>
        <v>202408.27712906394</v>
      </c>
      <c r="T62" s="69">
        <f t="shared" si="8"/>
        <v>0</v>
      </c>
      <c r="U62" s="68">
        <f>T62+AE62*(1+Assumptions!$D$17)</f>
        <v>0</v>
      </c>
      <c r="V62" s="68">
        <f>(M62+N62-O62)*(1+Assumptions!$D$17)-(P62+Q62)*(1+Assumptions!$D$17)^0.5-R62-T62</f>
        <v>49660826.785753131</v>
      </c>
      <c r="W62" s="68"/>
      <c r="X62" s="68">
        <f>IF(AND(H62=1,D62&lt;15),Assumptions!$D$10*N62+Assumptions!$D$11*(1+Assumptions!$D$16)^(B62-1)*$I$7,0)</f>
        <v>0</v>
      </c>
      <c r="Y62" s="66">
        <f>Assumptions!$C$13*N62</f>
        <v>0</v>
      </c>
      <c r="Z62" s="66">
        <f>NPV(Assumptions!$D$19,N62:$N$259)*(1+Assumptions!$D$19)</f>
        <v>59607989.988280199</v>
      </c>
      <c r="AA62" s="69">
        <f t="shared" si="9"/>
        <v>549340.86045529484</v>
      </c>
      <c r="AC62" s="68">
        <f t="shared" si="10"/>
        <v>49660826.785753131</v>
      </c>
      <c r="AD62" s="68"/>
      <c r="AE62" s="68"/>
      <c r="AF62" s="68"/>
      <c r="AG62" s="68"/>
      <c r="AH62" s="68"/>
      <c r="AI62" s="68"/>
      <c r="AK62" s="68"/>
      <c r="AL62" s="71">
        <f t="shared" si="4"/>
        <v>0</v>
      </c>
    </row>
    <row r="63" spans="2:38" x14ac:dyDescent="0.2">
      <c r="B63" s="5">
        <f t="shared" si="0"/>
        <v>56</v>
      </c>
      <c r="C63" s="5">
        <f t="shared" si="1"/>
        <v>56</v>
      </c>
      <c r="D63" s="5">
        <f t="shared" si="2"/>
        <v>4</v>
      </c>
      <c r="E63" s="5">
        <f t="shared" si="3"/>
        <v>50</v>
      </c>
      <c r="F63" s="65">
        <f>1-(1-VLOOKUP($E63,'Annual Mortality Rates'!$B$5:$C$105,2,FALSE))^(1/12)</f>
        <v>1.184104185535384E-4</v>
      </c>
      <c r="G63" s="76">
        <f>IF(D63+1&gt;Assumptions!$H$9,100%,1-(1-IF(D63&gt;=7,2%,VLOOKUP($D63,'Annual Lapse Rates'!$B$4:$C$14,2,FALSE)))^(1/12))</f>
        <v>4.2653187775606449E-3</v>
      </c>
      <c r="H63" s="82">
        <f t="shared" si="11"/>
        <v>8</v>
      </c>
      <c r="I63" s="66">
        <f t="shared" si="5"/>
        <v>3478.7788451235438</v>
      </c>
      <c r="J63" s="67">
        <f t="shared" si="6"/>
        <v>0.41373737170212793</v>
      </c>
      <c r="K63" s="67">
        <f t="shared" si="7"/>
        <v>14.903433346971648</v>
      </c>
      <c r="M63" s="68">
        <f t="shared" si="12"/>
        <v>49660826.785753131</v>
      </c>
      <c r="N63" s="68">
        <f>IF(AND(H63=1,D63&lt;15),Assumptions!$H$4*I62,0)</f>
        <v>0</v>
      </c>
      <c r="O63" s="68"/>
      <c r="P63" s="91">
        <f>$M63*(1+VLOOKUP($H63,Assumptions!$C$22:$D$33,2,FALSE))*F63</f>
        <v>6027.3682675511936</v>
      </c>
      <c r="Q63" s="91">
        <f>$M63*(1+VLOOKUP($H63,Assumptions!$C$22:$D$33,2,FALSE))*G63</f>
        <v>217114.73842342096</v>
      </c>
      <c r="R63" s="68">
        <f>IF(AND(H63=12,D63&lt;15),Assumptions!$C$7*M63,0)</f>
        <v>0</v>
      </c>
      <c r="S63" s="69">
        <f>M63*Assumptions!$D$17</f>
        <v>202324.35552347804</v>
      </c>
      <c r="T63" s="69">
        <f t="shared" si="8"/>
        <v>0</v>
      </c>
      <c r="U63" s="68">
        <f>T63+AE63*(1+Assumptions!$D$17)</f>
        <v>0</v>
      </c>
      <c r="V63" s="68">
        <f>(M63+N63-O63)*(1+Assumptions!$D$17)-(P63+Q63)*(1+Assumptions!$D$17)^0.5-R63-T63</f>
        <v>49639554.942340516</v>
      </c>
      <c r="W63" s="68"/>
      <c r="X63" s="68">
        <f>IF(AND(H63=1,D63&lt;15),Assumptions!$D$10*N63+Assumptions!$D$11*(1+Assumptions!$D$16)^(B63-1)*$I$7,0)</f>
        <v>0</v>
      </c>
      <c r="Y63" s="66">
        <f>Assumptions!$C$13*N63</f>
        <v>0</v>
      </c>
      <c r="Z63" s="66">
        <f>NPV(Assumptions!$D$19,N63:$N$259)*(1+Assumptions!$D$19)</f>
        <v>59863887.347173654</v>
      </c>
      <c r="AA63" s="69">
        <f t="shared" si="9"/>
        <v>551699.18314576696</v>
      </c>
      <c r="AC63" s="68">
        <f t="shared" si="10"/>
        <v>49639554.942340516</v>
      </c>
      <c r="AD63" s="68"/>
      <c r="AE63" s="68"/>
      <c r="AF63" s="68"/>
      <c r="AG63" s="68"/>
      <c r="AH63" s="68"/>
      <c r="AI63" s="68"/>
      <c r="AK63" s="68"/>
      <c r="AL63" s="71">
        <f t="shared" si="4"/>
        <v>0</v>
      </c>
    </row>
    <row r="64" spans="2:38" x14ac:dyDescent="0.2">
      <c r="B64" s="5">
        <f t="shared" si="0"/>
        <v>57</v>
      </c>
      <c r="C64" s="5">
        <f t="shared" si="1"/>
        <v>57</v>
      </c>
      <c r="D64" s="5">
        <f t="shared" si="2"/>
        <v>4</v>
      </c>
      <c r="E64" s="5">
        <f t="shared" si="3"/>
        <v>50</v>
      </c>
      <c r="F64" s="65">
        <f>1-(1-VLOOKUP($E64,'Annual Mortality Rates'!$B$5:$C$105,2,FALSE))^(1/12)</f>
        <v>1.184104185535384E-4</v>
      </c>
      <c r="G64" s="76">
        <f>IF(D64+1&gt;Assumptions!$H$9,100%,1-(1-IF(D64&gt;=7,2%,VLOOKUP($D64,'Annual Lapse Rates'!$B$4:$C$14,2,FALSE)))^(1/12))</f>
        <v>4.2653187775606449E-3</v>
      </c>
      <c r="H64" s="82">
        <f t="shared" si="11"/>
        <v>9</v>
      </c>
      <c r="I64" s="66">
        <f t="shared" si="5"/>
        <v>3463.528820733351</v>
      </c>
      <c r="J64" s="67">
        <f t="shared" si="6"/>
        <v>0.41192365910627377</v>
      </c>
      <c r="K64" s="67">
        <f t="shared" si="7"/>
        <v>14.838100731086186</v>
      </c>
      <c r="M64" s="68">
        <f t="shared" si="12"/>
        <v>49639554.942340516</v>
      </c>
      <c r="N64" s="68">
        <f>IF(AND(H64=1,D64&lt;15),Assumptions!$H$4*I63,0)</f>
        <v>0</v>
      </c>
      <c r="O64" s="68"/>
      <c r="P64" s="91">
        <f>$M64*(1+VLOOKUP($H64,Assumptions!$C$22:$D$33,2,FALSE))*F64</f>
        <v>6043.1547409645464</v>
      </c>
      <c r="Q64" s="91">
        <f>$M64*(1+VLOOKUP($H64,Assumptions!$C$22:$D$33,2,FALSE))*G64</f>
        <v>217683.39059359286</v>
      </c>
      <c r="R64" s="68">
        <f>IF(AND(H64=12,D64&lt;15),Assumptions!$C$7*M64,0)</f>
        <v>0</v>
      </c>
      <c r="S64" s="69">
        <f>M64*Assumptions!$D$17</f>
        <v>202237.69140030866</v>
      </c>
      <c r="T64" s="69">
        <f t="shared" si="8"/>
        <v>0</v>
      </c>
      <c r="U64" s="68">
        <f>T64+AE64*(1+Assumptions!$D$17)</f>
        <v>0</v>
      </c>
      <c r="V64" s="68">
        <f>(M64+N64-O64)*(1+Assumptions!$D$17)-(P64+Q64)*(1+Assumptions!$D$17)^0.5-R64-T64</f>
        <v>49617610.806833595</v>
      </c>
      <c r="W64" s="68"/>
      <c r="X64" s="68">
        <f>IF(AND(H64=1,D64&lt;15),Assumptions!$D$10*N64+Assumptions!$D$11*(1+Assumptions!$D$16)^(B64-1)*$I$7,0)</f>
        <v>0</v>
      </c>
      <c r="Y64" s="66">
        <f>Assumptions!$C$13*N64</f>
        <v>0</v>
      </c>
      <c r="Z64" s="66">
        <f>NPV(Assumptions!$D$19,N64:$N$259)*(1+Assumptions!$D$19)</f>
        <v>60120883.274535939</v>
      </c>
      <c r="AA64" s="69">
        <f t="shared" si="9"/>
        <v>554067.63012575149</v>
      </c>
      <c r="AC64" s="68">
        <f t="shared" si="10"/>
        <v>49617610.806833595</v>
      </c>
      <c r="AD64" s="68"/>
      <c r="AE64" s="68"/>
      <c r="AF64" s="68"/>
      <c r="AG64" s="68"/>
      <c r="AH64" s="68"/>
      <c r="AI64" s="68"/>
      <c r="AK64" s="68"/>
      <c r="AL64" s="71">
        <f t="shared" si="4"/>
        <v>0</v>
      </c>
    </row>
    <row r="65" spans="2:38" x14ac:dyDescent="0.2">
      <c r="B65" s="5">
        <f t="shared" si="0"/>
        <v>58</v>
      </c>
      <c r="C65" s="5">
        <f t="shared" si="1"/>
        <v>58</v>
      </c>
      <c r="D65" s="5">
        <f t="shared" si="2"/>
        <v>4</v>
      </c>
      <c r="E65" s="5">
        <f t="shared" si="3"/>
        <v>50</v>
      </c>
      <c r="F65" s="65">
        <f>1-(1-VLOOKUP($E65,'Annual Mortality Rates'!$B$5:$C$105,2,FALSE))^(1/12)</f>
        <v>1.184104185535384E-4</v>
      </c>
      <c r="G65" s="76">
        <f>IF(D65+1&gt;Assumptions!$H$9,100%,1-(1-IF(D65&gt;=7,2%,VLOOKUP($D65,'Annual Lapse Rates'!$B$4:$C$14,2,FALSE)))^(1/12))</f>
        <v>4.2653187775606449E-3</v>
      </c>
      <c r="H65" s="82">
        <f t="shared" si="11"/>
        <v>10</v>
      </c>
      <c r="I65" s="66">
        <f t="shared" si="5"/>
        <v>3448.3456483203195</v>
      </c>
      <c r="J65" s="67">
        <f t="shared" si="6"/>
        <v>0.41011789733527937</v>
      </c>
      <c r="K65" s="67">
        <f t="shared" si="7"/>
        <v>14.773054515696439</v>
      </c>
      <c r="M65" s="68">
        <f t="shared" si="12"/>
        <v>49617610.806833595</v>
      </c>
      <c r="N65" s="68">
        <f>IF(AND(H65=1,D65&lt;15),Assumptions!$H$4*I64,0)</f>
        <v>0</v>
      </c>
      <c r="O65" s="68"/>
      <c r="P65" s="91">
        <f>$M65*(1+VLOOKUP($H65,Assumptions!$C$22:$D$33,2,FALSE))*F65</f>
        <v>6058.8433777407272</v>
      </c>
      <c r="Q65" s="91">
        <f>$M65*(1+VLOOKUP($H65,Assumptions!$C$22:$D$33,2,FALSE))*G65</f>
        <v>218248.5185430859</v>
      </c>
      <c r="R65" s="68">
        <f>IF(AND(H65=12,D65&lt;15),Assumptions!$C$7*M65,0)</f>
        <v>0</v>
      </c>
      <c r="S65" s="69">
        <f>M65*Assumptions!$D$17</f>
        <v>202148.28827592832</v>
      </c>
      <c r="T65" s="69">
        <f t="shared" si="8"/>
        <v>0</v>
      </c>
      <c r="U65" s="68">
        <f>T65+AE65*(1+Assumptions!$D$17)</f>
        <v>0</v>
      </c>
      <c r="V65" s="68">
        <f>(M65+N65-O65)*(1+Assumptions!$D$17)-(P65+Q65)*(1+Assumptions!$D$17)^0.5-R65-T65</f>
        <v>49594995.269659325</v>
      </c>
      <c r="W65" s="68"/>
      <c r="X65" s="68">
        <f>IF(AND(H65=1,D65&lt;15),Assumptions!$D$10*N65+Assumptions!$D$11*(1+Assumptions!$D$16)^(B65-1)*$I$7,0)</f>
        <v>0</v>
      </c>
      <c r="Y65" s="66">
        <f>Assumptions!$C$13*N65</f>
        <v>0</v>
      </c>
      <c r="Z65" s="66">
        <f>NPV(Assumptions!$D$19,N65:$N$259)*(1+Assumptions!$D$19)</f>
        <v>60378982.486526176</v>
      </c>
      <c r="AA65" s="69">
        <f t="shared" si="9"/>
        <v>556446.24485886737</v>
      </c>
      <c r="AC65" s="68">
        <f t="shared" si="10"/>
        <v>49594995.269659325</v>
      </c>
      <c r="AD65" s="68"/>
      <c r="AE65" s="68"/>
      <c r="AF65" s="68"/>
      <c r="AG65" s="68"/>
      <c r="AH65" s="68"/>
      <c r="AI65" s="68"/>
      <c r="AK65" s="68"/>
      <c r="AL65" s="71">
        <f t="shared" si="4"/>
        <v>0</v>
      </c>
    </row>
    <row r="66" spans="2:38" x14ac:dyDescent="0.2">
      <c r="B66" s="5">
        <f t="shared" si="0"/>
        <v>59</v>
      </c>
      <c r="C66" s="5">
        <f t="shared" si="1"/>
        <v>59</v>
      </c>
      <c r="D66" s="5">
        <f t="shared" si="2"/>
        <v>4</v>
      </c>
      <c r="E66" s="5">
        <f t="shared" si="3"/>
        <v>50</v>
      </c>
      <c r="F66" s="65">
        <f>1-(1-VLOOKUP($E66,'Annual Mortality Rates'!$B$5:$C$105,2,FALSE))^(1/12)</f>
        <v>1.184104185535384E-4</v>
      </c>
      <c r="G66" s="76">
        <f>IF(D66+1&gt;Assumptions!$H$9,100%,1-(1-IF(D66&gt;=7,2%,VLOOKUP($D66,'Annual Lapse Rates'!$B$4:$C$14,2,FALSE)))^(1/12))</f>
        <v>4.2653187775606449E-3</v>
      </c>
      <c r="H66" s="82">
        <f t="shared" si="11"/>
        <v>11</v>
      </c>
      <c r="I66" s="66">
        <f t="shared" si="5"/>
        <v>3433.2290348234847</v>
      </c>
      <c r="J66" s="67">
        <f t="shared" si="6"/>
        <v>0.40832005153488177</v>
      </c>
      <c r="K66" s="67">
        <f t="shared" si="7"/>
        <v>14.708293445300194</v>
      </c>
      <c r="M66" s="68">
        <f t="shared" si="12"/>
        <v>49594995.269659325</v>
      </c>
      <c r="N66" s="68">
        <f>IF(AND(H66=1,D66&lt;15),Assumptions!$H$4*I65,0)</f>
        <v>0</v>
      </c>
      <c r="O66" s="68"/>
      <c r="P66" s="91">
        <f>$M66*(1+VLOOKUP($H66,Assumptions!$C$22:$D$33,2,FALSE))*F66</f>
        <v>6074.4335406300315</v>
      </c>
      <c r="Q66" s="91">
        <f>$M66*(1+VLOOKUP($H66,Assumptions!$C$22:$D$33,2,FALSE))*G66</f>
        <v>218810.09931722117</v>
      </c>
      <c r="R66" s="68">
        <f>IF(AND(H66=12,D66&lt;15),Assumptions!$C$7*M66,0)</f>
        <v>0</v>
      </c>
      <c r="S66" s="69">
        <f>M66*Assumptions!$D$17</f>
        <v>202056.14977804665</v>
      </c>
      <c r="T66" s="69">
        <f t="shared" si="8"/>
        <v>0</v>
      </c>
      <c r="U66" s="68">
        <f>T66+AE66*(1+Assumptions!$D$17)</f>
        <v>0</v>
      </c>
      <c r="V66" s="68">
        <f>(M66+N66-O66)*(1+Assumptions!$D$17)-(P66+Q66)*(1+Assumptions!$D$17)^0.5-R66-T66</f>
        <v>49571709.24851232</v>
      </c>
      <c r="W66" s="68"/>
      <c r="X66" s="68">
        <f>IF(AND(H66=1,D66&lt;15),Assumptions!$D$10*N66+Assumptions!$D$11*(1+Assumptions!$D$16)^(B66-1)*$I$7,0)</f>
        <v>0</v>
      </c>
      <c r="Y66" s="66">
        <f>Assumptions!$C$13*N66</f>
        <v>0</v>
      </c>
      <c r="Z66" s="66">
        <f>NPV(Assumptions!$D$19,N66:$N$259)*(1+Assumptions!$D$19)</f>
        <v>60638189.719550058</v>
      </c>
      <c r="AA66" s="69">
        <f t="shared" si="9"/>
        <v>558835.07099532289</v>
      </c>
      <c r="AC66" s="68">
        <f t="shared" si="10"/>
        <v>49571709.24851232</v>
      </c>
      <c r="AD66" s="68"/>
      <c r="AE66" s="68"/>
      <c r="AF66" s="68"/>
      <c r="AG66" s="68"/>
      <c r="AH66" s="68"/>
      <c r="AI66" s="68"/>
      <c r="AK66" s="68"/>
      <c r="AL66" s="71">
        <f t="shared" si="4"/>
        <v>0</v>
      </c>
    </row>
    <row r="67" spans="2:38" x14ac:dyDescent="0.2">
      <c r="B67" s="5">
        <f t="shared" si="0"/>
        <v>60</v>
      </c>
      <c r="C67" s="5">
        <f t="shared" si="1"/>
        <v>60</v>
      </c>
      <c r="D67" s="5">
        <f t="shared" si="2"/>
        <v>4</v>
      </c>
      <c r="E67" s="5">
        <f t="shared" si="3"/>
        <v>50</v>
      </c>
      <c r="F67" s="65">
        <f>1-(1-VLOOKUP($E67,'Annual Mortality Rates'!$B$5:$C$105,2,FALSE))^(1/12)</f>
        <v>1.184104185535384E-4</v>
      </c>
      <c r="G67" s="76">
        <f>IF(D67+1&gt;Assumptions!$H$9,100%,1-(1-IF(D67&gt;=7,2%,VLOOKUP($D67,'Annual Lapse Rates'!$B$4:$C$14,2,FALSE)))^(1/12))</f>
        <v>4.2653187775606449E-3</v>
      </c>
      <c r="H67" s="82">
        <f t="shared" si="11"/>
        <v>12</v>
      </c>
      <c r="I67" s="66">
        <f t="shared" si="5"/>
        <v>3418.1786884665817</v>
      </c>
      <c r="J67" s="67">
        <f t="shared" si="6"/>
        <v>0.40653008700360949</v>
      </c>
      <c r="K67" s="67">
        <f t="shared" si="7"/>
        <v>14.643816269899018</v>
      </c>
      <c r="M67" s="68">
        <f t="shared" si="12"/>
        <v>49571709.24851232</v>
      </c>
      <c r="N67" s="68">
        <f>IF(AND(H67=1,D67&lt;15),Assumptions!$H$4*I66,0)</f>
        <v>0</v>
      </c>
      <c r="O67" s="68"/>
      <c r="P67" s="91">
        <f>$M67*(1+VLOOKUP($H67,Assumptions!$C$22:$D$33,2,FALSE))*F67</f>
        <v>6089.9245970505544</v>
      </c>
      <c r="Q67" s="91">
        <f>$M67*(1+VLOOKUP($H67,Assumptions!$C$22:$D$33,2,FALSE))*G67</f>
        <v>219368.1101294609</v>
      </c>
      <c r="R67" s="68">
        <f>IF(AND(H67=12,D67&lt;15),Assumptions!$C$7*M67,0)</f>
        <v>24785.854624256161</v>
      </c>
      <c r="S67" s="69">
        <f>M67*Assumptions!$D$17</f>
        <v>201961.27964546508</v>
      </c>
      <c r="T67" s="69">
        <f t="shared" si="8"/>
        <v>0</v>
      </c>
      <c r="U67" s="68">
        <f>T67+AE67*(1+Assumptions!$D$17)</f>
        <v>0</v>
      </c>
      <c r="V67" s="68">
        <f>(M67+N67-O67)*(1+Assumptions!$D$17)-(P67+Q67)*(1+Assumptions!$D$17)^0.5-R67-T67</f>
        <v>49522967.8336685</v>
      </c>
      <c r="W67" s="68"/>
      <c r="X67" s="68">
        <f>IF(AND(H67=1,D67&lt;15),Assumptions!$D$10*N67+Assumptions!$D$11*(1+Assumptions!$D$16)^(B67-1)*$I$7,0)</f>
        <v>0</v>
      </c>
      <c r="Y67" s="66">
        <f>Assumptions!$C$13*N67</f>
        <v>0</v>
      </c>
      <c r="Z67" s="66">
        <f>NPV(Assumptions!$D$19,N67:$N$259)*(1+Assumptions!$D$19)</f>
        <v>60898509.730346702</v>
      </c>
      <c r="AA67" s="69">
        <f t="shared" si="9"/>
        <v>561234.15237271658</v>
      </c>
      <c r="AC67" s="68">
        <f t="shared" si="10"/>
        <v>49522967.8336685</v>
      </c>
      <c r="AD67" s="68"/>
      <c r="AE67" s="68"/>
      <c r="AF67" s="68"/>
      <c r="AG67" s="68"/>
      <c r="AH67" s="68"/>
      <c r="AI67" s="68"/>
      <c r="AK67" s="68"/>
      <c r="AL67" s="71">
        <f t="shared" si="4"/>
        <v>0</v>
      </c>
    </row>
    <row r="68" spans="2:38" x14ac:dyDescent="0.2">
      <c r="B68" s="5">
        <f t="shared" si="0"/>
        <v>61</v>
      </c>
      <c r="C68" s="5">
        <f t="shared" si="1"/>
        <v>61</v>
      </c>
      <c r="D68" s="5">
        <f t="shared" si="2"/>
        <v>5</v>
      </c>
      <c r="E68" s="5">
        <f t="shared" si="3"/>
        <v>51</v>
      </c>
      <c r="F68" s="65">
        <f>1-(1-VLOOKUP($E68,'Annual Mortality Rates'!$B$5:$C$105,2,FALSE))^(1/12)</f>
        <v>1.3009304274569367E-4</v>
      </c>
      <c r="G68" s="76">
        <f>IF(D68+1&gt;Assumptions!$H$9,100%,1-(1-IF(D68&gt;=7,2%,VLOOKUP($D68,'Annual Lapse Rates'!$B$4:$C$14,2,FALSE)))^(1/12))</f>
        <v>3.3960531989175591E-3</v>
      </c>
      <c r="H68" s="82">
        <f t="shared" si="11"/>
        <v>1</v>
      </c>
      <c r="I68" s="66">
        <f t="shared" si="5"/>
        <v>3406.1256905309115</v>
      </c>
      <c r="J68" s="67">
        <f t="shared" si="6"/>
        <v>0.4446812662311021</v>
      </c>
      <c r="K68" s="67">
        <f t="shared" si="7"/>
        <v>11.608316669438761</v>
      </c>
      <c r="M68" s="68">
        <f t="shared" si="12"/>
        <v>49522967.8336685</v>
      </c>
      <c r="N68" s="68">
        <f>IF(AND(H68=1,D68&lt;15),Assumptions!$H$4*I67,0)</f>
        <v>8545446.7211664543</v>
      </c>
      <c r="O68" s="68"/>
      <c r="P68" s="91">
        <f>$M68*(1+VLOOKUP($H68,Assumptions!$C$22:$D$33,2,FALSE))*F68</f>
        <v>6462.7266761892961</v>
      </c>
      <c r="Q68" s="91">
        <f>$M68*(1+VLOOKUP($H68,Assumptions!$C$22:$D$33,2,FALSE))*G68</f>
        <v>168708.20406058198</v>
      </c>
      <c r="R68" s="68">
        <f>IF(AND(H68=12,D68&lt;15),Assumptions!$C$7*M68,0)</f>
        <v>0</v>
      </c>
      <c r="S68" s="69">
        <f>M68*Assumptions!$D$17</f>
        <v>201762.70108800122</v>
      </c>
      <c r="T68" s="69">
        <f t="shared" si="8"/>
        <v>0</v>
      </c>
      <c r="U68" s="68">
        <f>T68+AE68*(1+Assumptions!$D$17)</f>
        <v>0</v>
      </c>
      <c r="V68" s="68">
        <f>(M68+N68-O68)*(1+Assumptions!$D$17)-(P68+Q68)*(1+Assumptions!$D$17)^0.5-R68-T68</f>
        <v>58129465.061595246</v>
      </c>
      <c r="W68" s="68"/>
      <c r="X68" s="68">
        <f>IF(AND(H68=1,D68&lt;15),Assumptions!$D$10*N68+Assumptions!$D$11*(1+Assumptions!$D$16)^(B68-1)*$I$7,0)</f>
        <v>78609.859709832352</v>
      </c>
      <c r="Y68" s="66">
        <f>Assumptions!$C$13*N68</f>
        <v>42727.233605832269</v>
      </c>
      <c r="Z68" s="66">
        <f>NPV(Assumptions!$D$19,N68:$N$259)*(1+Assumptions!$D$19)</f>
        <v>61159947.296075866</v>
      </c>
      <c r="AA68" s="69">
        <f t="shared" si="9"/>
        <v>484889.60999908159</v>
      </c>
      <c r="AC68" s="68">
        <f t="shared" si="10"/>
        <v>58129465.061595246</v>
      </c>
      <c r="AD68" s="68"/>
      <c r="AE68" s="68"/>
      <c r="AF68" s="68"/>
      <c r="AG68" s="68"/>
      <c r="AH68" s="68"/>
      <c r="AI68" s="68"/>
      <c r="AK68" s="68"/>
      <c r="AL68" s="71">
        <f t="shared" si="4"/>
        <v>0</v>
      </c>
    </row>
    <row r="69" spans="2:38" x14ac:dyDescent="0.2">
      <c r="B69" s="5">
        <f t="shared" si="0"/>
        <v>62</v>
      </c>
      <c r="C69" s="5">
        <f t="shared" si="1"/>
        <v>62</v>
      </c>
      <c r="D69" s="5">
        <f t="shared" si="2"/>
        <v>5</v>
      </c>
      <c r="E69" s="5">
        <f t="shared" si="3"/>
        <v>51</v>
      </c>
      <c r="F69" s="65">
        <f>1-(1-VLOOKUP($E69,'Annual Mortality Rates'!$B$5:$C$105,2,FALSE))^(1/12)</f>
        <v>1.3009304274569367E-4</v>
      </c>
      <c r="G69" s="76">
        <f>IF(D69+1&gt;Assumptions!$H$9,100%,1-(1-IF(D69&gt;=7,2%,VLOOKUP($D69,'Annual Lapse Rates'!$B$4:$C$14,2,FALSE)))^(1/12))</f>
        <v>3.3960531989175591E-3</v>
      </c>
      <c r="H69" s="82">
        <f t="shared" si="11"/>
        <v>2</v>
      </c>
      <c r="I69" s="66">
        <f t="shared" si="5"/>
        <v>3394.1151932286134</v>
      </c>
      <c r="J69" s="67">
        <f t="shared" si="6"/>
        <v>0.44311325505544324</v>
      </c>
      <c r="K69" s="67">
        <f t="shared" si="7"/>
        <v>11.567384047242781</v>
      </c>
      <c r="M69" s="68">
        <f t="shared" si="12"/>
        <v>58129465.061595246</v>
      </c>
      <c r="N69" s="68">
        <f>IF(AND(H69=1,D69&lt;15),Assumptions!$H$4*I68,0)</f>
        <v>0</v>
      </c>
      <c r="O69" s="68"/>
      <c r="P69" s="91">
        <f>$M69*(1+VLOOKUP($H69,Assumptions!$C$22:$D$33,2,FALSE))*F69</f>
        <v>7609.5029766864327</v>
      </c>
      <c r="Q69" s="91">
        <f>$M69*(1+VLOOKUP($H69,Assumptions!$C$22:$D$33,2,FALSE))*G69</f>
        <v>198644.57299738328</v>
      </c>
      <c r="R69" s="68">
        <f>IF(AND(H69=12,D69&lt;15),Assumptions!$C$7*M69,0)</f>
        <v>0</v>
      </c>
      <c r="S69" s="69">
        <f>M69*Assumptions!$D$17</f>
        <v>236826.6361382012</v>
      </c>
      <c r="T69" s="69">
        <f t="shared" si="8"/>
        <v>0</v>
      </c>
      <c r="U69" s="68">
        <f>T69+AE69*(1+Assumptions!$D$17)</f>
        <v>0</v>
      </c>
      <c r="V69" s="68">
        <f>(M69+N69-O69)*(1+Assumptions!$D$17)-(P69+Q69)*(1+Assumptions!$D$17)^0.5-R69-T69</f>
        <v>58159617.896509789</v>
      </c>
      <c r="W69" s="68"/>
      <c r="X69" s="68">
        <f>IF(AND(H69=1,D69&lt;15),Assumptions!$D$10*N69+Assumptions!$D$11*(1+Assumptions!$D$16)^(B69-1)*$I$7,0)</f>
        <v>0</v>
      </c>
      <c r="Y69" s="66">
        <f>Assumptions!$C$13*N69</f>
        <v>0</v>
      </c>
      <c r="Z69" s="66">
        <f>NPV(Assumptions!$D$19,N69:$N$259)*(1+Assumptions!$D$19)</f>
        <v>52840374.853496313</v>
      </c>
      <c r="AA69" s="69">
        <f t="shared" si="9"/>
        <v>486971.24319251842</v>
      </c>
      <c r="AC69" s="68">
        <f t="shared" si="10"/>
        <v>58159617.896509789</v>
      </c>
      <c r="AD69" s="68"/>
      <c r="AE69" s="68"/>
      <c r="AF69" s="68"/>
      <c r="AG69" s="68"/>
      <c r="AH69" s="68"/>
      <c r="AI69" s="68"/>
      <c r="AK69" s="68"/>
      <c r="AL69" s="71">
        <f t="shared" si="4"/>
        <v>0</v>
      </c>
    </row>
    <row r="70" spans="2:38" x14ac:dyDescent="0.2">
      <c r="B70" s="5">
        <f t="shared" si="0"/>
        <v>63</v>
      </c>
      <c r="C70" s="5">
        <f t="shared" si="1"/>
        <v>63</v>
      </c>
      <c r="D70" s="5">
        <f t="shared" si="2"/>
        <v>5</v>
      </c>
      <c r="E70" s="5">
        <f t="shared" si="3"/>
        <v>51</v>
      </c>
      <c r="F70" s="65">
        <f>1-(1-VLOOKUP($E70,'Annual Mortality Rates'!$B$5:$C$105,2,FALSE))^(1/12)</f>
        <v>1.3009304274569367E-4</v>
      </c>
      <c r="G70" s="76">
        <f>IF(D70+1&gt;Assumptions!$H$9,100%,1-(1-IF(D70&gt;=7,2%,VLOOKUP($D70,'Annual Lapse Rates'!$B$4:$C$14,2,FALSE)))^(1/12))</f>
        <v>3.3960531989175591E-3</v>
      </c>
      <c r="H70" s="82">
        <f t="shared" si="11"/>
        <v>3</v>
      </c>
      <c r="I70" s="66">
        <f t="shared" si="5"/>
        <v>3382.1470466962382</v>
      </c>
      <c r="J70" s="67">
        <f t="shared" si="6"/>
        <v>0.4415507729164983</v>
      </c>
      <c r="K70" s="67">
        <f t="shared" si="7"/>
        <v>11.526595759458722</v>
      </c>
      <c r="M70" s="68">
        <f t="shared" si="12"/>
        <v>58159617.896509789</v>
      </c>
      <c r="N70" s="68">
        <f>IF(AND(H70=1,D70&lt;15),Assumptions!$H$4*I69,0)</f>
        <v>0</v>
      </c>
      <c r="O70" s="68"/>
      <c r="P70" s="91">
        <f>$M70*(1+VLOOKUP($H70,Assumptions!$C$22:$D$33,2,FALSE))*F70</f>
        <v>7637.0944226190186</v>
      </c>
      <c r="Q70" s="91">
        <f>$M70*(1+VLOOKUP($H70,Assumptions!$C$22:$D$33,2,FALSE))*G70</f>
        <v>199364.84224656434</v>
      </c>
      <c r="R70" s="68">
        <f>IF(AND(H70=12,D70&lt;15),Assumptions!$C$7*M70,0)</f>
        <v>0</v>
      </c>
      <c r="S70" s="69">
        <f>M70*Assumptions!$D$17</f>
        <v>236949.48252007095</v>
      </c>
      <c r="T70" s="69">
        <f t="shared" si="8"/>
        <v>0</v>
      </c>
      <c r="U70" s="68">
        <f>T70+AE70*(1+Assumptions!$D$17)</f>
        <v>0</v>
      </c>
      <c r="V70" s="68">
        <f>(M70+N70-O70)*(1+Assumptions!$D$17)-(P70+Q70)*(1+Assumptions!$D$17)^0.5-R70-T70</f>
        <v>58189144.195221089</v>
      </c>
      <c r="W70" s="68"/>
      <c r="X70" s="68">
        <f>IF(AND(H70=1,D70&lt;15),Assumptions!$D$10*N70+Assumptions!$D$11*(1+Assumptions!$D$16)^(B70-1)*$I$7,0)</f>
        <v>0</v>
      </c>
      <c r="Y70" s="66">
        <f>Assumptions!$C$13*N70</f>
        <v>0</v>
      </c>
      <c r="Z70" s="66">
        <f>NPV(Assumptions!$D$19,N70:$N$259)*(1+Assumptions!$D$19)</f>
        <v>53067218.811338373</v>
      </c>
      <c r="AA70" s="69">
        <f t="shared" si="9"/>
        <v>489061.8128462602</v>
      </c>
      <c r="AC70" s="68">
        <f t="shared" si="10"/>
        <v>58189144.195221089</v>
      </c>
      <c r="AD70" s="68"/>
      <c r="AE70" s="68"/>
      <c r="AF70" s="68"/>
      <c r="AG70" s="68"/>
      <c r="AH70" s="68"/>
      <c r="AI70" s="68"/>
      <c r="AK70" s="68"/>
      <c r="AL70" s="71">
        <f t="shared" si="4"/>
        <v>0</v>
      </c>
    </row>
    <row r="71" spans="2:38" x14ac:dyDescent="0.2">
      <c r="B71" s="5">
        <f t="shared" si="0"/>
        <v>64</v>
      </c>
      <c r="C71" s="5">
        <f t="shared" si="1"/>
        <v>64</v>
      </c>
      <c r="D71" s="5">
        <f t="shared" si="2"/>
        <v>5</v>
      </c>
      <c r="E71" s="5">
        <f t="shared" si="3"/>
        <v>51</v>
      </c>
      <c r="F71" s="65">
        <f>1-(1-VLOOKUP($E71,'Annual Mortality Rates'!$B$5:$C$105,2,FALSE))^(1/12)</f>
        <v>1.3009304274569367E-4</v>
      </c>
      <c r="G71" s="76">
        <f>IF(D71+1&gt;Assumptions!$H$9,100%,1-(1-IF(D71&gt;=7,2%,VLOOKUP($D71,'Annual Lapse Rates'!$B$4:$C$14,2,FALSE)))^(1/12))</f>
        <v>3.3960531989175591E-3</v>
      </c>
      <c r="H71" s="82">
        <f t="shared" si="11"/>
        <v>4</v>
      </c>
      <c r="I71" s="66">
        <f t="shared" si="5"/>
        <v>3370.2211015987778</v>
      </c>
      <c r="J71" s="67">
        <f t="shared" si="6"/>
        <v>0.43999380031807533</v>
      </c>
      <c r="K71" s="67">
        <f t="shared" si="7"/>
        <v>11.485951297142336</v>
      </c>
      <c r="M71" s="68">
        <f t="shared" si="12"/>
        <v>58189144.195221089</v>
      </c>
      <c r="N71" s="68">
        <f>IF(AND(H71=1,D71&lt;15),Assumptions!$H$4*I70,0)</f>
        <v>0</v>
      </c>
      <c r="O71" s="68"/>
      <c r="P71" s="91">
        <f>$M71*(1+VLOOKUP($H71,Assumptions!$C$22:$D$33,2,FALSE))*F71</f>
        <v>7664.6278584132824</v>
      </c>
      <c r="Q71" s="91">
        <f>$M71*(1+VLOOKUP($H71,Assumptions!$C$22:$D$33,2,FALSE))*G71</f>
        <v>200083.59715253639</v>
      </c>
      <c r="R71" s="68">
        <f>IF(AND(H71=12,D71&lt;15),Assumptions!$C$7*M71,0)</f>
        <v>0</v>
      </c>
      <c r="S71" s="69">
        <f>M71*Assumptions!$D$17</f>
        <v>237069.77631589377</v>
      </c>
      <c r="T71" s="69">
        <f t="shared" si="8"/>
        <v>0</v>
      </c>
      <c r="U71" s="68">
        <f>T71+AE71*(1+Assumptions!$D$17)</f>
        <v>0</v>
      </c>
      <c r="V71" s="68">
        <f>(M71+N71-O71)*(1+Assumptions!$D$17)-(P71+Q71)*(1+Assumptions!$D$17)^0.5-R71-T71</f>
        <v>58218042.980696157</v>
      </c>
      <c r="W71" s="68"/>
      <c r="X71" s="68">
        <f>IF(AND(H71=1,D71&lt;15),Assumptions!$D$10*N71+Assumptions!$D$11*(1+Assumptions!$D$16)^(B71-1)*$I$7,0)</f>
        <v>0</v>
      </c>
      <c r="Y71" s="66">
        <f>Assumptions!$C$13*N71</f>
        <v>0</v>
      </c>
      <c r="Z71" s="66">
        <f>NPV(Assumptions!$D$19,N71:$N$259)*(1+Assumptions!$D$19)</f>
        <v>53295036.611272812</v>
      </c>
      <c r="AA71" s="69">
        <f t="shared" si="9"/>
        <v>491161.35732456954</v>
      </c>
      <c r="AC71" s="68">
        <f t="shared" si="10"/>
        <v>58218042.980696157</v>
      </c>
      <c r="AD71" s="68"/>
      <c r="AE71" s="68"/>
      <c r="AF71" s="68"/>
      <c r="AG71" s="68"/>
      <c r="AH71" s="68"/>
      <c r="AI71" s="68"/>
      <c r="AK71" s="68"/>
      <c r="AL71" s="71">
        <f t="shared" si="4"/>
        <v>0</v>
      </c>
    </row>
    <row r="72" spans="2:38" x14ac:dyDescent="0.2">
      <c r="B72" s="5">
        <f t="shared" ref="B72:B135" si="13">B71+1</f>
        <v>65</v>
      </c>
      <c r="C72" s="5">
        <f t="shared" ref="C72:C135" si="14">$C$4+B72</f>
        <v>65</v>
      </c>
      <c r="D72" s="5">
        <f t="shared" ref="D72:D135" si="15">ROUNDDOWN((C72-1)/12,0)</f>
        <v>5</v>
      </c>
      <c r="E72" s="5">
        <f t="shared" ref="E72:E135" si="16">ROUNDDOWN(($E$4+B72)/12,0)</f>
        <v>51</v>
      </c>
      <c r="F72" s="65">
        <f>1-(1-VLOOKUP($E72,'Annual Mortality Rates'!$B$5:$C$105,2,FALSE))^(1/12)</f>
        <v>1.3009304274569367E-4</v>
      </c>
      <c r="G72" s="76">
        <f>IF(D72+1&gt;Assumptions!$H$9,100%,1-(1-IF(D72&gt;=7,2%,VLOOKUP($D72,'Annual Lapse Rates'!$B$4:$C$14,2,FALSE)))^(1/12))</f>
        <v>3.3960531989175591E-3</v>
      </c>
      <c r="H72" s="82">
        <f t="shared" si="11"/>
        <v>5</v>
      </c>
      <c r="I72" s="66">
        <f t="shared" si="5"/>
        <v>3358.3372091278011</v>
      </c>
      <c r="J72" s="67">
        <f t="shared" si="6"/>
        <v>0.43844231783272858</v>
      </c>
      <c r="K72" s="67">
        <f t="shared" si="7"/>
        <v>11.445450153143989</v>
      </c>
      <c r="M72" s="68">
        <f t="shared" si="12"/>
        <v>58218042.980696157</v>
      </c>
      <c r="N72" s="68">
        <f>IF(AND(H72=1,D72&lt;15),Assumptions!$H$4*I71,0)</f>
        <v>0</v>
      </c>
      <c r="O72" s="68"/>
      <c r="P72" s="91">
        <f>$M72*(1+VLOOKUP($H72,Assumptions!$C$22:$D$33,2,FALSE))*F72</f>
        <v>7692.1023908404977</v>
      </c>
      <c r="Q72" s="91">
        <f>$M72*(1+VLOOKUP($H72,Assumptions!$C$22:$D$33,2,FALSE))*G72</f>
        <v>200800.81439773989</v>
      </c>
      <c r="R72" s="68">
        <f>IF(AND(H72=12,D72&lt;15),Assumptions!$C$7*M72,0)</f>
        <v>0</v>
      </c>
      <c r="S72" s="69">
        <f>M72*Assumptions!$D$17</f>
        <v>237187.51354511629</v>
      </c>
      <c r="T72" s="69">
        <f t="shared" si="8"/>
        <v>0</v>
      </c>
      <c r="U72" s="68">
        <f>T72+AE72*(1+Assumptions!$D$17)</f>
        <v>0</v>
      </c>
      <c r="V72" s="68">
        <f>(M72+N72-O72)*(1+Assumptions!$D$17)-(P72+Q72)*(1+Assumptions!$D$17)^0.5-R72-T72</f>
        <v>58246313.296181537</v>
      </c>
      <c r="W72" s="68"/>
      <c r="X72" s="68">
        <f>IF(AND(H72=1,D72&lt;15),Assumptions!$D$10*N72+Assumptions!$D$11*(1+Assumptions!$D$16)^(B72-1)*$I$7,0)</f>
        <v>0</v>
      </c>
      <c r="Y72" s="66">
        <f>Assumptions!$C$13*N72</f>
        <v>0</v>
      </c>
      <c r="Z72" s="66">
        <f>NPV(Assumptions!$D$19,N72:$N$259)*(1+Assumptions!$D$19)</f>
        <v>53523832.434007935</v>
      </c>
      <c r="AA72" s="69">
        <f t="shared" si="9"/>
        <v>493269.91515640734</v>
      </c>
      <c r="AC72" s="68">
        <f t="shared" si="10"/>
        <v>58246313.296181537</v>
      </c>
      <c r="AD72" s="68"/>
      <c r="AE72" s="68"/>
      <c r="AF72" s="68"/>
      <c r="AG72" s="68"/>
      <c r="AH72" s="68"/>
      <c r="AI72" s="68"/>
      <c r="AK72" s="68"/>
      <c r="AL72" s="71">
        <f t="shared" ref="AL72:AL135" si="17">ROUND(AK72-AG72,3)</f>
        <v>0</v>
      </c>
    </row>
    <row r="73" spans="2:38" x14ac:dyDescent="0.2">
      <c r="B73" s="5">
        <f t="shared" si="13"/>
        <v>66</v>
      </c>
      <c r="C73" s="5">
        <f t="shared" si="14"/>
        <v>66</v>
      </c>
      <c r="D73" s="5">
        <f t="shared" si="15"/>
        <v>5</v>
      </c>
      <c r="E73" s="5">
        <f t="shared" si="16"/>
        <v>51</v>
      </c>
      <c r="F73" s="65">
        <f>1-(1-VLOOKUP($E73,'Annual Mortality Rates'!$B$5:$C$105,2,FALSE))^(1/12)</f>
        <v>1.3009304274569367E-4</v>
      </c>
      <c r="G73" s="76">
        <f>IF(D73+1&gt;Assumptions!$H$9,100%,1-(1-IF(D73&gt;=7,2%,VLOOKUP($D73,'Annual Lapse Rates'!$B$4:$C$14,2,FALSE)))^(1/12))</f>
        <v>3.3960531989175591E-3</v>
      </c>
      <c r="H73" s="82">
        <f t="shared" si="11"/>
        <v>6</v>
      </c>
      <c r="I73" s="66">
        <f t="shared" ref="I73:I136" si="18">I72-J73-K73</f>
        <v>3346.4952209995972</v>
      </c>
      <c r="J73" s="67">
        <f t="shared" ref="J73:J136" si="19">$I72*F73</f>
        <v>0.43689630610151658</v>
      </c>
      <c r="K73" s="67">
        <f t="shared" ref="K73:K136" si="20">IF(G73=100%,I72-J73,$I72*G73)</f>
        <v>11.405091822102337</v>
      </c>
      <c r="M73" s="68">
        <f t="shared" si="12"/>
        <v>58246313.296181537</v>
      </c>
      <c r="N73" s="68">
        <f>IF(AND(H73=1,D73&lt;15),Assumptions!$H$4*I72,0)</f>
        <v>0</v>
      </c>
      <c r="O73" s="68"/>
      <c r="P73" s="91">
        <f>$M73*(1+VLOOKUP($H73,Assumptions!$C$22:$D$33,2,FALSE))*F73</f>
        <v>7719.5171277708205</v>
      </c>
      <c r="Q73" s="91">
        <f>$M73*(1+VLOOKUP($H73,Assumptions!$C$22:$D$33,2,FALSE))*G73</f>
        <v>201516.47069330141</v>
      </c>
      <c r="R73" s="68">
        <f>IF(AND(H73=12,D73&lt;15),Assumptions!$C$7*M73,0)</f>
        <v>0</v>
      </c>
      <c r="S73" s="69">
        <f>M73*Assumptions!$D$17</f>
        <v>237302.69030980652</v>
      </c>
      <c r="T73" s="69">
        <f t="shared" ref="T73:T136" si="21">(M73+S73)*(G73=100%)</f>
        <v>0</v>
      </c>
      <c r="U73" s="68">
        <f>T73+AE73*(1+Assumptions!$D$17)</f>
        <v>0</v>
      </c>
      <c r="V73" s="68">
        <f>(M73+N73-O73)*(1+Assumptions!$D$17)-(P73+Q73)*(1+Assumptions!$D$17)^0.5-R73-T73</f>
        <v>58273954.20525603</v>
      </c>
      <c r="W73" s="68"/>
      <c r="X73" s="68">
        <f>IF(AND(H73=1,D73&lt;15),Assumptions!$D$10*N73+Assumptions!$D$11*(1+Assumptions!$D$16)^(B73-1)*$I$7,0)</f>
        <v>0</v>
      </c>
      <c r="Y73" s="66">
        <f>Assumptions!$C$13*N73</f>
        <v>0</v>
      </c>
      <c r="Z73" s="66">
        <f>NPV(Assumptions!$D$19,N73:$N$259)*(1+Assumptions!$D$19)</f>
        <v>53753610.478199884</v>
      </c>
      <c r="AA73" s="69">
        <f t="shared" ref="AA73:AA136" si="22">Z74*$AA$4</f>
        <v>495387.52503613918</v>
      </c>
      <c r="AC73" s="68">
        <f t="shared" ref="AC73:AC136" si="23">V73</f>
        <v>58273954.20525603</v>
      </c>
      <c r="AD73" s="68"/>
      <c r="AE73" s="68"/>
      <c r="AF73" s="68"/>
      <c r="AG73" s="68"/>
      <c r="AH73" s="68"/>
      <c r="AI73" s="68"/>
      <c r="AK73" s="68"/>
      <c r="AL73" s="71">
        <f t="shared" si="17"/>
        <v>0</v>
      </c>
    </row>
    <row r="74" spans="2:38" x14ac:dyDescent="0.2">
      <c r="B74" s="5">
        <f t="shared" si="13"/>
        <v>67</v>
      </c>
      <c r="C74" s="5">
        <f t="shared" si="14"/>
        <v>67</v>
      </c>
      <c r="D74" s="5">
        <f t="shared" si="15"/>
        <v>5</v>
      </c>
      <c r="E74" s="5">
        <f t="shared" si="16"/>
        <v>51</v>
      </c>
      <c r="F74" s="65">
        <f>1-(1-VLOOKUP($E74,'Annual Mortality Rates'!$B$5:$C$105,2,FALSE))^(1/12)</f>
        <v>1.3009304274569367E-4</v>
      </c>
      <c r="G74" s="76">
        <f>IF(D74+1&gt;Assumptions!$H$9,100%,1-(1-IF(D74&gt;=7,2%,VLOOKUP($D74,'Annual Lapse Rates'!$B$4:$C$14,2,FALSE)))^(1/12))</f>
        <v>3.3960531989175591E-3</v>
      </c>
      <c r="H74" s="82">
        <f t="shared" ref="H74:H137" si="24">IF(H73=12,1,H73+1)</f>
        <v>7</v>
      </c>
      <c r="I74" s="66">
        <f t="shared" si="18"/>
        <v>3334.6949894533254</v>
      </c>
      <c r="J74" s="67">
        <f t="shared" si="19"/>
        <v>0.43535574583376019</v>
      </c>
      <c r="K74" s="67">
        <f t="shared" si="20"/>
        <v>11.364875800438005</v>
      </c>
      <c r="M74" s="68">
        <f t="shared" ref="M74:M137" si="25">V73</f>
        <v>58273954.20525603</v>
      </c>
      <c r="N74" s="68">
        <f>IF(AND(H74=1,D74&lt;15),Assumptions!$H$4*I73,0)</f>
        <v>0</v>
      </c>
      <c r="O74" s="68"/>
      <c r="P74" s="91">
        <f>$M74*(1+VLOOKUP($H74,Assumptions!$C$22:$D$33,2,FALSE))*F74</f>
        <v>7746.8711782215141</v>
      </c>
      <c r="Q74" s="91">
        <f>$M74*(1+VLOOKUP($H74,Assumptions!$C$22:$D$33,2,FALSE))*G74</f>
        <v>202230.54278029242</v>
      </c>
      <c r="R74" s="68">
        <f>IF(AND(H74=12,D74&lt;15),Assumptions!$C$7*M74,0)</f>
        <v>0</v>
      </c>
      <c r="S74" s="69">
        <f>M74*Assumptions!$D$17</f>
        <v>237415.30279486856</v>
      </c>
      <c r="T74" s="69">
        <f t="shared" si="21"/>
        <v>0</v>
      </c>
      <c r="U74" s="68">
        <f>T74+AE74*(1+Assumptions!$D$17)</f>
        <v>0</v>
      </c>
      <c r="V74" s="68">
        <f>(M74+N74-O74)*(1+Assumptions!$D$17)-(P74+Q74)*(1+Assumptions!$D$17)^0.5-R74-T74</f>
        <v>58300964.791882403</v>
      </c>
      <c r="W74" s="68"/>
      <c r="X74" s="68">
        <f>IF(AND(H74=1,D74&lt;15),Assumptions!$D$10*N74+Assumptions!$D$11*(1+Assumptions!$D$16)^(B74-1)*$I$7,0)</f>
        <v>0</v>
      </c>
      <c r="Y74" s="66">
        <f>Assumptions!$C$13*N74</f>
        <v>0</v>
      </c>
      <c r="Z74" s="66">
        <f>NPV(Assumptions!$D$19,N74:$N$259)*(1+Assumptions!$D$19)</f>
        <v>53984374.960529603</v>
      </c>
      <c r="AA74" s="69">
        <f t="shared" si="22"/>
        <v>497514.22582424583</v>
      </c>
      <c r="AC74" s="68">
        <f t="shared" si="23"/>
        <v>58300964.791882403</v>
      </c>
      <c r="AD74" s="68"/>
      <c r="AE74" s="68"/>
      <c r="AF74" s="68"/>
      <c r="AG74" s="68"/>
      <c r="AH74" s="68"/>
      <c r="AI74" s="68"/>
      <c r="AK74" s="68"/>
      <c r="AL74" s="71">
        <f t="shared" si="17"/>
        <v>0</v>
      </c>
    </row>
    <row r="75" spans="2:38" x14ac:dyDescent="0.2">
      <c r="B75" s="5">
        <f t="shared" si="13"/>
        <v>68</v>
      </c>
      <c r="C75" s="5">
        <f t="shared" si="14"/>
        <v>68</v>
      </c>
      <c r="D75" s="5">
        <f t="shared" si="15"/>
        <v>5</v>
      </c>
      <c r="E75" s="5">
        <f t="shared" si="16"/>
        <v>51</v>
      </c>
      <c r="F75" s="65">
        <f>1-(1-VLOOKUP($E75,'Annual Mortality Rates'!$B$5:$C$105,2,FALSE))^(1/12)</f>
        <v>1.3009304274569367E-4</v>
      </c>
      <c r="G75" s="76">
        <f>IF(D75+1&gt;Assumptions!$H$9,100%,1-(1-IF(D75&gt;=7,2%,VLOOKUP($D75,'Annual Lapse Rates'!$B$4:$C$14,2,FALSE)))^(1/12))</f>
        <v>3.3960531989175591E-3</v>
      </c>
      <c r="H75" s="82">
        <f t="shared" si="24"/>
        <v>8</v>
      </c>
      <c r="I75" s="66">
        <f t="shared" si="18"/>
        <v>3322.9363672491713</v>
      </c>
      <c r="J75" s="67">
        <f t="shared" si="19"/>
        <v>0.43382061780680198</v>
      </c>
      <c r="K75" s="67">
        <f t="shared" si="20"/>
        <v>11.324801586347322</v>
      </c>
      <c r="M75" s="68">
        <f t="shared" si="25"/>
        <v>58300964.791882403</v>
      </c>
      <c r="N75" s="68">
        <f>IF(AND(H75=1,D75&lt;15),Assumptions!$H$4*I74,0)</f>
        <v>0</v>
      </c>
      <c r="O75" s="68"/>
      <c r="P75" s="91">
        <f>$M75*(1+VLOOKUP($H75,Assumptions!$C$22:$D$33,2,FALSE))*F75</f>
        <v>7774.1636524051773</v>
      </c>
      <c r="Q75" s="91">
        <f>$M75*(1+VLOOKUP($H75,Assumptions!$C$22:$D$33,2,FALSE))*G75</f>
        <v>202943.00743098851</v>
      </c>
      <c r="R75" s="68">
        <f>IF(AND(H75=12,D75&lt;15),Assumptions!$C$7*M75,0)</f>
        <v>0</v>
      </c>
      <c r="S75" s="69">
        <f>M75*Assumptions!$D$17</f>
        <v>237525.34726825339</v>
      </c>
      <c r="T75" s="69">
        <f t="shared" si="21"/>
        <v>0</v>
      </c>
      <c r="U75" s="68">
        <f>T75+AE75*(1+Assumptions!$D$17)</f>
        <v>0</v>
      </c>
      <c r="V75" s="68">
        <f>(M75+N75-O75)*(1+Assumptions!$D$17)-(P75+Q75)*(1+Assumptions!$D$17)^0.5-R75-T75</f>
        <v>58327344.160457976</v>
      </c>
      <c r="W75" s="68"/>
      <c r="X75" s="68">
        <f>IF(AND(H75=1,D75&lt;15),Assumptions!$D$10*N75+Assumptions!$D$11*(1+Assumptions!$D$16)^(B75-1)*$I$7,0)</f>
        <v>0</v>
      </c>
      <c r="Y75" s="66">
        <f>Assumptions!$C$13*N75</f>
        <v>0</v>
      </c>
      <c r="Z75" s="66">
        <f>NPV(Assumptions!$D$19,N75:$N$259)*(1+Assumptions!$D$19)</f>
        <v>54216130.115780286</v>
      </c>
      <c r="AA75" s="69">
        <f t="shared" si="22"/>
        <v>499650.05654803623</v>
      </c>
      <c r="AC75" s="68">
        <f t="shared" si="23"/>
        <v>58327344.160457976</v>
      </c>
      <c r="AD75" s="68"/>
      <c r="AE75" s="68"/>
      <c r="AF75" s="68"/>
      <c r="AG75" s="68"/>
      <c r="AH75" s="68"/>
      <c r="AI75" s="68"/>
      <c r="AK75" s="68"/>
      <c r="AL75" s="71">
        <f t="shared" si="17"/>
        <v>0</v>
      </c>
    </row>
    <row r="76" spans="2:38" x14ac:dyDescent="0.2">
      <c r="B76" s="5">
        <f t="shared" si="13"/>
        <v>69</v>
      </c>
      <c r="C76" s="5">
        <f t="shared" si="14"/>
        <v>69</v>
      </c>
      <c r="D76" s="5">
        <f t="shared" si="15"/>
        <v>5</v>
      </c>
      <c r="E76" s="5">
        <f t="shared" si="16"/>
        <v>51</v>
      </c>
      <c r="F76" s="65">
        <f>1-(1-VLOOKUP($E76,'Annual Mortality Rates'!$B$5:$C$105,2,FALSE))^(1/12)</f>
        <v>1.3009304274569367E-4</v>
      </c>
      <c r="G76" s="76">
        <f>IF(D76+1&gt;Assumptions!$H$9,100%,1-(1-IF(D76&gt;=7,2%,VLOOKUP($D76,'Annual Lapse Rates'!$B$4:$C$14,2,FALSE)))^(1/12))</f>
        <v>3.3960531989175591E-3</v>
      </c>
      <c r="H76" s="82">
        <f t="shared" si="24"/>
        <v>9</v>
      </c>
      <c r="I76" s="66">
        <f t="shared" si="18"/>
        <v>3311.2192076665096</v>
      </c>
      <c r="J76" s="67">
        <f t="shared" si="19"/>
        <v>0.43229090286576649</v>
      </c>
      <c r="K76" s="67">
        <f t="shared" si="20"/>
        <v>11.284868679796041</v>
      </c>
      <c r="M76" s="68">
        <f t="shared" si="25"/>
        <v>58327344.160457976</v>
      </c>
      <c r="N76" s="68">
        <f>IF(AND(H76=1,D76&lt;15),Assumptions!$H$4*I75,0)</f>
        <v>0</v>
      </c>
      <c r="O76" s="68"/>
      <c r="P76" s="91">
        <f>$M76*(1+VLOOKUP($H76,Assumptions!$C$22:$D$33,2,FALSE))*F76</f>
        <v>7801.3936617779427</v>
      </c>
      <c r="Q76" s="91">
        <f>$M76*(1+VLOOKUP($H76,Assumptions!$C$22:$D$33,2,FALSE))*G76</f>
        <v>203653.84145012745</v>
      </c>
      <c r="R76" s="68">
        <f>IF(AND(H76=12,D76&lt;15),Assumptions!$C$7*M76,0)</f>
        <v>0</v>
      </c>
      <c r="S76" s="69">
        <f>M76*Assumptions!$D$17</f>
        <v>237632.82008116474</v>
      </c>
      <c r="T76" s="69">
        <f t="shared" si="21"/>
        <v>0</v>
      </c>
      <c r="U76" s="68">
        <f>T76+AE76*(1+Assumptions!$D$17)</f>
        <v>0</v>
      </c>
      <c r="V76" s="68">
        <f>(M76+N76-O76)*(1+Assumptions!$D$17)-(P76+Q76)*(1+Assumptions!$D$17)^0.5-R76-T76</f>
        <v>58353091.435864076</v>
      </c>
      <c r="W76" s="68"/>
      <c r="X76" s="68">
        <f>IF(AND(H76=1,D76&lt;15),Assumptions!$D$10*N76+Assumptions!$D$11*(1+Assumptions!$D$16)^(B76-1)*$I$7,0)</f>
        <v>0</v>
      </c>
      <c r="Y76" s="66">
        <f>Assumptions!$C$13*N76</f>
        <v>0</v>
      </c>
      <c r="Z76" s="66">
        <f>NPV(Assumptions!$D$19,N76:$N$259)*(1+Assumptions!$D$19)</f>
        <v>54448880.196915068</v>
      </c>
      <c r="AA76" s="69">
        <f t="shared" si="22"/>
        <v>501795.05640236376</v>
      </c>
      <c r="AC76" s="68">
        <f t="shared" si="23"/>
        <v>58353091.435864076</v>
      </c>
      <c r="AD76" s="68"/>
      <c r="AE76" s="68"/>
      <c r="AF76" s="68"/>
      <c r="AG76" s="68"/>
      <c r="AH76" s="68"/>
      <c r="AI76" s="68"/>
      <c r="AK76" s="68"/>
      <c r="AL76" s="71">
        <f t="shared" si="17"/>
        <v>0</v>
      </c>
    </row>
    <row r="77" spans="2:38" x14ac:dyDescent="0.2">
      <c r="B77" s="5">
        <f t="shared" si="13"/>
        <v>70</v>
      </c>
      <c r="C77" s="5">
        <f t="shared" si="14"/>
        <v>70</v>
      </c>
      <c r="D77" s="5">
        <f t="shared" si="15"/>
        <v>5</v>
      </c>
      <c r="E77" s="5">
        <f t="shared" si="16"/>
        <v>51</v>
      </c>
      <c r="F77" s="65">
        <f>1-(1-VLOOKUP($E77,'Annual Mortality Rates'!$B$5:$C$105,2,FALSE))^(1/12)</f>
        <v>1.3009304274569367E-4</v>
      </c>
      <c r="G77" s="76">
        <f>IF(D77+1&gt;Assumptions!$H$9,100%,1-(1-IF(D77&gt;=7,2%,VLOOKUP($D77,'Annual Lapse Rates'!$B$4:$C$14,2,FALSE)))^(1/12))</f>
        <v>3.3960531989175591E-3</v>
      </c>
      <c r="H77" s="82">
        <f t="shared" si="24"/>
        <v>10</v>
      </c>
      <c r="I77" s="66">
        <f t="shared" si="18"/>
        <v>3299.543364502073</v>
      </c>
      <c r="J77" s="67">
        <f t="shared" si="19"/>
        <v>0.43076658192332112</v>
      </c>
      <c r="K77" s="67">
        <f t="shared" si="20"/>
        <v>11.245076582513116</v>
      </c>
      <c r="M77" s="68">
        <f t="shared" si="25"/>
        <v>58353091.435864076</v>
      </c>
      <c r="N77" s="68">
        <f>IF(AND(H77=1,D77&lt;15),Assumptions!$H$4*I76,0)</f>
        <v>0</v>
      </c>
      <c r="O77" s="68"/>
      <c r="P77" s="91">
        <f>$M77*(1+VLOOKUP($H77,Assumptions!$C$22:$D$33,2,FALSE))*F77</f>
        <v>7828.5603190876491</v>
      </c>
      <c r="Q77" s="91">
        <f>$M77*(1+VLOOKUP($H77,Assumptions!$C$22:$D$33,2,FALSE))*G77</f>
        <v>204363.02167616671</v>
      </c>
      <c r="R77" s="68">
        <f>IF(AND(H77=12,D77&lt;15),Assumptions!$C$7*M77,0)</f>
        <v>0</v>
      </c>
      <c r="S77" s="69">
        <f>M77*Assumptions!$D$17</f>
        <v>237737.71766826088</v>
      </c>
      <c r="T77" s="69">
        <f t="shared" si="21"/>
        <v>0</v>
      </c>
      <c r="U77" s="68">
        <f>T77+AE77*(1+Assumptions!$D$17)</f>
        <v>0</v>
      </c>
      <c r="V77" s="68">
        <f>(M77+N77-O77)*(1+Assumptions!$D$17)-(P77+Q77)*(1+Assumptions!$D$17)^0.5-R77-T77</f>
        <v>58378205.763514414</v>
      </c>
      <c r="W77" s="68"/>
      <c r="X77" s="68">
        <f>IF(AND(H77=1,D77&lt;15),Assumptions!$D$10*N77+Assumptions!$D$11*(1+Assumptions!$D$16)^(B77-1)*$I$7,0)</f>
        <v>0</v>
      </c>
      <c r="Y77" s="66">
        <f>Assumptions!$C$13*N77</f>
        <v>0</v>
      </c>
      <c r="Z77" s="66">
        <f>NPV(Assumptions!$D$19,N77:$N$259)*(1+Assumptions!$D$19)</f>
        <v>54682629.47515507</v>
      </c>
      <c r="AA77" s="69">
        <f t="shared" si="22"/>
        <v>503949.26475034561</v>
      </c>
      <c r="AC77" s="68">
        <f t="shared" si="23"/>
        <v>58378205.763514414</v>
      </c>
      <c r="AD77" s="68"/>
      <c r="AE77" s="68"/>
      <c r="AF77" s="68"/>
      <c r="AG77" s="68"/>
      <c r="AH77" s="68"/>
      <c r="AI77" s="68"/>
      <c r="AK77" s="68"/>
      <c r="AL77" s="71">
        <f t="shared" si="17"/>
        <v>0</v>
      </c>
    </row>
    <row r="78" spans="2:38" x14ac:dyDescent="0.2">
      <c r="B78" s="5">
        <f t="shared" si="13"/>
        <v>71</v>
      </c>
      <c r="C78" s="5">
        <f t="shared" si="14"/>
        <v>71</v>
      </c>
      <c r="D78" s="5">
        <f t="shared" si="15"/>
        <v>5</v>
      </c>
      <c r="E78" s="5">
        <f t="shared" si="16"/>
        <v>51</v>
      </c>
      <c r="F78" s="65">
        <f>1-(1-VLOOKUP($E78,'Annual Mortality Rates'!$B$5:$C$105,2,FALSE))^(1/12)</f>
        <v>1.3009304274569367E-4</v>
      </c>
      <c r="G78" s="76">
        <f>IF(D78+1&gt;Assumptions!$H$9,100%,1-(1-IF(D78&gt;=7,2%,VLOOKUP($D78,'Annual Lapse Rates'!$B$4:$C$14,2,FALSE)))^(1/12))</f>
        <v>3.3960531989175591E-3</v>
      </c>
      <c r="H78" s="82">
        <f t="shared" si="24"/>
        <v>11</v>
      </c>
      <c r="I78" s="66">
        <f t="shared" si="18"/>
        <v>3287.9086920681289</v>
      </c>
      <c r="J78" s="67">
        <f t="shared" si="19"/>
        <v>0.4292476359594381</v>
      </c>
      <c r="K78" s="67">
        <f t="shared" si="20"/>
        <v>11.20542479798447</v>
      </c>
      <c r="M78" s="68">
        <f t="shared" si="25"/>
        <v>58378205.763514414</v>
      </c>
      <c r="N78" s="68">
        <f>IF(AND(H78=1,D78&lt;15),Assumptions!$H$4*I77,0)</f>
        <v>0</v>
      </c>
      <c r="O78" s="68"/>
      <c r="P78" s="91">
        <f>$M78*(1+VLOOKUP($H78,Assumptions!$C$22:$D$33,2,FALSE))*F78</f>
        <v>7855.6627384219928</v>
      </c>
      <c r="Q78" s="91">
        <f>$M78*(1+VLOOKUP($H78,Assumptions!$C$22:$D$33,2,FALSE))*G78</f>
        <v>205070.52498254049</v>
      </c>
      <c r="R78" s="68">
        <f>IF(AND(H78=12,D78&lt;15),Assumptions!$C$7*M78,0)</f>
        <v>0</v>
      </c>
      <c r="S78" s="69">
        <f>M78*Assumptions!$D$17</f>
        <v>237840.03654785146</v>
      </c>
      <c r="T78" s="69">
        <f t="shared" si="21"/>
        <v>0</v>
      </c>
      <c r="U78" s="68">
        <f>T78+AE78*(1+Assumptions!$D$17)</f>
        <v>0</v>
      </c>
      <c r="V78" s="68">
        <f>(M78+N78-O78)*(1+Assumptions!$D$17)-(P78+Q78)*(1+Assumptions!$D$17)^0.5-R78-T78</f>
        <v>58402686.309402384</v>
      </c>
      <c r="W78" s="68"/>
      <c r="X78" s="68">
        <f>IF(AND(H78=1,D78&lt;15),Assumptions!$D$10*N78+Assumptions!$D$11*(1+Assumptions!$D$16)^(B78-1)*$I$7,0)</f>
        <v>0</v>
      </c>
      <c r="Y78" s="66">
        <f>Assumptions!$C$13*N78</f>
        <v>0</v>
      </c>
      <c r="Z78" s="66">
        <f>NPV(Assumptions!$D$19,N78:$N$259)*(1+Assumptions!$D$19)</f>
        <v>54917382.240057804</v>
      </c>
      <c r="AA78" s="69">
        <f t="shared" si="22"/>
        <v>506112.72112408478</v>
      </c>
      <c r="AC78" s="68">
        <f t="shared" si="23"/>
        <v>58402686.309402384</v>
      </c>
      <c r="AD78" s="68"/>
      <c r="AE78" s="68"/>
      <c r="AF78" s="68"/>
      <c r="AG78" s="68"/>
      <c r="AH78" s="68"/>
      <c r="AI78" s="68"/>
      <c r="AK78" s="68"/>
      <c r="AL78" s="71">
        <f t="shared" si="17"/>
        <v>0</v>
      </c>
    </row>
    <row r="79" spans="2:38" x14ac:dyDescent="0.2">
      <c r="B79" s="5">
        <f t="shared" si="13"/>
        <v>72</v>
      </c>
      <c r="C79" s="5">
        <f t="shared" si="14"/>
        <v>72</v>
      </c>
      <c r="D79" s="5">
        <f t="shared" si="15"/>
        <v>5</v>
      </c>
      <c r="E79" s="5">
        <f t="shared" si="16"/>
        <v>51</v>
      </c>
      <c r="F79" s="65">
        <f>1-(1-VLOOKUP($E79,'Annual Mortality Rates'!$B$5:$C$105,2,FALSE))^(1/12)</f>
        <v>1.3009304274569367E-4</v>
      </c>
      <c r="G79" s="76">
        <f>IF(D79+1&gt;Assumptions!$H$9,100%,1-(1-IF(D79&gt;=7,2%,VLOOKUP($D79,'Annual Lapse Rates'!$B$4:$C$14,2,FALSE)))^(1/12))</f>
        <v>3.3960531989175591E-3</v>
      </c>
      <c r="H79" s="82">
        <f t="shared" si="24"/>
        <v>12</v>
      </c>
      <c r="I79" s="66">
        <f t="shared" si="18"/>
        <v>3276.3150451906608</v>
      </c>
      <c r="J79" s="67">
        <f t="shared" si="19"/>
        <v>0.42773404602115683</v>
      </c>
      <c r="K79" s="67">
        <f t="shared" si="20"/>
        <v>11.165912831446816</v>
      </c>
      <c r="M79" s="68">
        <f t="shared" si="25"/>
        <v>58402686.309402384</v>
      </c>
      <c r="N79" s="68">
        <f>IF(AND(H79=1,D79&lt;15),Assumptions!$H$4*I78,0)</f>
        <v>0</v>
      </c>
      <c r="O79" s="68"/>
      <c r="P79" s="91">
        <f>$M79*(1+VLOOKUP($H79,Assumptions!$C$22:$D$33,2,FALSE))*F79</f>
        <v>7882.7000352566392</v>
      </c>
      <c r="Q79" s="91">
        <f>$M79*(1+VLOOKUP($H79,Assumptions!$C$22:$D$33,2,FALSE))*G79</f>
        <v>205776.32827891564</v>
      </c>
      <c r="R79" s="68">
        <f>IF(AND(H79=12,D79&lt;15),Assumptions!$C$7*M79,0)</f>
        <v>29201.343154701193</v>
      </c>
      <c r="S79" s="69">
        <f>M79*Assumptions!$D$17</f>
        <v>237939.77332209033</v>
      </c>
      <c r="T79" s="69">
        <f t="shared" si="21"/>
        <v>0</v>
      </c>
      <c r="U79" s="68">
        <f>T79+AE79*(1+Assumptions!$D$17)</f>
        <v>0</v>
      </c>
      <c r="V79" s="68">
        <f>(M79+N79-O79)*(1+Assumptions!$D$17)-(P79+Q79)*(1+Assumptions!$D$17)^0.5-R79-T79</f>
        <v>58397330.916992448</v>
      </c>
      <c r="W79" s="68"/>
      <c r="X79" s="68">
        <f>IF(AND(H79=1,D79&lt;15),Assumptions!$D$10*N79+Assumptions!$D$11*(1+Assumptions!$D$16)^(B79-1)*$I$7,0)</f>
        <v>0</v>
      </c>
      <c r="Y79" s="66">
        <f>Assumptions!$C$13*N79</f>
        <v>0</v>
      </c>
      <c r="Z79" s="66">
        <f>NPV(Assumptions!$D$19,N79:$N$259)*(1+Assumptions!$D$19)</f>
        <v>55153142.79959584</v>
      </c>
      <c r="AA79" s="69">
        <f t="shared" si="22"/>
        <v>508285.46522539586</v>
      </c>
      <c r="AC79" s="68">
        <f t="shared" si="23"/>
        <v>58397330.916992448</v>
      </c>
      <c r="AD79" s="68"/>
      <c r="AE79" s="68"/>
      <c r="AF79" s="68"/>
      <c r="AG79" s="68"/>
      <c r="AH79" s="68"/>
      <c r="AI79" s="68"/>
      <c r="AK79" s="68"/>
      <c r="AL79" s="71">
        <f t="shared" si="17"/>
        <v>0</v>
      </c>
    </row>
    <row r="80" spans="2:38" x14ac:dyDescent="0.2">
      <c r="B80" s="5">
        <f t="shared" si="13"/>
        <v>73</v>
      </c>
      <c r="C80" s="5">
        <f t="shared" si="14"/>
        <v>73</v>
      </c>
      <c r="D80" s="5">
        <f t="shared" si="15"/>
        <v>6</v>
      </c>
      <c r="E80" s="5">
        <f t="shared" si="16"/>
        <v>52</v>
      </c>
      <c r="F80" s="65">
        <f>1-(1-VLOOKUP($E80,'Annual Mortality Rates'!$B$5:$C$105,2,FALSE))^(1/12)</f>
        <v>1.4344645210206952E-4</v>
      </c>
      <c r="G80" s="76">
        <f>IF(D80+1&gt;Assumptions!$H$9,100%,1-(1-IF(D80&gt;=7,2%,VLOOKUP($D80,'Annual Lapse Rates'!$B$4:$C$14,2,FALSE)))^(1/12))</f>
        <v>2.5350486138366879E-3</v>
      </c>
      <c r="H80" s="82">
        <f t="shared" si="24"/>
        <v>1</v>
      </c>
      <c r="I80" s="66">
        <f t="shared" si="18"/>
        <v>3267.5394515076568</v>
      </c>
      <c r="J80" s="67">
        <f t="shared" si="19"/>
        <v>0.46997576920123185</v>
      </c>
      <c r="K80" s="67">
        <f t="shared" si="20"/>
        <v>8.3056179138028696</v>
      </c>
      <c r="M80" s="68">
        <f t="shared" si="25"/>
        <v>58397330.916992448</v>
      </c>
      <c r="N80" s="68">
        <f>IF(AND(H80=1,D80&lt;15),Assumptions!$H$4*I79,0)</f>
        <v>8190787.6129766516</v>
      </c>
      <c r="O80" s="68"/>
      <c r="P80" s="91">
        <f>$M80*(1+VLOOKUP($H80,Assumptions!$C$22:$D$33,2,FALSE))*F80</f>
        <v>8403.067713311415</v>
      </c>
      <c r="Q80" s="91">
        <f>$M80*(1+VLOOKUP($H80,Assumptions!$C$22:$D$33,2,FALSE))*G80</f>
        <v>148502.69802036183</v>
      </c>
      <c r="R80" s="68">
        <f>IF(AND(H80=12,D80&lt;15),Assumptions!$C$7*M80,0)</f>
        <v>0</v>
      </c>
      <c r="S80" s="69">
        <f>M80*Assumptions!$D$17</f>
        <v>237917.95479050223</v>
      </c>
      <c r="T80" s="69">
        <f t="shared" si="21"/>
        <v>0</v>
      </c>
      <c r="U80" s="68">
        <f>T80+AE80*(1+Assumptions!$D$17)</f>
        <v>0</v>
      </c>
      <c r="V80" s="68">
        <f>(M80+N80-O80)*(1+Assumptions!$D$17)-(P80+Q80)*(1+Assumptions!$D$17)^0.5-R80-T80</f>
        <v>66702181.699779041</v>
      </c>
      <c r="W80" s="68"/>
      <c r="X80" s="68">
        <f>IF(AND(H80=1,D80&lt;15),Assumptions!$D$10*N80+Assumptions!$D$11*(1+Assumptions!$D$16)^(B80-1)*$I$7,0)</f>
        <v>77554.216690963338</v>
      </c>
      <c r="Y80" s="66">
        <f>Assumptions!$C$13*N80</f>
        <v>40953.938064883259</v>
      </c>
      <c r="Z80" s="66">
        <f>NPV(Assumptions!$D$19,N80:$N$259)*(1+Assumptions!$D$19)</f>
        <v>55389915.480235912</v>
      </c>
      <c r="AA80" s="69">
        <f t="shared" si="22"/>
        <v>434982.11431785568</v>
      </c>
      <c r="AC80" s="68">
        <f t="shared" si="23"/>
        <v>66702181.699779041</v>
      </c>
      <c r="AD80" s="68"/>
      <c r="AE80" s="68"/>
      <c r="AF80" s="68"/>
      <c r="AG80" s="68"/>
      <c r="AH80" s="68"/>
      <c r="AI80" s="68"/>
      <c r="AK80" s="68"/>
      <c r="AL80" s="71">
        <f t="shared" si="17"/>
        <v>0</v>
      </c>
    </row>
    <row r="81" spans="2:38" x14ac:dyDescent="0.2">
      <c r="B81" s="5">
        <f t="shared" si="13"/>
        <v>74</v>
      </c>
      <c r="C81" s="5">
        <f t="shared" si="14"/>
        <v>74</v>
      </c>
      <c r="D81" s="5">
        <f t="shared" si="15"/>
        <v>6</v>
      </c>
      <c r="E81" s="5">
        <f t="shared" si="16"/>
        <v>52</v>
      </c>
      <c r="F81" s="65">
        <f>1-(1-VLOOKUP($E81,'Annual Mortality Rates'!$B$5:$C$105,2,FALSE))^(1/12)</f>
        <v>1.4344645210206952E-4</v>
      </c>
      <c r="G81" s="76">
        <f>IF(D81+1&gt;Assumptions!$H$9,100%,1-(1-IF(D81&gt;=7,2%,VLOOKUP($D81,'Annual Lapse Rates'!$B$4:$C$14,2,FALSE)))^(1/12))</f>
        <v>2.5350486138366879E-3</v>
      </c>
      <c r="H81" s="82">
        <f t="shared" si="24"/>
        <v>2</v>
      </c>
      <c r="I81" s="66">
        <f t="shared" si="18"/>
        <v>3258.7873632090332</v>
      </c>
      <c r="J81" s="67">
        <f t="shared" si="19"/>
        <v>0.46871694142231562</v>
      </c>
      <c r="K81" s="67">
        <f t="shared" si="20"/>
        <v>8.2833713572011778</v>
      </c>
      <c r="M81" s="68">
        <f t="shared" si="25"/>
        <v>66702181.699779041</v>
      </c>
      <c r="N81" s="68">
        <f>IF(AND(H81=1,D81&lt;15),Assumptions!$H$4*I80,0)</f>
        <v>0</v>
      </c>
      <c r="O81" s="68"/>
      <c r="P81" s="91">
        <f>$M81*(1+VLOOKUP($H81,Assumptions!$C$22:$D$33,2,FALSE))*F81</f>
        <v>9627.9925080027733</v>
      </c>
      <c r="Q81" s="91">
        <f>$M81*(1+VLOOKUP($H81,Assumptions!$C$22:$D$33,2,FALSE))*G81</f>
        <v>170150.10621576969</v>
      </c>
      <c r="R81" s="68">
        <f>IF(AND(H81=12,D81&lt;15),Assumptions!$C$7*M81,0)</f>
        <v>0</v>
      </c>
      <c r="S81" s="69">
        <f>M81*Assumptions!$D$17</f>
        <v>271752.94488430372</v>
      </c>
      <c r="T81" s="69">
        <f t="shared" si="21"/>
        <v>0</v>
      </c>
      <c r="U81" s="68">
        <f>T81+AE81*(1+Assumptions!$D$17)</f>
        <v>0</v>
      </c>
      <c r="V81" s="68">
        <f>(M81+N81-O81)*(1+Assumptions!$D$17)-(P81+Q81)*(1+Assumptions!$D$17)^0.5-R81-T81</f>
        <v>66793790.69907327</v>
      </c>
      <c r="W81" s="68"/>
      <c r="X81" s="68">
        <f>IF(AND(H81=1,D81&lt;15),Assumptions!$D$10*N81+Assumptions!$D$11*(1+Assumptions!$D$16)^(B81-1)*$I$7,0)</f>
        <v>0</v>
      </c>
      <c r="Y81" s="66">
        <f>Assumptions!$C$13*N81</f>
        <v>0</v>
      </c>
      <c r="Z81" s="66">
        <f>NPV(Assumptions!$D$19,N81:$N$259)*(1+Assumptions!$D$19)</f>
        <v>47401753.927384451</v>
      </c>
      <c r="AA81" s="69">
        <f t="shared" si="22"/>
        <v>436849.49441642512</v>
      </c>
      <c r="AC81" s="68">
        <f t="shared" si="23"/>
        <v>66793790.69907327</v>
      </c>
      <c r="AD81" s="68"/>
      <c r="AE81" s="68"/>
      <c r="AF81" s="68"/>
      <c r="AG81" s="68"/>
      <c r="AH81" s="68"/>
      <c r="AI81" s="68"/>
      <c r="AK81" s="68"/>
      <c r="AL81" s="71">
        <f t="shared" si="17"/>
        <v>0</v>
      </c>
    </row>
    <row r="82" spans="2:38" x14ac:dyDescent="0.2">
      <c r="B82" s="5">
        <f t="shared" si="13"/>
        <v>75</v>
      </c>
      <c r="C82" s="5">
        <f t="shared" si="14"/>
        <v>75</v>
      </c>
      <c r="D82" s="5">
        <f t="shared" si="15"/>
        <v>6</v>
      </c>
      <c r="E82" s="5">
        <f t="shared" si="16"/>
        <v>52</v>
      </c>
      <c r="F82" s="65">
        <f>1-(1-VLOOKUP($E82,'Annual Mortality Rates'!$B$5:$C$105,2,FALSE))^(1/12)</f>
        <v>1.4344645210206952E-4</v>
      </c>
      <c r="G82" s="76">
        <f>IF(D82+1&gt;Assumptions!$H$9,100%,1-(1-IF(D82&gt;=7,2%,VLOOKUP($D82,'Annual Lapse Rates'!$B$4:$C$14,2,FALSE)))^(1/12))</f>
        <v>2.5350486138366879E-3</v>
      </c>
      <c r="H82" s="82">
        <f t="shared" si="24"/>
        <v>3</v>
      </c>
      <c r="I82" s="66">
        <f t="shared" si="18"/>
        <v>3250.0587173357339</v>
      </c>
      <c r="J82" s="67">
        <f t="shared" si="19"/>
        <v>0.46746148540739402</v>
      </c>
      <c r="K82" s="67">
        <f t="shared" si="20"/>
        <v>8.2611843878915749</v>
      </c>
      <c r="M82" s="68">
        <f t="shared" si="25"/>
        <v>66793790.69907327</v>
      </c>
      <c r="N82" s="68">
        <f>IF(AND(H82=1,D82&lt;15),Assumptions!$H$4*I81,0)</f>
        <v>0</v>
      </c>
      <c r="O82" s="68"/>
      <c r="P82" s="91">
        <f>$M82*(1+VLOOKUP($H82,Assumptions!$C$22:$D$33,2,FALSE))*F82</f>
        <v>9671.1572885261776</v>
      </c>
      <c r="Q82" s="91">
        <f>$M82*(1+VLOOKUP($H82,Assumptions!$C$22:$D$33,2,FALSE))*G82</f>
        <v>170912.9331482515</v>
      </c>
      <c r="R82" s="68">
        <f>IF(AND(H82=12,D82&lt;15),Assumptions!$C$7*M82,0)</f>
        <v>0</v>
      </c>
      <c r="S82" s="69">
        <f>M82*Assumptions!$D$17</f>
        <v>272126.17128712457</v>
      </c>
      <c r="T82" s="69">
        <f t="shared" si="21"/>
        <v>0</v>
      </c>
      <c r="U82" s="68">
        <f>T82+AE82*(1+Assumptions!$D$17)</f>
        <v>0</v>
      </c>
      <c r="V82" s="68">
        <f>(M82+N82-O82)*(1+Assumptions!$D$17)-(P82+Q82)*(1+Assumptions!$D$17)^0.5-R82-T82</f>
        <v>66884965.2928712</v>
      </c>
      <c r="W82" s="68"/>
      <c r="X82" s="68">
        <f>IF(AND(H82=1,D82&lt;15),Assumptions!$D$10*N82+Assumptions!$D$11*(1+Assumptions!$D$16)^(B82-1)*$I$7,0)</f>
        <v>0</v>
      </c>
      <c r="Y82" s="66">
        <f>Assumptions!$C$13*N82</f>
        <v>0</v>
      </c>
      <c r="Z82" s="66">
        <f>NPV(Assumptions!$D$19,N82:$N$259)*(1+Assumptions!$D$19)</f>
        <v>47605249.862062357</v>
      </c>
      <c r="AA82" s="69">
        <f t="shared" si="22"/>
        <v>438724.89118583634</v>
      </c>
      <c r="AC82" s="68">
        <f t="shared" si="23"/>
        <v>66884965.2928712</v>
      </c>
      <c r="AD82" s="68"/>
      <c r="AE82" s="68"/>
      <c r="AF82" s="68"/>
      <c r="AG82" s="68"/>
      <c r="AH82" s="68"/>
      <c r="AI82" s="68"/>
      <c r="AK82" s="68"/>
      <c r="AL82" s="71">
        <f t="shared" si="17"/>
        <v>0</v>
      </c>
    </row>
    <row r="83" spans="2:38" x14ac:dyDescent="0.2">
      <c r="B83" s="5">
        <f t="shared" si="13"/>
        <v>76</v>
      </c>
      <c r="C83" s="5">
        <f t="shared" si="14"/>
        <v>76</v>
      </c>
      <c r="D83" s="5">
        <f t="shared" si="15"/>
        <v>6</v>
      </c>
      <c r="E83" s="5">
        <f t="shared" si="16"/>
        <v>52</v>
      </c>
      <c r="F83" s="65">
        <f>1-(1-VLOOKUP($E83,'Annual Mortality Rates'!$B$5:$C$105,2,FALSE))^(1/12)</f>
        <v>1.4344645210206952E-4</v>
      </c>
      <c r="G83" s="76">
        <f>IF(D83+1&gt;Assumptions!$H$9,100%,1-(1-IF(D83&gt;=7,2%,VLOOKUP($D83,'Annual Lapse Rates'!$B$4:$C$14,2,FALSE)))^(1/12))</f>
        <v>2.5350486138366879E-3</v>
      </c>
      <c r="H83" s="82">
        <f t="shared" si="24"/>
        <v>4</v>
      </c>
      <c r="I83" s="66">
        <f t="shared" si="18"/>
        <v>3241.3534510973391</v>
      </c>
      <c r="J83" s="67">
        <f t="shared" si="19"/>
        <v>0.46620939212521384</v>
      </c>
      <c r="K83" s="67">
        <f t="shared" si="20"/>
        <v>8.2390568462697953</v>
      </c>
      <c r="M83" s="68">
        <f t="shared" si="25"/>
        <v>66884965.2928712</v>
      </c>
      <c r="N83" s="68">
        <f>IF(AND(H83=1,D83&lt;15),Assumptions!$H$4*I82,0)</f>
        <v>0</v>
      </c>
      <c r="O83" s="68"/>
      <c r="P83" s="91">
        <f>$M83*(1+VLOOKUP($H83,Assumptions!$C$22:$D$33,2,FALSE))*F83</f>
        <v>9714.3411073603347</v>
      </c>
      <c r="Q83" s="91">
        <f>$M83*(1+VLOOKUP($H83,Assumptions!$C$22:$D$33,2,FALSE))*G83</f>
        <v>171676.09653411069</v>
      </c>
      <c r="R83" s="68">
        <f>IF(AND(H83=12,D83&lt;15),Assumptions!$C$7*M83,0)</f>
        <v>0</v>
      </c>
      <c r="S83" s="69">
        <f>M83*Assumptions!$D$17</f>
        <v>272497.62786818121</v>
      </c>
      <c r="T83" s="69">
        <f t="shared" si="21"/>
        <v>0</v>
      </c>
      <c r="U83" s="68">
        <f>T83+AE83*(1+Assumptions!$D$17)</f>
        <v>0</v>
      </c>
      <c r="V83" s="68">
        <f>(M83+N83-O83)*(1+Assumptions!$D$17)-(P83+Q83)*(1+Assumptions!$D$17)^0.5-R83-T83</f>
        <v>66975703.355135947</v>
      </c>
      <c r="W83" s="68"/>
      <c r="X83" s="68">
        <f>IF(AND(H83=1,D83&lt;15),Assumptions!$D$10*N83+Assumptions!$D$11*(1+Assumptions!$D$16)^(B83-1)*$I$7,0)</f>
        <v>0</v>
      </c>
      <c r="Y83" s="66">
        <f>Assumptions!$C$13*N83</f>
        <v>0</v>
      </c>
      <c r="Z83" s="66">
        <f>NPV(Assumptions!$D$19,N83:$N$259)*(1+Assumptions!$D$19)</f>
        <v>47809619.405668192</v>
      </c>
      <c r="AA83" s="69">
        <f t="shared" si="22"/>
        <v>440608.33904169186</v>
      </c>
      <c r="AC83" s="68">
        <f t="shared" si="23"/>
        <v>66975703.355135947</v>
      </c>
      <c r="AD83" s="68"/>
      <c r="AE83" s="68"/>
      <c r="AF83" s="68"/>
      <c r="AG83" s="68"/>
      <c r="AH83" s="68"/>
      <c r="AI83" s="68"/>
      <c r="AK83" s="68"/>
      <c r="AL83" s="71">
        <f t="shared" si="17"/>
        <v>0</v>
      </c>
    </row>
    <row r="84" spans="2:38" x14ac:dyDescent="0.2">
      <c r="B84" s="5">
        <f t="shared" si="13"/>
        <v>77</v>
      </c>
      <c r="C84" s="5">
        <f t="shared" si="14"/>
        <v>77</v>
      </c>
      <c r="D84" s="5">
        <f t="shared" si="15"/>
        <v>6</v>
      </c>
      <c r="E84" s="5">
        <f t="shared" si="16"/>
        <v>52</v>
      </c>
      <c r="F84" s="65">
        <f>1-(1-VLOOKUP($E84,'Annual Mortality Rates'!$B$5:$C$105,2,FALSE))^(1/12)</f>
        <v>1.4344645210206952E-4</v>
      </c>
      <c r="G84" s="76">
        <f>IF(D84+1&gt;Assumptions!$H$9,100%,1-(1-IF(D84&gt;=7,2%,VLOOKUP($D84,'Annual Lapse Rates'!$B$4:$C$14,2,FALSE)))^(1/12))</f>
        <v>2.5350486138366879E-3</v>
      </c>
      <c r="H84" s="82">
        <f t="shared" si="24"/>
        <v>5</v>
      </c>
      <c r="I84" s="66">
        <f t="shared" si="18"/>
        <v>3232.6715018716113</v>
      </c>
      <c r="J84" s="67">
        <f t="shared" si="19"/>
        <v>0.46496065256871222</v>
      </c>
      <c r="K84" s="67">
        <f t="shared" si="20"/>
        <v>8.2169885731590746</v>
      </c>
      <c r="M84" s="68">
        <f t="shared" si="25"/>
        <v>66975703.355135947</v>
      </c>
      <c r="N84" s="68">
        <f>IF(AND(H84=1,D84&lt;15),Assumptions!$H$4*I83,0)</f>
        <v>0</v>
      </c>
      <c r="O84" s="68"/>
      <c r="P84" s="91">
        <f>$M84*(1+VLOOKUP($H84,Assumptions!$C$22:$D$33,2,FALSE))*F84</f>
        <v>9757.543070574533</v>
      </c>
      <c r="Q84" s="91">
        <f>$M84*(1+VLOOKUP($H84,Assumptions!$C$22:$D$33,2,FALSE))*G84</f>
        <v>172439.5805754117</v>
      </c>
      <c r="R84" s="68">
        <f>IF(AND(H84=12,D84&lt;15),Assumptions!$C$7*M84,0)</f>
        <v>0</v>
      </c>
      <c r="S84" s="69">
        <f>M84*Assumptions!$D$17</f>
        <v>272867.30596573622</v>
      </c>
      <c r="T84" s="69">
        <f t="shared" si="21"/>
        <v>0</v>
      </c>
      <c r="U84" s="68">
        <f>T84+AE84*(1+Assumptions!$D$17)</f>
        <v>0</v>
      </c>
      <c r="V84" s="68">
        <f>(M84+N84-O84)*(1+Assumptions!$D$17)-(P84+Q84)*(1+Assumptions!$D$17)^0.5-R84-T84</f>
        <v>67066002.76789473</v>
      </c>
      <c r="W84" s="68"/>
      <c r="X84" s="68">
        <f>IF(AND(H84=1,D84&lt;15),Assumptions!$D$10*N84+Assumptions!$D$11*(1+Assumptions!$D$16)^(B84-1)*$I$7,0)</f>
        <v>0</v>
      </c>
      <c r="Y84" s="66">
        <f>Assumptions!$C$13*N84</f>
        <v>0</v>
      </c>
      <c r="Z84" s="66">
        <f>NPV(Assumptions!$D$19,N84:$N$259)*(1+Assumptions!$D$19)</f>
        <v>48014866.30860886</v>
      </c>
      <c r="AA84" s="69">
        <f t="shared" si="22"/>
        <v>442499.8725473407</v>
      </c>
      <c r="AC84" s="68">
        <f t="shared" si="23"/>
        <v>67066002.76789473</v>
      </c>
      <c r="AD84" s="68"/>
      <c r="AE84" s="68"/>
      <c r="AF84" s="68"/>
      <c r="AG84" s="68"/>
      <c r="AH84" s="68"/>
      <c r="AI84" s="68"/>
      <c r="AK84" s="68"/>
      <c r="AL84" s="71">
        <f t="shared" si="17"/>
        <v>0</v>
      </c>
    </row>
    <row r="85" spans="2:38" x14ac:dyDescent="0.2">
      <c r="B85" s="5">
        <f t="shared" si="13"/>
        <v>78</v>
      </c>
      <c r="C85" s="5">
        <f t="shared" si="14"/>
        <v>78</v>
      </c>
      <c r="D85" s="5">
        <f t="shared" si="15"/>
        <v>6</v>
      </c>
      <c r="E85" s="5">
        <f t="shared" si="16"/>
        <v>52</v>
      </c>
      <c r="F85" s="65">
        <f>1-(1-VLOOKUP($E85,'Annual Mortality Rates'!$B$5:$C$105,2,FALSE))^(1/12)</f>
        <v>1.4344645210206952E-4</v>
      </c>
      <c r="G85" s="76">
        <f>IF(D85+1&gt;Assumptions!$H$9,100%,1-(1-IF(D85&gt;=7,2%,VLOOKUP($D85,'Annual Lapse Rates'!$B$4:$C$14,2,FALSE)))^(1/12))</f>
        <v>2.5350486138366879E-3</v>
      </c>
      <c r="H85" s="82">
        <f t="shared" si="24"/>
        <v>6</v>
      </c>
      <c r="I85" s="66">
        <f t="shared" si="18"/>
        <v>3224.0128072040475</v>
      </c>
      <c r="J85" s="67">
        <f t="shared" si="19"/>
        <v>0.46371525775495126</v>
      </c>
      <c r="K85" s="67">
        <f t="shared" si="20"/>
        <v>8.1949794098089921</v>
      </c>
      <c r="M85" s="68">
        <f t="shared" si="25"/>
        <v>67066002.76789473</v>
      </c>
      <c r="N85" s="68">
        <f>IF(AND(H85=1,D85&lt;15),Assumptions!$H$4*I84,0)</f>
        <v>0</v>
      </c>
      <c r="O85" s="68"/>
      <c r="P85" s="91">
        <f>$M85*(1+VLOOKUP($H85,Assumptions!$C$22:$D$33,2,FALSE))*F85</f>
        <v>9800.7622816043622</v>
      </c>
      <c r="Q85" s="91">
        <f>$M85*(1+VLOOKUP($H85,Assumptions!$C$22:$D$33,2,FALSE))*G85</f>
        <v>173203.369427675</v>
      </c>
      <c r="R85" s="68">
        <f>IF(AND(H85=12,D85&lt;15),Assumptions!$C$7*M85,0)</f>
        <v>0</v>
      </c>
      <c r="S85" s="69">
        <f>M85*Assumptions!$D$17</f>
        <v>273235.19695090625</v>
      </c>
      <c r="T85" s="69">
        <f t="shared" si="21"/>
        <v>0</v>
      </c>
      <c r="U85" s="68">
        <f>T85+AE85*(1+Assumptions!$D$17)</f>
        <v>0</v>
      </c>
      <c r="V85" s="68">
        <f>(M85+N85-O85)*(1+Assumptions!$D$17)-(P85+Q85)*(1+Assumptions!$D$17)^0.5-R85-T85</f>
        <v>67155861.42132102</v>
      </c>
      <c r="W85" s="68"/>
      <c r="X85" s="68">
        <f>IF(AND(H85=1,D85&lt;15),Assumptions!$D$10*N85+Assumptions!$D$11*(1+Assumptions!$D$16)^(B85-1)*$I$7,0)</f>
        <v>0</v>
      </c>
      <c r="Y85" s="66">
        <f>Assumptions!$C$13*N85</f>
        <v>0</v>
      </c>
      <c r="Z85" s="66">
        <f>NPV(Assumptions!$D$19,N85:$N$259)*(1+Assumptions!$D$19)</f>
        <v>48220994.337391786</v>
      </c>
      <c r="AA85" s="69">
        <f t="shared" si="22"/>
        <v>444399.52641451242</v>
      </c>
      <c r="AC85" s="68">
        <f t="shared" si="23"/>
        <v>67155861.42132102</v>
      </c>
      <c r="AD85" s="68"/>
      <c r="AE85" s="68"/>
      <c r="AF85" s="68"/>
      <c r="AG85" s="68"/>
      <c r="AH85" s="68"/>
      <c r="AI85" s="68"/>
      <c r="AK85" s="68"/>
      <c r="AL85" s="71">
        <f t="shared" si="17"/>
        <v>0</v>
      </c>
    </row>
    <row r="86" spans="2:38" x14ac:dyDescent="0.2">
      <c r="B86" s="5">
        <f t="shared" si="13"/>
        <v>79</v>
      </c>
      <c r="C86" s="5">
        <f t="shared" si="14"/>
        <v>79</v>
      </c>
      <c r="D86" s="5">
        <f t="shared" si="15"/>
        <v>6</v>
      </c>
      <c r="E86" s="5">
        <f t="shared" si="16"/>
        <v>52</v>
      </c>
      <c r="F86" s="65">
        <f>1-(1-VLOOKUP($E86,'Annual Mortality Rates'!$B$5:$C$105,2,FALSE))^(1/12)</f>
        <v>1.4344645210206952E-4</v>
      </c>
      <c r="G86" s="76">
        <f>IF(D86+1&gt;Assumptions!$H$9,100%,1-(1-IF(D86&gt;=7,2%,VLOOKUP($D86,'Annual Lapse Rates'!$B$4:$C$14,2,FALSE)))^(1/12))</f>
        <v>2.5350486138366879E-3</v>
      </c>
      <c r="H86" s="82">
        <f t="shared" si="24"/>
        <v>7</v>
      </c>
      <c r="I86" s="66">
        <f t="shared" si="18"/>
        <v>3215.3773048074281</v>
      </c>
      <c r="J86" s="67">
        <f t="shared" si="19"/>
        <v>0.4624731987250541</v>
      </c>
      <c r="K86" s="67">
        <f t="shared" si="20"/>
        <v>8.1730291978943495</v>
      </c>
      <c r="M86" s="68">
        <f t="shared" si="25"/>
        <v>67155861.42132102</v>
      </c>
      <c r="N86" s="68">
        <f>IF(AND(H86=1,D86&lt;15),Assumptions!$H$4*I85,0)</f>
        <v>0</v>
      </c>
      <c r="O86" s="68"/>
      <c r="P86" s="91">
        <f>$M86*(1+VLOOKUP($H86,Assumptions!$C$22:$D$33,2,FALSE))*F86</f>
        <v>9843.9978412818309</v>
      </c>
      <c r="Q86" s="91">
        <f>$M86*(1+VLOOKUP($H86,Assumptions!$C$22:$D$33,2,FALSE))*G86</f>
        <v>173967.44720040952</v>
      </c>
      <c r="R86" s="68">
        <f>IF(AND(H86=12,D86&lt;15),Assumptions!$C$7*M86,0)</f>
        <v>0</v>
      </c>
      <c r="S86" s="69">
        <f>M86*Assumptions!$D$17</f>
        <v>273601.29222799686</v>
      </c>
      <c r="T86" s="69">
        <f t="shared" si="21"/>
        <v>0</v>
      </c>
      <c r="U86" s="68">
        <f>T86+AE86*(1+Assumptions!$D$17)</f>
        <v>0</v>
      </c>
      <c r="V86" s="68">
        <f>(M86+N86-O86)*(1+Assumptions!$D$17)-(P86+Q86)*(1+Assumptions!$D$17)^0.5-R86-T86</f>
        <v>67245277.213816375</v>
      </c>
      <c r="W86" s="68"/>
      <c r="X86" s="68">
        <f>IF(AND(H86=1,D86&lt;15),Assumptions!$D$10*N86+Assumptions!$D$11*(1+Assumptions!$D$16)^(B86-1)*$I$7,0)</f>
        <v>0</v>
      </c>
      <c r="Y86" s="66">
        <f>Assumptions!$C$13*N86</f>
        <v>0</v>
      </c>
      <c r="Z86" s="66">
        <f>NPV(Assumptions!$D$19,N86:$N$259)*(1+Assumptions!$D$19)</f>
        <v>48428007.274694026</v>
      </c>
      <c r="AA86" s="69">
        <f t="shared" si="22"/>
        <v>446307.33550395392</v>
      </c>
      <c r="AC86" s="68">
        <f t="shared" si="23"/>
        <v>67245277.213816375</v>
      </c>
      <c r="AD86" s="68"/>
      <c r="AE86" s="68"/>
      <c r="AF86" s="68"/>
      <c r="AG86" s="68"/>
      <c r="AH86" s="68"/>
      <c r="AI86" s="68"/>
      <c r="AK86" s="68"/>
      <c r="AL86" s="71">
        <f t="shared" si="17"/>
        <v>0</v>
      </c>
    </row>
    <row r="87" spans="2:38" x14ac:dyDescent="0.2">
      <c r="B87" s="5">
        <f t="shared" si="13"/>
        <v>80</v>
      </c>
      <c r="C87" s="5">
        <f t="shared" si="14"/>
        <v>80</v>
      </c>
      <c r="D87" s="5">
        <f t="shared" si="15"/>
        <v>6</v>
      </c>
      <c r="E87" s="5">
        <f t="shared" si="16"/>
        <v>52</v>
      </c>
      <c r="F87" s="65">
        <f>1-(1-VLOOKUP($E87,'Annual Mortality Rates'!$B$5:$C$105,2,FALSE))^(1/12)</f>
        <v>1.4344645210206952E-4</v>
      </c>
      <c r="G87" s="76">
        <f>IF(D87+1&gt;Assumptions!$H$9,100%,1-(1-IF(D87&gt;=7,2%,VLOOKUP($D87,'Annual Lapse Rates'!$B$4:$C$14,2,FALSE)))^(1/12))</f>
        <v>2.5350486138366879E-3</v>
      </c>
      <c r="H87" s="82">
        <f t="shared" si="24"/>
        <v>8</v>
      </c>
      <c r="I87" s="66">
        <f t="shared" si="18"/>
        <v>3206.7649325613697</v>
      </c>
      <c r="J87" s="67">
        <f t="shared" si="19"/>
        <v>0.46123446654414013</v>
      </c>
      <c r="K87" s="67">
        <f t="shared" si="20"/>
        <v>8.1511377795140163</v>
      </c>
      <c r="M87" s="68">
        <f t="shared" si="25"/>
        <v>67245277.213816375</v>
      </c>
      <c r="N87" s="68">
        <f>IF(AND(H87=1,D87&lt;15),Assumptions!$H$4*I86,0)</f>
        <v>0</v>
      </c>
      <c r="O87" s="68"/>
      <c r="P87" s="91">
        <f>$M87*(1+VLOOKUP($H87,Assumptions!$C$22:$D$33,2,FALSE))*F87</f>
        <v>9887.2488478656487</v>
      </c>
      <c r="Q87" s="91">
        <f>$M87*(1+VLOOKUP($H87,Assumptions!$C$22:$D$33,2,FALSE))*G87</f>
        <v>174731.79795764771</v>
      </c>
      <c r="R87" s="68">
        <f>IF(AND(H87=12,D87&lt;15),Assumptions!$C$7*M87,0)</f>
        <v>0</v>
      </c>
      <c r="S87" s="69">
        <f>M87*Assumptions!$D$17</f>
        <v>273965.583234836</v>
      </c>
      <c r="T87" s="69">
        <f t="shared" si="21"/>
        <v>0</v>
      </c>
      <c r="U87" s="68">
        <f>T87+AE87*(1+Assumptions!$D$17)</f>
        <v>0</v>
      </c>
      <c r="V87" s="68">
        <f>(M87+N87-O87)*(1+Assumptions!$D$17)-(P87+Q87)*(1+Assumptions!$D$17)^0.5-R87-T87</f>
        <v>67334248.05209218</v>
      </c>
      <c r="W87" s="68"/>
      <c r="X87" s="68">
        <f>IF(AND(H87=1,D87&lt;15),Assumptions!$D$10*N87+Assumptions!$D$11*(1+Assumptions!$D$16)^(B87-1)*$I$7,0)</f>
        <v>0</v>
      </c>
      <c r="Y87" s="66">
        <f>Assumptions!$C$13*N87</f>
        <v>0</v>
      </c>
      <c r="Z87" s="66">
        <f>NPV(Assumptions!$D$19,N87:$N$259)*(1+Assumptions!$D$19)</f>
        <v>48635908.919431657</v>
      </c>
      <c r="AA87" s="69">
        <f t="shared" si="22"/>
        <v>448223.33482607006</v>
      </c>
      <c r="AC87" s="68">
        <f t="shared" si="23"/>
        <v>67334248.05209218</v>
      </c>
      <c r="AD87" s="68"/>
      <c r="AE87" s="68"/>
      <c r="AF87" s="68"/>
      <c r="AG87" s="68"/>
      <c r="AH87" s="68"/>
      <c r="AI87" s="68"/>
      <c r="AK87" s="68"/>
      <c r="AL87" s="71">
        <f t="shared" si="17"/>
        <v>0</v>
      </c>
    </row>
    <row r="88" spans="2:38" x14ac:dyDescent="0.2">
      <c r="B88" s="5">
        <f t="shared" si="13"/>
        <v>81</v>
      </c>
      <c r="C88" s="5">
        <f t="shared" si="14"/>
        <v>81</v>
      </c>
      <c r="D88" s="5">
        <f t="shared" si="15"/>
        <v>6</v>
      </c>
      <c r="E88" s="5">
        <f t="shared" si="16"/>
        <v>52</v>
      </c>
      <c r="F88" s="65">
        <f>1-(1-VLOOKUP($E88,'Annual Mortality Rates'!$B$5:$C$105,2,FALSE))^(1/12)</f>
        <v>1.4344645210206952E-4</v>
      </c>
      <c r="G88" s="76">
        <f>IF(D88+1&gt;Assumptions!$H$9,100%,1-(1-IF(D88&gt;=7,2%,VLOOKUP($D88,'Annual Lapse Rates'!$B$4:$C$14,2,FALSE)))^(1/12))</f>
        <v>2.5350486138366879E-3</v>
      </c>
      <c r="H88" s="82">
        <f t="shared" si="24"/>
        <v>9</v>
      </c>
      <c r="I88" s="66">
        <f t="shared" si="18"/>
        <v>3198.175628511879</v>
      </c>
      <c r="J88" s="67">
        <f t="shared" si="19"/>
        <v>0.4599990523012607</v>
      </c>
      <c r="K88" s="67">
        <f t="shared" si="20"/>
        <v>8.1293049971898004</v>
      </c>
      <c r="M88" s="68">
        <f t="shared" si="25"/>
        <v>67334248.05209218</v>
      </c>
      <c r="N88" s="68">
        <f>IF(AND(H88=1,D88&lt;15),Assumptions!$H$4*I87,0)</f>
        <v>0</v>
      </c>
      <c r="O88" s="68"/>
      <c r="P88" s="91">
        <f>$M88*(1+VLOOKUP($H88,Assumptions!$C$22:$D$33,2,FALSE))*F88</f>
        <v>9930.5143970717454</v>
      </c>
      <c r="Q88" s="91">
        <f>$M88*(1+VLOOKUP($H88,Assumptions!$C$22:$D$33,2,FALSE))*G88</f>
        <v>175496.40571848486</v>
      </c>
      <c r="R88" s="68">
        <f>IF(AND(H88=12,D88&lt;15),Assumptions!$C$7*M88,0)</f>
        <v>0</v>
      </c>
      <c r="S88" s="69">
        <f>M88*Assumptions!$D$17</f>
        <v>274328.06144310656</v>
      </c>
      <c r="T88" s="69">
        <f t="shared" si="21"/>
        <v>0</v>
      </c>
      <c r="U88" s="68">
        <f>T88+AE88*(1+Assumptions!$D$17)</f>
        <v>0</v>
      </c>
      <c r="V88" s="68">
        <f>(M88+N88-O88)*(1+Assumptions!$D$17)-(P88+Q88)*(1+Assumptions!$D$17)^0.5-R88-T88</f>
        <v>67422771.851251051</v>
      </c>
      <c r="W88" s="68"/>
      <c r="X88" s="68">
        <f>IF(AND(H88=1,D88&lt;15),Assumptions!$D$10*N88+Assumptions!$D$11*(1+Assumptions!$D$16)^(B88-1)*$I$7,0)</f>
        <v>0</v>
      </c>
      <c r="Y88" s="66">
        <f>Assumptions!$C$13*N88</f>
        <v>0</v>
      </c>
      <c r="Z88" s="66">
        <f>NPV(Assumptions!$D$19,N88:$N$259)*(1+Assumptions!$D$19)</f>
        <v>48844703.08682958</v>
      </c>
      <c r="AA88" s="69">
        <f t="shared" si="22"/>
        <v>450147.55954156484</v>
      </c>
      <c r="AC88" s="68">
        <f t="shared" si="23"/>
        <v>67422771.851251051</v>
      </c>
      <c r="AD88" s="68"/>
      <c r="AE88" s="68"/>
      <c r="AF88" s="68"/>
      <c r="AG88" s="68"/>
      <c r="AH88" s="68"/>
      <c r="AI88" s="68"/>
      <c r="AK88" s="68"/>
      <c r="AL88" s="71">
        <f t="shared" si="17"/>
        <v>0</v>
      </c>
    </row>
    <row r="89" spans="2:38" x14ac:dyDescent="0.2">
      <c r="B89" s="5">
        <f t="shared" si="13"/>
        <v>82</v>
      </c>
      <c r="C89" s="5">
        <f t="shared" si="14"/>
        <v>82</v>
      </c>
      <c r="D89" s="5">
        <f t="shared" si="15"/>
        <v>6</v>
      </c>
      <c r="E89" s="5">
        <f t="shared" si="16"/>
        <v>52</v>
      </c>
      <c r="F89" s="65">
        <f>1-(1-VLOOKUP($E89,'Annual Mortality Rates'!$B$5:$C$105,2,FALSE))^(1/12)</f>
        <v>1.4344645210206952E-4</v>
      </c>
      <c r="G89" s="76">
        <f>IF(D89+1&gt;Assumptions!$H$9,100%,1-(1-IF(D89&gt;=7,2%,VLOOKUP($D89,'Annual Lapse Rates'!$B$4:$C$14,2,FALSE)))^(1/12))</f>
        <v>2.5350486138366879E-3</v>
      </c>
      <c r="H89" s="82">
        <f t="shared" si="24"/>
        <v>10</v>
      </c>
      <c r="I89" s="66">
        <f t="shared" si="18"/>
        <v>3189.6093308709046</v>
      </c>
      <c r="J89" s="67">
        <f t="shared" si="19"/>
        <v>0.45876694710933535</v>
      </c>
      <c r="K89" s="67">
        <f t="shared" si="20"/>
        <v>8.1075306938653178</v>
      </c>
      <c r="M89" s="68">
        <f t="shared" si="25"/>
        <v>67422771.851251051</v>
      </c>
      <c r="N89" s="68">
        <f>IF(AND(H89=1,D89&lt;15),Assumptions!$H$4*I88,0)</f>
        <v>0</v>
      </c>
      <c r="O89" s="68"/>
      <c r="P89" s="91">
        <f>$M89*(1+VLOOKUP($H89,Assumptions!$C$22:$D$33,2,FALSE))*F89</f>
        <v>9973.79358210391</v>
      </c>
      <c r="Q89" s="91">
        <f>$M89*(1+VLOOKUP($H89,Assumptions!$C$22:$D$33,2,FALSE))*G89</f>
        <v>176261.25445762064</v>
      </c>
      <c r="R89" s="68">
        <f>IF(AND(H89=12,D89&lt;15),Assumptions!$C$7*M89,0)</f>
        <v>0</v>
      </c>
      <c r="S89" s="69">
        <f>M89*Assumptions!$D$17</f>
        <v>274688.71835867863</v>
      </c>
      <c r="T89" s="69">
        <f t="shared" si="21"/>
        <v>0</v>
      </c>
      <c r="U89" s="68">
        <f>T89+AE89*(1+Assumptions!$D$17)</f>
        <v>0</v>
      </c>
      <c r="V89" s="68">
        <f>(M89+N89-O89)*(1+Assumptions!$D$17)-(P89+Q89)*(1+Assumptions!$D$17)^0.5-R89-T89</f>
        <v>67510846.534868047</v>
      </c>
      <c r="W89" s="68"/>
      <c r="X89" s="68">
        <f>IF(AND(H89=1,D89&lt;15),Assumptions!$D$10*N89+Assumptions!$D$11*(1+Assumptions!$D$16)^(B89-1)*$I$7,0)</f>
        <v>0</v>
      </c>
      <c r="Y89" s="66">
        <f>Assumptions!$C$13*N89</f>
        <v>0</v>
      </c>
      <c r="Z89" s="66">
        <f>NPV(Assumptions!$D$19,N89:$N$259)*(1+Assumptions!$D$19)</f>
        <v>49054393.608491406</v>
      </c>
      <c r="AA89" s="69">
        <f t="shared" si="22"/>
        <v>452080.04496208805</v>
      </c>
      <c r="AC89" s="68">
        <f t="shared" si="23"/>
        <v>67510846.534868047</v>
      </c>
      <c r="AD89" s="68"/>
      <c r="AE89" s="68"/>
      <c r="AF89" s="68"/>
      <c r="AG89" s="68"/>
      <c r="AH89" s="68"/>
      <c r="AI89" s="68"/>
      <c r="AK89" s="68"/>
      <c r="AL89" s="71">
        <f t="shared" si="17"/>
        <v>0</v>
      </c>
    </row>
    <row r="90" spans="2:38" x14ac:dyDescent="0.2">
      <c r="B90" s="5">
        <f t="shared" si="13"/>
        <v>83</v>
      </c>
      <c r="C90" s="5">
        <f t="shared" si="14"/>
        <v>83</v>
      </c>
      <c r="D90" s="5">
        <f t="shared" si="15"/>
        <v>6</v>
      </c>
      <c r="E90" s="5">
        <f t="shared" si="16"/>
        <v>52</v>
      </c>
      <c r="F90" s="65">
        <f>1-(1-VLOOKUP($E90,'Annual Mortality Rates'!$B$5:$C$105,2,FALSE))^(1/12)</f>
        <v>1.4344645210206952E-4</v>
      </c>
      <c r="G90" s="76">
        <f>IF(D90+1&gt;Assumptions!$H$9,100%,1-(1-IF(D90&gt;=7,2%,VLOOKUP($D90,'Annual Lapse Rates'!$B$4:$C$14,2,FALSE)))^(1/12))</f>
        <v>2.5350486138366879E-3</v>
      </c>
      <c r="H90" s="82">
        <f t="shared" si="24"/>
        <v>11</v>
      </c>
      <c r="I90" s="66">
        <f t="shared" si="18"/>
        <v>3181.0659780158949</v>
      </c>
      <c r="J90" s="67">
        <f t="shared" si="19"/>
        <v>0.45753814210508725</v>
      </c>
      <c r="K90" s="67">
        <f t="shared" si="20"/>
        <v>8.0858147129048525</v>
      </c>
      <c r="M90" s="68">
        <f t="shared" si="25"/>
        <v>67510846.534868047</v>
      </c>
      <c r="N90" s="68">
        <f>IF(AND(H90=1,D90&lt;15),Assumptions!$H$4*I89,0)</f>
        <v>0</v>
      </c>
      <c r="O90" s="68"/>
      <c r="P90" s="91">
        <f>$M90*(1+VLOOKUP($H90,Assumptions!$C$22:$D$33,2,FALSE))*F90</f>
        <v>10017.085493684664</v>
      </c>
      <c r="Q90" s="91">
        <f>$M90*(1+VLOOKUP($H90,Assumptions!$C$22:$D$33,2,FALSE))*G90</f>
        <v>177026.32810590469</v>
      </c>
      <c r="R90" s="68">
        <f>IF(AND(H90=12,D90&lt;15),Assumptions!$C$7*M90,0)</f>
        <v>0</v>
      </c>
      <c r="S90" s="69">
        <f>M90*Assumptions!$D$17</f>
        <v>275047.54552193993</v>
      </c>
      <c r="T90" s="69">
        <f t="shared" si="21"/>
        <v>0</v>
      </c>
      <c r="U90" s="68">
        <f>T90+AE90*(1+Assumptions!$D$17)</f>
        <v>0</v>
      </c>
      <c r="V90" s="68">
        <f>(M90+N90-O90)*(1+Assumptions!$D$17)-(P90+Q90)*(1+Assumptions!$D$17)^0.5-R90-T90</f>
        <v>67598470.035071552</v>
      </c>
      <c r="W90" s="68"/>
      <c r="X90" s="68">
        <f>IF(AND(H90=1,D90&lt;15),Assumptions!$D$10*N90+Assumptions!$D$11*(1+Assumptions!$D$16)^(B90-1)*$I$7,0)</f>
        <v>0</v>
      </c>
      <c r="Y90" s="66">
        <f>Assumptions!$C$13*N90</f>
        <v>0</v>
      </c>
      <c r="Z90" s="66">
        <f>NPV(Assumptions!$D$19,N90:$N$259)*(1+Assumptions!$D$19)</f>
        <v>49264984.33246991</v>
      </c>
      <c r="AA90" s="69">
        <f t="shared" si="22"/>
        <v>454020.82655088155</v>
      </c>
      <c r="AC90" s="68">
        <f t="shared" si="23"/>
        <v>67598470.035071552</v>
      </c>
      <c r="AD90" s="68"/>
      <c r="AE90" s="68"/>
      <c r="AF90" s="68"/>
      <c r="AG90" s="68"/>
      <c r="AH90" s="68"/>
      <c r="AI90" s="68"/>
      <c r="AK90" s="68"/>
      <c r="AL90" s="71">
        <f t="shared" si="17"/>
        <v>0</v>
      </c>
    </row>
    <row r="91" spans="2:38" x14ac:dyDescent="0.2">
      <c r="B91" s="5">
        <f t="shared" si="13"/>
        <v>84</v>
      </c>
      <c r="C91" s="5">
        <f t="shared" si="14"/>
        <v>84</v>
      </c>
      <c r="D91" s="5">
        <f t="shared" si="15"/>
        <v>6</v>
      </c>
      <c r="E91" s="5">
        <f t="shared" si="16"/>
        <v>52</v>
      </c>
      <c r="F91" s="65">
        <f>1-(1-VLOOKUP($E91,'Annual Mortality Rates'!$B$5:$C$105,2,FALSE))^(1/12)</f>
        <v>1.4344645210206952E-4</v>
      </c>
      <c r="G91" s="76">
        <f>IF(D91+1&gt;Assumptions!$H$9,100%,1-(1-IF(D91&gt;=7,2%,VLOOKUP($D91,'Annual Lapse Rates'!$B$4:$C$14,2,FALSE)))^(1/12))</f>
        <v>2.5350486138366879E-3</v>
      </c>
      <c r="H91" s="82">
        <f t="shared" si="24"/>
        <v>12</v>
      </c>
      <c r="I91" s="66">
        <f t="shared" si="18"/>
        <v>3172.5455084893538</v>
      </c>
      <c r="J91" s="67">
        <f t="shared" si="19"/>
        <v>0.45631262844898002</v>
      </c>
      <c r="K91" s="67">
        <f t="shared" si="20"/>
        <v>8.0641568980922429</v>
      </c>
      <c r="M91" s="68">
        <f t="shared" si="25"/>
        <v>67598470.035071552</v>
      </c>
      <c r="N91" s="68">
        <f>IF(AND(H91=1,D91&lt;15),Assumptions!$H$4*I90,0)</f>
        <v>0</v>
      </c>
      <c r="O91" s="68"/>
      <c r="P91" s="91">
        <f>$M91*(1+VLOOKUP($H91,Assumptions!$C$22:$D$33,2,FALSE))*F91</f>
        <v>10060.38922008629</v>
      </c>
      <c r="Q91" s="91">
        <f>$M91*(1+VLOOKUP($H91,Assumptions!$C$22:$D$33,2,FALSE))*G91</f>
        <v>177791.61055088489</v>
      </c>
      <c r="R91" s="68">
        <f>IF(AND(H91=12,D91&lt;15),Assumptions!$C$7*M91,0)</f>
        <v>33799.235017535779</v>
      </c>
      <c r="S91" s="69">
        <f>M91*Assumptions!$D$17</f>
        <v>275404.53450812557</v>
      </c>
      <c r="T91" s="69">
        <f t="shared" si="21"/>
        <v>0</v>
      </c>
      <c r="U91" s="68">
        <f>T91+AE91*(1+Assumptions!$D$17)</f>
        <v>0</v>
      </c>
      <c r="V91" s="68">
        <f>(M91+N91-O91)*(1+Assumptions!$D$17)-(P91+Q91)*(1+Assumptions!$D$17)^0.5-R91-T91</f>
        <v>67651841.057606503</v>
      </c>
      <c r="W91" s="68"/>
      <c r="X91" s="68">
        <f>IF(AND(H91=1,D91&lt;15),Assumptions!$D$10*N91+Assumptions!$D$11*(1+Assumptions!$D$16)^(B91-1)*$I$7,0)</f>
        <v>0</v>
      </c>
      <c r="Y91" s="66">
        <f>Assumptions!$C$13*N91</f>
        <v>0</v>
      </c>
      <c r="Z91" s="66">
        <f>NPV(Assumptions!$D$19,N91:$N$259)*(1+Assumptions!$D$19)</f>
        <v>49476479.123337477</v>
      </c>
      <c r="AA91" s="69">
        <f t="shared" si="22"/>
        <v>455969.93992343184</v>
      </c>
      <c r="AC91" s="68">
        <f t="shared" si="23"/>
        <v>67651841.057606503</v>
      </c>
      <c r="AD91" s="68"/>
      <c r="AE91" s="68"/>
      <c r="AF91" s="68"/>
      <c r="AG91" s="68"/>
      <c r="AH91" s="68"/>
      <c r="AI91" s="68"/>
      <c r="AK91" s="68"/>
      <c r="AL91" s="71">
        <f t="shared" si="17"/>
        <v>0</v>
      </c>
    </row>
    <row r="92" spans="2:38" x14ac:dyDescent="0.2">
      <c r="B92" s="5">
        <f t="shared" si="13"/>
        <v>85</v>
      </c>
      <c r="C92" s="5">
        <f t="shared" si="14"/>
        <v>85</v>
      </c>
      <c r="D92" s="5">
        <f t="shared" si="15"/>
        <v>7</v>
      </c>
      <c r="E92" s="5">
        <f t="shared" si="16"/>
        <v>53</v>
      </c>
      <c r="F92" s="65">
        <f>1-(1-VLOOKUP($E92,'Annual Mortality Rates'!$B$5:$C$105,2,FALSE))^(1/12)</f>
        <v>1.5763659934686647E-4</v>
      </c>
      <c r="G92" s="76">
        <f>IF(D92+1&gt;Assumptions!$H$9,100%,1-(1-IF(D92&gt;=7,2%,VLOOKUP($D92,'Annual Lapse Rates'!$B$4:$C$14,2,FALSE)))^(1/12))</f>
        <v>1.6821425527395739E-3</v>
      </c>
      <c r="H92" s="82">
        <f t="shared" si="24"/>
        <v>1</v>
      </c>
      <c r="I92" s="66">
        <f t="shared" si="18"/>
        <v>3166.7087254037897</v>
      </c>
      <c r="J92" s="67">
        <f t="shared" si="19"/>
        <v>0.50010928523143705</v>
      </c>
      <c r="K92" s="67">
        <f t="shared" si="20"/>
        <v>5.3366738003327514</v>
      </c>
      <c r="M92" s="68">
        <f t="shared" si="25"/>
        <v>67651841.057606503</v>
      </c>
      <c r="N92" s="68">
        <f>IF(AND(H92=1,D92&lt;15),Assumptions!$H$4*I91,0)</f>
        <v>7931363.7712233849</v>
      </c>
      <c r="O92" s="68"/>
      <c r="P92" s="91">
        <f>$M92*(1+VLOOKUP($H92,Assumptions!$C$22:$D$33,2,FALSE))*F92</f>
        <v>10697.732433137919</v>
      </c>
      <c r="Q92" s="91">
        <f>$M92*(1+VLOOKUP($H92,Assumptions!$C$22:$D$33,2,FALSE))*G92</f>
        <v>114155.66574109341</v>
      </c>
      <c r="R92" s="68">
        <f>IF(AND(H92=12,D92&lt;15),Assumptions!$C$7*M92,0)</f>
        <v>0</v>
      </c>
      <c r="S92" s="69">
        <f>M92*Assumptions!$D$17</f>
        <v>275621.97466039285</v>
      </c>
      <c r="T92" s="69">
        <f t="shared" si="21"/>
        <v>0</v>
      </c>
      <c r="U92" s="68">
        <f>T92+AE92*(1+Assumptions!$D$17)</f>
        <v>0</v>
      </c>
      <c r="V92" s="68">
        <f>(M92+N92-O92)*(1+Assumptions!$D$17)-(P92+Q92)*(1+Assumptions!$D$17)^0.5-R92-T92</f>
        <v>75766032.687514469</v>
      </c>
      <c r="W92" s="68"/>
      <c r="X92" s="68">
        <f>IF(AND(H92=1,D92&lt;15),Assumptions!$D$10*N92+Assumptions!$D$11*(1+Assumptions!$D$16)^(B92-1)*$I$7,0)</f>
        <v>76989.103054718624</v>
      </c>
      <c r="Y92" s="66">
        <f>Assumptions!$C$13*N92</f>
        <v>39656.818856116923</v>
      </c>
      <c r="Z92" s="66">
        <f>NPV(Assumptions!$D$19,N92:$N$259)*(1+Assumptions!$D$19)</f>
        <v>49688881.862257197</v>
      </c>
      <c r="AA92" s="69">
        <f t="shared" si="22"/>
        <v>384832.82061878336</v>
      </c>
      <c r="AC92" s="68">
        <f t="shared" si="23"/>
        <v>75766032.687514469</v>
      </c>
      <c r="AD92" s="68"/>
      <c r="AE92" s="68"/>
      <c r="AF92" s="68"/>
      <c r="AG92" s="68"/>
      <c r="AH92" s="68"/>
      <c r="AI92" s="68"/>
      <c r="AK92" s="68"/>
      <c r="AL92" s="71">
        <f t="shared" si="17"/>
        <v>0</v>
      </c>
    </row>
    <row r="93" spans="2:38" x14ac:dyDescent="0.2">
      <c r="B93" s="5">
        <f t="shared" si="13"/>
        <v>86</v>
      </c>
      <c r="C93" s="5">
        <f t="shared" si="14"/>
        <v>86</v>
      </c>
      <c r="D93" s="5">
        <f t="shared" si="15"/>
        <v>7</v>
      </c>
      <c r="E93" s="5">
        <f t="shared" si="16"/>
        <v>53</v>
      </c>
      <c r="F93" s="65">
        <f>1-(1-VLOOKUP($E93,'Annual Mortality Rates'!$B$5:$C$105,2,FALSE))^(1/12)</f>
        <v>1.5763659934686647E-4</v>
      </c>
      <c r="G93" s="76">
        <f>IF(D93+1&gt;Assumptions!$H$9,100%,1-(1-IF(D93&gt;=7,2%,VLOOKUP($D93,'Annual Lapse Rates'!$B$4:$C$14,2,FALSE)))^(1/12))</f>
        <v>1.6821425527395739E-3</v>
      </c>
      <c r="H93" s="82">
        <f t="shared" si="24"/>
        <v>2</v>
      </c>
      <c r="I93" s="66">
        <f t="shared" si="18"/>
        <v>3160.8826807100618</v>
      </c>
      <c r="J93" s="67">
        <f t="shared" si="19"/>
        <v>0.4991891945947034</v>
      </c>
      <c r="K93" s="67">
        <f t="shared" si="20"/>
        <v>5.3268554991334129</v>
      </c>
      <c r="M93" s="68">
        <f t="shared" si="25"/>
        <v>75766032.687514469</v>
      </c>
      <c r="N93" s="68">
        <f>IF(AND(H93=1,D93&lt;15),Assumptions!$H$4*I92,0)</f>
        <v>0</v>
      </c>
      <c r="O93" s="68"/>
      <c r="P93" s="91">
        <f>$M93*(1+VLOOKUP($H93,Assumptions!$C$22:$D$33,2,FALSE))*F93</f>
        <v>12018.146612231205</v>
      </c>
      <c r="Q93" s="91">
        <f>$M93*(1+VLOOKUP($H93,Assumptions!$C$22:$D$33,2,FALSE))*G93</f>
        <v>128245.82555865015</v>
      </c>
      <c r="R93" s="68">
        <f>IF(AND(H93=12,D93&lt;15),Assumptions!$C$7*M93,0)</f>
        <v>0</v>
      </c>
      <c r="S93" s="69">
        <f>M93*Assumptions!$D$17</f>
        <v>308680.19576488127</v>
      </c>
      <c r="T93" s="69">
        <f t="shared" si="21"/>
        <v>0</v>
      </c>
      <c r="U93" s="68">
        <f>T93+AE93*(1+Assumptions!$D$17)</f>
        <v>0</v>
      </c>
      <c r="V93" s="68">
        <f>(M93+N93-O93)*(1+Assumptions!$D$17)-(P93+Q93)*(1+Assumptions!$D$17)^0.5-R93-T93</f>
        <v>75934163.475145817</v>
      </c>
      <c r="W93" s="68"/>
      <c r="X93" s="68">
        <f>IF(AND(H93=1,D93&lt;15),Assumptions!$D$10*N93+Assumptions!$D$11*(1+Assumptions!$D$16)^(B93-1)*$I$7,0)</f>
        <v>0</v>
      </c>
      <c r="Y93" s="66">
        <f>Assumptions!$C$13*N93</f>
        <v>0</v>
      </c>
      <c r="Z93" s="66">
        <f>NPV(Assumptions!$D$19,N93:$N$259)*(1+Assumptions!$D$19)</f>
        <v>41936783.296848394</v>
      </c>
      <c r="AA93" s="69">
        <f t="shared" si="22"/>
        <v>386484.90958254872</v>
      </c>
      <c r="AC93" s="68">
        <f t="shared" si="23"/>
        <v>75934163.475145817</v>
      </c>
      <c r="AD93" s="68"/>
      <c r="AE93" s="68"/>
      <c r="AF93" s="68"/>
      <c r="AG93" s="68"/>
      <c r="AH93" s="68"/>
      <c r="AI93" s="68"/>
      <c r="AK93" s="68"/>
      <c r="AL93" s="71">
        <f t="shared" si="17"/>
        <v>0</v>
      </c>
    </row>
    <row r="94" spans="2:38" x14ac:dyDescent="0.2">
      <c r="B94" s="5">
        <f t="shared" si="13"/>
        <v>87</v>
      </c>
      <c r="C94" s="5">
        <f t="shared" si="14"/>
        <v>87</v>
      </c>
      <c r="D94" s="5">
        <f t="shared" si="15"/>
        <v>7</v>
      </c>
      <c r="E94" s="5">
        <f t="shared" si="16"/>
        <v>53</v>
      </c>
      <c r="F94" s="65">
        <f>1-(1-VLOOKUP($E94,'Annual Mortality Rates'!$B$5:$C$105,2,FALSE))^(1/12)</f>
        <v>1.5763659934686647E-4</v>
      </c>
      <c r="G94" s="76">
        <f>IF(D94+1&gt;Assumptions!$H$9,100%,1-(1-IF(D94&gt;=7,2%,VLOOKUP($D94,'Annual Lapse Rates'!$B$4:$C$14,2,FALSE)))^(1/12))</f>
        <v>1.6821425527395739E-3</v>
      </c>
      <c r="H94" s="82">
        <f t="shared" si="24"/>
        <v>3</v>
      </c>
      <c r="I94" s="66">
        <f t="shared" si="18"/>
        <v>3155.0673546519001</v>
      </c>
      <c r="J94" s="67">
        <f t="shared" si="19"/>
        <v>0.49827079672154123</v>
      </c>
      <c r="K94" s="67">
        <f t="shared" si="20"/>
        <v>5.3170552614399309</v>
      </c>
      <c r="M94" s="68">
        <f t="shared" si="25"/>
        <v>75934163.475145817</v>
      </c>
      <c r="N94" s="68">
        <f>IF(AND(H94=1,D94&lt;15),Assumptions!$H$4*I93,0)</f>
        <v>0</v>
      </c>
      <c r="O94" s="68"/>
      <c r="P94" s="91">
        <f>$M94*(1+VLOOKUP($H94,Assumptions!$C$22:$D$33,2,FALSE))*F94</f>
        <v>12082.222085450438</v>
      </c>
      <c r="Q94" s="91">
        <f>$M94*(1+VLOOKUP($H94,Assumptions!$C$22:$D$33,2,FALSE))*G94</f>
        <v>128929.57590936551</v>
      </c>
      <c r="R94" s="68">
        <f>IF(AND(H94=12,D94&lt;15),Assumptions!$C$7*M94,0)</f>
        <v>0</v>
      </c>
      <c r="S94" s="69">
        <f>M94*Assumptions!$D$17</f>
        <v>309365.18140553369</v>
      </c>
      <c r="T94" s="69">
        <f t="shared" si="21"/>
        <v>0</v>
      </c>
      <c r="U94" s="68">
        <f>T94+AE94*(1+Assumptions!$D$17)</f>
        <v>0</v>
      </c>
      <c r="V94" s="68">
        <f>(M94+N94-O94)*(1+Assumptions!$D$17)-(P94+Q94)*(1+Assumptions!$D$17)^0.5-R94-T94</f>
        <v>76102229.900774837</v>
      </c>
      <c r="W94" s="68"/>
      <c r="X94" s="68">
        <f>IF(AND(H94=1,D94&lt;15),Assumptions!$D$10*N94+Assumptions!$D$11*(1+Assumptions!$D$16)^(B94-1)*$I$7,0)</f>
        <v>0</v>
      </c>
      <c r="Y94" s="66">
        <f>Assumptions!$C$13*N94</f>
        <v>0</v>
      </c>
      <c r="Z94" s="66">
        <f>NPV(Assumptions!$D$19,N94:$N$259)*(1+Assumptions!$D$19)</f>
        <v>42116818.088967063</v>
      </c>
      <c r="AA94" s="69">
        <f t="shared" si="22"/>
        <v>388144.09097138268</v>
      </c>
      <c r="AC94" s="68">
        <f t="shared" si="23"/>
        <v>76102229.900774837</v>
      </c>
      <c r="AD94" s="68"/>
      <c r="AE94" s="68"/>
      <c r="AF94" s="68"/>
      <c r="AG94" s="68"/>
      <c r="AH94" s="68"/>
      <c r="AI94" s="68"/>
      <c r="AK94" s="68"/>
      <c r="AL94" s="71">
        <f t="shared" si="17"/>
        <v>0</v>
      </c>
    </row>
    <row r="95" spans="2:38" x14ac:dyDescent="0.2">
      <c r="B95" s="5">
        <f t="shared" si="13"/>
        <v>88</v>
      </c>
      <c r="C95" s="5">
        <f t="shared" si="14"/>
        <v>88</v>
      </c>
      <c r="D95" s="5">
        <f t="shared" si="15"/>
        <v>7</v>
      </c>
      <c r="E95" s="5">
        <f t="shared" si="16"/>
        <v>53</v>
      </c>
      <c r="F95" s="65">
        <f>1-(1-VLOOKUP($E95,'Annual Mortality Rates'!$B$5:$C$105,2,FALSE))^(1/12)</f>
        <v>1.5763659934686647E-4</v>
      </c>
      <c r="G95" s="76">
        <f>IF(D95+1&gt;Assumptions!$H$9,100%,1-(1-IF(D95&gt;=7,2%,VLOOKUP($D95,'Annual Lapse Rates'!$B$4:$C$14,2,FALSE)))^(1/12))</f>
        <v>1.6821425527395739E-3</v>
      </c>
      <c r="H95" s="82">
        <f t="shared" si="24"/>
        <v>4</v>
      </c>
      <c r="I95" s="66">
        <f t="shared" si="18"/>
        <v>3149.2627275093832</v>
      </c>
      <c r="J95" s="67">
        <f t="shared" si="19"/>
        <v>0.49735408849763946</v>
      </c>
      <c r="K95" s="67">
        <f t="shared" si="20"/>
        <v>5.3072730540194417</v>
      </c>
      <c r="M95" s="68">
        <f t="shared" si="25"/>
        <v>76102229.900774837</v>
      </c>
      <c r="N95" s="68">
        <f>IF(AND(H95=1,D95&lt;15),Assumptions!$H$4*I94,0)</f>
        <v>0</v>
      </c>
      <c r="O95" s="68"/>
      <c r="P95" s="91">
        <f>$M95*(1+VLOOKUP($H95,Assumptions!$C$22:$D$33,2,FALSE))*F95</f>
        <v>12146.452933324959</v>
      </c>
      <c r="Q95" s="91">
        <f>$M95*(1+VLOOKUP($H95,Assumptions!$C$22:$D$33,2,FALSE))*G95</f>
        <v>129614.9842653941</v>
      </c>
      <c r="R95" s="68">
        <f>IF(AND(H95=12,D95&lt;15),Assumptions!$C$7*M95,0)</f>
        <v>0</v>
      </c>
      <c r="S95" s="69">
        <f>M95*Assumptions!$D$17</f>
        <v>310049.90482742165</v>
      </c>
      <c r="T95" s="69">
        <f t="shared" si="21"/>
        <v>0</v>
      </c>
      <c r="U95" s="68">
        <f>T95+AE95*(1+Assumptions!$D$17)</f>
        <v>0</v>
      </c>
      <c r="V95" s="68">
        <f>(M95+N95-O95)*(1+Assumptions!$D$17)-(P95+Q95)*(1+Assumptions!$D$17)^0.5-R95-T95</f>
        <v>76270229.885112584</v>
      </c>
      <c r="W95" s="68"/>
      <c r="X95" s="68">
        <f>IF(AND(H95=1,D95&lt;15),Assumptions!$D$10*N95+Assumptions!$D$11*(1+Assumptions!$D$16)^(B95-1)*$I$7,0)</f>
        <v>0</v>
      </c>
      <c r="Y95" s="66">
        <f>Assumptions!$C$13*N95</f>
        <v>0</v>
      </c>
      <c r="Z95" s="66">
        <f>NPV(Assumptions!$D$19,N95:$N$259)*(1+Assumptions!$D$19)</f>
        <v>42297625.771227151</v>
      </c>
      <c r="AA95" s="69">
        <f t="shared" si="22"/>
        <v>389810.39523309696</v>
      </c>
      <c r="AC95" s="68">
        <f t="shared" si="23"/>
        <v>76270229.885112584</v>
      </c>
      <c r="AD95" s="68"/>
      <c r="AE95" s="68"/>
      <c r="AF95" s="68"/>
      <c r="AG95" s="68"/>
      <c r="AH95" s="68"/>
      <c r="AI95" s="68"/>
      <c r="AK95" s="68"/>
      <c r="AL95" s="71">
        <f t="shared" si="17"/>
        <v>0</v>
      </c>
    </row>
    <row r="96" spans="2:38" x14ac:dyDescent="0.2">
      <c r="B96" s="5">
        <f t="shared" si="13"/>
        <v>89</v>
      </c>
      <c r="C96" s="5">
        <f t="shared" si="14"/>
        <v>89</v>
      </c>
      <c r="D96" s="5">
        <f t="shared" si="15"/>
        <v>7</v>
      </c>
      <c r="E96" s="5">
        <f t="shared" si="16"/>
        <v>53</v>
      </c>
      <c r="F96" s="65">
        <f>1-(1-VLOOKUP($E96,'Annual Mortality Rates'!$B$5:$C$105,2,FALSE))^(1/12)</f>
        <v>1.5763659934686647E-4</v>
      </c>
      <c r="G96" s="76">
        <f>IF(D96+1&gt;Assumptions!$H$9,100%,1-(1-IF(D96&gt;=7,2%,VLOOKUP($D96,'Annual Lapse Rates'!$B$4:$C$14,2,FALSE)))^(1/12))</f>
        <v>1.6821425527395739E-3</v>
      </c>
      <c r="H96" s="82">
        <f t="shared" si="24"/>
        <v>5</v>
      </c>
      <c r="I96" s="66">
        <f t="shared" si="18"/>
        <v>3143.4687795988689</v>
      </c>
      <c r="J96" s="67">
        <f t="shared" si="19"/>
        <v>0.49643906681441657</v>
      </c>
      <c r="K96" s="67">
        <f t="shared" si="20"/>
        <v>5.2975088437002267</v>
      </c>
      <c r="M96" s="68">
        <f t="shared" si="25"/>
        <v>76270229.885112584</v>
      </c>
      <c r="N96" s="68">
        <f>IF(AND(H96=1,D96&lt;15),Assumptions!$H$4*I95,0)</f>
        <v>0</v>
      </c>
      <c r="O96" s="68"/>
      <c r="P96" s="91">
        <f>$M96*(1+VLOOKUP($H96,Assumptions!$C$22:$D$33,2,FALSE))*F96</f>
        <v>12210.838727844346</v>
      </c>
      <c r="Q96" s="91">
        <f>$M96*(1+VLOOKUP($H96,Assumptions!$C$22:$D$33,2,FALSE))*G96</f>
        <v>130302.0460594302</v>
      </c>
      <c r="R96" s="68">
        <f>IF(AND(H96=12,D96&lt;15),Assumptions!$C$7*M96,0)</f>
        <v>0</v>
      </c>
      <c r="S96" s="69">
        <f>M96*Assumptions!$D$17</f>
        <v>310734.35755926458</v>
      </c>
      <c r="T96" s="69">
        <f t="shared" si="21"/>
        <v>0</v>
      </c>
      <c r="U96" s="68">
        <f>T96+AE96*(1+Assumptions!$D$17)</f>
        <v>0</v>
      </c>
      <c r="V96" s="68">
        <f>(M96+N96-O96)*(1+Assumptions!$D$17)-(P96+Q96)*(1+Assumptions!$D$17)^0.5-R96-T96</f>
        <v>76438161.345404312</v>
      </c>
      <c r="W96" s="68"/>
      <c r="X96" s="68">
        <f>IF(AND(H96=1,D96&lt;15),Assumptions!$D$10*N96+Assumptions!$D$11*(1+Assumptions!$D$16)^(B96-1)*$I$7,0)</f>
        <v>0</v>
      </c>
      <c r="Y96" s="66">
        <f>Assumptions!$C$13*N96</f>
        <v>0</v>
      </c>
      <c r="Z96" s="66">
        <f>NPV(Assumptions!$D$19,N96:$N$259)*(1+Assumptions!$D$19)</f>
        <v>42479209.661649399</v>
      </c>
      <c r="AA96" s="69">
        <f t="shared" si="22"/>
        <v>391483.85294621525</v>
      </c>
      <c r="AC96" s="68">
        <f t="shared" si="23"/>
        <v>76438161.345404312</v>
      </c>
      <c r="AD96" s="68"/>
      <c r="AE96" s="68"/>
      <c r="AF96" s="68"/>
      <c r="AG96" s="68"/>
      <c r="AH96" s="68"/>
      <c r="AI96" s="68"/>
      <c r="AK96" s="68"/>
      <c r="AL96" s="71">
        <f t="shared" si="17"/>
        <v>0</v>
      </c>
    </row>
    <row r="97" spans="2:38" x14ac:dyDescent="0.2">
      <c r="B97" s="5">
        <f t="shared" si="13"/>
        <v>90</v>
      </c>
      <c r="C97" s="5">
        <f t="shared" si="14"/>
        <v>90</v>
      </c>
      <c r="D97" s="5">
        <f t="shared" si="15"/>
        <v>7</v>
      </c>
      <c r="E97" s="5">
        <f t="shared" si="16"/>
        <v>53</v>
      </c>
      <c r="F97" s="65">
        <f>1-(1-VLOOKUP($E97,'Annual Mortality Rates'!$B$5:$C$105,2,FALSE))^(1/12)</f>
        <v>1.5763659934686647E-4</v>
      </c>
      <c r="G97" s="76">
        <f>IF(D97+1&gt;Assumptions!$H$9,100%,1-(1-IF(D97&gt;=7,2%,VLOOKUP($D97,'Annual Lapse Rates'!$B$4:$C$14,2,FALSE)))^(1/12))</f>
        <v>1.6821425527395739E-3</v>
      </c>
      <c r="H97" s="82">
        <f t="shared" si="24"/>
        <v>6</v>
      </c>
      <c r="I97" s="66">
        <f t="shared" si="18"/>
        <v>3137.6854912729282</v>
      </c>
      <c r="J97" s="67">
        <f t="shared" si="19"/>
        <v>0.49552572856901017</v>
      </c>
      <c r="K97" s="67">
        <f t="shared" si="20"/>
        <v>5.2877625973715947</v>
      </c>
      <c r="M97" s="68">
        <f t="shared" si="25"/>
        <v>76438161.345404312</v>
      </c>
      <c r="N97" s="68">
        <f>IF(AND(H97=1,D97&lt;15),Assumptions!$H$4*I96,0)</f>
        <v>0</v>
      </c>
      <c r="O97" s="68"/>
      <c r="P97" s="91">
        <f>$M97*(1+VLOOKUP($H97,Assumptions!$C$22:$D$33,2,FALSE))*F97</f>
        <v>12275.379036344448</v>
      </c>
      <c r="Q97" s="91">
        <f>$M97*(1+VLOOKUP($H97,Assumptions!$C$22:$D$33,2,FALSE))*G97</f>
        <v>130990.75667450805</v>
      </c>
      <c r="R97" s="68">
        <f>IF(AND(H97=12,D97&lt;15),Assumptions!$C$7*M97,0)</f>
        <v>0</v>
      </c>
      <c r="S97" s="69">
        <f>M97*Assumptions!$D$17</f>
        <v>311418.53111566196</v>
      </c>
      <c r="T97" s="69">
        <f t="shared" si="21"/>
        <v>0</v>
      </c>
      <c r="U97" s="68">
        <f>T97+AE97*(1+Assumptions!$D$17)</f>
        <v>0</v>
      </c>
      <c r="V97" s="68">
        <f>(M97+N97-O97)*(1+Assumptions!$D$17)-(P97+Q97)*(1+Assumptions!$D$17)^0.5-R97-T97</f>
        <v>76606022.195469797</v>
      </c>
      <c r="W97" s="68"/>
      <c r="X97" s="68">
        <f>IF(AND(H97=1,D97&lt;15),Assumptions!$D$10*N97+Assumptions!$D$11*(1+Assumptions!$D$16)^(B97-1)*$I$7,0)</f>
        <v>0</v>
      </c>
      <c r="Y97" s="66">
        <f>Assumptions!$C$13*N97</f>
        <v>0</v>
      </c>
      <c r="Z97" s="66">
        <f>NPV(Assumptions!$D$19,N97:$N$259)*(1+Assumptions!$D$19)</f>
        <v>42661573.092498772</v>
      </c>
      <c r="AA97" s="69">
        <f t="shared" si="22"/>
        <v>393164.49482053588</v>
      </c>
      <c r="AC97" s="68">
        <f t="shared" si="23"/>
        <v>76606022.195469797</v>
      </c>
      <c r="AD97" s="68"/>
      <c r="AE97" s="68"/>
      <c r="AF97" s="68"/>
      <c r="AG97" s="68"/>
      <c r="AH97" s="68"/>
      <c r="AI97" s="68"/>
      <c r="AK97" s="68"/>
      <c r="AL97" s="71">
        <f t="shared" si="17"/>
        <v>0</v>
      </c>
    </row>
    <row r="98" spans="2:38" x14ac:dyDescent="0.2">
      <c r="B98" s="5">
        <f t="shared" si="13"/>
        <v>91</v>
      </c>
      <c r="C98" s="5">
        <f t="shared" si="14"/>
        <v>91</v>
      </c>
      <c r="D98" s="5">
        <f t="shared" si="15"/>
        <v>7</v>
      </c>
      <c r="E98" s="5">
        <f t="shared" si="16"/>
        <v>53</v>
      </c>
      <c r="F98" s="65">
        <f>1-(1-VLOOKUP($E98,'Annual Mortality Rates'!$B$5:$C$105,2,FALSE))^(1/12)</f>
        <v>1.5763659934686647E-4</v>
      </c>
      <c r="G98" s="76">
        <f>IF(D98+1&gt;Assumptions!$H$9,100%,1-(1-IF(D98&gt;=7,2%,VLOOKUP($D98,'Annual Lapse Rates'!$B$4:$C$14,2,FALSE)))^(1/12))</f>
        <v>1.6821425527395739E-3</v>
      </c>
      <c r="H98" s="82">
        <f t="shared" si="24"/>
        <v>7</v>
      </c>
      <c r="I98" s="66">
        <f t="shared" si="18"/>
        <v>3131.9128429202801</v>
      </c>
      <c r="J98" s="67">
        <f t="shared" si="19"/>
        <v>0.49461407066426644</v>
      </c>
      <c r="K98" s="67">
        <f t="shared" si="20"/>
        <v>5.2780342819837678</v>
      </c>
      <c r="M98" s="68">
        <f t="shared" si="25"/>
        <v>76606022.195469797</v>
      </c>
      <c r="N98" s="68">
        <f>IF(AND(H98=1,D98&lt;15),Assumptions!$H$4*I97,0)</f>
        <v>0</v>
      </c>
      <c r="O98" s="68"/>
      <c r="P98" s="91">
        <f>$M98*(1+VLOOKUP($H98,Assumptions!$C$22:$D$33,2,FALSE))*F98</f>
        <v>12340.073421505342</v>
      </c>
      <c r="Q98" s="91">
        <f>$M98*(1+VLOOKUP($H98,Assumptions!$C$22:$D$33,2,FALSE))*G98</f>
        <v>131681.1114439801</v>
      </c>
      <c r="R98" s="68">
        <f>IF(AND(H98=12,D98&lt;15),Assumptions!$C$7*M98,0)</f>
        <v>0</v>
      </c>
      <c r="S98" s="69">
        <f>M98*Assumptions!$D$17</f>
        <v>312102.41699725715</v>
      </c>
      <c r="T98" s="69">
        <f t="shared" si="21"/>
        <v>0</v>
      </c>
      <c r="U98" s="68">
        <f>T98+AE98*(1+Assumptions!$D$17)</f>
        <v>0</v>
      </c>
      <c r="V98" s="68">
        <f>(M98+N98-O98)*(1+Assumptions!$D$17)-(P98+Q98)*(1+Assumptions!$D$17)^0.5-R98-T98</f>
        <v>76773810.345743775</v>
      </c>
      <c r="W98" s="68"/>
      <c r="X98" s="68">
        <f>IF(AND(H98=1,D98&lt;15),Assumptions!$D$10*N98+Assumptions!$D$11*(1+Assumptions!$D$16)^(B98-1)*$I$7,0)</f>
        <v>0</v>
      </c>
      <c r="Y98" s="66">
        <f>Assumptions!$C$13*N98</f>
        <v>0</v>
      </c>
      <c r="Z98" s="66">
        <f>NPV(Assumptions!$D$19,N98:$N$259)*(1+Assumptions!$D$19)</f>
        <v>42844719.410345741</v>
      </c>
      <c r="AA98" s="69">
        <f t="shared" si="22"/>
        <v>394852.35169769352</v>
      </c>
      <c r="AC98" s="68">
        <f t="shared" si="23"/>
        <v>76773810.345743775</v>
      </c>
      <c r="AD98" s="68"/>
      <c r="AE98" s="68"/>
      <c r="AF98" s="68"/>
      <c r="AG98" s="68"/>
      <c r="AH98" s="68"/>
      <c r="AI98" s="68"/>
      <c r="AK98" s="68"/>
      <c r="AL98" s="71">
        <f t="shared" si="17"/>
        <v>0</v>
      </c>
    </row>
    <row r="99" spans="2:38" x14ac:dyDescent="0.2">
      <c r="B99" s="5">
        <f t="shared" si="13"/>
        <v>92</v>
      </c>
      <c r="C99" s="5">
        <f t="shared" si="14"/>
        <v>92</v>
      </c>
      <c r="D99" s="5">
        <f t="shared" si="15"/>
        <v>7</v>
      </c>
      <c r="E99" s="5">
        <f t="shared" si="16"/>
        <v>53</v>
      </c>
      <c r="F99" s="65">
        <f>1-(1-VLOOKUP($E99,'Annual Mortality Rates'!$B$5:$C$105,2,FALSE))^(1/12)</f>
        <v>1.5763659934686647E-4</v>
      </c>
      <c r="G99" s="76">
        <f>IF(D99+1&gt;Assumptions!$H$9,100%,1-(1-IF(D99&gt;=7,2%,VLOOKUP($D99,'Annual Lapse Rates'!$B$4:$C$14,2,FALSE)))^(1/12))</f>
        <v>1.6821425527395739E-3</v>
      </c>
      <c r="H99" s="82">
        <f t="shared" si="24"/>
        <v>8</v>
      </c>
      <c r="I99" s="66">
        <f t="shared" si="18"/>
        <v>3126.1508149657238</v>
      </c>
      <c r="J99" s="67">
        <f t="shared" si="19"/>
        <v>0.49370409000872972</v>
      </c>
      <c r="K99" s="67">
        <f t="shared" si="20"/>
        <v>5.2683238645477761</v>
      </c>
      <c r="M99" s="68">
        <f t="shared" si="25"/>
        <v>76773810.345743775</v>
      </c>
      <c r="N99" s="68">
        <f>IF(AND(H99=1,D99&lt;15),Assumptions!$H$4*I98,0)</f>
        <v>0</v>
      </c>
      <c r="O99" s="68"/>
      <c r="P99" s="91">
        <f>$M99*(1+VLOOKUP($H99,Assumptions!$C$22:$D$33,2,FALSE))*F99</f>
        <v>12404.92144134943</v>
      </c>
      <c r="Q99" s="91">
        <f>$M99*(1+VLOOKUP($H99,Assumptions!$C$22:$D$33,2,FALSE))*G99</f>
        <v>132373.10565149665</v>
      </c>
      <c r="R99" s="68">
        <f>IF(AND(H99=12,D99&lt;15),Assumptions!$C$7*M99,0)</f>
        <v>0</v>
      </c>
      <c r="S99" s="69">
        <f>M99*Assumptions!$D$17</f>
        <v>312786.00669090275</v>
      </c>
      <c r="T99" s="69">
        <f t="shared" si="21"/>
        <v>0</v>
      </c>
      <c r="U99" s="68">
        <f>T99+AE99*(1+Assumptions!$D$17)</f>
        <v>0</v>
      </c>
      <c r="V99" s="68">
        <f>(M99+N99-O99)*(1+Assumptions!$D$17)-(P99+Q99)*(1+Assumptions!$D$17)^0.5-R99-T99</f>
        <v>76941523.703316703</v>
      </c>
      <c r="W99" s="68"/>
      <c r="X99" s="68">
        <f>IF(AND(H99=1,D99&lt;15),Assumptions!$D$10*N99+Assumptions!$D$11*(1+Assumptions!$D$16)^(B99-1)*$I$7,0)</f>
        <v>0</v>
      </c>
      <c r="Y99" s="66">
        <f>Assumptions!$C$13*N99</f>
        <v>0</v>
      </c>
      <c r="Z99" s="66">
        <f>NPV(Assumptions!$D$19,N99:$N$259)*(1+Assumptions!$D$19)</f>
        <v>43028651.976127528</v>
      </c>
      <c r="AA99" s="69">
        <f t="shared" si="22"/>
        <v>396547.4545517267</v>
      </c>
      <c r="AC99" s="68">
        <f t="shared" si="23"/>
        <v>76941523.703316703</v>
      </c>
      <c r="AD99" s="68"/>
      <c r="AE99" s="68"/>
      <c r="AF99" s="68"/>
      <c r="AG99" s="68"/>
      <c r="AH99" s="68"/>
      <c r="AI99" s="68"/>
      <c r="AK99" s="68"/>
      <c r="AL99" s="71">
        <f t="shared" si="17"/>
        <v>0</v>
      </c>
    </row>
    <row r="100" spans="2:38" x14ac:dyDescent="0.2">
      <c r="B100" s="5">
        <f t="shared" si="13"/>
        <v>93</v>
      </c>
      <c r="C100" s="5">
        <f t="shared" si="14"/>
        <v>93</v>
      </c>
      <c r="D100" s="5">
        <f t="shared" si="15"/>
        <v>7</v>
      </c>
      <c r="E100" s="5">
        <f t="shared" si="16"/>
        <v>53</v>
      </c>
      <c r="F100" s="65">
        <f>1-(1-VLOOKUP($E100,'Annual Mortality Rates'!$B$5:$C$105,2,FALSE))^(1/12)</f>
        <v>1.5763659934686647E-4</v>
      </c>
      <c r="G100" s="76">
        <f>IF(D100+1&gt;Assumptions!$H$9,100%,1-(1-IF(D100&gt;=7,2%,VLOOKUP($D100,'Annual Lapse Rates'!$B$4:$C$14,2,FALSE)))^(1/12))</f>
        <v>1.6821425527395739E-3</v>
      </c>
      <c r="H100" s="82">
        <f t="shared" si="24"/>
        <v>9</v>
      </c>
      <c r="I100" s="66">
        <f t="shared" si="18"/>
        <v>3120.3993878700717</v>
      </c>
      <c r="J100" s="67">
        <f t="shared" si="19"/>
        <v>0.49279578351663189</v>
      </c>
      <c r="K100" s="67">
        <f t="shared" si="20"/>
        <v>5.2586313121353419</v>
      </c>
      <c r="M100" s="68">
        <f t="shared" si="25"/>
        <v>76941523.703316703</v>
      </c>
      <c r="N100" s="68">
        <f>IF(AND(H100=1,D100&lt;15),Assumptions!$H$4*I99,0)</f>
        <v>0</v>
      </c>
      <c r="O100" s="68"/>
      <c r="P100" s="91">
        <f>$M100*(1+VLOOKUP($H100,Assumptions!$C$22:$D$33,2,FALSE))*F100</f>
        <v>12469.92264923971</v>
      </c>
      <c r="Q100" s="91">
        <f>$M100*(1+VLOOKUP($H100,Assumptions!$C$22:$D$33,2,FALSE))*G100</f>
        <v>133066.73453098748</v>
      </c>
      <c r="R100" s="68">
        <f>IF(AND(H100=12,D100&lt;15),Assumptions!$C$7*M100,0)</f>
        <v>0</v>
      </c>
      <c r="S100" s="69">
        <f>M100*Assumptions!$D$17</f>
        <v>313469.29166982614</v>
      </c>
      <c r="T100" s="69">
        <f t="shared" si="21"/>
        <v>0</v>
      </c>
      <c r="U100" s="68">
        <f>T100+AE100*(1+Assumptions!$D$17)</f>
        <v>0</v>
      </c>
      <c r="V100" s="68">
        <f>(M100+N100-O100)*(1+Assumptions!$D$17)-(P100+Q100)*(1+Assumptions!$D$17)^0.5-R100-T100</f>
        <v>77109160.171975553</v>
      </c>
      <c r="W100" s="68"/>
      <c r="X100" s="68">
        <f>IF(AND(H100=1,D100&lt;15),Assumptions!$D$10*N100+Assumptions!$D$11*(1+Assumptions!$D$16)^(B100-1)*$I$7,0)</f>
        <v>0</v>
      </c>
      <c r="Y100" s="66">
        <f>Assumptions!$C$13*N100</f>
        <v>0</v>
      </c>
      <c r="Z100" s="66">
        <f>NPV(Assumptions!$D$19,N100:$N$259)*(1+Assumptions!$D$19)</f>
        <v>43213374.165209934</v>
      </c>
      <c r="AA100" s="69">
        <f t="shared" si="22"/>
        <v>398249.83448964567</v>
      </c>
      <c r="AC100" s="68">
        <f t="shared" si="23"/>
        <v>77109160.171975553</v>
      </c>
      <c r="AD100" s="68"/>
      <c r="AE100" s="68"/>
      <c r="AF100" s="68"/>
      <c r="AG100" s="68"/>
      <c r="AH100" s="68"/>
      <c r="AI100" s="68"/>
      <c r="AK100" s="68"/>
      <c r="AL100" s="71">
        <f t="shared" si="17"/>
        <v>0</v>
      </c>
    </row>
    <row r="101" spans="2:38" x14ac:dyDescent="0.2">
      <c r="B101" s="5">
        <f t="shared" si="13"/>
        <v>94</v>
      </c>
      <c r="C101" s="5">
        <f t="shared" si="14"/>
        <v>94</v>
      </c>
      <c r="D101" s="5">
        <f t="shared" si="15"/>
        <v>7</v>
      </c>
      <c r="E101" s="5">
        <f t="shared" si="16"/>
        <v>53</v>
      </c>
      <c r="F101" s="65">
        <f>1-(1-VLOOKUP($E101,'Annual Mortality Rates'!$B$5:$C$105,2,FALSE))^(1/12)</f>
        <v>1.5763659934686647E-4</v>
      </c>
      <c r="G101" s="76">
        <f>IF(D101+1&gt;Assumptions!$H$9,100%,1-(1-IF(D101&gt;=7,2%,VLOOKUP($D101,'Annual Lapse Rates'!$B$4:$C$14,2,FALSE)))^(1/12))</f>
        <v>1.6821425527395739E-3</v>
      </c>
      <c r="H101" s="82">
        <f t="shared" si="24"/>
        <v>10</v>
      </c>
      <c r="I101" s="66">
        <f t="shared" si="18"/>
        <v>3114.6585421300852</v>
      </c>
      <c r="J101" s="67">
        <f t="shared" si="19"/>
        <v>0.49188914810788187</v>
      </c>
      <c r="K101" s="67">
        <f t="shared" si="20"/>
        <v>5.2489565918787662</v>
      </c>
      <c r="M101" s="68">
        <f t="shared" si="25"/>
        <v>77109160.171975553</v>
      </c>
      <c r="N101" s="68">
        <f>IF(AND(H101=1,D101&lt;15),Assumptions!$H$4*I100,0)</f>
        <v>0</v>
      </c>
      <c r="O101" s="68"/>
      <c r="P101" s="91">
        <f>$M101*(1+VLOOKUP($H101,Assumptions!$C$22:$D$33,2,FALSE))*F101</f>
        <v>12535.076593878159</v>
      </c>
      <c r="Q101" s="91">
        <f>$M101*(1+VLOOKUP($H101,Assumptions!$C$22:$D$33,2,FALSE))*G101</f>
        <v>133761.99326664451</v>
      </c>
      <c r="R101" s="68">
        <f>IF(AND(H101=12,D101&lt;15),Assumptions!$C$7*M101,0)</f>
        <v>0</v>
      </c>
      <c r="S101" s="69">
        <f>M101*Assumptions!$D$17</f>
        <v>314152.26339379599</v>
      </c>
      <c r="T101" s="69">
        <f t="shared" si="21"/>
        <v>0</v>
      </c>
      <c r="U101" s="68">
        <f>T101+AE101*(1+Assumptions!$D$17)</f>
        <v>0</v>
      </c>
      <c r="V101" s="68">
        <f>(M101+N101-O101)*(1+Assumptions!$D$17)-(P101+Q101)*(1+Assumptions!$D$17)^0.5-R101-T101</f>
        <v>77276717.652244866</v>
      </c>
      <c r="W101" s="68"/>
      <c r="X101" s="68">
        <f>IF(AND(H101=1,D101&lt;15),Assumptions!$D$10*N101+Assumptions!$D$11*(1+Assumptions!$D$16)^(B101-1)*$I$7,0)</f>
        <v>0</v>
      </c>
      <c r="Y101" s="66">
        <f>Assumptions!$C$13*N101</f>
        <v>0</v>
      </c>
      <c r="Z101" s="66">
        <f>NPV(Assumptions!$D$19,N101:$N$259)*(1+Assumptions!$D$19)</f>
        <v>43398889.367449224</v>
      </c>
      <c r="AA101" s="69">
        <f t="shared" si="22"/>
        <v>399959.52275200281</v>
      </c>
      <c r="AC101" s="68">
        <f t="shared" si="23"/>
        <v>77276717.652244866</v>
      </c>
      <c r="AD101" s="68"/>
      <c r="AE101" s="68"/>
      <c r="AF101" s="68"/>
      <c r="AG101" s="68"/>
      <c r="AH101" s="68"/>
      <c r="AI101" s="68"/>
      <c r="AK101" s="68"/>
      <c r="AL101" s="71">
        <f t="shared" si="17"/>
        <v>0</v>
      </c>
    </row>
    <row r="102" spans="2:38" x14ac:dyDescent="0.2">
      <c r="B102" s="5">
        <f t="shared" si="13"/>
        <v>95</v>
      </c>
      <c r="C102" s="5">
        <f t="shared" si="14"/>
        <v>95</v>
      </c>
      <c r="D102" s="5">
        <f t="shared" si="15"/>
        <v>7</v>
      </c>
      <c r="E102" s="5">
        <f t="shared" si="16"/>
        <v>53</v>
      </c>
      <c r="F102" s="65">
        <f>1-(1-VLOOKUP($E102,'Annual Mortality Rates'!$B$5:$C$105,2,FALSE))^(1/12)</f>
        <v>1.5763659934686647E-4</v>
      </c>
      <c r="G102" s="76">
        <f>IF(D102+1&gt;Assumptions!$H$9,100%,1-(1-IF(D102&gt;=7,2%,VLOOKUP($D102,'Annual Lapse Rates'!$B$4:$C$14,2,FALSE)))^(1/12))</f>
        <v>1.6821425527395739E-3</v>
      </c>
      <c r="H102" s="82">
        <f t="shared" si="24"/>
        <v>11</v>
      </c>
      <c r="I102" s="66">
        <f t="shared" si="18"/>
        <v>3108.9282582784062</v>
      </c>
      <c r="J102" s="67">
        <f t="shared" si="19"/>
        <v>0.49098418070805544</v>
      </c>
      <c r="K102" s="67">
        <f t="shared" si="20"/>
        <v>5.2392996709708211</v>
      </c>
      <c r="M102" s="68">
        <f t="shared" si="25"/>
        <v>77276717.652244866</v>
      </c>
      <c r="N102" s="68">
        <f>IF(AND(H102=1,D102&lt;15),Assumptions!$H$4*I101,0)</f>
        <v>0</v>
      </c>
      <c r="O102" s="68"/>
      <c r="P102" s="91">
        <f>$M102*(1+VLOOKUP($H102,Assumptions!$C$22:$D$33,2,FALSE))*F102</f>
        <v>12600.382819304306</v>
      </c>
      <c r="Q102" s="91">
        <f>$M102*(1+VLOOKUP($H102,Assumptions!$C$22:$D$33,2,FALSE))*G102</f>
        <v>134458.87699290656</v>
      </c>
      <c r="R102" s="68">
        <f>IF(AND(H102=12,D102&lt;15),Assumptions!$C$7*M102,0)</f>
        <v>0</v>
      </c>
      <c r="S102" s="69">
        <f>M102*Assumptions!$D$17</f>
        <v>314834.91330928938</v>
      </c>
      <c r="T102" s="69">
        <f t="shared" si="21"/>
        <v>0</v>
      </c>
      <c r="U102" s="68">
        <f>T102+AE102*(1+Assumptions!$D$17)</f>
        <v>0</v>
      </c>
      <c r="V102" s="68">
        <f>(M102+N102-O102)*(1+Assumptions!$D$17)-(P102+Q102)*(1+Assumptions!$D$17)^0.5-R102-T102</f>
        <v>77444194.041428074</v>
      </c>
      <c r="W102" s="68"/>
      <c r="X102" s="68">
        <f>IF(AND(H102=1,D102&lt;15),Assumptions!$D$10*N102+Assumptions!$D$11*(1+Assumptions!$D$16)^(B102-1)*$I$7,0)</f>
        <v>0</v>
      </c>
      <c r="Y102" s="66">
        <f>Assumptions!$C$13*N102</f>
        <v>0</v>
      </c>
      <c r="Z102" s="66">
        <f>NPV(Assumptions!$D$19,N102:$N$259)*(1+Assumptions!$D$19)</f>
        <v>43585200.987254284</v>
      </c>
      <c r="AA102" s="69">
        <f t="shared" si="22"/>
        <v>401676.55071346665</v>
      </c>
      <c r="AC102" s="68">
        <f t="shared" si="23"/>
        <v>77444194.041428074</v>
      </c>
      <c r="AD102" s="68"/>
      <c r="AE102" s="68"/>
      <c r="AF102" s="68"/>
      <c r="AG102" s="68"/>
      <c r="AH102" s="68"/>
      <c r="AI102" s="68"/>
      <c r="AK102" s="68"/>
      <c r="AL102" s="71">
        <f t="shared" si="17"/>
        <v>0</v>
      </c>
    </row>
    <row r="103" spans="2:38" x14ac:dyDescent="0.2">
      <c r="B103" s="5">
        <f t="shared" si="13"/>
        <v>96</v>
      </c>
      <c r="C103" s="5">
        <f t="shared" si="14"/>
        <v>96</v>
      </c>
      <c r="D103" s="5">
        <f t="shared" si="15"/>
        <v>7</v>
      </c>
      <c r="E103" s="5">
        <f t="shared" si="16"/>
        <v>53</v>
      </c>
      <c r="F103" s="65">
        <f>1-(1-VLOOKUP($E103,'Annual Mortality Rates'!$B$5:$C$105,2,FALSE))^(1/12)</f>
        <v>1.5763659934686647E-4</v>
      </c>
      <c r="G103" s="76">
        <f>IF(D103+1&gt;Assumptions!$H$9,100%,1-(1-IF(D103&gt;=7,2%,VLOOKUP($D103,'Annual Lapse Rates'!$B$4:$C$14,2,FALSE)))^(1/12))</f>
        <v>1.6821425527395739E-3</v>
      </c>
      <c r="H103" s="82">
        <f t="shared" si="24"/>
        <v>12</v>
      </c>
      <c r="I103" s="66">
        <f t="shared" si="18"/>
        <v>3103.2085168834928</v>
      </c>
      <c r="J103" s="67">
        <f t="shared" si="19"/>
        <v>0.49008087824838453</v>
      </c>
      <c r="K103" s="67">
        <f t="shared" si="20"/>
        <v>5.2296605166646355</v>
      </c>
      <c r="M103" s="68">
        <f t="shared" si="25"/>
        <v>77444194.041428074</v>
      </c>
      <c r="N103" s="68">
        <f>IF(AND(H103=1,D103&lt;15),Assumptions!$H$4*I102,0)</f>
        <v>0</v>
      </c>
      <c r="O103" s="68"/>
      <c r="P103" s="91">
        <f>$M103*(1+VLOOKUP($H103,Assumptions!$C$22:$D$33,2,FALSE))*F103</f>
        <v>12665.84086489394</v>
      </c>
      <c r="Q103" s="91">
        <f>$M103*(1+VLOOKUP($H103,Assumptions!$C$22:$D$33,2,FALSE))*G103</f>
        <v>135157.38079444572</v>
      </c>
      <c r="R103" s="68">
        <f>IF(AND(H103=12,D103&lt;15),Assumptions!$C$7*M103,0)</f>
        <v>38722.097020714034</v>
      </c>
      <c r="S103" s="69">
        <f>M103*Assumptions!$D$17</f>
        <v>315517.23284966021</v>
      </c>
      <c r="T103" s="69">
        <f t="shared" si="21"/>
        <v>0</v>
      </c>
      <c r="U103" s="68">
        <f>T103+AE103*(1+Assumptions!$D$17)</f>
        <v>0</v>
      </c>
      <c r="V103" s="68">
        <f>(M103+N103-O103)*(1+Assumptions!$D$17)-(P103+Q103)*(1+Assumptions!$D$17)^0.5-R103-T103</f>
        <v>77572865.136628106</v>
      </c>
      <c r="W103" s="68"/>
      <c r="X103" s="68">
        <f>IF(AND(H103=1,D103&lt;15),Assumptions!$D$10*N103+Assumptions!$D$11*(1+Assumptions!$D$16)^(B103-1)*$I$7,0)</f>
        <v>0</v>
      </c>
      <c r="Y103" s="66">
        <f>Assumptions!$C$13*N103</f>
        <v>0</v>
      </c>
      <c r="Z103" s="66">
        <f>NPV(Assumptions!$D$19,N103:$N$259)*(1+Assumptions!$D$19)</f>
        <v>43772312.443649188</v>
      </c>
      <c r="AA103" s="69">
        <f t="shared" si="22"/>
        <v>403400.9498833972</v>
      </c>
      <c r="AC103" s="68">
        <f t="shared" si="23"/>
        <v>77572865.136628106</v>
      </c>
      <c r="AD103" s="68"/>
      <c r="AE103" s="68"/>
      <c r="AF103" s="68"/>
      <c r="AG103" s="68"/>
      <c r="AH103" s="68"/>
      <c r="AI103" s="68"/>
      <c r="AK103" s="68"/>
      <c r="AL103" s="71">
        <f t="shared" si="17"/>
        <v>0</v>
      </c>
    </row>
    <row r="104" spans="2:38" x14ac:dyDescent="0.2">
      <c r="B104" s="5">
        <f t="shared" si="13"/>
        <v>97</v>
      </c>
      <c r="C104" s="5">
        <f t="shared" si="14"/>
        <v>97</v>
      </c>
      <c r="D104" s="5">
        <f t="shared" si="15"/>
        <v>8</v>
      </c>
      <c r="E104" s="5">
        <f t="shared" si="16"/>
        <v>54</v>
      </c>
      <c r="F104" s="65">
        <f>1-(1-VLOOKUP($E104,'Annual Mortality Rates'!$B$5:$C$105,2,FALSE))^(1/12)</f>
        <v>1.7349879770289789E-4</v>
      </c>
      <c r="G104" s="76">
        <f>IF(D104+1&gt;Assumptions!$H$9,100%,1-(1-IF(D104&gt;=7,2%,VLOOKUP($D104,'Annual Lapse Rates'!$B$4:$C$14,2,FALSE)))^(1/12))</f>
        <v>1.6821425527395739E-3</v>
      </c>
      <c r="H104" s="82">
        <f t="shared" si="24"/>
        <v>1</v>
      </c>
      <c r="I104" s="66">
        <f t="shared" si="18"/>
        <v>3097.4500748405185</v>
      </c>
      <c r="J104" s="67">
        <f t="shared" si="19"/>
        <v>0.5384029467006789</v>
      </c>
      <c r="K104" s="67">
        <f t="shared" si="20"/>
        <v>5.2200390962735854</v>
      </c>
      <c r="M104" s="68">
        <f t="shared" si="25"/>
        <v>77572865.136628106</v>
      </c>
      <c r="N104" s="68">
        <f>IF(AND(H104=1,D104&lt;15),Assumptions!$H$4*I103,0)</f>
        <v>7758021.2922087321</v>
      </c>
      <c r="O104" s="68"/>
      <c r="P104" s="91">
        <f>$M104*(1+VLOOKUP($H104,Assumptions!$C$22:$D$33,2,FALSE))*F104</f>
        <v>13500.85758193519</v>
      </c>
      <c r="Q104" s="91">
        <f>$M104*(1+VLOOKUP($H104,Assumptions!$C$22:$D$33,2,FALSE))*G104</f>
        <v>130896.39431357608</v>
      </c>
      <c r="R104" s="68">
        <f>IF(AND(H104=12,D104&lt;15),Assumptions!$C$7*M104,0)</f>
        <v>0</v>
      </c>
      <c r="S104" s="69">
        <f>M104*Assumptions!$D$17</f>
        <v>316041.45481888275</v>
      </c>
      <c r="T104" s="69">
        <f t="shared" si="21"/>
        <v>0</v>
      </c>
      <c r="U104" s="68">
        <f>T104+AE104*(1+Assumptions!$D$17)</f>
        <v>0</v>
      </c>
      <c r="V104" s="68">
        <f>(M104+N104-O104)*(1+Assumptions!$D$17)-(P104+Q104)*(1+Assumptions!$D$17)^0.5-R104-T104</f>
        <v>85533843.923669919</v>
      </c>
      <c r="W104" s="68"/>
      <c r="X104" s="68">
        <f>IF(AND(H104=1,D104&lt;15),Assumptions!$D$10*N104+Assumptions!$D$11*(1+Assumptions!$D$16)^(B104-1)*$I$7,0)</f>
        <v>76869.036343617408</v>
      </c>
      <c r="Y104" s="66">
        <f>Assumptions!$C$13*N104</f>
        <v>38790.106461043659</v>
      </c>
      <c r="Z104" s="66">
        <f>NPV(Assumptions!$D$19,N104:$N$259)*(1+Assumptions!$D$19)</f>
        <v>43960227.170335867</v>
      </c>
      <c r="AA104" s="69">
        <f t="shared" si="22"/>
        <v>333635.6574241179</v>
      </c>
      <c r="AC104" s="68">
        <f t="shared" si="23"/>
        <v>85533843.923669919</v>
      </c>
      <c r="AD104" s="68"/>
      <c r="AE104" s="68"/>
      <c r="AF104" s="68"/>
      <c r="AG104" s="68"/>
      <c r="AH104" s="68"/>
      <c r="AI104" s="68"/>
      <c r="AK104" s="68"/>
      <c r="AL104" s="71">
        <f t="shared" si="17"/>
        <v>0</v>
      </c>
    </row>
    <row r="105" spans="2:38" x14ac:dyDescent="0.2">
      <c r="B105" s="5">
        <f t="shared" si="13"/>
        <v>98</v>
      </c>
      <c r="C105" s="5">
        <f t="shared" si="14"/>
        <v>98</v>
      </c>
      <c r="D105" s="5">
        <f t="shared" si="15"/>
        <v>8</v>
      </c>
      <c r="E105" s="5">
        <f t="shared" si="16"/>
        <v>54</v>
      </c>
      <c r="F105" s="65">
        <f>1-(1-VLOOKUP($E105,'Annual Mortality Rates'!$B$5:$C$105,2,FALSE))^(1/12)</f>
        <v>1.7349879770289789E-4</v>
      </c>
      <c r="G105" s="76">
        <f>IF(D105+1&gt;Assumptions!$H$9,100%,1-(1-IF(D105&gt;=7,2%,VLOOKUP($D105,'Annual Lapse Rates'!$B$4:$C$14,2,FALSE)))^(1/12))</f>
        <v>1.6821425527395739E-3</v>
      </c>
      <c r="H105" s="82">
        <f t="shared" si="24"/>
        <v>2</v>
      </c>
      <c r="I105" s="66">
        <f t="shared" si="18"/>
        <v>3091.702318400713</v>
      </c>
      <c r="J105" s="67">
        <f t="shared" si="19"/>
        <v>0.53740386392958106</v>
      </c>
      <c r="K105" s="67">
        <f t="shared" si="20"/>
        <v>5.2103525758756142</v>
      </c>
      <c r="M105" s="68">
        <f t="shared" si="25"/>
        <v>85533843.923669919</v>
      </c>
      <c r="N105" s="68">
        <f>IF(AND(H105=1,D105&lt;15),Assumptions!$H$4*I104,0)</f>
        <v>0</v>
      </c>
      <c r="O105" s="68"/>
      <c r="P105" s="91">
        <f>$M105*(1+VLOOKUP($H105,Assumptions!$C$22:$D$33,2,FALSE))*F105</f>
        <v>14932.76920293695</v>
      </c>
      <c r="Q105" s="91">
        <f>$M105*(1+VLOOKUP($H105,Assumptions!$C$22:$D$33,2,FALSE))*G105</f>
        <v>144779.36930441161</v>
      </c>
      <c r="R105" s="68">
        <f>IF(AND(H105=12,D105&lt;15),Assumptions!$C$7*M105,0)</f>
        <v>0</v>
      </c>
      <c r="S105" s="69">
        <f>M105*Assumptions!$D$17</f>
        <v>348475.46783628984</v>
      </c>
      <c r="T105" s="69">
        <f t="shared" si="21"/>
        <v>0</v>
      </c>
      <c r="U105" s="68">
        <f>T105+AE105*(1+Assumptions!$D$17)</f>
        <v>0</v>
      </c>
      <c r="V105" s="68">
        <f>(M105+N105-O105)*(1+Assumptions!$D$17)-(P105+Q105)*(1+Assumptions!$D$17)^0.5-R105-T105</f>
        <v>85722282.240186974</v>
      </c>
      <c r="W105" s="68"/>
      <c r="X105" s="68">
        <f>IF(AND(H105=1,D105&lt;15),Assumptions!$D$10*N105+Assumptions!$D$11*(1+Assumptions!$D$16)^(B105-1)*$I$7,0)</f>
        <v>0</v>
      </c>
      <c r="Y105" s="66">
        <f>Assumptions!$C$13*N105</f>
        <v>0</v>
      </c>
      <c r="Z105" s="66">
        <f>NPV(Assumptions!$D$19,N105:$N$259)*(1+Assumptions!$D$19)</f>
        <v>36357622.104578525</v>
      </c>
      <c r="AA105" s="69">
        <f t="shared" si="22"/>
        <v>335067.95674480137</v>
      </c>
      <c r="AC105" s="68">
        <f t="shared" si="23"/>
        <v>85722282.240186974</v>
      </c>
      <c r="AD105" s="68"/>
      <c r="AE105" s="68"/>
      <c r="AF105" s="68"/>
      <c r="AG105" s="68"/>
      <c r="AH105" s="68"/>
      <c r="AI105" s="68"/>
      <c r="AK105" s="68"/>
      <c r="AL105" s="71">
        <f t="shared" si="17"/>
        <v>0</v>
      </c>
    </row>
    <row r="106" spans="2:38" x14ac:dyDescent="0.2">
      <c r="B106" s="5">
        <f t="shared" si="13"/>
        <v>99</v>
      </c>
      <c r="C106" s="5">
        <f t="shared" si="14"/>
        <v>99</v>
      </c>
      <c r="D106" s="5">
        <f t="shared" si="15"/>
        <v>8</v>
      </c>
      <c r="E106" s="5">
        <f t="shared" si="16"/>
        <v>54</v>
      </c>
      <c r="F106" s="65">
        <f>1-(1-VLOOKUP($E106,'Annual Mortality Rates'!$B$5:$C$105,2,FALSE))^(1/12)</f>
        <v>1.7349879770289789E-4</v>
      </c>
      <c r="G106" s="76">
        <f>IF(D106+1&gt;Assumptions!$H$9,100%,1-(1-IF(D106&gt;=7,2%,VLOOKUP($D106,'Annual Lapse Rates'!$B$4:$C$14,2,FALSE)))^(1/12))</f>
        <v>1.6821425527395739E-3</v>
      </c>
      <c r="H106" s="82">
        <f t="shared" si="24"/>
        <v>3</v>
      </c>
      <c r="I106" s="66">
        <f t="shared" si="18"/>
        <v>3085.9652277354298</v>
      </c>
      <c r="J106" s="67">
        <f t="shared" si="19"/>
        <v>0.53640663509778574</v>
      </c>
      <c r="K106" s="67">
        <f t="shared" si="20"/>
        <v>5.2006840301854345</v>
      </c>
      <c r="M106" s="68">
        <f t="shared" si="25"/>
        <v>85722282.240186974</v>
      </c>
      <c r="N106" s="68">
        <f>IF(AND(H106=1,D106&lt;15),Assumptions!$H$4*I105,0)</f>
        <v>0</v>
      </c>
      <c r="O106" s="68"/>
      <c r="P106" s="91">
        <f>$M106*(1+VLOOKUP($H106,Assumptions!$C$22:$D$33,2,FALSE))*F106</f>
        <v>15012.144588505485</v>
      </c>
      <c r="Q106" s="91">
        <f>$M106*(1+VLOOKUP($H106,Assumptions!$C$22:$D$33,2,FALSE))*G106</f>
        <v>145548.94647424069</v>
      </c>
      <c r="R106" s="68">
        <f>IF(AND(H106=12,D106&lt;15),Assumptions!$C$7*M106,0)</f>
        <v>0</v>
      </c>
      <c r="S106" s="69">
        <f>M106*Assumptions!$D$17</f>
        <v>349243.18886336259</v>
      </c>
      <c r="T106" s="69">
        <f t="shared" si="21"/>
        <v>0</v>
      </c>
      <c r="U106" s="68">
        <f>T106+AE106*(1+Assumptions!$D$17)</f>
        <v>0</v>
      </c>
      <c r="V106" s="68">
        <f>(M106+N106-O106)*(1+Assumptions!$D$17)-(P106+Q106)*(1+Assumptions!$D$17)^0.5-R106-T106</f>
        <v>85910637.597564638</v>
      </c>
      <c r="W106" s="68"/>
      <c r="X106" s="68">
        <f>IF(AND(H106=1,D106&lt;15),Assumptions!$D$10*N106+Assumptions!$D$11*(1+Assumptions!$D$16)^(B106-1)*$I$7,0)</f>
        <v>0</v>
      </c>
      <c r="Y106" s="66">
        <f>Assumptions!$C$13*N106</f>
        <v>0</v>
      </c>
      <c r="Z106" s="66">
        <f>NPV(Assumptions!$D$19,N106:$N$259)*(1+Assumptions!$D$19)</f>
        <v>36513705.533562429</v>
      </c>
      <c r="AA106" s="69">
        <f t="shared" si="22"/>
        <v>336506.40493266488</v>
      </c>
      <c r="AC106" s="68">
        <f t="shared" si="23"/>
        <v>85910637.597564638</v>
      </c>
      <c r="AD106" s="68"/>
      <c r="AE106" s="68"/>
      <c r="AF106" s="68"/>
      <c r="AG106" s="68"/>
      <c r="AH106" s="68"/>
      <c r="AI106" s="68"/>
      <c r="AK106" s="68"/>
      <c r="AL106" s="71">
        <f t="shared" si="17"/>
        <v>0</v>
      </c>
    </row>
    <row r="107" spans="2:38" x14ac:dyDescent="0.2">
      <c r="B107" s="5">
        <f t="shared" si="13"/>
        <v>100</v>
      </c>
      <c r="C107" s="5">
        <f t="shared" si="14"/>
        <v>100</v>
      </c>
      <c r="D107" s="5">
        <f t="shared" si="15"/>
        <v>8</v>
      </c>
      <c r="E107" s="5">
        <f t="shared" si="16"/>
        <v>54</v>
      </c>
      <c r="F107" s="65">
        <f>1-(1-VLOOKUP($E107,'Annual Mortality Rates'!$B$5:$C$105,2,FALSE))^(1/12)</f>
        <v>1.7349879770289789E-4</v>
      </c>
      <c r="G107" s="76">
        <f>IF(D107+1&gt;Assumptions!$H$9,100%,1-(1-IF(D107&gt;=7,2%,VLOOKUP($D107,'Annual Lapse Rates'!$B$4:$C$14,2,FALSE)))^(1/12))</f>
        <v>1.6821425527395739E-3</v>
      </c>
      <c r="H107" s="82">
        <f t="shared" si="24"/>
        <v>4</v>
      </c>
      <c r="I107" s="66">
        <f t="shared" si="18"/>
        <v>3080.2387830528164</v>
      </c>
      <c r="J107" s="67">
        <f t="shared" si="19"/>
        <v>0.53541125676504653</v>
      </c>
      <c r="K107" s="67">
        <f t="shared" si="20"/>
        <v>5.1910334258484365</v>
      </c>
      <c r="M107" s="68">
        <f t="shared" si="25"/>
        <v>85910637.597564638</v>
      </c>
      <c r="N107" s="68">
        <f>IF(AND(H107=1,D107&lt;15),Assumptions!$H$4*I106,0)</f>
        <v>0</v>
      </c>
      <c r="O107" s="68"/>
      <c r="P107" s="91">
        <f>$M107*(1+VLOOKUP($H107,Assumptions!$C$22:$D$33,2,FALSE))*F107</f>
        <v>15091.709737230176</v>
      </c>
      <c r="Q107" s="91">
        <f>$M107*(1+VLOOKUP($H107,Assumptions!$C$22:$D$33,2,FALSE))*G107</f>
        <v>146320.36347629994</v>
      </c>
      <c r="R107" s="68">
        <f>IF(AND(H107=12,D107&lt;15),Assumptions!$C$7*M107,0)</f>
        <v>0</v>
      </c>
      <c r="S107" s="69">
        <f>M107*Assumptions!$D$17</f>
        <v>350010.57190463255</v>
      </c>
      <c r="T107" s="69">
        <f t="shared" si="21"/>
        <v>0</v>
      </c>
      <c r="U107" s="68">
        <f>T107+AE107*(1+Assumptions!$D$17)</f>
        <v>0</v>
      </c>
      <c r="V107" s="68">
        <f>(M107+N107-O107)*(1+Assumptions!$D$17)-(P107+Q107)*(1+Assumptions!$D$17)^0.5-R107-T107</f>
        <v>86098907.624091506</v>
      </c>
      <c r="W107" s="68"/>
      <c r="X107" s="68">
        <f>IF(AND(H107=1,D107&lt;15),Assumptions!$D$10*N107+Assumptions!$D$11*(1+Assumptions!$D$16)^(B107-1)*$I$7,0)</f>
        <v>0</v>
      </c>
      <c r="Y107" s="66">
        <f>Assumptions!$C$13*N107</f>
        <v>0</v>
      </c>
      <c r="Z107" s="66">
        <f>NPV(Assumptions!$D$19,N107:$N$259)*(1+Assumptions!$D$19)</f>
        <v>36670459.029382199</v>
      </c>
      <c r="AA107" s="69">
        <f t="shared" si="22"/>
        <v>337951.0283848219</v>
      </c>
      <c r="AC107" s="68">
        <f t="shared" si="23"/>
        <v>86098907.624091506</v>
      </c>
      <c r="AD107" s="68"/>
      <c r="AE107" s="68"/>
      <c r="AF107" s="68"/>
      <c r="AG107" s="68"/>
      <c r="AH107" s="68"/>
      <c r="AI107" s="68"/>
      <c r="AK107" s="68"/>
      <c r="AL107" s="71">
        <f t="shared" si="17"/>
        <v>0</v>
      </c>
    </row>
    <row r="108" spans="2:38" x14ac:dyDescent="0.2">
      <c r="B108" s="5">
        <f t="shared" si="13"/>
        <v>101</v>
      </c>
      <c r="C108" s="5">
        <f t="shared" si="14"/>
        <v>101</v>
      </c>
      <c r="D108" s="5">
        <f t="shared" si="15"/>
        <v>8</v>
      </c>
      <c r="E108" s="5">
        <f t="shared" si="16"/>
        <v>54</v>
      </c>
      <c r="F108" s="65">
        <f>1-(1-VLOOKUP($E108,'Annual Mortality Rates'!$B$5:$C$105,2,FALSE))^(1/12)</f>
        <v>1.7349879770289789E-4</v>
      </c>
      <c r="G108" s="76">
        <f>IF(D108+1&gt;Assumptions!$H$9,100%,1-(1-IF(D108&gt;=7,2%,VLOOKUP($D108,'Annual Lapse Rates'!$B$4:$C$14,2,FALSE)))^(1/12))</f>
        <v>1.6821425527395739E-3</v>
      </c>
      <c r="H108" s="82">
        <f t="shared" si="24"/>
        <v>5</v>
      </c>
      <c r="I108" s="66">
        <f t="shared" si="18"/>
        <v>3074.522964597747</v>
      </c>
      <c r="J108" s="67">
        <f t="shared" si="19"/>
        <v>0.53441772549750099</v>
      </c>
      <c r="K108" s="67">
        <f t="shared" si="20"/>
        <v>5.1814007295719033</v>
      </c>
      <c r="M108" s="68">
        <f t="shared" si="25"/>
        <v>86098907.624091506</v>
      </c>
      <c r="N108" s="68">
        <f>IF(AND(H108=1,D108&lt;15),Assumptions!$H$4*I107,0)</f>
        <v>0</v>
      </c>
      <c r="O108" s="68"/>
      <c r="P108" s="91">
        <f>$M108*(1+VLOOKUP($H108,Assumptions!$C$22:$D$33,2,FALSE))*F108</f>
        <v>15171.464096255131</v>
      </c>
      <c r="Q108" s="91">
        <f>$M108*(1+VLOOKUP($H108,Assumptions!$C$22:$D$33,2,FALSE))*G108</f>
        <v>147093.61495042301</v>
      </c>
      <c r="R108" s="68">
        <f>IF(AND(H108=12,D108&lt;15),Assumptions!$C$7*M108,0)</f>
        <v>0</v>
      </c>
      <c r="S108" s="69">
        <f>M108*Assumptions!$D$17</f>
        <v>350777.60729745374</v>
      </c>
      <c r="T108" s="69">
        <f t="shared" si="21"/>
        <v>0</v>
      </c>
      <c r="U108" s="68">
        <f>T108+AE108*(1+Assumptions!$D$17)</f>
        <v>0</v>
      </c>
      <c r="V108" s="68">
        <f>(M108+N108-O108)*(1+Assumptions!$D$17)-(P108+Q108)*(1+Assumptions!$D$17)^0.5-R108-T108</f>
        <v>86287089.944318607</v>
      </c>
      <c r="W108" s="68"/>
      <c r="X108" s="68">
        <f>IF(AND(H108=1,D108&lt;15),Assumptions!$D$10*N108+Assumptions!$D$11*(1+Assumptions!$D$16)^(B108-1)*$I$7,0)</f>
        <v>0</v>
      </c>
      <c r="Y108" s="66">
        <f>Assumptions!$C$13*N108</f>
        <v>0</v>
      </c>
      <c r="Z108" s="66">
        <f>NPV(Assumptions!$D$19,N108:$N$259)*(1+Assumptions!$D$19)</f>
        <v>36827885.468637668</v>
      </c>
      <c r="AA108" s="69">
        <f t="shared" si="22"/>
        <v>339401.85361170868</v>
      </c>
      <c r="AC108" s="68">
        <f t="shared" si="23"/>
        <v>86287089.944318607</v>
      </c>
      <c r="AD108" s="68"/>
      <c r="AE108" s="68"/>
      <c r="AF108" s="68"/>
      <c r="AG108" s="68"/>
      <c r="AH108" s="68"/>
      <c r="AI108" s="68"/>
      <c r="AK108" s="68"/>
      <c r="AL108" s="71">
        <f t="shared" si="17"/>
        <v>0</v>
      </c>
    </row>
    <row r="109" spans="2:38" x14ac:dyDescent="0.2">
      <c r="B109" s="5">
        <f t="shared" si="13"/>
        <v>102</v>
      </c>
      <c r="C109" s="5">
        <f t="shared" si="14"/>
        <v>102</v>
      </c>
      <c r="D109" s="5">
        <f t="shared" si="15"/>
        <v>8</v>
      </c>
      <c r="E109" s="5">
        <f t="shared" si="16"/>
        <v>54</v>
      </c>
      <c r="F109" s="65">
        <f>1-(1-VLOOKUP($E109,'Annual Mortality Rates'!$B$5:$C$105,2,FALSE))^(1/12)</f>
        <v>1.7349879770289789E-4</v>
      </c>
      <c r="G109" s="76">
        <f>IF(D109+1&gt;Assumptions!$H$9,100%,1-(1-IF(D109&gt;=7,2%,VLOOKUP($D109,'Annual Lapse Rates'!$B$4:$C$14,2,FALSE)))^(1/12))</f>
        <v>1.6821425527395739E-3</v>
      </c>
      <c r="H109" s="82">
        <f t="shared" si="24"/>
        <v>6</v>
      </c>
      <c r="I109" s="66">
        <f t="shared" si="18"/>
        <v>3068.8177526517543</v>
      </c>
      <c r="J109" s="67">
        <f t="shared" si="19"/>
        <v>0.53342603786765841</v>
      </c>
      <c r="K109" s="67">
        <f t="shared" si="20"/>
        <v>5.1717859081248969</v>
      </c>
      <c r="M109" s="68">
        <f t="shared" si="25"/>
        <v>86287089.944318607</v>
      </c>
      <c r="N109" s="68">
        <f>IF(AND(H109=1,D109&lt;15),Assumptions!$H$4*I108,0)</f>
        <v>0</v>
      </c>
      <c r="O109" s="68"/>
      <c r="P109" s="91">
        <f>$M109*(1+VLOOKUP($H109,Assumptions!$C$22:$D$33,2,FALSE))*F109</f>
        <v>15251.407106920235</v>
      </c>
      <c r="Q109" s="91">
        <f>$M109*(1+VLOOKUP($H109,Assumptions!$C$22:$D$33,2,FALSE))*G109</f>
        <v>147868.69548016918</v>
      </c>
      <c r="R109" s="68">
        <f>IF(AND(H109=12,D109&lt;15),Assumptions!$C$7*M109,0)</f>
        <v>0</v>
      </c>
      <c r="S109" s="69">
        <f>M109*Assumptions!$D$17</f>
        <v>351544.28536395309</v>
      </c>
      <c r="T109" s="69">
        <f t="shared" si="21"/>
        <v>0</v>
      </c>
      <c r="U109" s="68">
        <f>T109+AE109*(1+Assumptions!$D$17)</f>
        <v>0</v>
      </c>
      <c r="V109" s="68">
        <f>(M109+N109-O109)*(1+Assumptions!$D$17)-(P109+Q109)*(1+Assumptions!$D$17)^0.5-R109-T109</f>
        <v>86475182.17910634</v>
      </c>
      <c r="W109" s="68"/>
      <c r="X109" s="68">
        <f>IF(AND(H109=1,D109&lt;15),Assumptions!$D$10*N109+Assumptions!$D$11*(1+Assumptions!$D$16)^(B109-1)*$I$7,0)</f>
        <v>0</v>
      </c>
      <c r="Y109" s="66">
        <f>Assumptions!$C$13*N109</f>
        <v>0</v>
      </c>
      <c r="Z109" s="66">
        <f>NPV(Assumptions!$D$19,N109:$N$259)*(1+Assumptions!$D$19)</f>
        <v>36985987.740277909</v>
      </c>
      <c r="AA109" s="69">
        <f t="shared" si="22"/>
        <v>340858.90723757097</v>
      </c>
      <c r="AC109" s="68">
        <f t="shared" si="23"/>
        <v>86475182.17910634</v>
      </c>
      <c r="AD109" s="68"/>
      <c r="AE109" s="68"/>
      <c r="AF109" s="68"/>
      <c r="AG109" s="68"/>
      <c r="AH109" s="68"/>
      <c r="AI109" s="68"/>
      <c r="AK109" s="68"/>
      <c r="AL109" s="71">
        <f t="shared" si="17"/>
        <v>0</v>
      </c>
    </row>
    <row r="110" spans="2:38" x14ac:dyDescent="0.2">
      <c r="B110" s="5">
        <f t="shared" si="13"/>
        <v>103</v>
      </c>
      <c r="C110" s="5">
        <f t="shared" si="14"/>
        <v>103</v>
      </c>
      <c r="D110" s="5">
        <f t="shared" si="15"/>
        <v>8</v>
      </c>
      <c r="E110" s="5">
        <f t="shared" si="16"/>
        <v>54</v>
      </c>
      <c r="F110" s="65">
        <f>1-(1-VLOOKUP($E110,'Annual Mortality Rates'!$B$5:$C$105,2,FALSE))^(1/12)</f>
        <v>1.7349879770289789E-4</v>
      </c>
      <c r="G110" s="76">
        <f>IF(D110+1&gt;Assumptions!$H$9,100%,1-(1-IF(D110&gt;=7,2%,VLOOKUP($D110,'Annual Lapse Rates'!$B$4:$C$14,2,FALSE)))^(1/12))</f>
        <v>1.6821425527395739E-3</v>
      </c>
      <c r="H110" s="82">
        <f t="shared" si="24"/>
        <v>7</v>
      </c>
      <c r="I110" s="66">
        <f t="shared" si="18"/>
        <v>3063.1231275329615</v>
      </c>
      <c r="J110" s="67">
        <f t="shared" si="19"/>
        <v>0.5324361904543885</v>
      </c>
      <c r="K110" s="67">
        <f t="shared" si="20"/>
        <v>5.1621889283381446</v>
      </c>
      <c r="M110" s="68">
        <f t="shared" si="25"/>
        <v>86475182.17910634</v>
      </c>
      <c r="N110" s="68">
        <f>IF(AND(H110=1,D110&lt;15),Assumptions!$H$4*I109,0)</f>
        <v>0</v>
      </c>
      <c r="O110" s="68"/>
      <c r="P110" s="91">
        <f>$M110*(1+VLOOKUP($H110,Assumptions!$C$22:$D$33,2,FALSE))*F110</f>
        <v>15331.538204759321</v>
      </c>
      <c r="Q110" s="91">
        <f>$M110*(1+VLOOKUP($H110,Assumptions!$C$22:$D$33,2,FALSE))*G110</f>
        <v>148645.59959280564</v>
      </c>
      <c r="R110" s="68">
        <f>IF(AND(H110=12,D110&lt;15),Assumptions!$C$7*M110,0)</f>
        <v>0</v>
      </c>
      <c r="S110" s="69">
        <f>M110*Assumptions!$D$17</f>
        <v>352310.59641122137</v>
      </c>
      <c r="T110" s="69">
        <f t="shared" si="21"/>
        <v>0</v>
      </c>
      <c r="U110" s="68">
        <f>T110+AE110*(1+Assumptions!$D$17)</f>
        <v>0</v>
      </c>
      <c r="V110" s="68">
        <f>(M110+N110-O110)*(1+Assumptions!$D$17)-(P110+Q110)*(1+Assumptions!$D$17)^0.5-R110-T110</f>
        <v>86663181.945671678</v>
      </c>
      <c r="W110" s="68"/>
      <c r="X110" s="68">
        <f>IF(AND(H110=1,D110&lt;15),Assumptions!$D$10*N110+Assumptions!$D$11*(1+Assumptions!$D$16)^(B110-1)*$I$7,0)</f>
        <v>0</v>
      </c>
      <c r="Y110" s="66">
        <f>Assumptions!$C$13*N110</f>
        <v>0</v>
      </c>
      <c r="Z110" s="66">
        <f>NPV(Assumptions!$D$19,N110:$N$259)*(1+Assumptions!$D$19)</f>
        <v>37144768.745654278</v>
      </c>
      <c r="AA110" s="69">
        <f t="shared" si="22"/>
        <v>342322.21600095258</v>
      </c>
      <c r="AC110" s="68">
        <f t="shared" si="23"/>
        <v>86663181.945671678</v>
      </c>
      <c r="AD110" s="68"/>
      <c r="AE110" s="68"/>
      <c r="AF110" s="68"/>
      <c r="AG110" s="68"/>
      <c r="AH110" s="68"/>
      <c r="AI110" s="68"/>
      <c r="AK110" s="68"/>
      <c r="AL110" s="71">
        <f t="shared" si="17"/>
        <v>0</v>
      </c>
    </row>
    <row r="111" spans="2:38" x14ac:dyDescent="0.2">
      <c r="B111" s="5">
        <f t="shared" si="13"/>
        <v>104</v>
      </c>
      <c r="C111" s="5">
        <f t="shared" si="14"/>
        <v>104</v>
      </c>
      <c r="D111" s="5">
        <f t="shared" si="15"/>
        <v>8</v>
      </c>
      <c r="E111" s="5">
        <f t="shared" si="16"/>
        <v>54</v>
      </c>
      <c r="F111" s="65">
        <f>1-(1-VLOOKUP($E111,'Annual Mortality Rates'!$B$5:$C$105,2,FALSE))^(1/12)</f>
        <v>1.7349879770289789E-4</v>
      </c>
      <c r="G111" s="76">
        <f>IF(D111+1&gt;Assumptions!$H$9,100%,1-(1-IF(D111&gt;=7,2%,VLOOKUP($D111,'Annual Lapse Rates'!$B$4:$C$14,2,FALSE)))^(1/12))</f>
        <v>1.6821425527395739E-3</v>
      </c>
      <c r="H111" s="82">
        <f t="shared" si="24"/>
        <v>8</v>
      </c>
      <c r="I111" s="66">
        <f t="shared" si="18"/>
        <v>3057.4390695960146</v>
      </c>
      <c r="J111" s="67">
        <f t="shared" si="19"/>
        <v>0.53144817984290915</v>
      </c>
      <c r="K111" s="67">
        <f t="shared" si="20"/>
        <v>5.1526097571039235</v>
      </c>
      <c r="M111" s="68">
        <f t="shared" si="25"/>
        <v>86663181.945671678</v>
      </c>
      <c r="N111" s="68">
        <f>IF(AND(H111=1,D111&lt;15),Assumptions!$H$4*I110,0)</f>
        <v>0</v>
      </c>
      <c r="O111" s="68"/>
      <c r="P111" s="91">
        <f>$M111*(1+VLOOKUP($H111,Assumptions!$C$22:$D$33,2,FALSE))*F111</f>
        <v>15411.85681949856</v>
      </c>
      <c r="Q111" s="91">
        <f>$M111*(1+VLOOKUP($H111,Assumptions!$C$22:$D$33,2,FALSE))*G111</f>
        <v>149424.32175929195</v>
      </c>
      <c r="R111" s="68">
        <f>IF(AND(H111=12,D111&lt;15),Assumptions!$C$7*M111,0)</f>
        <v>0</v>
      </c>
      <c r="S111" s="69">
        <f>M111*Assumptions!$D$17</f>
        <v>353076.5307315056</v>
      </c>
      <c r="T111" s="69">
        <f t="shared" si="21"/>
        <v>0</v>
      </c>
      <c r="U111" s="68">
        <f>T111+AE111*(1+Assumptions!$D$17)</f>
        <v>0</v>
      </c>
      <c r="V111" s="68">
        <f>(M111+N111-O111)*(1+Assumptions!$D$17)-(P111+Q111)*(1+Assumptions!$D$17)^0.5-R111-T111</f>
        <v>86851086.857635543</v>
      </c>
      <c r="W111" s="68"/>
      <c r="X111" s="68">
        <f>IF(AND(H111=1,D111&lt;15),Assumptions!$D$10*N111+Assumptions!$D$11*(1+Assumptions!$D$16)^(B111-1)*$I$7,0)</f>
        <v>0</v>
      </c>
      <c r="Y111" s="66">
        <f>Assumptions!$C$13*N111</f>
        <v>0</v>
      </c>
      <c r="Z111" s="66">
        <f>NPV(Assumptions!$D$19,N111:$N$259)*(1+Assumptions!$D$19)</f>
        <v>37304231.398573644</v>
      </c>
      <c r="AA111" s="69">
        <f t="shared" si="22"/>
        <v>343791.80675518588</v>
      </c>
      <c r="AC111" s="68">
        <f t="shared" si="23"/>
        <v>86851086.857635543</v>
      </c>
      <c r="AD111" s="68"/>
      <c r="AE111" s="68"/>
      <c r="AF111" s="68"/>
      <c r="AG111" s="68"/>
      <c r="AH111" s="68"/>
      <c r="AI111" s="68"/>
      <c r="AK111" s="68"/>
      <c r="AL111" s="71">
        <f t="shared" si="17"/>
        <v>0</v>
      </c>
    </row>
    <row r="112" spans="2:38" x14ac:dyDescent="0.2">
      <c r="B112" s="5">
        <f t="shared" si="13"/>
        <v>105</v>
      </c>
      <c r="C112" s="5">
        <f t="shared" si="14"/>
        <v>105</v>
      </c>
      <c r="D112" s="5">
        <f t="shared" si="15"/>
        <v>8</v>
      </c>
      <c r="E112" s="5">
        <f t="shared" si="16"/>
        <v>54</v>
      </c>
      <c r="F112" s="65">
        <f>1-(1-VLOOKUP($E112,'Annual Mortality Rates'!$B$5:$C$105,2,FALSE))^(1/12)</f>
        <v>1.7349879770289789E-4</v>
      </c>
      <c r="G112" s="76">
        <f>IF(D112+1&gt;Assumptions!$H$9,100%,1-(1-IF(D112&gt;=7,2%,VLOOKUP($D112,'Annual Lapse Rates'!$B$4:$C$14,2,FALSE)))^(1/12))</f>
        <v>1.6821425527395739E-3</v>
      </c>
      <c r="H112" s="82">
        <f t="shared" si="24"/>
        <v>9</v>
      </c>
      <c r="I112" s="66">
        <f t="shared" si="18"/>
        <v>3051.7655592320139</v>
      </c>
      <c r="J112" s="67">
        <f t="shared" si="19"/>
        <v>0.53046200262477528</v>
      </c>
      <c r="K112" s="67">
        <f t="shared" si="20"/>
        <v>5.1430483613759481</v>
      </c>
      <c r="M112" s="68">
        <f t="shared" si="25"/>
        <v>86851086.857635543</v>
      </c>
      <c r="N112" s="68">
        <f>IF(AND(H112=1,D112&lt;15),Assumptions!$H$4*I111,0)</f>
        <v>0</v>
      </c>
      <c r="O112" s="68"/>
      <c r="P112" s="91">
        <f>$M112*(1+VLOOKUP($H112,Assumptions!$C$22:$D$33,2,FALSE))*F112</f>
        <v>15492.362375055056</v>
      </c>
      <c r="Q112" s="91">
        <f>$M112*(1+VLOOKUP($H112,Assumptions!$C$22:$D$33,2,FALSE))*G112</f>
        <v>150204.85639426633</v>
      </c>
      <c r="R112" s="68">
        <f>IF(AND(H112=12,D112&lt;15),Assumptions!$C$7*M112,0)</f>
        <v>0</v>
      </c>
      <c r="S112" s="69">
        <f>M112*Assumptions!$D$17</f>
        <v>353842.07860240189</v>
      </c>
      <c r="T112" s="69">
        <f t="shared" si="21"/>
        <v>0</v>
      </c>
      <c r="U112" s="68">
        <f>T112+AE112*(1+Assumptions!$D$17)</f>
        <v>0</v>
      </c>
      <c r="V112" s="68">
        <f>(M112+N112-O112)*(1+Assumptions!$D$17)-(P112+Q112)*(1+Assumptions!$D$17)^0.5-R112-T112</f>
        <v>87038894.525070488</v>
      </c>
      <c r="W112" s="68"/>
      <c r="X112" s="68">
        <f>IF(AND(H112=1,D112&lt;15),Assumptions!$D$10*N112+Assumptions!$D$11*(1+Assumptions!$D$16)^(B112-1)*$I$7,0)</f>
        <v>0</v>
      </c>
      <c r="Y112" s="66">
        <f>Assumptions!$C$13*N112</f>
        <v>0</v>
      </c>
      <c r="Z112" s="66">
        <f>NPV(Assumptions!$D$19,N112:$N$259)*(1+Assumptions!$D$19)</f>
        <v>37464378.625351854</v>
      </c>
      <c r="AA112" s="69">
        <f t="shared" si="22"/>
        <v>345267.70646888477</v>
      </c>
      <c r="AC112" s="68">
        <f t="shared" si="23"/>
        <v>87038894.525070488</v>
      </c>
      <c r="AD112" s="68"/>
      <c r="AE112" s="68"/>
      <c r="AF112" s="68"/>
      <c r="AG112" s="68"/>
      <c r="AH112" s="68"/>
      <c r="AI112" s="68"/>
      <c r="AK112" s="68"/>
      <c r="AL112" s="71">
        <f t="shared" si="17"/>
        <v>0</v>
      </c>
    </row>
    <row r="113" spans="2:38" x14ac:dyDescent="0.2">
      <c r="B113" s="5">
        <f t="shared" si="13"/>
        <v>106</v>
      </c>
      <c r="C113" s="5">
        <f t="shared" si="14"/>
        <v>106</v>
      </c>
      <c r="D113" s="5">
        <f t="shared" si="15"/>
        <v>8</v>
      </c>
      <c r="E113" s="5">
        <f t="shared" si="16"/>
        <v>54</v>
      </c>
      <c r="F113" s="65">
        <f>1-(1-VLOOKUP($E113,'Annual Mortality Rates'!$B$5:$C$105,2,FALSE))^(1/12)</f>
        <v>1.7349879770289789E-4</v>
      </c>
      <c r="G113" s="76">
        <f>IF(D113+1&gt;Assumptions!$H$9,100%,1-(1-IF(D113&gt;=7,2%,VLOOKUP($D113,'Annual Lapse Rates'!$B$4:$C$14,2,FALSE)))^(1/12))</f>
        <v>1.6821425527395739E-3</v>
      </c>
      <c r="H113" s="82">
        <f t="shared" si="24"/>
        <v>10</v>
      </c>
      <c r="I113" s="66">
        <f t="shared" si="18"/>
        <v>3046.1025768684467</v>
      </c>
      <c r="J113" s="67">
        <f t="shared" si="19"/>
        <v>0.52947765539786618</v>
      </c>
      <c r="K113" s="67">
        <f t="shared" si="20"/>
        <v>5.1335047081692533</v>
      </c>
      <c r="M113" s="68">
        <f t="shared" si="25"/>
        <v>87038894.525070488</v>
      </c>
      <c r="N113" s="68">
        <f>IF(AND(H113=1,D113&lt;15),Assumptions!$H$4*I112,0)</f>
        <v>0</v>
      </c>
      <c r="O113" s="68"/>
      <c r="P113" s="91">
        <f>$M113*(1+VLOOKUP($H113,Assumptions!$C$22:$D$33,2,FALSE))*F113</f>
        <v>15573.054289535607</v>
      </c>
      <c r="Q113" s="91">
        <f>$M113*(1+VLOOKUP($H113,Assumptions!$C$22:$D$33,2,FALSE))*G113</f>
        <v>150987.19785603363</v>
      </c>
      <c r="R113" s="68">
        <f>IF(AND(H113=12,D113&lt;15),Assumptions!$C$7*M113,0)</f>
        <v>0</v>
      </c>
      <c r="S113" s="69">
        <f>M113*Assumptions!$D$17</f>
        <v>354607.23028705013</v>
      </c>
      <c r="T113" s="69">
        <f t="shared" si="21"/>
        <v>0</v>
      </c>
      <c r="U113" s="68">
        <f>T113+AE113*(1+Assumptions!$D$17)</f>
        <v>0</v>
      </c>
      <c r="V113" s="68">
        <f>(M113+N113-O113)*(1+Assumptions!$D$17)-(P113+Q113)*(1+Assumptions!$D$17)^0.5-R113-T113</f>
        <v>87226602.554548413</v>
      </c>
      <c r="W113" s="68"/>
      <c r="X113" s="68">
        <f>IF(AND(H113=1,D113&lt;15),Assumptions!$D$10*N113+Assumptions!$D$11*(1+Assumptions!$D$16)^(B113-1)*$I$7,0)</f>
        <v>0</v>
      </c>
      <c r="Y113" s="66">
        <f>Assumptions!$C$13*N113</f>
        <v>0</v>
      </c>
      <c r="Z113" s="66">
        <f>NPV(Assumptions!$D$19,N113:$N$259)*(1+Assumptions!$D$19)</f>
        <v>37625213.364867441</v>
      </c>
      <c r="AA113" s="69">
        <f t="shared" si="22"/>
        <v>346749.94222643954</v>
      </c>
      <c r="AC113" s="68">
        <f t="shared" si="23"/>
        <v>87226602.554548413</v>
      </c>
      <c r="AD113" s="68"/>
      <c r="AE113" s="68"/>
      <c r="AF113" s="68"/>
      <c r="AG113" s="68"/>
      <c r="AH113" s="68"/>
      <c r="AI113" s="68"/>
      <c r="AK113" s="68"/>
      <c r="AL113" s="71">
        <f t="shared" si="17"/>
        <v>0</v>
      </c>
    </row>
    <row r="114" spans="2:38" x14ac:dyDescent="0.2">
      <c r="B114" s="5">
        <f t="shared" si="13"/>
        <v>107</v>
      </c>
      <c r="C114" s="5">
        <f t="shared" si="14"/>
        <v>107</v>
      </c>
      <c r="D114" s="5">
        <f t="shared" si="15"/>
        <v>8</v>
      </c>
      <c r="E114" s="5">
        <f t="shared" si="16"/>
        <v>54</v>
      </c>
      <c r="F114" s="65">
        <f>1-(1-VLOOKUP($E114,'Annual Mortality Rates'!$B$5:$C$105,2,FALSE))^(1/12)</f>
        <v>1.7349879770289789E-4</v>
      </c>
      <c r="G114" s="76">
        <f>IF(D114+1&gt;Assumptions!$H$9,100%,1-(1-IF(D114&gt;=7,2%,VLOOKUP($D114,'Annual Lapse Rates'!$B$4:$C$14,2,FALSE)))^(1/12))</f>
        <v>1.6821425527395739E-3</v>
      </c>
      <c r="H114" s="82">
        <f t="shared" si="24"/>
        <v>11</v>
      </c>
      <c r="I114" s="66">
        <f t="shared" si="18"/>
        <v>3040.4501029691205</v>
      </c>
      <c r="J114" s="67">
        <f t="shared" si="19"/>
        <v>0.52849513476637455</v>
      </c>
      <c r="K114" s="67">
        <f t="shared" si="20"/>
        <v>5.1239787645600829</v>
      </c>
      <c r="M114" s="68">
        <f t="shared" si="25"/>
        <v>87226602.554548413</v>
      </c>
      <c r="N114" s="68">
        <f>IF(AND(H114=1,D114&lt;15),Assumptions!$H$4*I113,0)</f>
        <v>0</v>
      </c>
      <c r="O114" s="68"/>
      <c r="P114" s="91">
        <f>$M114*(1+VLOOKUP($H114,Assumptions!$C$22:$D$33,2,FALSE))*F114</f>
        <v>15653.931975235639</v>
      </c>
      <c r="Q114" s="91">
        <f>$M114*(1+VLOOKUP($H114,Assumptions!$C$22:$D$33,2,FALSE))*G114</f>
        <v>151771.34044655514</v>
      </c>
      <c r="R114" s="68">
        <f>IF(AND(H114=12,D114&lt;15),Assumptions!$C$7*M114,0)</f>
        <v>0</v>
      </c>
      <c r="S114" s="69">
        <f>M114*Assumptions!$D$17</f>
        <v>355371.97603432793</v>
      </c>
      <c r="T114" s="69">
        <f t="shared" si="21"/>
        <v>0</v>
      </c>
      <c r="U114" s="68">
        <f>T114+AE114*(1+Assumptions!$D$17)</f>
        <v>0</v>
      </c>
      <c r="V114" s="68">
        <f>(M114+N114-O114)*(1+Assumptions!$D$17)-(P114+Q114)*(1+Assumptions!$D$17)^0.5-R114-T114</f>
        <v>87414208.549188673</v>
      </c>
      <c r="W114" s="68"/>
      <c r="X114" s="68">
        <f>IF(AND(H114=1,D114&lt;15),Assumptions!$D$10*N114+Assumptions!$D$11*(1+Assumptions!$D$16)^(B114-1)*$I$7,0)</f>
        <v>0</v>
      </c>
      <c r="Y114" s="66">
        <f>Assumptions!$C$13*N114</f>
        <v>0</v>
      </c>
      <c r="Z114" s="66">
        <f>NPV(Assumptions!$D$19,N114:$N$259)*(1+Assumptions!$D$19)</f>
        <v>37786738.568615563</v>
      </c>
      <c r="AA114" s="69">
        <f t="shared" si="22"/>
        <v>348238.54122851399</v>
      </c>
      <c r="AC114" s="68">
        <f t="shared" si="23"/>
        <v>87414208.549188673</v>
      </c>
      <c r="AD114" s="68"/>
      <c r="AE114" s="68"/>
      <c r="AF114" s="68"/>
      <c r="AG114" s="68"/>
      <c r="AH114" s="68"/>
      <c r="AI114" s="68"/>
      <c r="AK114" s="68"/>
      <c r="AL114" s="71">
        <f t="shared" si="17"/>
        <v>0</v>
      </c>
    </row>
    <row r="115" spans="2:38" x14ac:dyDescent="0.2">
      <c r="B115" s="5">
        <f t="shared" si="13"/>
        <v>108</v>
      </c>
      <c r="C115" s="5">
        <f t="shared" si="14"/>
        <v>108</v>
      </c>
      <c r="D115" s="5">
        <f t="shared" si="15"/>
        <v>8</v>
      </c>
      <c r="E115" s="5">
        <f t="shared" si="16"/>
        <v>54</v>
      </c>
      <c r="F115" s="65">
        <f>1-(1-VLOOKUP($E115,'Annual Mortality Rates'!$B$5:$C$105,2,FALSE))^(1/12)</f>
        <v>1.7349879770289789E-4</v>
      </c>
      <c r="G115" s="76">
        <f>IF(D115+1&gt;Assumptions!$H$9,100%,1-(1-IF(D115&gt;=7,2%,VLOOKUP($D115,'Annual Lapse Rates'!$B$4:$C$14,2,FALSE)))^(1/12))</f>
        <v>1.6821425527395739E-3</v>
      </c>
      <c r="H115" s="82">
        <f t="shared" si="24"/>
        <v>12</v>
      </c>
      <c r="I115" s="66">
        <f t="shared" si="18"/>
        <v>3034.8081180340937</v>
      </c>
      <c r="J115" s="67">
        <f t="shared" si="19"/>
        <v>0.52751443734079451</v>
      </c>
      <c r="K115" s="67">
        <f t="shared" si="20"/>
        <v>5.1144704976857769</v>
      </c>
      <c r="M115" s="68">
        <f t="shared" si="25"/>
        <v>87414208.549188673</v>
      </c>
      <c r="N115" s="68">
        <f>IF(AND(H115=1,D115&lt;15),Assumptions!$H$4*I114,0)</f>
        <v>0</v>
      </c>
      <c r="O115" s="68"/>
      <c r="P115" s="91">
        <f>$M115*(1+VLOOKUP($H115,Assumptions!$C$22:$D$33,2,FALSE))*F115</f>
        <v>15734.994838638411</v>
      </c>
      <c r="Q115" s="91">
        <f>$M115*(1+VLOOKUP($H115,Assumptions!$C$22:$D$33,2,FALSE))*G115</f>
        <v>152557.27841144078</v>
      </c>
      <c r="R115" s="68">
        <f>IF(AND(H115=12,D115&lt;15),Assumptions!$C$7*M115,0)</f>
        <v>43707.104274594334</v>
      </c>
      <c r="S115" s="69">
        <f>M115*Assumptions!$D$17</f>
        <v>356136.3060790468</v>
      </c>
      <c r="T115" s="69">
        <f t="shared" si="21"/>
        <v>0</v>
      </c>
      <c r="U115" s="68">
        <f>T115+AE115*(1+Assumptions!$D$17)</f>
        <v>0</v>
      </c>
      <c r="V115" s="68">
        <f>(M115+N115-O115)*(1+Assumptions!$D$17)-(P115+Q115)*(1+Assumptions!$D$17)^0.5-R115-T115</f>
        <v>87558003.00443162</v>
      </c>
      <c r="W115" s="68"/>
      <c r="X115" s="68">
        <f>IF(AND(H115=1,D115&lt;15),Assumptions!$D$10*N115+Assumptions!$D$11*(1+Assumptions!$D$16)^(B115-1)*$I$7,0)</f>
        <v>0</v>
      </c>
      <c r="Y115" s="66">
        <f>Assumptions!$C$13*N115</f>
        <v>0</v>
      </c>
      <c r="Z115" s="66">
        <f>NPV(Assumptions!$D$19,N115:$N$259)*(1+Assumptions!$D$19)</f>
        <v>37948957.200762175</v>
      </c>
      <c r="AA115" s="69">
        <f t="shared" si="22"/>
        <v>349733.53079254413</v>
      </c>
      <c r="AC115" s="68">
        <f t="shared" si="23"/>
        <v>87558003.00443162</v>
      </c>
      <c r="AD115" s="68"/>
      <c r="AE115" s="68"/>
      <c r="AF115" s="68"/>
      <c r="AG115" s="68"/>
      <c r="AH115" s="68"/>
      <c r="AI115" s="68"/>
      <c r="AK115" s="68"/>
      <c r="AL115" s="71">
        <f t="shared" si="17"/>
        <v>0</v>
      </c>
    </row>
    <row r="116" spans="2:38" x14ac:dyDescent="0.2">
      <c r="B116" s="5">
        <f t="shared" si="13"/>
        <v>109</v>
      </c>
      <c r="C116" s="5">
        <f t="shared" si="14"/>
        <v>109</v>
      </c>
      <c r="D116" s="5">
        <f t="shared" si="15"/>
        <v>9</v>
      </c>
      <c r="E116" s="5">
        <f t="shared" si="16"/>
        <v>55</v>
      </c>
      <c r="F116" s="65">
        <f>1-(1-VLOOKUP($E116,'Annual Mortality Rates'!$B$5:$C$105,2,FALSE))^(1/12)</f>
        <v>1.9186901267576051E-4</v>
      </c>
      <c r="G116" s="76">
        <f>IF(D116+1&gt;Assumptions!$H$9,100%,1-(1-IF(D116&gt;=7,2%,VLOOKUP($D116,'Annual Lapse Rates'!$B$4:$C$14,2,FALSE)))^(1/12))</f>
        <v>1.6821425527395739E-3</v>
      </c>
      <c r="H116" s="82">
        <f t="shared" si="24"/>
        <v>1</v>
      </c>
      <c r="I116" s="66">
        <f t="shared" si="18"/>
        <v>3029.1208525220818</v>
      </c>
      <c r="J116" s="67">
        <f t="shared" si="19"/>
        <v>0.58228563726758442</v>
      </c>
      <c r="K116" s="67">
        <f t="shared" si="20"/>
        <v>5.1049798747446529</v>
      </c>
      <c r="M116" s="68">
        <f t="shared" si="25"/>
        <v>87558003.00443162</v>
      </c>
      <c r="N116" s="68">
        <f>IF(AND(H116=1,D116&lt;15),Assumptions!$H$4*I115,0)</f>
        <v>7587020.2950852346</v>
      </c>
      <c r="O116" s="68"/>
      <c r="P116" s="91">
        <f>$M116*(1+VLOOKUP($H116,Assumptions!$C$22:$D$33,2,FALSE))*F116</f>
        <v>16852.166549535072</v>
      </c>
      <c r="Q116" s="91">
        <f>$M116*(1+VLOOKUP($H116,Assumptions!$C$22:$D$33,2,FALSE))*G116</f>
        <v>147745.30844504968</v>
      </c>
      <c r="R116" s="68">
        <f>IF(AND(H116=12,D116&lt;15),Assumptions!$C$7*M116,0)</f>
        <v>0</v>
      </c>
      <c r="S116" s="69">
        <f>M116*Assumptions!$D$17</f>
        <v>356722.14248910884</v>
      </c>
      <c r="T116" s="69">
        <f t="shared" si="21"/>
        <v>0</v>
      </c>
      <c r="U116" s="68">
        <f>T116+AE116*(1+Assumptions!$D$17)</f>
        <v>0</v>
      </c>
      <c r="V116" s="68">
        <f>(M116+N116-O116)*(1+Assumptions!$D$17)-(P116+Q116)*(1+Assumptions!$D$17)^0.5-R116-T116</f>
        <v>95367723.47241348</v>
      </c>
      <c r="W116" s="68"/>
      <c r="X116" s="68">
        <f>IF(AND(H116=1,D116&lt;15),Assumptions!$D$10*N116+Assumptions!$D$11*(1+Assumptions!$D$16)^(B116-1)*$I$7,0)</f>
        <v>76775.609955651424</v>
      </c>
      <c r="Y116" s="66">
        <f>Assumptions!$C$13*N116</f>
        <v>37935.101475426171</v>
      </c>
      <c r="Z116" s="66">
        <f>NPV(Assumptions!$D$19,N116:$N$259)*(1+Assumptions!$D$19)</f>
        <v>38111872.238198362</v>
      </c>
      <c r="AA116" s="69">
        <f t="shared" si="22"/>
        <v>281313.77077128738</v>
      </c>
      <c r="AC116" s="68">
        <f t="shared" si="23"/>
        <v>95367723.47241348</v>
      </c>
      <c r="AD116" s="68"/>
      <c r="AE116" s="68"/>
      <c r="AF116" s="68"/>
      <c r="AG116" s="68"/>
      <c r="AH116" s="68"/>
      <c r="AI116" s="68"/>
      <c r="AK116" s="68"/>
      <c r="AL116" s="71">
        <f t="shared" si="17"/>
        <v>0</v>
      </c>
    </row>
    <row r="117" spans="2:38" x14ac:dyDescent="0.2">
      <c r="B117" s="5">
        <f t="shared" si="13"/>
        <v>110</v>
      </c>
      <c r="C117" s="5">
        <f t="shared" si="14"/>
        <v>110</v>
      </c>
      <c r="D117" s="5">
        <f t="shared" si="15"/>
        <v>9</v>
      </c>
      <c r="E117" s="5">
        <f t="shared" si="16"/>
        <v>55</v>
      </c>
      <c r="F117" s="65">
        <f>1-(1-VLOOKUP($E117,'Annual Mortality Rates'!$B$5:$C$105,2,FALSE))^(1/12)</f>
        <v>1.9186901267576051E-4</v>
      </c>
      <c r="G117" s="76">
        <f>IF(D117+1&gt;Assumptions!$H$9,100%,1-(1-IF(D117&gt;=7,2%,VLOOKUP($D117,'Annual Lapse Rates'!$B$4:$C$14,2,FALSE)))^(1/12))</f>
        <v>1.6821425527395739E-3</v>
      </c>
      <c r="H117" s="82">
        <f t="shared" si="24"/>
        <v>2</v>
      </c>
      <c r="I117" s="66">
        <f t="shared" si="18"/>
        <v>3023.4442450114148</v>
      </c>
      <c r="J117" s="67">
        <f t="shared" si="19"/>
        <v>0.58119442724896975</v>
      </c>
      <c r="K117" s="67">
        <f t="shared" si="20"/>
        <v>5.095413083418169</v>
      </c>
      <c r="M117" s="68">
        <f t="shared" si="25"/>
        <v>95367723.47241348</v>
      </c>
      <c r="N117" s="68">
        <f>IF(AND(H117=1,D117&lt;15),Assumptions!$H$4*I116,0)</f>
        <v>0</v>
      </c>
      <c r="O117" s="68"/>
      <c r="P117" s="91">
        <f>$M117*(1+VLOOKUP($H117,Assumptions!$C$22:$D$33,2,FALSE))*F117</f>
        <v>18412.474137185593</v>
      </c>
      <c r="Q117" s="91">
        <f>$M117*(1+VLOOKUP($H117,Assumptions!$C$22:$D$33,2,FALSE))*G117</f>
        <v>161424.74397216519</v>
      </c>
      <c r="R117" s="68">
        <f>IF(AND(H117=12,D117&lt;15),Assumptions!$C$7*M117,0)</f>
        <v>0</v>
      </c>
      <c r="S117" s="69">
        <f>M117*Assumptions!$D$17</f>
        <v>388539.91039135912</v>
      </c>
      <c r="T117" s="69">
        <f t="shared" si="21"/>
        <v>0</v>
      </c>
      <c r="U117" s="68">
        <f>T117+AE117*(1+Assumptions!$D$17)</f>
        <v>0</v>
      </c>
      <c r="V117" s="68">
        <f>(M117+N117-O117)*(1+Assumptions!$D$17)-(P117+Q117)*(1+Assumptions!$D$17)^0.5-R117-T117</f>
        <v>95576060.197521761</v>
      </c>
      <c r="W117" s="68"/>
      <c r="X117" s="68">
        <f>IF(AND(H117=1,D117&lt;15),Assumptions!$D$10*N117+Assumptions!$D$11*(1+Assumptions!$D$16)^(B117-1)*$I$7,0)</f>
        <v>0</v>
      </c>
      <c r="Y117" s="66">
        <f>Assumptions!$C$13*N117</f>
        <v>0</v>
      </c>
      <c r="Z117" s="66">
        <f>NPV(Assumptions!$D$19,N117:$N$259)*(1+Assumptions!$D$19)</f>
        <v>30655895.264560349</v>
      </c>
      <c r="AA117" s="69">
        <f t="shared" si="22"/>
        <v>282521.45200621733</v>
      </c>
      <c r="AC117" s="68">
        <f t="shared" si="23"/>
        <v>95576060.197521761</v>
      </c>
      <c r="AD117" s="68"/>
      <c r="AE117" s="68"/>
      <c r="AF117" s="68"/>
      <c r="AG117" s="68"/>
      <c r="AH117" s="68"/>
      <c r="AI117" s="68"/>
      <c r="AK117" s="68"/>
      <c r="AL117" s="71">
        <f t="shared" si="17"/>
        <v>0</v>
      </c>
    </row>
    <row r="118" spans="2:38" x14ac:dyDescent="0.2">
      <c r="B118" s="5">
        <f t="shared" si="13"/>
        <v>111</v>
      </c>
      <c r="C118" s="5">
        <f t="shared" si="14"/>
        <v>111</v>
      </c>
      <c r="D118" s="5">
        <f t="shared" si="15"/>
        <v>9</v>
      </c>
      <c r="E118" s="5">
        <f t="shared" si="16"/>
        <v>55</v>
      </c>
      <c r="F118" s="65">
        <f>1-(1-VLOOKUP($E118,'Annual Mortality Rates'!$B$5:$C$105,2,FALSE))^(1/12)</f>
        <v>1.9186901267576051E-4</v>
      </c>
      <c r="G118" s="76">
        <f>IF(D118+1&gt;Assumptions!$H$9,100%,1-(1-IF(D118&gt;=7,2%,VLOOKUP($D118,'Annual Lapse Rates'!$B$4:$C$14,2,FALSE)))^(1/12))</f>
        <v>1.6821425527395739E-3</v>
      </c>
      <c r="H118" s="82">
        <f t="shared" si="24"/>
        <v>3</v>
      </c>
      <c r="I118" s="66">
        <f t="shared" si="18"/>
        <v>3017.7782755288749</v>
      </c>
      <c r="J118" s="67">
        <f t="shared" si="19"/>
        <v>0.58010526217055025</v>
      </c>
      <c r="K118" s="67">
        <f t="shared" si="20"/>
        <v>5.0858642203692748</v>
      </c>
      <c r="M118" s="68">
        <f t="shared" si="25"/>
        <v>95576060.197521761</v>
      </c>
      <c r="N118" s="68">
        <f>IF(AND(H118=1,D118&lt;15),Assumptions!$H$4*I117,0)</f>
        <v>0</v>
      </c>
      <c r="O118" s="68"/>
      <c r="P118" s="91">
        <f>$M118*(1+VLOOKUP($H118,Assumptions!$C$22:$D$33,2,FALSE))*F118</f>
        <v>18510.003845901963</v>
      </c>
      <c r="Q118" s="91">
        <f>$M118*(1+VLOOKUP($H118,Assumptions!$C$22:$D$33,2,FALSE))*G118</f>
        <v>162279.80061158902</v>
      </c>
      <c r="R118" s="68">
        <f>IF(AND(H118=12,D118&lt;15),Assumptions!$C$7*M118,0)</f>
        <v>0</v>
      </c>
      <c r="S118" s="69">
        <f>M118*Assumptions!$D$17</f>
        <v>389388.69999813015</v>
      </c>
      <c r="T118" s="69">
        <f t="shared" si="21"/>
        <v>0</v>
      </c>
      <c r="U118" s="68">
        <f>T118+AE118*(1+Assumptions!$D$17)</f>
        <v>0</v>
      </c>
      <c r="V118" s="68">
        <f>(M118+N118-O118)*(1+Assumptions!$D$17)-(P118+Q118)*(1+Assumptions!$D$17)^0.5-R118-T118</f>
        <v>95784291.187383726</v>
      </c>
      <c r="W118" s="68"/>
      <c r="X118" s="68">
        <f>IF(AND(H118=1,D118&lt;15),Assumptions!$D$10*N118+Assumptions!$D$11*(1+Assumptions!$D$16)^(B118-1)*$I$7,0)</f>
        <v>0</v>
      </c>
      <c r="Y118" s="66">
        <f>Assumptions!$C$13*N118</f>
        <v>0</v>
      </c>
      <c r="Z118" s="66">
        <f>NPV(Assumptions!$D$19,N118:$N$259)*(1+Assumptions!$D$19)</f>
        <v>30787501.15555346</v>
      </c>
      <c r="AA118" s="69">
        <f t="shared" si="22"/>
        <v>283734.31782191346</v>
      </c>
      <c r="AC118" s="68">
        <f t="shared" si="23"/>
        <v>95784291.187383726</v>
      </c>
      <c r="AD118" s="68"/>
      <c r="AE118" s="68"/>
      <c r="AF118" s="68"/>
      <c r="AG118" s="68"/>
      <c r="AH118" s="68"/>
      <c r="AI118" s="68"/>
      <c r="AK118" s="68"/>
      <c r="AL118" s="71">
        <f t="shared" si="17"/>
        <v>0</v>
      </c>
    </row>
    <row r="119" spans="2:38" x14ac:dyDescent="0.2">
      <c r="B119" s="5">
        <f t="shared" si="13"/>
        <v>112</v>
      </c>
      <c r="C119" s="5">
        <f t="shared" si="14"/>
        <v>112</v>
      </c>
      <c r="D119" s="5">
        <f t="shared" si="15"/>
        <v>9</v>
      </c>
      <c r="E119" s="5">
        <f t="shared" si="16"/>
        <v>55</v>
      </c>
      <c r="F119" s="65">
        <f>1-(1-VLOOKUP($E119,'Annual Mortality Rates'!$B$5:$C$105,2,FALSE))^(1/12)</f>
        <v>1.9186901267576051E-4</v>
      </c>
      <c r="G119" s="76">
        <f>IF(D119+1&gt;Assumptions!$H$9,100%,1-(1-IF(D119&gt;=7,2%,VLOOKUP($D119,'Annual Lapse Rates'!$B$4:$C$14,2,FALSE)))^(1/12))</f>
        <v>1.6821425527395739E-3</v>
      </c>
      <c r="H119" s="82">
        <f t="shared" si="24"/>
        <v>4</v>
      </c>
      <c r="I119" s="66">
        <f t="shared" si="18"/>
        <v>3012.122924138675</v>
      </c>
      <c r="J119" s="67">
        <f t="shared" si="19"/>
        <v>0.57901813820008441</v>
      </c>
      <c r="K119" s="67">
        <f t="shared" si="20"/>
        <v>5.0763332520001709</v>
      </c>
      <c r="M119" s="68">
        <f t="shared" si="25"/>
        <v>95784291.187383726</v>
      </c>
      <c r="N119" s="68">
        <f>IF(AND(H119=1,D119&lt;15),Assumptions!$H$4*I118,0)</f>
        <v>0</v>
      </c>
      <c r="O119" s="68"/>
      <c r="P119" s="91">
        <f>$M119*(1+VLOOKUP($H119,Assumptions!$C$22:$D$33,2,FALSE))*F119</f>
        <v>18607.762847220496</v>
      </c>
      <c r="Q119" s="91">
        <f>$M119*(1+VLOOKUP($H119,Assumptions!$C$22:$D$33,2,FALSE))*G119</f>
        <v>163136.86749142502</v>
      </c>
      <c r="R119" s="68">
        <f>IF(AND(H119=12,D119&lt;15),Assumptions!$C$7*M119,0)</f>
        <v>0</v>
      </c>
      <c r="S119" s="69">
        <f>M119*Assumptions!$D$17</f>
        <v>390237.05882641941</v>
      </c>
      <c r="T119" s="69">
        <f t="shared" si="21"/>
        <v>0</v>
      </c>
      <c r="U119" s="68">
        <f>T119+AE119*(1+Assumptions!$D$17)</f>
        <v>0</v>
      </c>
      <c r="V119" s="68">
        <f>(M119+N119-O119)*(1+Assumptions!$D$17)-(P119+Q119)*(1+Assumptions!$D$17)^0.5-R119-T119</f>
        <v>95992413.767130479</v>
      </c>
      <c r="W119" s="68"/>
      <c r="X119" s="68">
        <f>IF(AND(H119=1,D119&lt;15),Assumptions!$D$10*N119+Assumptions!$D$11*(1+Assumptions!$D$16)^(B119-1)*$I$7,0)</f>
        <v>0</v>
      </c>
      <c r="Y119" s="66">
        <f>Assumptions!$C$13*N119</f>
        <v>0</v>
      </c>
      <c r="Z119" s="66">
        <f>NPV(Assumptions!$D$19,N119:$N$259)*(1+Assumptions!$D$19)</f>
        <v>30919672.031205956</v>
      </c>
      <c r="AA119" s="69">
        <f t="shared" si="22"/>
        <v>284952.39047580346</v>
      </c>
      <c r="AC119" s="68">
        <f t="shared" si="23"/>
        <v>95992413.767130479</v>
      </c>
      <c r="AD119" s="68"/>
      <c r="AE119" s="68"/>
      <c r="AF119" s="68"/>
      <c r="AG119" s="68"/>
      <c r="AH119" s="68"/>
      <c r="AI119" s="68"/>
      <c r="AK119" s="68"/>
      <c r="AL119" s="71">
        <f t="shared" si="17"/>
        <v>0</v>
      </c>
    </row>
    <row r="120" spans="2:38" x14ac:dyDescent="0.2">
      <c r="B120" s="5">
        <f t="shared" si="13"/>
        <v>113</v>
      </c>
      <c r="C120" s="5">
        <f t="shared" si="14"/>
        <v>113</v>
      </c>
      <c r="D120" s="5">
        <f t="shared" si="15"/>
        <v>9</v>
      </c>
      <c r="E120" s="5">
        <f t="shared" si="16"/>
        <v>55</v>
      </c>
      <c r="F120" s="65">
        <f>1-(1-VLOOKUP($E120,'Annual Mortality Rates'!$B$5:$C$105,2,FALSE))^(1/12)</f>
        <v>1.9186901267576051E-4</v>
      </c>
      <c r="G120" s="76">
        <f>IF(D120+1&gt;Assumptions!$H$9,100%,1-(1-IF(D120&gt;=7,2%,VLOOKUP($D120,'Annual Lapse Rates'!$B$4:$C$14,2,FALSE)))^(1/12))</f>
        <v>1.6821425527395739E-3</v>
      </c>
      <c r="H120" s="82">
        <f t="shared" si="24"/>
        <v>5</v>
      </c>
      <c r="I120" s="66">
        <f t="shared" si="18"/>
        <v>3006.4781709423864</v>
      </c>
      <c r="J120" s="67">
        <f t="shared" si="19"/>
        <v>0.57793305151251229</v>
      </c>
      <c r="K120" s="67">
        <f t="shared" si="20"/>
        <v>5.0668201447760204</v>
      </c>
      <c r="M120" s="68">
        <f t="shared" si="25"/>
        <v>95992413.767130479</v>
      </c>
      <c r="N120" s="68">
        <f>IF(AND(H120=1,D120&lt;15),Assumptions!$H$4*I119,0)</f>
        <v>0</v>
      </c>
      <c r="O120" s="68"/>
      <c r="P120" s="91">
        <f>$M120*(1+VLOOKUP($H120,Assumptions!$C$22:$D$33,2,FALSE))*F120</f>
        <v>18705.750429704007</v>
      </c>
      <c r="Q120" s="91">
        <f>$M120*(1+VLOOKUP($H120,Assumptions!$C$22:$D$33,2,FALSE))*G120</f>
        <v>163995.93837440357</v>
      </c>
      <c r="R120" s="68">
        <f>IF(AND(H120=12,D120&lt;15),Assumptions!$C$7*M120,0)</f>
        <v>0</v>
      </c>
      <c r="S120" s="69">
        <f>M120*Assumptions!$D$17</f>
        <v>391084.97597847995</v>
      </c>
      <c r="T120" s="69">
        <f t="shared" si="21"/>
        <v>0</v>
      </c>
      <c r="U120" s="68">
        <f>T120+AE120*(1+Assumptions!$D$17)</f>
        <v>0</v>
      </c>
      <c r="V120" s="68">
        <f>(M120+N120-O120)*(1+Assumptions!$D$17)-(P120+Q120)*(1+Assumptions!$D$17)^0.5-R120-T120</f>
        <v>96200425.257958174</v>
      </c>
      <c r="W120" s="68"/>
      <c r="X120" s="68">
        <f>IF(AND(H120=1,D120&lt;15),Assumptions!$D$10*N120+Assumptions!$D$11*(1+Assumptions!$D$16)^(B120-1)*$I$7,0)</f>
        <v>0</v>
      </c>
      <c r="Y120" s="66">
        <f>Assumptions!$C$13*N120</f>
        <v>0</v>
      </c>
      <c r="Z120" s="66">
        <f>NPV(Assumptions!$D$19,N120:$N$259)*(1+Assumptions!$D$19)</f>
        <v>31052410.316999421</v>
      </c>
      <c r="AA120" s="69">
        <f t="shared" si="22"/>
        <v>286175.6923208661</v>
      </c>
      <c r="AC120" s="68">
        <f t="shared" si="23"/>
        <v>96200425.257958174</v>
      </c>
      <c r="AD120" s="68"/>
      <c r="AE120" s="68"/>
      <c r="AF120" s="68"/>
      <c r="AG120" s="68"/>
      <c r="AH120" s="68"/>
      <c r="AI120" s="68"/>
      <c r="AK120" s="68"/>
      <c r="AL120" s="71">
        <f t="shared" si="17"/>
        <v>0</v>
      </c>
    </row>
    <row r="121" spans="2:38" x14ac:dyDescent="0.2">
      <c r="B121" s="5">
        <f t="shared" si="13"/>
        <v>114</v>
      </c>
      <c r="C121" s="5">
        <f t="shared" si="14"/>
        <v>114</v>
      </c>
      <c r="D121" s="5">
        <f t="shared" si="15"/>
        <v>9</v>
      </c>
      <c r="E121" s="5">
        <f t="shared" si="16"/>
        <v>55</v>
      </c>
      <c r="F121" s="65">
        <f>1-(1-VLOOKUP($E121,'Annual Mortality Rates'!$B$5:$C$105,2,FALSE))^(1/12)</f>
        <v>1.9186901267576051E-4</v>
      </c>
      <c r="G121" s="76">
        <f>IF(D121+1&gt;Assumptions!$H$9,100%,1-(1-IF(D121&gt;=7,2%,VLOOKUP($D121,'Annual Lapse Rates'!$B$4:$C$14,2,FALSE)))^(1/12))</f>
        <v>1.6821425527395739E-3</v>
      </c>
      <c r="H121" s="82">
        <f t="shared" si="24"/>
        <v>6</v>
      </c>
      <c r="I121" s="66">
        <f t="shared" si="18"/>
        <v>3000.8439960788714</v>
      </c>
      <c r="J121" s="67">
        <f t="shared" si="19"/>
        <v>0.57684999828994199</v>
      </c>
      <c r="K121" s="67">
        <f t="shared" si="20"/>
        <v>5.0573248652248308</v>
      </c>
      <c r="M121" s="68">
        <f t="shared" si="25"/>
        <v>96200425.257958174</v>
      </c>
      <c r="N121" s="68">
        <f>IF(AND(H121=1,D121&lt;15),Assumptions!$H$4*I120,0)</f>
        <v>0</v>
      </c>
      <c r="O121" s="68"/>
      <c r="P121" s="91">
        <f>$M121*(1+VLOOKUP($H121,Assumptions!$C$22:$D$33,2,FALSE))*F121</f>
        <v>18803.965874730842</v>
      </c>
      <c r="Q121" s="91">
        <f>$M121*(1+VLOOKUP($H121,Assumptions!$C$22:$D$33,2,FALSE))*G121</f>
        <v>164857.00696026787</v>
      </c>
      <c r="R121" s="68">
        <f>IF(AND(H121=12,D121&lt;15),Assumptions!$C$7*M121,0)</f>
        <v>0</v>
      </c>
      <c r="S121" s="69">
        <f>M121*Assumptions!$D$17</f>
        <v>391932.44054053316</v>
      </c>
      <c r="T121" s="69">
        <f t="shared" si="21"/>
        <v>0</v>
      </c>
      <c r="U121" s="68">
        <f>T121+AE121*(1+Assumptions!$D$17)</f>
        <v>0</v>
      </c>
      <c r="V121" s="68">
        <f>(M121+N121-O121)*(1+Assumptions!$D$17)-(P121+Q121)*(1+Assumptions!$D$17)^0.5-R121-T121</f>
        <v>96408322.977182388</v>
      </c>
      <c r="W121" s="68"/>
      <c r="X121" s="68">
        <f>IF(AND(H121=1,D121&lt;15),Assumptions!$D$10*N121+Assumptions!$D$11*(1+Assumptions!$D$16)^(B121-1)*$I$7,0)</f>
        <v>0</v>
      </c>
      <c r="Y121" s="66">
        <f>Assumptions!$C$13*N121</f>
        <v>0</v>
      </c>
      <c r="Z121" s="66">
        <f>NPV(Assumptions!$D$19,N121:$N$259)*(1+Assumptions!$D$19)</f>
        <v>31185718.448828038</v>
      </c>
      <c r="AA121" s="69">
        <f t="shared" si="22"/>
        <v>287404.24580604187</v>
      </c>
      <c r="AC121" s="68">
        <f t="shared" si="23"/>
        <v>96408322.977182388</v>
      </c>
      <c r="AD121" s="68"/>
      <c r="AE121" s="68"/>
      <c r="AF121" s="68"/>
      <c r="AG121" s="68"/>
      <c r="AH121" s="68"/>
      <c r="AI121" s="68"/>
      <c r="AK121" s="68"/>
      <c r="AL121" s="71">
        <f t="shared" si="17"/>
        <v>0</v>
      </c>
    </row>
    <row r="122" spans="2:38" x14ac:dyDescent="0.2">
      <c r="B122" s="5">
        <f t="shared" si="13"/>
        <v>115</v>
      </c>
      <c r="C122" s="5">
        <f t="shared" si="14"/>
        <v>115</v>
      </c>
      <c r="D122" s="5">
        <f t="shared" si="15"/>
        <v>9</v>
      </c>
      <c r="E122" s="5">
        <f t="shared" si="16"/>
        <v>55</v>
      </c>
      <c r="F122" s="65">
        <f>1-(1-VLOOKUP($E122,'Annual Mortality Rates'!$B$5:$C$105,2,FALSE))^(1/12)</f>
        <v>1.9186901267576051E-4</v>
      </c>
      <c r="G122" s="76">
        <f>IF(D122+1&gt;Assumptions!$H$9,100%,1-(1-IF(D122&gt;=7,2%,VLOOKUP($D122,'Annual Lapse Rates'!$B$4:$C$14,2,FALSE)))^(1/12))</f>
        <v>1.6821425527395739E-3</v>
      </c>
      <c r="H122" s="82">
        <f t="shared" si="24"/>
        <v>7</v>
      </c>
      <c r="I122" s="66">
        <f t="shared" si="18"/>
        <v>2995.2203797242128</v>
      </c>
      <c r="J122" s="67">
        <f t="shared" si="19"/>
        <v>0.57576897472163679</v>
      </c>
      <c r="K122" s="67">
        <f t="shared" si="20"/>
        <v>5.0478473799373367</v>
      </c>
      <c r="M122" s="68">
        <f t="shared" si="25"/>
        <v>96408322.977182388</v>
      </c>
      <c r="N122" s="68">
        <f>IF(AND(H122=1,D122&lt;15),Assumptions!$H$4*I121,0)</f>
        <v>0</v>
      </c>
      <c r="O122" s="68"/>
      <c r="P122" s="91">
        <f>$M122*(1+VLOOKUP($H122,Assumptions!$C$22:$D$33,2,FALSE))*F122</f>
        <v>18902.408456493773</v>
      </c>
      <c r="Q122" s="91">
        <f>$M122*(1+VLOOKUP($H122,Assumptions!$C$22:$D$33,2,FALSE))*G122</f>
        <v>165720.06688576407</v>
      </c>
      <c r="R122" s="68">
        <f>IF(AND(H122=12,D122&lt;15),Assumptions!$C$7*M122,0)</f>
        <v>0</v>
      </c>
      <c r="S122" s="69">
        <f>M122*Assumptions!$D$17</f>
        <v>392779.44158299081</v>
      </c>
      <c r="T122" s="69">
        <f t="shared" si="21"/>
        <v>0</v>
      </c>
      <c r="U122" s="68">
        <f>T122+AE122*(1+Assumptions!$D$17)</f>
        <v>0</v>
      </c>
      <c r="V122" s="68">
        <f>(M122+N122-O122)*(1+Assumptions!$D$17)-(P122+Q122)*(1+Assumptions!$D$17)^0.5-R122-T122</f>
        <v>96616104.23829256</v>
      </c>
      <c r="W122" s="68"/>
      <c r="X122" s="68">
        <f>IF(AND(H122=1,D122&lt;15),Assumptions!$D$10*N122+Assumptions!$D$11*(1+Assumptions!$D$16)^(B122-1)*$I$7,0)</f>
        <v>0</v>
      </c>
      <c r="Y122" s="66">
        <f>Assumptions!$C$13*N122</f>
        <v>0</v>
      </c>
      <c r="Z122" s="66">
        <f>NPV(Assumptions!$D$19,N122:$N$259)*(1+Assumptions!$D$19)</f>
        <v>31319598.873043314</v>
      </c>
      <c r="AA122" s="69">
        <f t="shared" si="22"/>
        <v>288638.07347664441</v>
      </c>
      <c r="AC122" s="68">
        <f t="shared" si="23"/>
        <v>96616104.23829256</v>
      </c>
      <c r="AD122" s="68"/>
      <c r="AE122" s="68"/>
      <c r="AF122" s="68"/>
      <c r="AG122" s="68"/>
      <c r="AH122" s="68"/>
      <c r="AI122" s="68"/>
      <c r="AK122" s="68"/>
      <c r="AL122" s="71">
        <f t="shared" si="17"/>
        <v>0</v>
      </c>
    </row>
    <row r="123" spans="2:38" x14ac:dyDescent="0.2">
      <c r="B123" s="5">
        <f t="shared" si="13"/>
        <v>116</v>
      </c>
      <c r="C123" s="5">
        <f t="shared" si="14"/>
        <v>116</v>
      </c>
      <c r="D123" s="5">
        <f t="shared" si="15"/>
        <v>9</v>
      </c>
      <c r="E123" s="5">
        <f t="shared" si="16"/>
        <v>55</v>
      </c>
      <c r="F123" s="65">
        <f>1-(1-VLOOKUP($E123,'Annual Mortality Rates'!$B$5:$C$105,2,FALSE))^(1/12)</f>
        <v>1.9186901267576051E-4</v>
      </c>
      <c r="G123" s="76">
        <f>IF(D123+1&gt;Assumptions!$H$9,100%,1-(1-IF(D123&gt;=7,2%,VLOOKUP($D123,'Annual Lapse Rates'!$B$4:$C$14,2,FALSE)))^(1/12))</f>
        <v>1.6821425527395739E-3</v>
      </c>
      <c r="H123" s="82">
        <f t="shared" si="24"/>
        <v>8</v>
      </c>
      <c r="I123" s="66">
        <f t="shared" si="18"/>
        <v>2989.6073020916419</v>
      </c>
      <c r="J123" s="67">
        <f t="shared" si="19"/>
        <v>0.57468997700400115</v>
      </c>
      <c r="K123" s="67">
        <f t="shared" si="20"/>
        <v>5.0383876555668836</v>
      </c>
      <c r="M123" s="68">
        <f t="shared" si="25"/>
        <v>96616104.23829256</v>
      </c>
      <c r="N123" s="68">
        <f>IF(AND(H123=1,D123&lt;15),Assumptions!$H$4*I122,0)</f>
        <v>0</v>
      </c>
      <c r="O123" s="68"/>
      <c r="P123" s="91">
        <f>$M123*(1+VLOOKUP($H123,Assumptions!$C$22:$D$33,2,FALSE))*F123</f>
        <v>19001.077441999041</v>
      </c>
      <c r="Q123" s="91">
        <f>$M123*(1+VLOOKUP($H123,Assumptions!$C$22:$D$33,2,FALSE))*G123</f>
        <v>166585.11172463305</v>
      </c>
      <c r="R123" s="68">
        <f>IF(AND(H123=12,D123&lt;15),Assumptions!$C$7*M123,0)</f>
        <v>0</v>
      </c>
      <c r="S123" s="69">
        <f>M123*Assumptions!$D$17</f>
        <v>393625.96816067619</v>
      </c>
      <c r="T123" s="69">
        <f t="shared" si="21"/>
        <v>0</v>
      </c>
      <c r="U123" s="68">
        <f>T123+AE123*(1+Assumptions!$D$17)</f>
        <v>0</v>
      </c>
      <c r="V123" s="68">
        <f>(M123+N123-O123)*(1+Assumptions!$D$17)-(P123+Q123)*(1+Assumptions!$D$17)^0.5-R123-T123</f>
        <v>96823766.351006791</v>
      </c>
      <c r="W123" s="68"/>
      <c r="X123" s="68">
        <f>IF(AND(H123=1,D123&lt;15),Assumptions!$D$10*N123+Assumptions!$D$11*(1+Assumptions!$D$16)^(B123-1)*$I$7,0)</f>
        <v>0</v>
      </c>
      <c r="Y123" s="66">
        <f>Assumptions!$C$13*N123</f>
        <v>0</v>
      </c>
      <c r="Z123" s="66">
        <f>NPV(Assumptions!$D$19,N123:$N$259)*(1+Assumptions!$D$19)</f>
        <v>31454054.046498932</v>
      </c>
      <c r="AA123" s="69">
        <f t="shared" si="22"/>
        <v>289877.19797477458</v>
      </c>
      <c r="AC123" s="68">
        <f t="shared" si="23"/>
        <v>96823766.351006791</v>
      </c>
      <c r="AD123" s="68"/>
      <c r="AE123" s="68"/>
      <c r="AF123" s="68"/>
      <c r="AG123" s="68"/>
      <c r="AH123" s="68"/>
      <c r="AI123" s="68"/>
      <c r="AK123" s="68"/>
      <c r="AL123" s="71">
        <f t="shared" si="17"/>
        <v>0</v>
      </c>
    </row>
    <row r="124" spans="2:38" x14ac:dyDescent="0.2">
      <c r="B124" s="5">
        <f t="shared" si="13"/>
        <v>117</v>
      </c>
      <c r="C124" s="5">
        <f t="shared" si="14"/>
        <v>117</v>
      </c>
      <c r="D124" s="5">
        <f t="shared" si="15"/>
        <v>9</v>
      </c>
      <c r="E124" s="5">
        <f t="shared" si="16"/>
        <v>55</v>
      </c>
      <c r="F124" s="65">
        <f>1-(1-VLOOKUP($E124,'Annual Mortality Rates'!$B$5:$C$105,2,FALSE))^(1/12)</f>
        <v>1.9186901267576051E-4</v>
      </c>
      <c r="G124" s="76">
        <f>IF(D124+1&gt;Assumptions!$H$9,100%,1-(1-IF(D124&gt;=7,2%,VLOOKUP($D124,'Annual Lapse Rates'!$B$4:$C$14,2,FALSE)))^(1/12))</f>
        <v>1.6821425527395739E-3</v>
      </c>
      <c r="H124" s="82">
        <f t="shared" si="24"/>
        <v>9</v>
      </c>
      <c r="I124" s="66">
        <f t="shared" si="18"/>
        <v>2984.004743431472</v>
      </c>
      <c r="J124" s="67">
        <f t="shared" si="19"/>
        <v>0.57361300134056747</v>
      </c>
      <c r="K124" s="67">
        <f t="shared" si="20"/>
        <v>5.0289456588293051</v>
      </c>
      <c r="M124" s="68">
        <f t="shared" si="25"/>
        <v>96823766.351006791</v>
      </c>
      <c r="N124" s="68">
        <f>IF(AND(H124=1,D124&lt;15),Assumptions!$H$4*I123,0)</f>
        <v>0</v>
      </c>
      <c r="O124" s="68"/>
      <c r="P124" s="91">
        <f>$M124*(1+VLOOKUP($H124,Assumptions!$C$22:$D$33,2,FALSE))*F124</f>
        <v>19099.972091065712</v>
      </c>
      <c r="Q124" s="91">
        <f>$M124*(1+VLOOKUP($H124,Assumptions!$C$22:$D$33,2,FALSE))*G124</f>
        <v>167452.13498760478</v>
      </c>
      <c r="R124" s="68">
        <f>IF(AND(H124=12,D124&lt;15),Assumptions!$C$7*M124,0)</f>
        <v>0</v>
      </c>
      <c r="S124" s="69">
        <f>M124*Assumptions!$D$17</f>
        <v>394472.00931304792</v>
      </c>
      <c r="T124" s="69">
        <f t="shared" si="21"/>
        <v>0</v>
      </c>
      <c r="U124" s="68">
        <f>T124+AE124*(1+Assumptions!$D$17)</f>
        <v>0</v>
      </c>
      <c r="V124" s="68">
        <f>(M124+N124-O124)*(1+Assumptions!$D$17)-(P124+Q124)*(1+Assumptions!$D$17)^0.5-R124-T124</f>
        <v>97031306.621326819</v>
      </c>
      <c r="W124" s="68"/>
      <c r="X124" s="68">
        <f>IF(AND(H124=1,D124&lt;15),Assumptions!$D$10*N124+Assumptions!$D$11*(1+Assumptions!$D$16)^(B124-1)*$I$7,0)</f>
        <v>0</v>
      </c>
      <c r="Y124" s="66">
        <f>Assumptions!$C$13*N124</f>
        <v>0</v>
      </c>
      <c r="Z124" s="66">
        <f>NPV(Assumptions!$D$19,N124:$N$259)*(1+Assumptions!$D$19)</f>
        <v>31589086.436595872</v>
      </c>
      <c r="AA124" s="69">
        <f t="shared" si="22"/>
        <v>291121.64203973586</v>
      </c>
      <c r="AC124" s="68">
        <f t="shared" si="23"/>
        <v>97031306.621326819</v>
      </c>
      <c r="AD124" s="68"/>
      <c r="AE124" s="68"/>
      <c r="AF124" s="68"/>
      <c r="AG124" s="68"/>
      <c r="AH124" s="68"/>
      <c r="AI124" s="68"/>
      <c r="AK124" s="68"/>
      <c r="AL124" s="71">
        <f t="shared" si="17"/>
        <v>0</v>
      </c>
    </row>
    <row r="125" spans="2:38" x14ac:dyDescent="0.2">
      <c r="B125" s="5">
        <f t="shared" si="13"/>
        <v>118</v>
      </c>
      <c r="C125" s="5">
        <f t="shared" si="14"/>
        <v>118</v>
      </c>
      <c r="D125" s="5">
        <f t="shared" si="15"/>
        <v>9</v>
      </c>
      <c r="E125" s="5">
        <f t="shared" si="16"/>
        <v>55</v>
      </c>
      <c r="F125" s="65">
        <f>1-(1-VLOOKUP($E125,'Annual Mortality Rates'!$B$5:$C$105,2,FALSE))^(1/12)</f>
        <v>1.9186901267576051E-4</v>
      </c>
      <c r="G125" s="76">
        <f>IF(D125+1&gt;Assumptions!$H$9,100%,1-(1-IF(D125&gt;=7,2%,VLOOKUP($D125,'Annual Lapse Rates'!$B$4:$C$14,2,FALSE)))^(1/12))</f>
        <v>1.6821425527395739E-3</v>
      </c>
      <c r="H125" s="82">
        <f t="shared" si="24"/>
        <v>10</v>
      </c>
      <c r="I125" s="66">
        <f t="shared" si="18"/>
        <v>2978.4126840310269</v>
      </c>
      <c r="J125" s="67">
        <f t="shared" si="19"/>
        <v>0.5725380439419826</v>
      </c>
      <c r="K125" s="67">
        <f t="shared" si="20"/>
        <v>5.0195213565028132</v>
      </c>
      <c r="M125" s="68">
        <f t="shared" si="25"/>
        <v>97031306.621326819</v>
      </c>
      <c r="N125" s="68">
        <f>IF(AND(H125=1,D125&lt;15),Assumptions!$H$4*I124,0)</f>
        <v>0</v>
      </c>
      <c r="O125" s="68"/>
      <c r="P125" s="91">
        <f>$M125*(1+VLOOKUP($H125,Assumptions!$C$22:$D$33,2,FALSE))*F125</f>
        <v>19199.091656325239</v>
      </c>
      <c r="Q125" s="91">
        <f>$M125*(1+VLOOKUP($H125,Assumptions!$C$22:$D$33,2,FALSE))*G125</f>
        <v>168321.13012239424</v>
      </c>
      <c r="R125" s="68">
        <f>IF(AND(H125=12,D125&lt;15),Assumptions!$C$7*M125,0)</f>
        <v>0</v>
      </c>
      <c r="S125" s="69">
        <f>M125*Assumptions!$D$17</f>
        <v>395317.55406442354</v>
      </c>
      <c r="T125" s="69">
        <f t="shared" si="21"/>
        <v>0</v>
      </c>
      <c r="U125" s="68">
        <f>T125+AE125*(1+Assumptions!$D$17)</f>
        <v>0</v>
      </c>
      <c r="V125" s="68">
        <f>(M125+N125-O125)*(1+Assumptions!$D$17)-(P125+Q125)*(1+Assumptions!$D$17)^0.5-R125-T125</f>
        <v>97238722.351593181</v>
      </c>
      <c r="W125" s="68"/>
      <c r="X125" s="68">
        <f>IF(AND(H125=1,D125&lt;15),Assumptions!$D$10*N125+Assumptions!$D$11*(1+Assumptions!$D$16)^(B125-1)*$I$7,0)</f>
        <v>0</v>
      </c>
      <c r="Y125" s="66">
        <f>Assumptions!$C$13*N125</f>
        <v>0</v>
      </c>
      <c r="Z125" s="66">
        <f>NPV(Assumptions!$D$19,N125:$N$259)*(1+Assumptions!$D$19)</f>
        <v>31724698.521327667</v>
      </c>
      <c r="AA125" s="69">
        <f t="shared" si="22"/>
        <v>292371.42850845167</v>
      </c>
      <c r="AC125" s="68">
        <f t="shared" si="23"/>
        <v>97238722.351593181</v>
      </c>
      <c r="AD125" s="68"/>
      <c r="AE125" s="68"/>
      <c r="AF125" s="68"/>
      <c r="AG125" s="68"/>
      <c r="AH125" s="68"/>
      <c r="AI125" s="68"/>
      <c r="AK125" s="68"/>
      <c r="AL125" s="71">
        <f t="shared" si="17"/>
        <v>0</v>
      </c>
    </row>
    <row r="126" spans="2:38" x14ac:dyDescent="0.2">
      <c r="B126" s="5">
        <f t="shared" si="13"/>
        <v>119</v>
      </c>
      <c r="C126" s="5">
        <f t="shared" si="14"/>
        <v>119</v>
      </c>
      <c r="D126" s="5">
        <f t="shared" si="15"/>
        <v>9</v>
      </c>
      <c r="E126" s="5">
        <f t="shared" si="16"/>
        <v>55</v>
      </c>
      <c r="F126" s="65">
        <f>1-(1-VLOOKUP($E126,'Annual Mortality Rates'!$B$5:$C$105,2,FALSE))^(1/12)</f>
        <v>1.9186901267576051E-4</v>
      </c>
      <c r="G126" s="76">
        <f>IF(D126+1&gt;Assumptions!$H$9,100%,1-(1-IF(D126&gt;=7,2%,VLOOKUP($D126,'Annual Lapse Rates'!$B$4:$C$14,2,FALSE)))^(1/12))</f>
        <v>1.6821425527395739E-3</v>
      </c>
      <c r="H126" s="82">
        <f t="shared" si="24"/>
        <v>11</v>
      </c>
      <c r="I126" s="66">
        <f t="shared" si="18"/>
        <v>2972.8311042145729</v>
      </c>
      <c r="J126" s="67">
        <f t="shared" si="19"/>
        <v>0.57146510102599501</v>
      </c>
      <c r="K126" s="67">
        <f t="shared" si="20"/>
        <v>5.0101147154278776</v>
      </c>
      <c r="M126" s="68">
        <f t="shared" si="25"/>
        <v>97238722.351593181</v>
      </c>
      <c r="N126" s="68">
        <f>IF(AND(H126=1,D126&lt;15),Assumptions!$H$4*I125,0)</f>
        <v>0</v>
      </c>
      <c r="O126" s="68"/>
      <c r="P126" s="91">
        <f>$M126*(1+VLOOKUP($H126,Assumptions!$C$22:$D$33,2,FALSE))*F126</f>
        <v>19298.435383221273</v>
      </c>
      <c r="Q126" s="91">
        <f>$M126*(1+VLOOKUP($H126,Assumptions!$C$22:$D$33,2,FALSE))*G126</f>
        <v>169192.09051370012</v>
      </c>
      <c r="R126" s="68">
        <f>IF(AND(H126=12,D126&lt;15),Assumptions!$C$7*M126,0)</f>
        <v>0</v>
      </c>
      <c r="S126" s="69">
        <f>M126*Assumptions!$D$17</f>
        <v>396162.59142420453</v>
      </c>
      <c r="T126" s="69">
        <f t="shared" si="21"/>
        <v>0</v>
      </c>
      <c r="U126" s="68">
        <f>T126+AE126*(1+Assumptions!$D$17)</f>
        <v>0</v>
      </c>
      <c r="V126" s="68">
        <f>(M126+N126-O126)*(1+Assumptions!$D$17)-(P126+Q126)*(1+Assumptions!$D$17)^0.5-R126-T126</f>
        <v>97446010.840540692</v>
      </c>
      <c r="W126" s="68"/>
      <c r="X126" s="68">
        <f>IF(AND(H126=1,D126&lt;15),Assumptions!$D$10*N126+Assumptions!$D$11*(1+Assumptions!$D$16)^(B126-1)*$I$7,0)</f>
        <v>0</v>
      </c>
      <c r="Y126" s="66">
        <f>Assumptions!$C$13*N126</f>
        <v>0</v>
      </c>
      <c r="Z126" s="66">
        <f>NPV(Assumptions!$D$19,N126:$N$259)*(1+Assumptions!$D$19)</f>
        <v>31860892.789325897</v>
      </c>
      <c r="AA126" s="69">
        <f t="shared" si="22"/>
        <v>293626.58031588449</v>
      </c>
      <c r="AC126" s="68">
        <f t="shared" si="23"/>
        <v>97446010.840540692</v>
      </c>
      <c r="AD126" s="68"/>
      <c r="AE126" s="68"/>
      <c r="AF126" s="68"/>
      <c r="AG126" s="68"/>
      <c r="AH126" s="68"/>
      <c r="AI126" s="68"/>
      <c r="AK126" s="68"/>
      <c r="AL126" s="71">
        <f t="shared" si="17"/>
        <v>0</v>
      </c>
    </row>
    <row r="127" spans="2:38" x14ac:dyDescent="0.2">
      <c r="B127" s="5">
        <f t="shared" si="13"/>
        <v>120</v>
      </c>
      <c r="C127" s="5">
        <f t="shared" si="14"/>
        <v>120</v>
      </c>
      <c r="D127" s="5">
        <f t="shared" si="15"/>
        <v>9</v>
      </c>
      <c r="E127" s="5">
        <f t="shared" si="16"/>
        <v>55</v>
      </c>
      <c r="F127" s="65">
        <f>1-(1-VLOOKUP($E127,'Annual Mortality Rates'!$B$5:$C$105,2,FALSE))^(1/12)</f>
        <v>1.9186901267576051E-4</v>
      </c>
      <c r="G127" s="76">
        <f>IF(D127+1&gt;Assumptions!$H$9,100%,1-(1-IF(D127&gt;=7,2%,VLOOKUP($D127,'Annual Lapse Rates'!$B$4:$C$14,2,FALSE)))^(1/12))</f>
        <v>1.6821425527395739E-3</v>
      </c>
      <c r="H127" s="82">
        <f t="shared" si="24"/>
        <v>12</v>
      </c>
      <c r="I127" s="66">
        <f t="shared" si="18"/>
        <v>2967.2599843432481</v>
      </c>
      <c r="J127" s="67">
        <f t="shared" si="19"/>
        <v>0.57039416881744098</v>
      </c>
      <c r="K127" s="67">
        <f t="shared" si="20"/>
        <v>5.0007257025071077</v>
      </c>
      <c r="M127" s="68">
        <f t="shared" si="25"/>
        <v>97446010.840540692</v>
      </c>
      <c r="N127" s="68">
        <f>IF(AND(H127=1,D127&lt;15),Assumptions!$H$4*I126,0)</f>
        <v>0</v>
      </c>
      <c r="O127" s="68"/>
      <c r="P127" s="91">
        <f>$M127*(1+VLOOKUP($H127,Assumptions!$C$22:$D$33,2,FALSE))*F127</f>
        <v>19398.002510009723</v>
      </c>
      <c r="Q127" s="91">
        <f>$M127*(1+VLOOKUP($H127,Assumptions!$C$22:$D$33,2,FALSE))*G127</f>
        <v>170065.00948320513</v>
      </c>
      <c r="R127" s="68">
        <f>IF(AND(H127=12,D127&lt;15),Assumptions!$C$7*M127,0)</f>
        <v>48723.005420270347</v>
      </c>
      <c r="S127" s="69">
        <f>M127*Assumptions!$D$17</f>
        <v>397007.11038710212</v>
      </c>
      <c r="T127" s="69">
        <f t="shared" si="21"/>
        <v>0</v>
      </c>
      <c r="U127" s="68">
        <f>T127+AE127*(1+Assumptions!$D$17)</f>
        <v>0</v>
      </c>
      <c r="V127" s="68">
        <f>(M127+N127-O127)*(1+Assumptions!$D$17)-(P127+Q127)*(1+Assumptions!$D$17)^0.5-R127-T127</f>
        <v>97604446.3779338</v>
      </c>
      <c r="W127" s="68"/>
      <c r="X127" s="68">
        <f>IF(AND(H127=1,D127&lt;15),Assumptions!$D$10*N127+Assumptions!$D$11*(1+Assumptions!$D$16)^(B127-1)*$I$7,0)</f>
        <v>0</v>
      </c>
      <c r="Y127" s="66">
        <f>Assumptions!$C$13*N127</f>
        <v>0</v>
      </c>
      <c r="Z127" s="66">
        <f>NPV(Assumptions!$D$19,N127:$N$259)*(1+Assumptions!$D$19)</f>
        <v>31997671.739905842</v>
      </c>
      <c r="AA127" s="69">
        <f t="shared" si="22"/>
        <v>294887.12049545662</v>
      </c>
      <c r="AC127" s="68">
        <f t="shared" si="23"/>
        <v>97604446.3779338</v>
      </c>
      <c r="AD127" s="68"/>
      <c r="AE127" s="68"/>
      <c r="AF127" s="68"/>
      <c r="AG127" s="68"/>
      <c r="AH127" s="68"/>
      <c r="AI127" s="68"/>
      <c r="AK127" s="68"/>
      <c r="AL127" s="71">
        <f t="shared" si="17"/>
        <v>0</v>
      </c>
    </row>
    <row r="128" spans="2:38" x14ac:dyDescent="0.2">
      <c r="B128" s="5">
        <f t="shared" si="13"/>
        <v>121</v>
      </c>
      <c r="C128" s="5">
        <f t="shared" si="14"/>
        <v>121</v>
      </c>
      <c r="D128" s="5">
        <f t="shared" si="15"/>
        <v>10</v>
      </c>
      <c r="E128" s="5">
        <f t="shared" si="16"/>
        <v>56</v>
      </c>
      <c r="F128" s="65">
        <f>1-(1-VLOOKUP($E128,'Annual Mortality Rates'!$B$5:$C$105,2,FALSE))^(1/12)</f>
        <v>2.1274876474763893E-4</v>
      </c>
      <c r="G128" s="76">
        <f>IF(D128+1&gt;Assumptions!$H$9,100%,1-(1-IF(D128&gt;=7,2%,VLOOKUP($D128,'Annual Lapse Rates'!$B$4:$C$14,2,FALSE)))^(1/12))</f>
        <v>1.6821425527395739E-3</v>
      </c>
      <c r="H128" s="82">
        <f t="shared" si="24"/>
        <v>1</v>
      </c>
      <c r="I128" s="66">
        <f t="shared" si="18"/>
        <v>2961.6373491621889</v>
      </c>
      <c r="J128" s="67">
        <f t="shared" si="19"/>
        <v>0.63128089635412443</v>
      </c>
      <c r="K128" s="67">
        <f t="shared" si="20"/>
        <v>4.9913542847051398</v>
      </c>
      <c r="M128" s="68">
        <f t="shared" si="25"/>
        <v>97604446.3779338</v>
      </c>
      <c r="N128" s="68">
        <f>IF(AND(H128=1,D128&lt;15),Assumptions!$H$4*I127,0)</f>
        <v>7418149.9608581206</v>
      </c>
      <c r="O128" s="68"/>
      <c r="P128" s="91">
        <f>$M128*(1+VLOOKUP($H128,Assumptions!$C$22:$D$33,2,FALSE))*F128</f>
        <v>20830.116730160022</v>
      </c>
      <c r="Q128" s="91">
        <f>$M128*(1+VLOOKUP($H128,Assumptions!$C$22:$D$33,2,FALSE))*G128</f>
        <v>164697.66944075079</v>
      </c>
      <c r="R128" s="68">
        <f>IF(AND(H128=12,D128&lt;15),Assumptions!$C$7*M128,0)</f>
        <v>0</v>
      </c>
      <c r="S128" s="69">
        <f>M128*Assumptions!$D$17</f>
        <v>397652.59637817048</v>
      </c>
      <c r="T128" s="69">
        <f t="shared" si="21"/>
        <v>0</v>
      </c>
      <c r="U128" s="68">
        <f>T128+AE128*(1+Assumptions!$D$17)</f>
        <v>0</v>
      </c>
      <c r="V128" s="68">
        <f>(M128+N128-O128)*(1+Assumptions!$D$17)-(P128+Q128)*(1+Assumptions!$D$17)^0.5-R128-T128</f>
        <v>105264566.06275517</v>
      </c>
      <c r="W128" s="68"/>
      <c r="X128" s="68">
        <f>IF(AND(H128=1,D128&lt;15),Assumptions!$D$10*N128+Assumptions!$D$11*(1+Assumptions!$D$16)^(B128-1)*$I$7,0)</f>
        <v>76708.068454120366</v>
      </c>
      <c r="Y128" s="66">
        <f>Assumptions!$C$13*N128</f>
        <v>37090.749804290601</v>
      </c>
      <c r="Z128" s="66">
        <f>NPV(Assumptions!$D$19,N128:$N$259)*(1+Assumptions!$D$19)</f>
        <v>32135037.883112356</v>
      </c>
      <c r="AA128" s="69">
        <f t="shared" si="22"/>
        <v>227788.19553650214</v>
      </c>
      <c r="AC128" s="68">
        <f t="shared" si="23"/>
        <v>105264566.06275517</v>
      </c>
      <c r="AD128" s="68"/>
      <c r="AE128" s="68"/>
      <c r="AF128" s="68"/>
      <c r="AG128" s="68"/>
      <c r="AH128" s="68"/>
      <c r="AI128" s="68"/>
      <c r="AK128" s="68"/>
      <c r="AL128" s="71">
        <f t="shared" si="17"/>
        <v>0</v>
      </c>
    </row>
    <row r="129" spans="2:38" x14ac:dyDescent="0.2">
      <c r="B129" s="5">
        <f t="shared" si="13"/>
        <v>122</v>
      </c>
      <c r="C129" s="5">
        <f t="shared" si="14"/>
        <v>122</v>
      </c>
      <c r="D129" s="5">
        <f t="shared" si="15"/>
        <v>10</v>
      </c>
      <c r="E129" s="5">
        <f t="shared" si="16"/>
        <v>56</v>
      </c>
      <c r="F129" s="65">
        <f>1-(1-VLOOKUP($E129,'Annual Mortality Rates'!$B$5:$C$105,2,FALSE))^(1/12)</f>
        <v>2.1274876474763893E-4</v>
      </c>
      <c r="G129" s="76">
        <f>IF(D129+1&gt;Assumptions!$H$9,100%,1-(1-IF(D129&gt;=7,2%,VLOOKUP($D129,'Annual Lapse Rates'!$B$4:$C$14,2,FALSE)))^(1/12))</f>
        <v>1.6821425527395739E-3</v>
      </c>
      <c r="H129" s="82">
        <f t="shared" si="24"/>
        <v>2</v>
      </c>
      <c r="I129" s="66">
        <f t="shared" si="18"/>
        <v>2956.0253682637158</v>
      </c>
      <c r="J129" s="67">
        <f t="shared" si="19"/>
        <v>0.63008468766472747</v>
      </c>
      <c r="K129" s="67">
        <f t="shared" si="20"/>
        <v>4.9818962108085492</v>
      </c>
      <c r="M129" s="68">
        <f t="shared" si="25"/>
        <v>105264566.06275517</v>
      </c>
      <c r="N129" s="68">
        <f>IF(AND(H129=1,D129&lt;15),Assumptions!$H$4*I128,0)</f>
        <v>0</v>
      </c>
      <c r="O129" s="68"/>
      <c r="P129" s="91">
        <f>$M129*(1+VLOOKUP($H129,Assumptions!$C$22:$D$33,2,FALSE))*F129</f>
        <v>22534.874566557068</v>
      </c>
      <c r="Q129" s="91">
        <f>$M129*(1+VLOOKUP($H129,Assumptions!$C$22:$D$33,2,FALSE))*G129</f>
        <v>178176.6934065129</v>
      </c>
      <c r="R129" s="68">
        <f>IF(AND(H129=12,D129&lt;15),Assumptions!$C$7*M129,0)</f>
        <v>0</v>
      </c>
      <c r="S129" s="69">
        <f>M129*Assumptions!$D$17</f>
        <v>428860.87217169412</v>
      </c>
      <c r="T129" s="69">
        <f t="shared" si="21"/>
        <v>0</v>
      </c>
      <c r="U129" s="68">
        <f>T129+AE129*(1+Assumptions!$D$17)</f>
        <v>0</v>
      </c>
      <c r="V129" s="68">
        <f>(M129+N129-O129)*(1+Assumptions!$D$17)-(P129+Q129)*(1+Assumptions!$D$17)^0.5-R129-T129</f>
        <v>105492306.92065975</v>
      </c>
      <c r="W129" s="68"/>
      <c r="X129" s="68">
        <f>IF(AND(H129=1,D129&lt;15),Assumptions!$D$10*N129+Assumptions!$D$11*(1+Assumptions!$D$16)^(B129-1)*$I$7,0)</f>
        <v>0</v>
      </c>
      <c r="Y129" s="66">
        <f>Assumptions!$C$13*N129</f>
        <v>0</v>
      </c>
      <c r="Z129" s="66">
        <f>NPV(Assumptions!$D$19,N129:$N$259)*(1+Assumptions!$D$19)</f>
        <v>24822997.629033722</v>
      </c>
      <c r="AA129" s="69">
        <f t="shared" si="22"/>
        <v>228766.09124538887</v>
      </c>
      <c r="AC129" s="68">
        <f t="shared" si="23"/>
        <v>105492306.92065975</v>
      </c>
      <c r="AD129" s="68"/>
      <c r="AE129" s="68"/>
      <c r="AF129" s="68"/>
      <c r="AG129" s="68"/>
      <c r="AH129" s="68"/>
      <c r="AI129" s="68"/>
      <c r="AK129" s="68"/>
      <c r="AL129" s="71">
        <f t="shared" si="17"/>
        <v>0</v>
      </c>
    </row>
    <row r="130" spans="2:38" x14ac:dyDescent="0.2">
      <c r="B130" s="5">
        <f t="shared" si="13"/>
        <v>123</v>
      </c>
      <c r="C130" s="5">
        <f t="shared" si="14"/>
        <v>123</v>
      </c>
      <c r="D130" s="5">
        <f t="shared" si="15"/>
        <v>10</v>
      </c>
      <c r="E130" s="5">
        <f t="shared" si="16"/>
        <v>56</v>
      </c>
      <c r="F130" s="65">
        <f>1-(1-VLOOKUP($E130,'Annual Mortality Rates'!$B$5:$C$105,2,FALSE))^(1/12)</f>
        <v>2.1274876474763893E-4</v>
      </c>
      <c r="G130" s="76">
        <f>IF(D130+1&gt;Assumptions!$H$9,100%,1-(1-IF(D130&gt;=7,2%,VLOOKUP($D130,'Annual Lapse Rates'!$B$4:$C$14,2,FALSE)))^(1/12))</f>
        <v>1.6821425527395739E-3</v>
      </c>
      <c r="H130" s="82">
        <f t="shared" si="24"/>
        <v>3</v>
      </c>
      <c r="I130" s="66">
        <f t="shared" si="18"/>
        <v>2950.4240214591209</v>
      </c>
      <c r="J130" s="67">
        <f t="shared" si="19"/>
        <v>0.62889074566078995</v>
      </c>
      <c r="K130" s="67">
        <f t="shared" si="20"/>
        <v>4.9724560589340658</v>
      </c>
      <c r="M130" s="68">
        <f t="shared" si="25"/>
        <v>105492306.92065975</v>
      </c>
      <c r="N130" s="68">
        <f>IF(AND(H130=1,D130&lt;15),Assumptions!$H$4*I129,0)</f>
        <v>0</v>
      </c>
      <c r="O130" s="68"/>
      <c r="P130" s="91">
        <f>$M130*(1+VLOOKUP($H130,Assumptions!$C$22:$D$33,2,FALSE))*F130</f>
        <v>22653.76446888431</v>
      </c>
      <c r="Q130" s="91">
        <f>$M130*(1+VLOOKUP($H130,Assumptions!$C$22:$D$33,2,FALSE))*G130</f>
        <v>179116.72125594807</v>
      </c>
      <c r="R130" s="68">
        <f>IF(AND(H130=12,D130&lt;15),Assumptions!$C$7*M130,0)</f>
        <v>0</v>
      </c>
      <c r="S130" s="69">
        <f>M130*Assumptions!$D$17</f>
        <v>429788.71661739168</v>
      </c>
      <c r="T130" s="69">
        <f t="shared" si="21"/>
        <v>0</v>
      </c>
      <c r="U130" s="68">
        <f>T130+AE130*(1+Assumptions!$D$17)</f>
        <v>0</v>
      </c>
      <c r="V130" s="68">
        <f>(M130+N130-O130)*(1+Assumptions!$D$17)-(P130+Q130)*(1+Assumptions!$D$17)^0.5-R130-T130</f>
        <v>105719914.55036986</v>
      </c>
      <c r="W130" s="68"/>
      <c r="X130" s="68">
        <f>IF(AND(H130=1,D130&lt;15),Assumptions!$D$10*N130+Assumptions!$D$11*(1+Assumptions!$D$16)^(B130-1)*$I$7,0)</f>
        <v>0</v>
      </c>
      <c r="Y130" s="66">
        <f>Assumptions!$C$13*N130</f>
        <v>0</v>
      </c>
      <c r="Z130" s="66">
        <f>NPV(Assumptions!$D$19,N130:$N$259)*(1+Assumptions!$D$19)</f>
        <v>24929562.865243461</v>
      </c>
      <c r="AA130" s="69">
        <f t="shared" si="22"/>
        <v>229748.18506478434</v>
      </c>
      <c r="AC130" s="68">
        <f t="shared" si="23"/>
        <v>105719914.55036986</v>
      </c>
      <c r="AD130" s="68"/>
      <c r="AE130" s="68"/>
      <c r="AF130" s="68"/>
      <c r="AG130" s="68"/>
      <c r="AH130" s="68"/>
      <c r="AI130" s="68"/>
      <c r="AK130" s="68"/>
      <c r="AL130" s="71">
        <f t="shared" si="17"/>
        <v>0</v>
      </c>
    </row>
    <row r="131" spans="2:38" x14ac:dyDescent="0.2">
      <c r="B131" s="5">
        <f t="shared" si="13"/>
        <v>124</v>
      </c>
      <c r="C131" s="5">
        <f t="shared" si="14"/>
        <v>124</v>
      </c>
      <c r="D131" s="5">
        <f t="shared" si="15"/>
        <v>10</v>
      </c>
      <c r="E131" s="5">
        <f t="shared" si="16"/>
        <v>56</v>
      </c>
      <c r="F131" s="65">
        <f>1-(1-VLOOKUP($E131,'Annual Mortality Rates'!$B$5:$C$105,2,FALSE))^(1/12)</f>
        <v>2.1274876474763893E-4</v>
      </c>
      <c r="G131" s="76">
        <f>IF(D131+1&gt;Assumptions!$H$9,100%,1-(1-IF(D131&gt;=7,2%,VLOOKUP($D131,'Annual Lapse Rates'!$B$4:$C$14,2,FALSE)))^(1/12))</f>
        <v>1.6821425527395739E-3</v>
      </c>
      <c r="H131" s="82">
        <f t="shared" si="24"/>
        <v>4</v>
      </c>
      <c r="I131" s="66">
        <f t="shared" si="18"/>
        <v>2944.8332885979526</v>
      </c>
      <c r="J131" s="67">
        <f t="shared" si="19"/>
        <v>0.62769906604718928</v>
      </c>
      <c r="K131" s="67">
        <f t="shared" si="20"/>
        <v>4.9630337951214054</v>
      </c>
      <c r="M131" s="68">
        <f t="shared" si="25"/>
        <v>105719914.55036986</v>
      </c>
      <c r="N131" s="68">
        <f>IF(AND(H131=1,D131&lt;15),Assumptions!$H$4*I130,0)</f>
        <v>0</v>
      </c>
      <c r="O131" s="68"/>
      <c r="P131" s="91">
        <f>$M131*(1+VLOOKUP($H131,Assumptions!$C$22:$D$33,2,FALSE))*F131</f>
        <v>22772.928495189841</v>
      </c>
      <c r="Q131" s="91">
        <f>$M131*(1+VLOOKUP($H131,Assumptions!$C$22:$D$33,2,FALSE))*G131</f>
        <v>180058.91652388338</v>
      </c>
      <c r="R131" s="68">
        <f>IF(AND(H131=12,D131&lt;15),Assumptions!$C$7*M131,0)</f>
        <v>0</v>
      </c>
      <c r="S131" s="69">
        <f>M131*Assumptions!$D$17</f>
        <v>430716.01827493345</v>
      </c>
      <c r="T131" s="69">
        <f t="shared" si="21"/>
        <v>0</v>
      </c>
      <c r="U131" s="68">
        <f>T131+AE131*(1+Assumptions!$D$17)</f>
        <v>0</v>
      </c>
      <c r="V131" s="68">
        <f>(M131+N131-O131)*(1+Assumptions!$D$17)-(P131+Q131)*(1+Assumptions!$D$17)^0.5-R131-T131</f>
        <v>105947385.96258634</v>
      </c>
      <c r="W131" s="68"/>
      <c r="X131" s="68">
        <f>IF(AND(H131=1,D131&lt;15),Assumptions!$D$10*N131+Assumptions!$D$11*(1+Assumptions!$D$16)^(B131-1)*$I$7,0)</f>
        <v>0</v>
      </c>
      <c r="Y131" s="66">
        <f>Assumptions!$C$13*N131</f>
        <v>0</v>
      </c>
      <c r="Z131" s="66">
        <f>NPV(Assumptions!$D$19,N131:$N$259)*(1+Assumptions!$D$19)</f>
        <v>25036585.586473264</v>
      </c>
      <c r="AA131" s="69">
        <f t="shared" si="22"/>
        <v>230734.49501719524</v>
      </c>
      <c r="AC131" s="68">
        <f t="shared" si="23"/>
        <v>105947385.96258634</v>
      </c>
      <c r="AD131" s="68"/>
      <c r="AE131" s="68"/>
      <c r="AF131" s="68"/>
      <c r="AG131" s="68"/>
      <c r="AH131" s="68"/>
      <c r="AI131" s="68"/>
      <c r="AK131" s="68"/>
      <c r="AL131" s="71">
        <f t="shared" si="17"/>
        <v>0</v>
      </c>
    </row>
    <row r="132" spans="2:38" x14ac:dyDescent="0.2">
      <c r="B132" s="5">
        <f t="shared" si="13"/>
        <v>125</v>
      </c>
      <c r="C132" s="5">
        <f t="shared" si="14"/>
        <v>125</v>
      </c>
      <c r="D132" s="5">
        <f t="shared" si="15"/>
        <v>10</v>
      </c>
      <c r="E132" s="5">
        <f t="shared" si="16"/>
        <v>56</v>
      </c>
      <c r="F132" s="65">
        <f>1-(1-VLOOKUP($E132,'Annual Mortality Rates'!$B$5:$C$105,2,FALSE))^(1/12)</f>
        <v>2.1274876474763893E-4</v>
      </c>
      <c r="G132" s="76">
        <f>IF(D132+1&gt;Assumptions!$H$9,100%,1-(1-IF(D132&gt;=7,2%,VLOOKUP($D132,'Annual Lapse Rates'!$B$4:$C$14,2,FALSE)))^(1/12))</f>
        <v>1.6821425527395739E-3</v>
      </c>
      <c r="H132" s="82">
        <f t="shared" si="24"/>
        <v>5</v>
      </c>
      <c r="I132" s="66">
        <f t="shared" si="18"/>
        <v>2939.2531495679414</v>
      </c>
      <c r="J132" s="67">
        <f t="shared" si="19"/>
        <v>0.62650964453694169</v>
      </c>
      <c r="K132" s="67">
        <f t="shared" si="20"/>
        <v>4.9536293854746347</v>
      </c>
      <c r="M132" s="68">
        <f t="shared" si="25"/>
        <v>105947385.96258634</v>
      </c>
      <c r="N132" s="68">
        <f>IF(AND(H132=1,D132&lt;15),Assumptions!$H$4*I131,0)</f>
        <v>0</v>
      </c>
      <c r="O132" s="68"/>
      <c r="P132" s="91">
        <f>$M132*(1+VLOOKUP($H132,Assumptions!$C$22:$D$33,2,FALSE))*F132</f>
        <v>22892.365733840674</v>
      </c>
      <c r="Q132" s="91">
        <f>$M132*(1+VLOOKUP($H132,Assumptions!$C$22:$D$33,2,FALSE))*G132</f>
        <v>181003.27200230223</v>
      </c>
      <c r="R132" s="68">
        <f>IF(AND(H132=12,D132&lt;15),Assumptions!$C$7*M132,0)</f>
        <v>0</v>
      </c>
      <c r="S132" s="69">
        <f>M132*Assumptions!$D$17</f>
        <v>431642.76496554475</v>
      </c>
      <c r="T132" s="69">
        <f t="shared" si="21"/>
        <v>0</v>
      </c>
      <c r="U132" s="68">
        <f>T132+AE132*(1+Assumptions!$D$17)</f>
        <v>0</v>
      </c>
      <c r="V132" s="68">
        <f>(M132+N132-O132)*(1+Assumptions!$D$17)-(P132+Q132)*(1+Assumptions!$D$17)^0.5-R132-T132</f>
        <v>106174718.16396746</v>
      </c>
      <c r="W132" s="68"/>
      <c r="X132" s="68">
        <f>IF(AND(H132=1,D132&lt;15),Assumptions!$D$10*N132+Assumptions!$D$11*(1+Assumptions!$D$16)^(B132-1)*$I$7,0)</f>
        <v>0</v>
      </c>
      <c r="Y132" s="66">
        <f>Assumptions!$C$13*N132</f>
        <v>0</v>
      </c>
      <c r="Z132" s="66">
        <f>NPV(Assumptions!$D$19,N132:$N$259)*(1+Assumptions!$D$19)</f>
        <v>25144067.756708309</v>
      </c>
      <c r="AA132" s="69">
        <f t="shared" si="22"/>
        <v>231725.03920249877</v>
      </c>
      <c r="AC132" s="68">
        <f t="shared" si="23"/>
        <v>106174718.16396746</v>
      </c>
      <c r="AD132" s="68"/>
      <c r="AE132" s="68"/>
      <c r="AF132" s="68"/>
      <c r="AG132" s="68"/>
      <c r="AH132" s="68"/>
      <c r="AI132" s="68"/>
      <c r="AK132" s="68"/>
      <c r="AL132" s="71">
        <f t="shared" si="17"/>
        <v>0</v>
      </c>
    </row>
    <row r="133" spans="2:38" x14ac:dyDescent="0.2">
      <c r="B133" s="5">
        <f t="shared" si="13"/>
        <v>126</v>
      </c>
      <c r="C133" s="5">
        <f t="shared" si="14"/>
        <v>126</v>
      </c>
      <c r="D133" s="5">
        <f t="shared" si="15"/>
        <v>10</v>
      </c>
      <c r="E133" s="5">
        <f t="shared" si="16"/>
        <v>56</v>
      </c>
      <c r="F133" s="65">
        <f>1-(1-VLOOKUP($E133,'Annual Mortality Rates'!$B$5:$C$105,2,FALSE))^(1/12)</f>
        <v>2.1274876474763893E-4</v>
      </c>
      <c r="G133" s="76">
        <f>IF(D133+1&gt;Assumptions!$H$9,100%,1-(1-IF(D133&gt;=7,2%,VLOOKUP($D133,'Annual Lapse Rates'!$B$4:$C$14,2,FALSE)))^(1/12))</f>
        <v>1.6821425527395739E-3</v>
      </c>
      <c r="H133" s="82">
        <f t="shared" si="24"/>
        <v>6</v>
      </c>
      <c r="I133" s="66">
        <f t="shared" si="18"/>
        <v>2933.6835842949281</v>
      </c>
      <c r="J133" s="67">
        <f t="shared" si="19"/>
        <v>0.62532247685118669</v>
      </c>
      <c r="K133" s="67">
        <f t="shared" si="20"/>
        <v>4.9442427961620492</v>
      </c>
      <c r="M133" s="68">
        <f t="shared" si="25"/>
        <v>106174718.16396746</v>
      </c>
      <c r="N133" s="68">
        <f>IF(AND(H133=1,D133&lt;15),Assumptions!$H$4*I132,0)</f>
        <v>0</v>
      </c>
      <c r="O133" s="68"/>
      <c r="P133" s="91">
        <f>$M133*(1+VLOOKUP($H133,Assumptions!$C$22:$D$33,2,FALSE))*F133</f>
        <v>23012.075264378022</v>
      </c>
      <c r="Q133" s="91">
        <f>$M133*(1+VLOOKUP($H133,Assumptions!$C$22:$D$33,2,FALSE))*G133</f>
        <v>181949.78041340495</v>
      </c>
      <c r="R133" s="68">
        <f>IF(AND(H133=12,D133&lt;15),Assumptions!$C$7*M133,0)</f>
        <v>0</v>
      </c>
      <c r="S133" s="69">
        <f>M133*Assumptions!$D$17</f>
        <v>432568.94449398067</v>
      </c>
      <c r="T133" s="69">
        <f t="shared" si="21"/>
        <v>0</v>
      </c>
      <c r="U133" s="68">
        <f>T133+AE133*(1+Assumptions!$D$17)</f>
        <v>0</v>
      </c>
      <c r="V133" s="68">
        <f>(M133+N133-O133)*(1+Assumptions!$D$17)-(P133+Q133)*(1+Assumptions!$D$17)^0.5-R133-T133</f>
        <v>106401908.15719113</v>
      </c>
      <c r="W133" s="68"/>
      <c r="X133" s="68">
        <f>IF(AND(H133=1,D133&lt;15),Assumptions!$D$10*N133+Assumptions!$D$11*(1+Assumptions!$D$16)^(B133-1)*$I$7,0)</f>
        <v>0</v>
      </c>
      <c r="Y133" s="66">
        <f>Assumptions!$C$13*N133</f>
        <v>0</v>
      </c>
      <c r="Z133" s="66">
        <f>NPV(Assumptions!$D$19,N133:$N$259)*(1+Assumptions!$D$19)</f>
        <v>25252011.348365158</v>
      </c>
      <c r="AA133" s="69">
        <f t="shared" si="22"/>
        <v>232719.83579827507</v>
      </c>
      <c r="AC133" s="68">
        <f t="shared" si="23"/>
        <v>106401908.15719113</v>
      </c>
      <c r="AD133" s="68"/>
      <c r="AE133" s="68"/>
      <c r="AF133" s="68"/>
      <c r="AG133" s="68"/>
      <c r="AH133" s="68"/>
      <c r="AI133" s="68"/>
      <c r="AK133" s="68"/>
      <c r="AL133" s="71">
        <f t="shared" si="17"/>
        <v>0</v>
      </c>
    </row>
    <row r="134" spans="2:38" x14ac:dyDescent="0.2">
      <c r="B134" s="5">
        <f t="shared" si="13"/>
        <v>127</v>
      </c>
      <c r="C134" s="5">
        <f t="shared" si="14"/>
        <v>127</v>
      </c>
      <c r="D134" s="5">
        <f t="shared" si="15"/>
        <v>10</v>
      </c>
      <c r="E134" s="5">
        <f t="shared" si="16"/>
        <v>56</v>
      </c>
      <c r="F134" s="65">
        <f>1-(1-VLOOKUP($E134,'Annual Mortality Rates'!$B$5:$C$105,2,FALSE))^(1/12)</f>
        <v>2.1274876474763893E-4</v>
      </c>
      <c r="G134" s="76">
        <f>IF(D134+1&gt;Assumptions!$H$9,100%,1-(1-IF(D134&gt;=7,2%,VLOOKUP($D134,'Annual Lapse Rates'!$B$4:$C$14,2,FALSE)))^(1/12))</f>
        <v>1.6821425527395739E-3</v>
      </c>
      <c r="H134" s="82">
        <f t="shared" si="24"/>
        <v>7</v>
      </c>
      <c r="I134" s="66">
        <f t="shared" si="18"/>
        <v>2928.1245727427927</v>
      </c>
      <c r="J134" s="67">
        <f t="shared" si="19"/>
        <v>0.62413755871917187</v>
      </c>
      <c r="K134" s="67">
        <f t="shared" si="20"/>
        <v>4.934873993416053</v>
      </c>
      <c r="M134" s="68">
        <f t="shared" si="25"/>
        <v>106401908.15719113</v>
      </c>
      <c r="N134" s="68">
        <f>IF(AND(H134=1,D134&lt;15),Assumptions!$H$4*I133,0)</f>
        <v>0</v>
      </c>
      <c r="O134" s="68"/>
      <c r="P134" s="91">
        <f>$M134*(1+VLOOKUP($H134,Assumptions!$C$22:$D$33,2,FALSE))*F134</f>
        <v>23132.056157517385</v>
      </c>
      <c r="Q134" s="91">
        <f>$M134*(1+VLOOKUP($H134,Assumptions!$C$22:$D$33,2,FALSE))*G134</f>
        <v>182898.43440960947</v>
      </c>
      <c r="R134" s="68">
        <f>IF(AND(H134=12,D134&lt;15),Assumptions!$C$7*M134,0)</f>
        <v>0</v>
      </c>
      <c r="S134" s="69">
        <f>M134*Assumptions!$D$17</f>
        <v>433494.54464878014</v>
      </c>
      <c r="T134" s="69">
        <f t="shared" si="21"/>
        <v>0</v>
      </c>
      <c r="U134" s="68">
        <f>T134+AE134*(1+Assumptions!$D$17)</f>
        <v>0</v>
      </c>
      <c r="V134" s="68">
        <f>(M134+N134-O134)*(1+Assumptions!$D$17)-(P134+Q134)*(1+Assumptions!$D$17)^0.5-R134-T134</f>
        <v>106628952.94101755</v>
      </c>
      <c r="W134" s="68"/>
      <c r="X134" s="68">
        <f>IF(AND(H134=1,D134&lt;15),Assumptions!$D$10*N134+Assumptions!$D$11*(1+Assumptions!$D$16)^(B134-1)*$I$7,0)</f>
        <v>0</v>
      </c>
      <c r="Y134" s="66">
        <f>Assumptions!$C$13*N134</f>
        <v>0</v>
      </c>
      <c r="Z134" s="66">
        <f>NPV(Assumptions!$D$19,N134:$N$259)*(1+Assumptions!$D$19)</f>
        <v>25360418.342327971</v>
      </c>
      <c r="AA134" s="69">
        <f t="shared" si="22"/>
        <v>233718.90306014064</v>
      </c>
      <c r="AC134" s="68">
        <f t="shared" si="23"/>
        <v>106628952.94101755</v>
      </c>
      <c r="AD134" s="68"/>
      <c r="AE134" s="68"/>
      <c r="AF134" s="68"/>
      <c r="AG134" s="68"/>
      <c r="AH134" s="68"/>
      <c r="AI134" s="68"/>
      <c r="AK134" s="68"/>
      <c r="AL134" s="71">
        <f t="shared" si="17"/>
        <v>0</v>
      </c>
    </row>
    <row r="135" spans="2:38" x14ac:dyDescent="0.2">
      <c r="B135" s="5">
        <f t="shared" si="13"/>
        <v>128</v>
      </c>
      <c r="C135" s="5">
        <f t="shared" si="14"/>
        <v>128</v>
      </c>
      <c r="D135" s="5">
        <f t="shared" si="15"/>
        <v>10</v>
      </c>
      <c r="E135" s="5">
        <f t="shared" si="16"/>
        <v>56</v>
      </c>
      <c r="F135" s="65">
        <f>1-(1-VLOOKUP($E135,'Annual Mortality Rates'!$B$5:$C$105,2,FALSE))^(1/12)</f>
        <v>2.1274876474763893E-4</v>
      </c>
      <c r="G135" s="76">
        <f>IF(D135+1&gt;Assumptions!$H$9,100%,1-(1-IF(D135&gt;=7,2%,VLOOKUP($D135,'Annual Lapse Rates'!$B$4:$C$14,2,FALSE)))^(1/12))</f>
        <v>1.6821425527395739E-3</v>
      </c>
      <c r="H135" s="82">
        <f t="shared" si="24"/>
        <v>8</v>
      </c>
      <c r="I135" s="66">
        <f t="shared" si="18"/>
        <v>2922.5760949133814</v>
      </c>
      <c r="J135" s="67">
        <f t="shared" si="19"/>
        <v>0.62295488587823711</v>
      </c>
      <c r="K135" s="67">
        <f t="shared" si="20"/>
        <v>4.9255229435330357</v>
      </c>
      <c r="M135" s="68">
        <f t="shared" si="25"/>
        <v>106628952.94101755</v>
      </c>
      <c r="N135" s="68">
        <f>IF(AND(H135=1,D135&lt;15),Assumptions!$H$4*I134,0)</f>
        <v>0</v>
      </c>
      <c r="O135" s="68"/>
      <c r="P135" s="91">
        <f>$M135*(1+VLOOKUP($H135,Assumptions!$C$22:$D$33,2,FALSE))*F135</f>
        <v>23252.307475148995</v>
      </c>
      <c r="Q135" s="91">
        <f>$M135*(1+VLOOKUP($H135,Assumptions!$C$22:$D$33,2,FALSE))*G135</f>
        <v>183849.22657355492</v>
      </c>
      <c r="R135" s="68">
        <f>IF(AND(H135=12,D135&lt;15),Assumptions!$C$7*M135,0)</f>
        <v>0</v>
      </c>
      <c r="S135" s="69">
        <f>M135*Assumptions!$D$17</f>
        <v>434419.55320252065</v>
      </c>
      <c r="T135" s="69">
        <f t="shared" si="21"/>
        <v>0</v>
      </c>
      <c r="U135" s="68">
        <f>T135+AE135*(1+Assumptions!$D$17)</f>
        <v>0</v>
      </c>
      <c r="V135" s="68">
        <f>(M135+N135-O135)*(1+Assumptions!$D$17)-(P135+Q135)*(1+Assumptions!$D$17)^0.5-R135-T135</f>
        <v>106855849.51035199</v>
      </c>
      <c r="W135" s="68"/>
      <c r="X135" s="68">
        <f>IF(AND(H135=1,D135&lt;15),Assumptions!$D$10*N135+Assumptions!$D$11*(1+Assumptions!$D$16)^(B135-1)*$I$7,0)</f>
        <v>0</v>
      </c>
      <c r="Y135" s="66">
        <f>Assumptions!$C$13*N135</f>
        <v>0</v>
      </c>
      <c r="Z135" s="66">
        <f>NPV(Assumptions!$D$19,N135:$N$259)*(1+Assumptions!$D$19)</f>
        <v>25469290.727984849</v>
      </c>
      <c r="AA135" s="69">
        <f t="shared" si="22"/>
        <v>234722.25932208356</v>
      </c>
      <c r="AC135" s="68">
        <f t="shared" si="23"/>
        <v>106855849.51035199</v>
      </c>
      <c r="AD135" s="68"/>
      <c r="AE135" s="68"/>
      <c r="AF135" s="68"/>
      <c r="AG135" s="68"/>
      <c r="AH135" s="68"/>
      <c r="AI135" s="68"/>
      <c r="AK135" s="68"/>
      <c r="AL135" s="71">
        <f t="shared" si="17"/>
        <v>0</v>
      </c>
    </row>
    <row r="136" spans="2:38" x14ac:dyDescent="0.2">
      <c r="B136" s="5">
        <f t="shared" ref="B136:B199" si="26">B135+1</f>
        <v>129</v>
      </c>
      <c r="C136" s="5">
        <f t="shared" ref="C136:C199" si="27">$C$4+B136</f>
        <v>129</v>
      </c>
      <c r="D136" s="5">
        <f t="shared" ref="D136:D199" si="28">ROUNDDOWN((C136-1)/12,0)</f>
        <v>10</v>
      </c>
      <c r="E136" s="5">
        <f t="shared" ref="E136:E199" si="29">ROUNDDOWN(($E$4+B136)/12,0)</f>
        <v>56</v>
      </c>
      <c r="F136" s="65">
        <f>1-(1-VLOOKUP($E136,'Annual Mortality Rates'!$B$5:$C$105,2,FALSE))^(1/12)</f>
        <v>2.1274876474763893E-4</v>
      </c>
      <c r="G136" s="76">
        <f>IF(D136+1&gt;Assumptions!$H$9,100%,1-(1-IF(D136&gt;=7,2%,VLOOKUP($D136,'Annual Lapse Rates'!$B$4:$C$14,2,FALSE)))^(1/12))</f>
        <v>1.6821425527395739E-3</v>
      </c>
      <c r="H136" s="82">
        <f t="shared" si="24"/>
        <v>9</v>
      </c>
      <c r="I136" s="66">
        <f t="shared" si="18"/>
        <v>2917.0381308464348</v>
      </c>
      <c r="J136" s="67">
        <f t="shared" si="19"/>
        <v>0.62177445407380028</v>
      </c>
      <c r="K136" s="67">
        <f t="shared" si="20"/>
        <v>4.916189612873251</v>
      </c>
      <c r="M136" s="68">
        <f t="shared" si="25"/>
        <v>106855849.51035199</v>
      </c>
      <c r="N136" s="68">
        <f>IF(AND(H136=1,D136&lt;15),Assumptions!$H$4*I135,0)</f>
        <v>0</v>
      </c>
      <c r="O136" s="68"/>
      <c r="P136" s="91">
        <f>$M136*(1+VLOOKUP($H136,Assumptions!$C$22:$D$33,2,FALSE))*F136</f>
        <v>23372.82827033849</v>
      </c>
      <c r="Q136" s="91">
        <f>$M136*(1+VLOOKUP($H136,Assumptions!$C$22:$D$33,2,FALSE))*G136</f>
        <v>184802.14941810703</v>
      </c>
      <c r="R136" s="68">
        <f>IF(AND(H136=12,D136&lt;15),Assumptions!$C$7*M136,0)</f>
        <v>0</v>
      </c>
      <c r="S136" s="69">
        <f>M136*Assumptions!$D$17</f>
        <v>435343.95791207429</v>
      </c>
      <c r="T136" s="69">
        <f t="shared" si="21"/>
        <v>0</v>
      </c>
      <c r="U136" s="68">
        <f>T136+AE136*(1+Assumptions!$D$17)</f>
        <v>0</v>
      </c>
      <c r="V136" s="68">
        <f>(M136+N136-O136)*(1+Assumptions!$D$17)-(P136+Q136)*(1+Assumptions!$D$17)^0.5-R136-T136</f>
        <v>107082594.85630776</v>
      </c>
      <c r="W136" s="68"/>
      <c r="X136" s="68">
        <f>IF(AND(H136=1,D136&lt;15),Assumptions!$D$10*N136+Assumptions!$D$11*(1+Assumptions!$D$16)^(B136-1)*$I$7,0)</f>
        <v>0</v>
      </c>
      <c r="Y136" s="66">
        <f>Assumptions!$C$13*N136</f>
        <v>0</v>
      </c>
      <c r="Z136" s="66">
        <f>NPV(Assumptions!$D$19,N136:$N$259)*(1+Assumptions!$D$19)</f>
        <v>25578630.503264353</v>
      </c>
      <c r="AA136" s="69">
        <f t="shared" si="22"/>
        <v>235729.92299679969</v>
      </c>
      <c r="AC136" s="68">
        <f t="shared" si="23"/>
        <v>107082594.85630776</v>
      </c>
      <c r="AD136" s="68"/>
      <c r="AE136" s="68"/>
      <c r="AF136" s="68"/>
      <c r="AG136" s="68"/>
      <c r="AH136" s="68"/>
      <c r="AI136" s="68"/>
      <c r="AK136" s="68"/>
      <c r="AL136" s="71">
        <f t="shared" ref="AL136:AL199" si="30">ROUND(AK136-AG136,3)</f>
        <v>0</v>
      </c>
    </row>
    <row r="137" spans="2:38" x14ac:dyDescent="0.2">
      <c r="B137" s="5">
        <f t="shared" si="26"/>
        <v>130</v>
      </c>
      <c r="C137" s="5">
        <f t="shared" si="27"/>
        <v>130</v>
      </c>
      <c r="D137" s="5">
        <f t="shared" si="28"/>
        <v>10</v>
      </c>
      <c r="E137" s="5">
        <f t="shared" si="29"/>
        <v>56</v>
      </c>
      <c r="F137" s="65">
        <f>1-(1-VLOOKUP($E137,'Annual Mortality Rates'!$B$5:$C$105,2,FALSE))^(1/12)</f>
        <v>2.1274876474763893E-4</v>
      </c>
      <c r="G137" s="76">
        <f>IF(D137+1&gt;Assumptions!$H$9,100%,1-(1-IF(D137&gt;=7,2%,VLOOKUP($D137,'Annual Lapse Rates'!$B$4:$C$14,2,FALSE)))^(1/12))</f>
        <v>1.6821425527395739E-3</v>
      </c>
      <c r="H137" s="82">
        <f t="shared" si="24"/>
        <v>10</v>
      </c>
      <c r="I137" s="66">
        <f t="shared" ref="I137:I200" si="31">I136-J137-K137</f>
        <v>2911.510660619515</v>
      </c>
      <c r="J137" s="67">
        <f t="shared" ref="J137:J200" si="32">$I136*F137</f>
        <v>0.62059625905934057</v>
      </c>
      <c r="K137" s="67">
        <f t="shared" ref="K137:K200" si="33">IF(G137=100%,I136-J137,$I136*G137)</f>
        <v>4.9068739678606974</v>
      </c>
      <c r="M137" s="68">
        <f t="shared" si="25"/>
        <v>107082594.85630776</v>
      </c>
      <c r="N137" s="68">
        <f>IF(AND(H137=1,D137&lt;15),Assumptions!$H$4*I136,0)</f>
        <v>0</v>
      </c>
      <c r="O137" s="68"/>
      <c r="P137" s="91">
        <f>$M137*(1+VLOOKUP($H137,Assumptions!$C$22:$D$33,2,FALSE))*F137</f>
        <v>23493.617587327957</v>
      </c>
      <c r="Q137" s="91">
        <f>$M137*(1+VLOOKUP($H137,Assumptions!$C$22:$D$33,2,FALSE))*G137</f>
        <v>185757.19538636607</v>
      </c>
      <c r="R137" s="68">
        <f>IF(AND(H137=12,D137&lt;15),Assumptions!$C$7*M137,0)</f>
        <v>0</v>
      </c>
      <c r="S137" s="69">
        <f>M137*Assumptions!$D$17</f>
        <v>436267.7465188643</v>
      </c>
      <c r="T137" s="69">
        <f t="shared" ref="T137:T200" si="34">(M137+S137)*(G137=100%)</f>
        <v>0</v>
      </c>
      <c r="U137" s="68">
        <f>T137+AE137*(1+Assumptions!$D$17)</f>
        <v>0</v>
      </c>
      <c r="V137" s="68">
        <f>(M137+N137-O137)*(1+Assumptions!$D$17)-(P137+Q137)*(1+Assumptions!$D$17)^0.5-R137-T137</f>
        <v>107309185.96626963</v>
      </c>
      <c r="W137" s="68"/>
      <c r="X137" s="68">
        <f>IF(AND(H137=1,D137&lt;15),Assumptions!$D$10*N137+Assumptions!$D$11*(1+Assumptions!$D$16)^(B137-1)*$I$7,0)</f>
        <v>0</v>
      </c>
      <c r="Y137" s="66">
        <f>Assumptions!$C$13*N137</f>
        <v>0</v>
      </c>
      <c r="Z137" s="66">
        <f>NPV(Assumptions!$D$19,N137:$N$259)*(1+Assumptions!$D$19)</f>
        <v>25688439.674672157</v>
      </c>
      <c r="AA137" s="69">
        <f t="shared" ref="AA137:AA200" si="35">Z138*$AA$4</f>
        <v>236741.91257603065</v>
      </c>
      <c r="AC137" s="68">
        <f t="shared" ref="AC137:AC200" si="36">V137</f>
        <v>107309185.96626963</v>
      </c>
      <c r="AD137" s="68"/>
      <c r="AE137" s="68"/>
      <c r="AF137" s="68"/>
      <c r="AG137" s="68"/>
      <c r="AH137" s="68"/>
      <c r="AI137" s="68"/>
      <c r="AK137" s="68"/>
      <c r="AL137" s="71">
        <f t="shared" si="30"/>
        <v>0</v>
      </c>
    </row>
    <row r="138" spans="2:38" x14ac:dyDescent="0.2">
      <c r="B138" s="5">
        <f t="shared" si="26"/>
        <v>131</v>
      </c>
      <c r="C138" s="5">
        <f t="shared" si="27"/>
        <v>131</v>
      </c>
      <c r="D138" s="5">
        <f t="shared" si="28"/>
        <v>10</v>
      </c>
      <c r="E138" s="5">
        <f t="shared" si="29"/>
        <v>56</v>
      </c>
      <c r="F138" s="65">
        <f>1-(1-VLOOKUP($E138,'Annual Mortality Rates'!$B$5:$C$105,2,FALSE))^(1/12)</f>
        <v>2.1274876474763893E-4</v>
      </c>
      <c r="G138" s="76">
        <f>IF(D138+1&gt;Assumptions!$H$9,100%,1-(1-IF(D138&gt;=7,2%,VLOOKUP($D138,'Annual Lapse Rates'!$B$4:$C$14,2,FALSE)))^(1/12))</f>
        <v>1.6821425527395739E-3</v>
      </c>
      <c r="H138" s="82">
        <f t="shared" ref="H138:H201" si="37">IF(H137=12,1,H137+1)</f>
        <v>11</v>
      </c>
      <c r="I138" s="66">
        <f t="shared" si="31"/>
        <v>2905.9936643479359</v>
      </c>
      <c r="J138" s="67">
        <f t="shared" si="32"/>
        <v>0.61942029659638398</v>
      </c>
      <c r="K138" s="67">
        <f t="shared" si="33"/>
        <v>4.8975759749829946</v>
      </c>
      <c r="M138" s="68">
        <f t="shared" ref="M138:M201" si="38">V137</f>
        <v>107309185.96626963</v>
      </c>
      <c r="N138" s="68">
        <f>IF(AND(H138=1,D138&lt;15),Assumptions!$H$4*I137,0)</f>
        <v>0</v>
      </c>
      <c r="O138" s="68"/>
      <c r="P138" s="91">
        <f>$M138*(1+VLOOKUP($H138,Assumptions!$C$22:$D$33,2,FALSE))*F138</f>
        <v>23614.674461537234</v>
      </c>
      <c r="Q138" s="91">
        <f>$M138*(1+VLOOKUP($H138,Assumptions!$C$22:$D$33,2,FALSE))*G138</f>
        <v>186714.35685167761</v>
      </c>
      <c r="R138" s="68">
        <f>IF(AND(H138=12,D138&lt;15),Assumptions!$C$7*M138,0)</f>
        <v>0</v>
      </c>
      <c r="S138" s="69">
        <f>M138*Assumptions!$D$17</f>
        <v>437190.90674912318</v>
      </c>
      <c r="T138" s="69">
        <f t="shared" si="34"/>
        <v>0</v>
      </c>
      <c r="U138" s="68">
        <f>T138+AE138*(1+Assumptions!$D$17)</f>
        <v>0</v>
      </c>
      <c r="V138" s="68">
        <f>(M138+N138-O138)*(1+Assumptions!$D$17)-(P138+Q138)*(1+Assumptions!$D$17)^0.5-R138-T138</f>
        <v>107535619.82395731</v>
      </c>
      <c r="W138" s="68"/>
      <c r="X138" s="68">
        <f>IF(AND(H138=1,D138&lt;15),Assumptions!$D$10*N138+Assumptions!$D$11*(1+Assumptions!$D$16)^(B138-1)*$I$7,0)</f>
        <v>0</v>
      </c>
      <c r="Y138" s="66">
        <f>Assumptions!$C$13*N138</f>
        <v>0</v>
      </c>
      <c r="Z138" s="66">
        <f>NPV(Assumptions!$D$19,N138:$N$259)*(1+Assumptions!$D$19)</f>
        <v>25798720.257327862</v>
      </c>
      <c r="AA138" s="69">
        <f t="shared" si="35"/>
        <v>237758.2466309033</v>
      </c>
      <c r="AC138" s="68">
        <f t="shared" si="36"/>
        <v>107535619.82395731</v>
      </c>
      <c r="AD138" s="68"/>
      <c r="AE138" s="68"/>
      <c r="AF138" s="68"/>
      <c r="AG138" s="68"/>
      <c r="AH138" s="68"/>
      <c r="AI138" s="68"/>
      <c r="AK138" s="68"/>
      <c r="AL138" s="71">
        <f t="shared" si="30"/>
        <v>0</v>
      </c>
    </row>
    <row r="139" spans="2:38" x14ac:dyDescent="0.2">
      <c r="B139" s="5">
        <f t="shared" si="26"/>
        <v>132</v>
      </c>
      <c r="C139" s="5">
        <f t="shared" si="27"/>
        <v>132</v>
      </c>
      <c r="D139" s="5">
        <f t="shared" si="28"/>
        <v>10</v>
      </c>
      <c r="E139" s="5">
        <f t="shared" si="29"/>
        <v>56</v>
      </c>
      <c r="F139" s="65">
        <f>1-(1-VLOOKUP($E139,'Annual Mortality Rates'!$B$5:$C$105,2,FALSE))^(1/12)</f>
        <v>2.1274876474763893E-4</v>
      </c>
      <c r="G139" s="76">
        <f>IF(D139+1&gt;Assumptions!$H$9,100%,1-(1-IF(D139&gt;=7,2%,VLOOKUP($D139,'Annual Lapse Rates'!$B$4:$C$14,2,FALSE)))^(1/12))</f>
        <v>1.6821425527395739E-3</v>
      </c>
      <c r="H139" s="82">
        <f t="shared" si="37"/>
        <v>12</v>
      </c>
      <c r="I139" s="66">
        <f t="shared" si="31"/>
        <v>2900.4871221846897</v>
      </c>
      <c r="J139" s="67">
        <f t="shared" si="32"/>
        <v>0.61824656245448828</v>
      </c>
      <c r="K139" s="67">
        <f t="shared" si="33"/>
        <v>4.888295600791265</v>
      </c>
      <c r="M139" s="68">
        <f t="shared" si="38"/>
        <v>107535619.82395731</v>
      </c>
      <c r="N139" s="68">
        <f>IF(AND(H139=1,D139&lt;15),Assumptions!$H$4*I138,0)</f>
        <v>0</v>
      </c>
      <c r="O139" s="68"/>
      <c r="P139" s="91">
        <f>$M139*(1+VLOOKUP($H139,Assumptions!$C$22:$D$33,2,FALSE))*F139</f>
        <v>23735.997919565583</v>
      </c>
      <c r="Q139" s="91">
        <f>$M139*(1+VLOOKUP($H139,Assumptions!$C$22:$D$33,2,FALSE))*G139</f>
        <v>187673.6261176453</v>
      </c>
      <c r="R139" s="68">
        <f>IF(AND(H139=12,D139&lt;15),Assumptions!$C$7*M139,0)</f>
        <v>53767.809911978657</v>
      </c>
      <c r="S139" s="69">
        <f>M139*Assumptions!$D$17</f>
        <v>438113.42631415185</v>
      </c>
      <c r="T139" s="69">
        <f t="shared" si="34"/>
        <v>0</v>
      </c>
      <c r="U139" s="68">
        <f>T139+AE139*(1+Assumptions!$D$17)</f>
        <v>0</v>
      </c>
      <c r="V139" s="68">
        <f>(M139+N139-O139)*(1+Assumptions!$D$17)-(P139+Q139)*(1+Assumptions!$D$17)^0.5-R139-T139</f>
        <v>107708125.59957723</v>
      </c>
      <c r="W139" s="68"/>
      <c r="X139" s="68">
        <f>IF(AND(H139=1,D139&lt;15),Assumptions!$D$10*N139+Assumptions!$D$11*(1+Assumptions!$D$16)^(B139-1)*$I$7,0)</f>
        <v>0</v>
      </c>
      <c r="Y139" s="66">
        <f>Assumptions!$C$13*N139</f>
        <v>0</v>
      </c>
      <c r="Z139" s="66">
        <f>NPV(Assumptions!$D$19,N139:$N$259)*(1+Assumptions!$D$19)</f>
        <v>25909474.275002003</v>
      </c>
      <c r="AA139" s="69">
        <f t="shared" si="35"/>
        <v>238778.94381227036</v>
      </c>
      <c r="AC139" s="68">
        <f t="shared" si="36"/>
        <v>107708125.59957723</v>
      </c>
      <c r="AD139" s="68"/>
      <c r="AE139" s="68"/>
      <c r="AF139" s="68"/>
      <c r="AG139" s="68"/>
      <c r="AH139" s="68"/>
      <c r="AI139" s="68"/>
      <c r="AK139" s="68"/>
      <c r="AL139" s="71">
        <f t="shared" si="30"/>
        <v>0</v>
      </c>
    </row>
    <row r="140" spans="2:38" x14ac:dyDescent="0.2">
      <c r="B140" s="5">
        <f t="shared" si="26"/>
        <v>133</v>
      </c>
      <c r="C140" s="5">
        <f t="shared" si="27"/>
        <v>133</v>
      </c>
      <c r="D140" s="5">
        <f t="shared" si="28"/>
        <v>11</v>
      </c>
      <c r="E140" s="5">
        <f t="shared" si="29"/>
        <v>57</v>
      </c>
      <c r="F140" s="65">
        <f>1-(1-VLOOKUP($E140,'Annual Mortality Rates'!$B$5:$C$105,2,FALSE))^(1/12)</f>
        <v>2.3864632065639935E-4</v>
      </c>
      <c r="G140" s="76">
        <f>IF(D140+1&gt;Assumptions!$H$9,100%,1-(1-IF(D140&gt;=7,2%,VLOOKUP($D140,'Annual Lapse Rates'!$B$4:$C$14,2,FALSE)))^(1/12))</f>
        <v>1.6821425527395739E-3</v>
      </c>
      <c r="H140" s="82">
        <f t="shared" si="37"/>
        <v>1</v>
      </c>
      <c r="I140" s="66">
        <f t="shared" si="31"/>
        <v>2894.9158987929691</v>
      </c>
      <c r="J140" s="67">
        <f t="shared" si="32"/>
        <v>0.69219057982064447</v>
      </c>
      <c r="K140" s="67">
        <f t="shared" si="33"/>
        <v>4.8790328119000144</v>
      </c>
      <c r="M140" s="68">
        <f t="shared" si="38"/>
        <v>107708125.59957723</v>
      </c>
      <c r="N140" s="68">
        <f>IF(AND(H140=1,D140&lt;15),Assumptions!$H$4*I139,0)</f>
        <v>7251217.8054617243</v>
      </c>
      <c r="O140" s="68"/>
      <c r="P140" s="91">
        <f>$M140*(1+VLOOKUP($H140,Assumptions!$C$22:$D$33,2,FALSE))*F140</f>
        <v>25784.473341258748</v>
      </c>
      <c r="Q140" s="91">
        <f>$M140*(1+VLOOKUP($H140,Assumptions!$C$22:$D$33,2,FALSE))*G140</f>
        <v>181746.61016357646</v>
      </c>
      <c r="R140" s="68">
        <f>IF(AND(H140=12,D140&lt;15),Assumptions!$C$7*M140,0)</f>
        <v>0</v>
      </c>
      <c r="S140" s="69">
        <f>M140*Assumptions!$D$17</f>
        <v>438816.23619742168</v>
      </c>
      <c r="T140" s="69">
        <f t="shared" si="34"/>
        <v>0</v>
      </c>
      <c r="U140" s="68">
        <f>T140+AE140*(1+Assumptions!$D$17)</f>
        <v>0</v>
      </c>
      <c r="V140" s="68">
        <f>(M140+N140-O140)*(1+Assumptions!$D$17)-(P140+Q140)*(1+Assumptions!$D$17)^0.5-R140-T140</f>
        <v>115219748.5927044</v>
      </c>
      <c r="W140" s="68"/>
      <c r="X140" s="68">
        <f>IF(AND(H140=1,D140&lt;15),Assumptions!$D$10*N140+Assumptions!$D$11*(1+Assumptions!$D$16)^(B140-1)*$I$7,0)</f>
        <v>76665.754050134987</v>
      </c>
      <c r="Y140" s="66">
        <f>Assumptions!$C$13*N140</f>
        <v>36256.089027308619</v>
      </c>
      <c r="Z140" s="66">
        <f>NPV(Assumptions!$D$19,N140:$N$259)*(1+Assumptions!$D$19)</f>
        <v>26020703.760153156</v>
      </c>
      <c r="AA140" s="69">
        <f t="shared" si="35"/>
        <v>172977.57509825495</v>
      </c>
      <c r="AC140" s="68">
        <f t="shared" si="36"/>
        <v>115219748.5927044</v>
      </c>
      <c r="AD140" s="68"/>
      <c r="AE140" s="68"/>
      <c r="AF140" s="68"/>
      <c r="AG140" s="68"/>
      <c r="AH140" s="68"/>
      <c r="AI140" s="68"/>
      <c r="AK140" s="68"/>
      <c r="AL140" s="71">
        <f t="shared" si="30"/>
        <v>0</v>
      </c>
    </row>
    <row r="141" spans="2:38" x14ac:dyDescent="0.2">
      <c r="B141" s="5">
        <f t="shared" si="26"/>
        <v>134</v>
      </c>
      <c r="C141" s="5">
        <f t="shared" si="27"/>
        <v>134</v>
      </c>
      <c r="D141" s="5">
        <f t="shared" si="28"/>
        <v>11</v>
      </c>
      <c r="E141" s="5">
        <f t="shared" si="29"/>
        <v>57</v>
      </c>
      <c r="F141" s="65">
        <f>1-(1-VLOOKUP($E141,'Annual Mortality Rates'!$B$5:$C$105,2,FALSE))^(1/12)</f>
        <v>2.3864632065639935E-4</v>
      </c>
      <c r="G141" s="76">
        <f>IF(D141+1&gt;Assumptions!$H$9,100%,1-(1-IF(D141&gt;=7,2%,VLOOKUP($D141,'Annual Lapse Rates'!$B$4:$C$14,2,FALSE)))^(1/12))</f>
        <v>1.6821425527395739E-3</v>
      </c>
      <c r="H141" s="82">
        <f t="shared" si="37"/>
        <v>2</v>
      </c>
      <c r="I141" s="66">
        <f t="shared" si="31"/>
        <v>2889.3553765451506</v>
      </c>
      <c r="J141" s="67">
        <f t="shared" si="32"/>
        <v>0.69086102785665537</v>
      </c>
      <c r="K141" s="67">
        <f t="shared" si="33"/>
        <v>4.8696612199619826</v>
      </c>
      <c r="M141" s="68">
        <f t="shared" si="38"/>
        <v>115219748.5927044</v>
      </c>
      <c r="N141" s="68">
        <f>IF(AND(H141=1,D141&lt;15),Assumptions!$H$4*I140,0)</f>
        <v>0</v>
      </c>
      <c r="O141" s="68"/>
      <c r="P141" s="91">
        <f>$M141*(1+VLOOKUP($H141,Assumptions!$C$22:$D$33,2,FALSE))*F141</f>
        <v>27668.623875283029</v>
      </c>
      <c r="Q141" s="91">
        <f>$M141*(1+VLOOKUP($H141,Assumptions!$C$22:$D$33,2,FALSE))*G141</f>
        <v>195027.39228639213</v>
      </c>
      <c r="R141" s="68">
        <f>IF(AND(H141=12,D141&lt;15),Assumptions!$C$7*M141,0)</f>
        <v>0</v>
      </c>
      <c r="S141" s="69">
        <f>M141*Assumptions!$D$17</f>
        <v>469419.5180875209</v>
      </c>
      <c r="T141" s="69">
        <f t="shared" si="34"/>
        <v>0</v>
      </c>
      <c r="U141" s="68">
        <f>T141+AE141*(1+Assumptions!$D$17)</f>
        <v>0</v>
      </c>
      <c r="V141" s="68">
        <f>(M141+N141-O141)*(1+Assumptions!$D$17)-(P141+Q141)*(1+Assumptions!$D$17)^0.5-R141-T141</f>
        <v>115466018.91017547</v>
      </c>
      <c r="W141" s="68"/>
      <c r="X141" s="68">
        <f>IF(AND(H141=1,D141&lt;15),Assumptions!$D$10*N141+Assumptions!$D$11*(1+Assumptions!$D$16)^(B141-1)*$I$7,0)</f>
        <v>0</v>
      </c>
      <c r="Y141" s="66">
        <f>Assumptions!$C$13*N141</f>
        <v>0</v>
      </c>
      <c r="Z141" s="66">
        <f>NPV(Assumptions!$D$19,N141:$N$259)*(1+Assumptions!$D$19)</f>
        <v>18850063.439094752</v>
      </c>
      <c r="AA141" s="69">
        <f t="shared" si="35"/>
        <v>173720.16857648068</v>
      </c>
      <c r="AC141" s="68">
        <f t="shared" si="36"/>
        <v>115466018.91017547</v>
      </c>
      <c r="AD141" s="68"/>
      <c r="AE141" s="68"/>
      <c r="AF141" s="68"/>
      <c r="AG141" s="68"/>
      <c r="AH141" s="68"/>
      <c r="AI141" s="68"/>
      <c r="AK141" s="68"/>
      <c r="AL141" s="71">
        <f t="shared" si="30"/>
        <v>0</v>
      </c>
    </row>
    <row r="142" spans="2:38" x14ac:dyDescent="0.2">
      <c r="B142" s="5">
        <f t="shared" si="26"/>
        <v>135</v>
      </c>
      <c r="C142" s="5">
        <f t="shared" si="27"/>
        <v>135</v>
      </c>
      <c r="D142" s="5">
        <f t="shared" si="28"/>
        <v>11</v>
      </c>
      <c r="E142" s="5">
        <f t="shared" si="29"/>
        <v>57</v>
      </c>
      <c r="F142" s="65">
        <f>1-(1-VLOOKUP($E142,'Annual Mortality Rates'!$B$5:$C$105,2,FALSE))^(1/12)</f>
        <v>2.3864632065639935E-4</v>
      </c>
      <c r="G142" s="76">
        <f>IF(D142+1&gt;Assumptions!$H$9,100%,1-(1-IF(D142&gt;=7,2%,VLOOKUP($D142,'Annual Lapse Rates'!$B$4:$C$14,2,FALSE)))^(1/12))</f>
        <v>1.6821425527395739E-3</v>
      </c>
      <c r="H142" s="82">
        <f t="shared" si="37"/>
        <v>3</v>
      </c>
      <c r="I142" s="66">
        <f t="shared" si="31"/>
        <v>2883.8055348865955</v>
      </c>
      <c r="J142" s="67">
        <f t="shared" si="32"/>
        <v>0.68953402968128552</v>
      </c>
      <c r="K142" s="67">
        <f t="shared" si="33"/>
        <v>4.8603076288734721</v>
      </c>
      <c r="M142" s="68">
        <f t="shared" si="38"/>
        <v>115466018.91017547</v>
      </c>
      <c r="N142" s="68">
        <f>IF(AND(H142=1,D142&lt;15),Assumptions!$H$4*I141,0)</f>
        <v>0</v>
      </c>
      <c r="O142" s="68"/>
      <c r="P142" s="91">
        <f>$M142*(1+VLOOKUP($H142,Assumptions!$C$22:$D$33,2,FALSE))*F142</f>
        <v>27813.873766634562</v>
      </c>
      <c r="Q142" s="91">
        <f>$M142*(1+VLOOKUP($H142,Assumptions!$C$22:$D$33,2,FALSE))*G142</f>
        <v>196051.2129024032</v>
      </c>
      <c r="R142" s="68">
        <f>IF(AND(H142=12,D142&lt;15),Assumptions!$C$7*M142,0)</f>
        <v>0</v>
      </c>
      <c r="S142" s="69">
        <f>M142*Assumptions!$D$17</f>
        <v>470422.85384513641</v>
      </c>
      <c r="T142" s="69">
        <f t="shared" si="34"/>
        <v>0</v>
      </c>
      <c r="U142" s="68">
        <f>T142+AE142*(1+Assumptions!$D$17)</f>
        <v>0</v>
      </c>
      <c r="V142" s="68">
        <f>(M142+N142-O142)*(1+Assumptions!$D$17)-(P142+Q142)*(1+Assumptions!$D$17)^0.5-R142-T142</f>
        <v>115712121.11384849</v>
      </c>
      <c r="W142" s="68"/>
      <c r="X142" s="68">
        <f>IF(AND(H142=1,D142&lt;15),Assumptions!$D$10*N142+Assumptions!$D$11*(1+Assumptions!$D$16)^(B142-1)*$I$7,0)</f>
        <v>0</v>
      </c>
      <c r="Y142" s="66">
        <f>Assumptions!$C$13*N142</f>
        <v>0</v>
      </c>
      <c r="Z142" s="66">
        <f>NPV(Assumptions!$D$19,N142:$N$259)*(1+Assumptions!$D$19)</f>
        <v>18930986.842987202</v>
      </c>
      <c r="AA142" s="69">
        <f t="shared" si="35"/>
        <v>174465.950011721</v>
      </c>
      <c r="AC142" s="68">
        <f t="shared" si="36"/>
        <v>115712121.11384849</v>
      </c>
      <c r="AD142" s="68"/>
      <c r="AE142" s="68"/>
      <c r="AF142" s="68"/>
      <c r="AG142" s="68"/>
      <c r="AH142" s="68"/>
      <c r="AI142" s="68"/>
      <c r="AK142" s="68"/>
      <c r="AL142" s="71">
        <f t="shared" si="30"/>
        <v>0</v>
      </c>
    </row>
    <row r="143" spans="2:38" x14ac:dyDescent="0.2">
      <c r="B143" s="5">
        <f t="shared" si="26"/>
        <v>136</v>
      </c>
      <c r="C143" s="5">
        <f t="shared" si="27"/>
        <v>136</v>
      </c>
      <c r="D143" s="5">
        <f t="shared" si="28"/>
        <v>11</v>
      </c>
      <c r="E143" s="5">
        <f t="shared" si="29"/>
        <v>57</v>
      </c>
      <c r="F143" s="65">
        <f>1-(1-VLOOKUP($E143,'Annual Mortality Rates'!$B$5:$C$105,2,FALSE))^(1/12)</f>
        <v>2.3864632065639935E-4</v>
      </c>
      <c r="G143" s="76">
        <f>IF(D143+1&gt;Assumptions!$H$9,100%,1-(1-IF(D143&gt;=7,2%,VLOOKUP($D143,'Annual Lapse Rates'!$B$4:$C$14,2,FALSE)))^(1/12))</f>
        <v>1.6821425527395739E-3</v>
      </c>
      <c r="H143" s="82">
        <f t="shared" si="37"/>
        <v>4</v>
      </c>
      <c r="I143" s="66">
        <f t="shared" si="31"/>
        <v>2878.2663533021473</v>
      </c>
      <c r="J143" s="67">
        <f t="shared" si="32"/>
        <v>0.68820958038924573</v>
      </c>
      <c r="K143" s="67">
        <f t="shared" si="33"/>
        <v>4.8509720040586499</v>
      </c>
      <c r="M143" s="68">
        <f t="shared" si="38"/>
        <v>115712121.11384849</v>
      </c>
      <c r="N143" s="68">
        <f>IF(AND(H143=1,D143&lt;15),Assumptions!$H$4*I142,0)</f>
        <v>0</v>
      </c>
      <c r="O143" s="68"/>
      <c r="P143" s="91">
        <f>$M143*(1+VLOOKUP($H143,Assumptions!$C$22:$D$33,2,FALSE))*F143</f>
        <v>27959.450358657195</v>
      </c>
      <c r="Q143" s="91">
        <f>$M143*(1+VLOOKUP($H143,Assumptions!$C$22:$D$33,2,FALSE))*G143</f>
        <v>197077.33632827684</v>
      </c>
      <c r="R143" s="68">
        <f>IF(AND(H143=12,D143&lt;15),Assumptions!$C$7*M143,0)</f>
        <v>0</v>
      </c>
      <c r="S143" s="69">
        <f>M143*Assumptions!$D$17</f>
        <v>471425.50468632893</v>
      </c>
      <c r="T143" s="69">
        <f t="shared" si="34"/>
        <v>0</v>
      </c>
      <c r="U143" s="68">
        <f>T143+AE143*(1+Assumptions!$D$17)</f>
        <v>0</v>
      </c>
      <c r="V143" s="68">
        <f>(M143+N143-O143)*(1+Assumptions!$D$17)-(P143+Q143)*(1+Assumptions!$D$17)^0.5-R143-T143</f>
        <v>115958051.88394547</v>
      </c>
      <c r="W143" s="68"/>
      <c r="X143" s="68">
        <f>IF(AND(H143=1,D143&lt;15),Assumptions!$D$10*N143+Assumptions!$D$11*(1+Assumptions!$D$16)^(B143-1)*$I$7,0)</f>
        <v>0</v>
      </c>
      <c r="Y143" s="66">
        <f>Assumptions!$C$13*N143</f>
        <v>0</v>
      </c>
      <c r="Z143" s="66">
        <f>NPV(Assumptions!$D$19,N143:$N$259)*(1+Assumptions!$D$19)</f>
        <v>19012257.651402652</v>
      </c>
      <c r="AA143" s="69">
        <f t="shared" si="35"/>
        <v>175214.93308988921</v>
      </c>
      <c r="AC143" s="68">
        <f t="shared" si="36"/>
        <v>115958051.88394547</v>
      </c>
      <c r="AD143" s="68"/>
      <c r="AE143" s="68"/>
      <c r="AF143" s="68"/>
      <c r="AG143" s="68"/>
      <c r="AH143" s="68"/>
      <c r="AI143" s="68"/>
      <c r="AK143" s="68"/>
      <c r="AL143" s="71">
        <f t="shared" si="30"/>
        <v>0</v>
      </c>
    </row>
    <row r="144" spans="2:38" x14ac:dyDescent="0.2">
      <c r="B144" s="5">
        <f t="shared" si="26"/>
        <v>137</v>
      </c>
      <c r="C144" s="5">
        <f t="shared" si="27"/>
        <v>137</v>
      </c>
      <c r="D144" s="5">
        <f t="shared" si="28"/>
        <v>11</v>
      </c>
      <c r="E144" s="5">
        <f t="shared" si="29"/>
        <v>57</v>
      </c>
      <c r="F144" s="65">
        <f>1-(1-VLOOKUP($E144,'Annual Mortality Rates'!$B$5:$C$105,2,FALSE))^(1/12)</f>
        <v>2.3864632065639935E-4</v>
      </c>
      <c r="G144" s="76">
        <f>IF(D144+1&gt;Assumptions!$H$9,100%,1-(1-IF(D144&gt;=7,2%,VLOOKUP($D144,'Annual Lapse Rates'!$B$4:$C$14,2,FALSE)))^(1/12))</f>
        <v>1.6821425527395739E-3</v>
      </c>
      <c r="H144" s="82">
        <f t="shared" si="37"/>
        <v>5</v>
      </c>
      <c r="I144" s="66">
        <f t="shared" si="31"/>
        <v>2872.7378113160548</v>
      </c>
      <c r="J144" s="67">
        <f t="shared" si="32"/>
        <v>0.68688767508466941</v>
      </c>
      <c r="K144" s="67">
        <f t="shared" si="33"/>
        <v>4.8416543110080985</v>
      </c>
      <c r="M144" s="68">
        <f t="shared" si="38"/>
        <v>115958051.88394547</v>
      </c>
      <c r="N144" s="68">
        <f>IF(AND(H144=1,D144&lt;15),Assumptions!$H$4*I143,0)</f>
        <v>0</v>
      </c>
      <c r="O144" s="68"/>
      <c r="P144" s="91">
        <f>$M144*(1+VLOOKUP($H144,Assumptions!$C$22:$D$33,2,FALSE))*F144</f>
        <v>28105.352470596619</v>
      </c>
      <c r="Q144" s="91">
        <f>$M144*(1+VLOOKUP($H144,Assumptions!$C$22:$D$33,2,FALSE))*G144</f>
        <v>198105.75424124874</v>
      </c>
      <c r="R144" s="68">
        <f>IF(AND(H144=12,D144&lt;15),Assumptions!$C$7*M144,0)</f>
        <v>0</v>
      </c>
      <c r="S144" s="69">
        <f>M144*Assumptions!$D$17</f>
        <v>472427.457085912</v>
      </c>
      <c r="T144" s="69">
        <f t="shared" si="34"/>
        <v>0</v>
      </c>
      <c r="U144" s="68">
        <f>T144+AE144*(1+Assumptions!$D$17)</f>
        <v>0</v>
      </c>
      <c r="V144" s="68">
        <f>(M144+N144-O144)*(1+Assumptions!$D$17)-(P144+Q144)*(1+Assumptions!$D$17)^0.5-R144-T144</f>
        <v>116203807.89668608</v>
      </c>
      <c r="W144" s="68"/>
      <c r="X144" s="68">
        <f>IF(AND(H144=1,D144&lt;15),Assumptions!$D$10*N144+Assumptions!$D$11*(1+Assumptions!$D$16)^(B144-1)*$I$7,0)</f>
        <v>0</v>
      </c>
      <c r="Y144" s="66">
        <f>Assumptions!$C$13*N144</f>
        <v>0</v>
      </c>
      <c r="Z144" s="66">
        <f>NPV(Assumptions!$D$19,N144:$N$259)*(1+Assumptions!$D$19)</f>
        <v>19093877.355750222</v>
      </c>
      <c r="AA144" s="69">
        <f t="shared" si="35"/>
        <v>175967.13155565222</v>
      </c>
      <c r="AC144" s="68">
        <f t="shared" si="36"/>
        <v>116203807.89668608</v>
      </c>
      <c r="AD144" s="68"/>
      <c r="AE144" s="68"/>
      <c r="AF144" s="68"/>
      <c r="AG144" s="68"/>
      <c r="AH144" s="68"/>
      <c r="AI144" s="68"/>
      <c r="AK144" s="68"/>
      <c r="AL144" s="71">
        <f t="shared" si="30"/>
        <v>0</v>
      </c>
    </row>
    <row r="145" spans="2:38" x14ac:dyDescent="0.2">
      <c r="B145" s="5">
        <f t="shared" si="26"/>
        <v>138</v>
      </c>
      <c r="C145" s="5">
        <f t="shared" si="27"/>
        <v>138</v>
      </c>
      <c r="D145" s="5">
        <f t="shared" si="28"/>
        <v>11</v>
      </c>
      <c r="E145" s="5">
        <f t="shared" si="29"/>
        <v>57</v>
      </c>
      <c r="F145" s="65">
        <f>1-(1-VLOOKUP($E145,'Annual Mortality Rates'!$B$5:$C$105,2,FALSE))^(1/12)</f>
        <v>2.3864632065639935E-4</v>
      </c>
      <c r="G145" s="76">
        <f>IF(D145+1&gt;Assumptions!$H$9,100%,1-(1-IF(D145&gt;=7,2%,VLOOKUP($D145,'Annual Lapse Rates'!$B$4:$C$14,2,FALSE)))^(1/12))</f>
        <v>1.6821425527395739E-3</v>
      </c>
      <c r="H145" s="82">
        <f t="shared" si="37"/>
        <v>6</v>
      </c>
      <c r="I145" s="66">
        <f t="shared" si="31"/>
        <v>2867.2198884918948</v>
      </c>
      <c r="J145" s="67">
        <f t="shared" si="32"/>
        <v>0.6855683088810941</v>
      </c>
      <c r="K145" s="67">
        <f t="shared" si="33"/>
        <v>4.8323545152786851</v>
      </c>
      <c r="M145" s="68">
        <f t="shared" si="38"/>
        <v>116203807.89668608</v>
      </c>
      <c r="N145" s="68">
        <f>IF(AND(H145=1,D145&lt;15),Assumptions!$H$4*I144,0)</f>
        <v>0</v>
      </c>
      <c r="O145" s="68"/>
      <c r="P145" s="91">
        <f>$M145*(1+VLOOKUP($H145,Assumptions!$C$22:$D$33,2,FALSE))*F145</f>
        <v>28251.578910822311</v>
      </c>
      <c r="Q145" s="91">
        <f>$M145*(1+VLOOKUP($H145,Assumptions!$C$22:$D$33,2,FALSE))*G145</f>
        <v>199136.45824189167</v>
      </c>
      <c r="R145" s="68">
        <f>IF(AND(H145=12,D145&lt;15),Assumptions!$C$7*M145,0)</f>
        <v>0</v>
      </c>
      <c r="S145" s="69">
        <f>M145*Assumptions!$D$17</f>
        <v>473428.6975023931</v>
      </c>
      <c r="T145" s="69">
        <f t="shared" si="34"/>
        <v>0</v>
      </c>
      <c r="U145" s="68">
        <f>T145+AE145*(1+Assumptions!$D$17)</f>
        <v>0</v>
      </c>
      <c r="V145" s="68">
        <f>(M145+N145-O145)*(1+Assumptions!$D$17)-(P145+Q145)*(1+Assumptions!$D$17)^0.5-R145-T145</f>
        <v>116449385.8243591</v>
      </c>
      <c r="W145" s="68"/>
      <c r="X145" s="68">
        <f>IF(AND(H145=1,D145&lt;15),Assumptions!$D$10*N145+Assumptions!$D$11*(1+Assumptions!$D$16)^(B145-1)*$I$7,0)</f>
        <v>0</v>
      </c>
      <c r="Y145" s="66">
        <f>Assumptions!$C$13*N145</f>
        <v>0</v>
      </c>
      <c r="Z145" s="66">
        <f>NPV(Assumptions!$D$19,N145:$N$259)*(1+Assumptions!$D$19)</f>
        <v>19175847.453841656</v>
      </c>
      <c r="AA145" s="69">
        <f t="shared" si="35"/>
        <v>176722.55921268283</v>
      </c>
      <c r="AC145" s="68">
        <f t="shared" si="36"/>
        <v>116449385.8243591</v>
      </c>
      <c r="AD145" s="68"/>
      <c r="AE145" s="68"/>
      <c r="AF145" s="68"/>
      <c r="AG145" s="68"/>
      <c r="AH145" s="68"/>
      <c r="AI145" s="68"/>
      <c r="AK145" s="68"/>
      <c r="AL145" s="71">
        <f t="shared" si="30"/>
        <v>0</v>
      </c>
    </row>
    <row r="146" spans="2:38" x14ac:dyDescent="0.2">
      <c r="B146" s="5">
        <f t="shared" si="26"/>
        <v>139</v>
      </c>
      <c r="C146" s="5">
        <f t="shared" si="27"/>
        <v>139</v>
      </c>
      <c r="D146" s="5">
        <f t="shared" si="28"/>
        <v>11</v>
      </c>
      <c r="E146" s="5">
        <f t="shared" si="29"/>
        <v>57</v>
      </c>
      <c r="F146" s="65">
        <f>1-(1-VLOOKUP($E146,'Annual Mortality Rates'!$B$5:$C$105,2,FALSE))^(1/12)</f>
        <v>2.3864632065639935E-4</v>
      </c>
      <c r="G146" s="76">
        <f>IF(D146+1&gt;Assumptions!$H$9,100%,1-(1-IF(D146&gt;=7,2%,VLOOKUP($D146,'Annual Lapse Rates'!$B$4:$C$14,2,FALSE)))^(1/12))</f>
        <v>1.6821425527395739E-3</v>
      </c>
      <c r="H146" s="82">
        <f t="shared" si="37"/>
        <v>7</v>
      </c>
      <c r="I146" s="66">
        <f t="shared" si="31"/>
        <v>2861.7125644325001</v>
      </c>
      <c r="J146" s="67">
        <f t="shared" si="32"/>
        <v>0.68425147690144228</v>
      </c>
      <c r="K146" s="67">
        <f t="shared" si="33"/>
        <v>4.8230725824934328</v>
      </c>
      <c r="M146" s="68">
        <f t="shared" si="38"/>
        <v>116449385.8243591</v>
      </c>
      <c r="N146" s="68">
        <f>IF(AND(H146=1,D146&lt;15),Assumptions!$H$4*I145,0)</f>
        <v>0</v>
      </c>
      <c r="O146" s="68"/>
      <c r="P146" s="91">
        <f>$M146*(1+VLOOKUP($H146,Assumptions!$C$22:$D$33,2,FALSE))*F146</f>
        <v>28398.128476830036</v>
      </c>
      <c r="Q146" s="91">
        <f>$M146*(1+VLOOKUP($H146,Assumptions!$C$22:$D$33,2,FALSE))*G146</f>
        <v>200169.439854133</v>
      </c>
      <c r="R146" s="68">
        <f>IF(AND(H146=12,D146&lt;15),Assumptions!$C$7*M146,0)</f>
        <v>0</v>
      </c>
      <c r="S146" s="69">
        <f>M146*Assumptions!$D$17</f>
        <v>474429.21237826487</v>
      </c>
      <c r="T146" s="69">
        <f t="shared" si="34"/>
        <v>0</v>
      </c>
      <c r="U146" s="68">
        <f>T146+AE146*(1+Assumptions!$D$17)</f>
        <v>0</v>
      </c>
      <c r="V146" s="68">
        <f>(M146+N146-O146)*(1+Assumptions!$D$17)-(P146+Q146)*(1+Assumptions!$D$17)^0.5-R146-T146</f>
        <v>116694782.33539407</v>
      </c>
      <c r="W146" s="68"/>
      <c r="X146" s="68">
        <f>IF(AND(H146=1,D146&lt;15),Assumptions!$D$10*N146+Assumptions!$D$11*(1+Assumptions!$D$16)^(B146-1)*$I$7,0)</f>
        <v>0</v>
      </c>
      <c r="Y146" s="66">
        <f>Assumptions!$C$13*N146</f>
        <v>0</v>
      </c>
      <c r="Z146" s="66">
        <f>NPV(Assumptions!$D$19,N146:$N$259)*(1+Assumptions!$D$19)</f>
        <v>19258169.44991881</v>
      </c>
      <c r="AA146" s="69">
        <f t="shared" si="35"/>
        <v>177481.22992391323</v>
      </c>
      <c r="AC146" s="68">
        <f t="shared" si="36"/>
        <v>116694782.33539407</v>
      </c>
      <c r="AD146" s="68"/>
      <c r="AE146" s="68"/>
      <c r="AF146" s="68"/>
      <c r="AG146" s="68"/>
      <c r="AH146" s="68"/>
      <c r="AI146" s="68"/>
      <c r="AK146" s="68"/>
      <c r="AL146" s="71">
        <f t="shared" si="30"/>
        <v>0</v>
      </c>
    </row>
    <row r="147" spans="2:38" x14ac:dyDescent="0.2">
      <c r="B147" s="5">
        <f t="shared" si="26"/>
        <v>140</v>
      </c>
      <c r="C147" s="5">
        <f t="shared" si="27"/>
        <v>140</v>
      </c>
      <c r="D147" s="5">
        <f t="shared" si="28"/>
        <v>11</v>
      </c>
      <c r="E147" s="5">
        <f t="shared" si="29"/>
        <v>57</v>
      </c>
      <c r="F147" s="65">
        <f>1-(1-VLOOKUP($E147,'Annual Mortality Rates'!$B$5:$C$105,2,FALSE))^(1/12)</f>
        <v>2.3864632065639935E-4</v>
      </c>
      <c r="G147" s="76">
        <f>IF(D147+1&gt;Assumptions!$H$9,100%,1-(1-IF(D147&gt;=7,2%,VLOOKUP($D147,'Annual Lapse Rates'!$B$4:$C$14,2,FALSE)))^(1/12))</f>
        <v>1.6821425527395739E-3</v>
      </c>
      <c r="H147" s="82">
        <f t="shared" si="37"/>
        <v>8</v>
      </c>
      <c r="I147" s="66">
        <f t="shared" si="31"/>
        <v>2856.2158187798809</v>
      </c>
      <c r="J147" s="67">
        <f t="shared" si="32"/>
        <v>0.68293717427800527</v>
      </c>
      <c r="K147" s="67">
        <f t="shared" si="33"/>
        <v>4.8138084783413984</v>
      </c>
      <c r="M147" s="68">
        <f t="shared" si="38"/>
        <v>116694782.33539407</v>
      </c>
      <c r="N147" s="68">
        <f>IF(AND(H147=1,D147&lt;15),Assumptions!$H$4*I146,0)</f>
        <v>0</v>
      </c>
      <c r="O147" s="68"/>
      <c r="P147" s="91">
        <f>$M147*(1+VLOOKUP($H147,Assumptions!$C$22:$D$33,2,FALSE))*F147</f>
        <v>28544.999955244704</v>
      </c>
      <c r="Q147" s="91">
        <f>$M147*(1+VLOOKUP($H147,Assumptions!$C$22:$D$33,2,FALSE))*G147</f>
        <v>201204.6905252749</v>
      </c>
      <c r="R147" s="68">
        <f>IF(AND(H147=12,D147&lt;15),Assumptions!$C$7*M147,0)</f>
        <v>0</v>
      </c>
      <c r="S147" s="69">
        <f>M147*Assumptions!$D$17</f>
        <v>475428.98814029671</v>
      </c>
      <c r="T147" s="69">
        <f t="shared" si="34"/>
        <v>0</v>
      </c>
      <c r="U147" s="68">
        <f>T147+AE147*(1+Assumptions!$D$17)</f>
        <v>0</v>
      </c>
      <c r="V147" s="68">
        <f>(M147+N147-O147)*(1+Assumptions!$D$17)-(P147+Q147)*(1+Assumptions!$D$17)^0.5-R147-T147</f>
        <v>116939994.09443322</v>
      </c>
      <c r="W147" s="68"/>
      <c r="X147" s="68">
        <f>IF(AND(H147=1,D147&lt;15),Assumptions!$D$10*N147+Assumptions!$D$11*(1+Assumptions!$D$16)^(B147-1)*$I$7,0)</f>
        <v>0</v>
      </c>
      <c r="Y147" s="66">
        <f>Assumptions!$C$13*N147</f>
        <v>0</v>
      </c>
      <c r="Z147" s="66">
        <f>NPV(Assumptions!$D$19,N147:$N$259)*(1+Assumptions!$D$19)</f>
        <v>19340844.854681265</v>
      </c>
      <c r="AA147" s="69">
        <f t="shared" si="35"/>
        <v>178243.15761178907</v>
      </c>
      <c r="AC147" s="68">
        <f t="shared" si="36"/>
        <v>116939994.09443322</v>
      </c>
      <c r="AD147" s="68"/>
      <c r="AE147" s="68"/>
      <c r="AF147" s="68"/>
      <c r="AG147" s="68"/>
      <c r="AH147" s="68"/>
      <c r="AI147" s="68"/>
      <c r="AK147" s="68"/>
      <c r="AL147" s="71">
        <f t="shared" si="30"/>
        <v>0</v>
      </c>
    </row>
    <row r="148" spans="2:38" x14ac:dyDescent="0.2">
      <c r="B148" s="5">
        <f t="shared" si="26"/>
        <v>141</v>
      </c>
      <c r="C148" s="5">
        <f t="shared" si="27"/>
        <v>141</v>
      </c>
      <c r="D148" s="5">
        <f t="shared" si="28"/>
        <v>11</v>
      </c>
      <c r="E148" s="5">
        <f t="shared" si="29"/>
        <v>57</v>
      </c>
      <c r="F148" s="65">
        <f>1-(1-VLOOKUP($E148,'Annual Mortality Rates'!$B$5:$C$105,2,FALSE))^(1/12)</f>
        <v>2.3864632065639935E-4</v>
      </c>
      <c r="G148" s="76">
        <f>IF(D148+1&gt;Assumptions!$H$9,100%,1-(1-IF(D148&gt;=7,2%,VLOOKUP($D148,'Annual Lapse Rates'!$B$4:$C$14,2,FALSE)))^(1/12))</f>
        <v>1.6821425527395739E-3</v>
      </c>
      <c r="H148" s="82">
        <f t="shared" si="37"/>
        <v>9</v>
      </c>
      <c r="I148" s="66">
        <f t="shared" si="31"/>
        <v>2850.7296312151511</v>
      </c>
      <c r="J148" s="67">
        <f t="shared" si="32"/>
        <v>0.68162539615242368</v>
      </c>
      <c r="K148" s="67">
        <f t="shared" si="33"/>
        <v>4.804562168577541</v>
      </c>
      <c r="M148" s="68">
        <f t="shared" si="38"/>
        <v>116939994.09443322</v>
      </c>
      <c r="N148" s="68">
        <f>IF(AND(H148=1,D148&lt;15),Assumptions!$H$4*I147,0)</f>
        <v>0</v>
      </c>
      <c r="O148" s="68"/>
      <c r="P148" s="91">
        <f>$M148*(1+VLOOKUP($H148,Assumptions!$C$22:$D$33,2,FALSE))*F148</f>
        <v>28692.192121823675</v>
      </c>
      <c r="Q148" s="91">
        <f>$M148*(1+VLOOKUP($H148,Assumptions!$C$22:$D$33,2,FALSE))*G148</f>
        <v>202242.2016260176</v>
      </c>
      <c r="R148" s="68">
        <f>IF(AND(H148=12,D148&lt;15),Assumptions!$C$7*M148,0)</f>
        <v>0</v>
      </c>
      <c r="S148" s="69">
        <f>M148*Assumptions!$D$17</f>
        <v>476428.01119982835</v>
      </c>
      <c r="T148" s="69">
        <f t="shared" si="34"/>
        <v>0</v>
      </c>
      <c r="U148" s="68">
        <f>T148+AE148*(1+Assumptions!$D$17)</f>
        <v>0</v>
      </c>
      <c r="V148" s="68">
        <f>(M148+N148-O148)*(1+Assumptions!$D$17)-(P148+Q148)*(1+Assumptions!$D$17)^0.5-R148-T148</f>
        <v>117185017.76240374</v>
      </c>
      <c r="W148" s="68"/>
      <c r="X148" s="68">
        <f>IF(AND(H148=1,D148&lt;15),Assumptions!$D$10*N148+Assumptions!$D$11*(1+Assumptions!$D$16)^(B148-1)*$I$7,0)</f>
        <v>0</v>
      </c>
      <c r="Y148" s="66">
        <f>Assumptions!$C$13*N148</f>
        <v>0</v>
      </c>
      <c r="Z148" s="66">
        <f>NPV(Assumptions!$D$19,N148:$N$259)*(1+Assumptions!$D$19)</f>
        <v>19423875.185314029</v>
      </c>
      <c r="AA148" s="69">
        <f t="shared" si="35"/>
        <v>179008.35625852516</v>
      </c>
      <c r="AC148" s="68">
        <f t="shared" si="36"/>
        <v>117185017.76240374</v>
      </c>
      <c r="AD148" s="68"/>
      <c r="AE148" s="68"/>
      <c r="AF148" s="68"/>
      <c r="AG148" s="68"/>
      <c r="AH148" s="68"/>
      <c r="AI148" s="68"/>
      <c r="AK148" s="68"/>
      <c r="AL148" s="71">
        <f t="shared" si="30"/>
        <v>0</v>
      </c>
    </row>
    <row r="149" spans="2:38" x14ac:dyDescent="0.2">
      <c r="B149" s="5">
        <f t="shared" si="26"/>
        <v>142</v>
      </c>
      <c r="C149" s="5">
        <f t="shared" si="27"/>
        <v>142</v>
      </c>
      <c r="D149" s="5">
        <f t="shared" si="28"/>
        <v>11</v>
      </c>
      <c r="E149" s="5">
        <f t="shared" si="29"/>
        <v>57</v>
      </c>
      <c r="F149" s="65">
        <f>1-(1-VLOOKUP($E149,'Annual Mortality Rates'!$B$5:$C$105,2,FALSE))^(1/12)</f>
        <v>2.3864632065639935E-4</v>
      </c>
      <c r="G149" s="76">
        <f>IF(D149+1&gt;Assumptions!$H$9,100%,1-(1-IF(D149&gt;=7,2%,VLOOKUP($D149,'Annual Lapse Rates'!$B$4:$C$14,2,FALSE)))^(1/12))</f>
        <v>1.6821425527395739E-3</v>
      </c>
      <c r="H149" s="82">
        <f t="shared" si="37"/>
        <v>10</v>
      </c>
      <c r="I149" s="66">
        <f t="shared" si="31"/>
        <v>2845.2539814584529</v>
      </c>
      <c r="J149" s="67">
        <f t="shared" si="32"/>
        <v>0.68031613767567001</v>
      </c>
      <c r="K149" s="67">
        <f t="shared" si="33"/>
        <v>4.7953336190225988</v>
      </c>
      <c r="M149" s="68">
        <f t="shared" si="38"/>
        <v>117185017.76240374</v>
      </c>
      <c r="N149" s="68">
        <f>IF(AND(H149=1,D149&lt;15),Assumptions!$H$4*I148,0)</f>
        <v>0</v>
      </c>
      <c r="O149" s="68"/>
      <c r="P149" s="91">
        <f>$M149*(1+VLOOKUP($H149,Assumptions!$C$22:$D$33,2,FALSE))*F149</f>
        <v>28839.703741460347</v>
      </c>
      <c r="Q149" s="91">
        <f>$M149*(1+VLOOKUP($H149,Assumptions!$C$22:$D$33,2,FALSE))*G149</f>
        <v>203281.96445048472</v>
      </c>
      <c r="R149" s="68">
        <f>IF(AND(H149=12,D149&lt;15),Assumptions!$C$7*M149,0)</f>
        <v>0</v>
      </c>
      <c r="S149" s="69">
        <f>M149*Assumptions!$D$17</f>
        <v>477426.26795306383</v>
      </c>
      <c r="T149" s="69">
        <f t="shared" si="34"/>
        <v>0</v>
      </c>
      <c r="U149" s="68">
        <f>T149+AE149*(1+Assumptions!$D$17)</f>
        <v>0</v>
      </c>
      <c r="V149" s="68">
        <f>(M149+N149-O149)*(1+Assumptions!$D$17)-(P149+Q149)*(1+Assumptions!$D$17)^0.5-R149-T149</f>
        <v>117429849.99659024</v>
      </c>
      <c r="W149" s="68"/>
      <c r="X149" s="68">
        <f>IF(AND(H149=1,D149&lt;15),Assumptions!$D$10*N149+Assumptions!$D$11*(1+Assumptions!$D$16)^(B149-1)*$I$7,0)</f>
        <v>0</v>
      </c>
      <c r="Y149" s="66">
        <f>Assumptions!$C$13*N149</f>
        <v>0</v>
      </c>
      <c r="Z149" s="66">
        <f>NPV(Assumptions!$D$19,N149:$N$259)*(1+Assumptions!$D$19)</f>
        <v>19507261.965515405</v>
      </c>
      <c r="AA149" s="69">
        <f t="shared" si="35"/>
        <v>179776.83990636206</v>
      </c>
      <c r="AC149" s="68">
        <f t="shared" si="36"/>
        <v>117429849.99659024</v>
      </c>
      <c r="AD149" s="68"/>
      <c r="AE149" s="68"/>
      <c r="AF149" s="68"/>
      <c r="AG149" s="68"/>
      <c r="AH149" s="68"/>
      <c r="AI149" s="68"/>
      <c r="AK149" s="68"/>
      <c r="AL149" s="71">
        <f t="shared" si="30"/>
        <v>0</v>
      </c>
    </row>
    <row r="150" spans="2:38" x14ac:dyDescent="0.2">
      <c r="B150" s="5">
        <f t="shared" si="26"/>
        <v>143</v>
      </c>
      <c r="C150" s="5">
        <f t="shared" si="27"/>
        <v>143</v>
      </c>
      <c r="D150" s="5">
        <f t="shared" si="28"/>
        <v>11</v>
      </c>
      <c r="E150" s="5">
        <f t="shared" si="29"/>
        <v>57</v>
      </c>
      <c r="F150" s="65">
        <f>1-(1-VLOOKUP($E150,'Annual Mortality Rates'!$B$5:$C$105,2,FALSE))^(1/12)</f>
        <v>2.3864632065639935E-4</v>
      </c>
      <c r="G150" s="76">
        <f>IF(D150+1&gt;Assumptions!$H$9,100%,1-(1-IF(D150&gt;=7,2%,VLOOKUP($D150,'Annual Lapse Rates'!$B$4:$C$14,2,FALSE)))^(1/12))</f>
        <v>1.6821425527395739E-3</v>
      </c>
      <c r="H150" s="82">
        <f t="shared" si="37"/>
        <v>11</v>
      </c>
      <c r="I150" s="66">
        <f t="shared" si="31"/>
        <v>2839.7888492688821</v>
      </c>
      <c r="J150" s="67">
        <f t="shared" si="32"/>
        <v>0.67900939400803084</v>
      </c>
      <c r="K150" s="67">
        <f t="shared" si="33"/>
        <v>4.7861227955629584</v>
      </c>
      <c r="M150" s="68">
        <f t="shared" si="38"/>
        <v>117429849.99659024</v>
      </c>
      <c r="N150" s="68">
        <f>IF(AND(H150=1,D150&lt;15),Assumptions!$H$4*I149,0)</f>
        <v>0</v>
      </c>
      <c r="O150" s="68"/>
      <c r="P150" s="91">
        <f>$M150*(1+VLOOKUP($H150,Assumptions!$C$22:$D$33,2,FALSE))*F150</f>
        <v>28987.533568188246</v>
      </c>
      <c r="Q150" s="91">
        <f>$M150*(1+VLOOKUP($H150,Assumptions!$C$22:$D$33,2,FALSE))*G150</f>
        <v>204323.970216252</v>
      </c>
      <c r="R150" s="68">
        <f>IF(AND(H150=12,D150&lt;15),Assumptions!$C$7*M150,0)</f>
        <v>0</v>
      </c>
      <c r="S150" s="69">
        <f>M150*Assumptions!$D$17</f>
        <v>478423.74478136684</v>
      </c>
      <c r="T150" s="69">
        <f t="shared" si="34"/>
        <v>0</v>
      </c>
      <c r="U150" s="68">
        <f>T150+AE150*(1+Assumptions!$D$17)</f>
        <v>0</v>
      </c>
      <c r="V150" s="68">
        <f>(M150+N150-O150)*(1+Assumptions!$D$17)-(P150+Q150)*(1+Assumptions!$D$17)^0.5-R150-T150</f>
        <v>117674487.45070747</v>
      </c>
      <c r="W150" s="68"/>
      <c r="X150" s="68">
        <f>IF(AND(H150=1,D150&lt;15),Assumptions!$D$10*N150+Assumptions!$D$11*(1+Assumptions!$D$16)^(B150-1)*$I$7,0)</f>
        <v>0</v>
      </c>
      <c r="Y150" s="66">
        <f>Assumptions!$C$13*N150</f>
        <v>0</v>
      </c>
      <c r="Z150" s="66">
        <f>NPV(Assumptions!$D$19,N150:$N$259)*(1+Assumptions!$D$19)</f>
        <v>19591006.725524928</v>
      </c>
      <c r="AA150" s="69">
        <f t="shared" si="35"/>
        <v>180548.62265782373</v>
      </c>
      <c r="AC150" s="68">
        <f t="shared" si="36"/>
        <v>117674487.45070747</v>
      </c>
      <c r="AD150" s="68"/>
      <c r="AE150" s="68"/>
      <c r="AF150" s="68"/>
      <c r="AG150" s="68"/>
      <c r="AH150" s="68"/>
      <c r="AI150" s="68"/>
      <c r="AK150" s="68"/>
      <c r="AL150" s="71">
        <f t="shared" si="30"/>
        <v>0</v>
      </c>
    </row>
    <row r="151" spans="2:38" x14ac:dyDescent="0.2">
      <c r="B151" s="5">
        <f t="shared" si="26"/>
        <v>144</v>
      </c>
      <c r="C151" s="5">
        <f t="shared" si="27"/>
        <v>144</v>
      </c>
      <c r="D151" s="5">
        <f t="shared" si="28"/>
        <v>11</v>
      </c>
      <c r="E151" s="5">
        <f t="shared" si="29"/>
        <v>57</v>
      </c>
      <c r="F151" s="65">
        <f>1-(1-VLOOKUP($E151,'Annual Mortality Rates'!$B$5:$C$105,2,FALSE))^(1/12)</f>
        <v>2.3864632065639935E-4</v>
      </c>
      <c r="G151" s="76">
        <f>IF(D151+1&gt;Assumptions!$H$9,100%,1-(1-IF(D151&gt;=7,2%,VLOOKUP($D151,'Annual Lapse Rates'!$B$4:$C$14,2,FALSE)))^(1/12))</f>
        <v>1.6821425527395739E-3</v>
      </c>
      <c r="H151" s="82">
        <f t="shared" si="37"/>
        <v>12</v>
      </c>
      <c r="I151" s="66">
        <f t="shared" si="31"/>
        <v>2834.3342144444127</v>
      </c>
      <c r="J151" s="67">
        <f t="shared" si="32"/>
        <v>0.67770516031908901</v>
      </c>
      <c r="K151" s="67">
        <f t="shared" si="33"/>
        <v>4.7769296641505345</v>
      </c>
      <c r="M151" s="68">
        <f t="shared" si="38"/>
        <v>117674487.45070747</v>
      </c>
      <c r="N151" s="68">
        <f>IF(AND(H151=1,D151&lt;15),Assumptions!$H$4*I150,0)</f>
        <v>0</v>
      </c>
      <c r="O151" s="68"/>
      <c r="P151" s="91">
        <f>$M151*(1+VLOOKUP($H151,Assumptions!$C$22:$D$33,2,FALSE))*F151</f>
        <v>29135.680345185439</v>
      </c>
      <c r="Q151" s="91">
        <f>$M151*(1+VLOOKUP($H151,Assumptions!$C$22:$D$33,2,FALSE))*G151</f>
        <v>205368.21006437857</v>
      </c>
      <c r="R151" s="68">
        <f>IF(AND(H151=12,D151&lt;15),Assumptions!$C$7*M151,0)</f>
        <v>58837.243725353735</v>
      </c>
      <c r="S151" s="69">
        <f>M151*Assumptions!$D$17</f>
        <v>479420.42805155698</v>
      </c>
      <c r="T151" s="69">
        <f t="shared" si="34"/>
        <v>0</v>
      </c>
      <c r="U151" s="68">
        <f>T151+AE151*(1+Assumptions!$D$17)</f>
        <v>0</v>
      </c>
      <c r="V151" s="68">
        <f>(M151+N151-O151)*(1+Assumptions!$D$17)-(P151+Q151)*(1+Assumptions!$D$17)^0.5-R151-T151</f>
        <v>117860089.531248</v>
      </c>
      <c r="W151" s="68"/>
      <c r="X151" s="68">
        <f>IF(AND(H151=1,D151&lt;15),Assumptions!$D$10*N151+Assumptions!$D$11*(1+Assumptions!$D$16)^(B151-1)*$I$7,0)</f>
        <v>0</v>
      </c>
      <c r="Y151" s="66">
        <f>Assumptions!$C$13*N151</f>
        <v>0</v>
      </c>
      <c r="Z151" s="66">
        <f>NPV(Assumptions!$D$19,N151:$N$259)*(1+Assumptions!$D$19)</f>
        <v>19675111.002151467</v>
      </c>
      <c r="AA151" s="69">
        <f t="shared" si="35"/>
        <v>181323.71867597627</v>
      </c>
      <c r="AC151" s="68">
        <f t="shared" si="36"/>
        <v>117860089.531248</v>
      </c>
      <c r="AD151" s="68"/>
      <c r="AE151" s="68"/>
      <c r="AF151" s="68"/>
      <c r="AG151" s="68"/>
      <c r="AH151" s="68"/>
      <c r="AI151" s="68"/>
      <c r="AK151" s="68"/>
      <c r="AL151" s="71">
        <f t="shared" si="30"/>
        <v>0</v>
      </c>
    </row>
    <row r="152" spans="2:38" x14ac:dyDescent="0.2">
      <c r="B152" s="5">
        <f t="shared" si="26"/>
        <v>145</v>
      </c>
      <c r="C152" s="5">
        <f t="shared" si="27"/>
        <v>145</v>
      </c>
      <c r="D152" s="5">
        <f t="shared" si="28"/>
        <v>12</v>
      </c>
      <c r="E152" s="5">
        <f t="shared" si="29"/>
        <v>58</v>
      </c>
      <c r="F152" s="65">
        <f>1-(1-VLOOKUP($E152,'Annual Mortality Rates'!$B$5:$C$105,2,FALSE))^(1/12)</f>
        <v>2.6705857925313214E-4</v>
      </c>
      <c r="G152" s="76">
        <f>IF(D152+1&gt;Assumptions!$H$9,100%,1-(1-IF(D152&gt;=7,2%,VLOOKUP($D152,'Annual Lapse Rates'!$B$4:$C$14,2,FALSE)))^(1/12))</f>
        <v>1.6821425527395739E-3</v>
      </c>
      <c r="H152" s="82">
        <f t="shared" si="37"/>
        <v>1</v>
      </c>
      <c r="I152" s="66">
        <f t="shared" si="31"/>
        <v>2828.8095269851719</v>
      </c>
      <c r="J152" s="67">
        <f t="shared" si="32"/>
        <v>0.75693326843806719</v>
      </c>
      <c r="K152" s="67">
        <f t="shared" si="33"/>
        <v>4.7677541908026395</v>
      </c>
      <c r="M152" s="68">
        <f t="shared" si="38"/>
        <v>117860089.531248</v>
      </c>
      <c r="N152" s="68">
        <f>IF(AND(H152=1,D152&lt;15),Assumptions!$H$4*I151,0)</f>
        <v>7085835.5361110317</v>
      </c>
      <c r="O152" s="68"/>
      <c r="P152" s="91">
        <f>$M152*(1+VLOOKUP($H152,Assumptions!$C$22:$D$33,2,FALSE))*F152</f>
        <v>31573.90914855224</v>
      </c>
      <c r="Q152" s="91">
        <f>$M152*(1+VLOOKUP($H152,Assumptions!$C$22:$D$33,2,FALSE))*G152</f>
        <v>198877.02646980266</v>
      </c>
      <c r="R152" s="68">
        <f>IF(AND(H152=12,D152&lt;15),Assumptions!$C$7*M152,0)</f>
        <v>0</v>
      </c>
      <c r="S152" s="69">
        <f>M152*Assumptions!$D$17</f>
        <v>480176.59390218183</v>
      </c>
      <c r="T152" s="69">
        <f t="shared" si="34"/>
        <v>0</v>
      </c>
      <c r="U152" s="68">
        <f>T152+AE152*(1+Assumptions!$D$17)</f>
        <v>0</v>
      </c>
      <c r="V152" s="68">
        <f>(M152+N152-O152)*(1+Assumptions!$D$17)-(P152+Q152)*(1+Assumptions!$D$17)^0.5-R152-T152</f>
        <v>125224050.33107917</v>
      </c>
      <c r="W152" s="68"/>
      <c r="X152" s="68">
        <f>IF(AND(H152=1,D152&lt;15),Assumptions!$D$10*N152+Assumptions!$D$11*(1+Assumptions!$D$16)^(B152-1)*$I$7,0)</f>
        <v>76647.036003838075</v>
      </c>
      <c r="Y152" s="66">
        <f>Assumptions!$C$13*N152</f>
        <v>35429.177680555156</v>
      </c>
      <c r="Z152" s="66">
        <f>NPV(Assumptions!$D$19,N152:$N$259)*(1+Assumptions!$D$19)</f>
        <v>19759576.33880141</v>
      </c>
      <c r="AA152" s="69">
        <f t="shared" si="35"/>
        <v>116799.83973803151</v>
      </c>
      <c r="AC152" s="68">
        <f t="shared" si="36"/>
        <v>125224050.33107917</v>
      </c>
      <c r="AD152" s="68"/>
      <c r="AE152" s="68"/>
      <c r="AF152" s="68"/>
      <c r="AG152" s="68"/>
      <c r="AH152" s="68"/>
      <c r="AI152" s="68"/>
      <c r="AK152" s="68"/>
      <c r="AL152" s="71">
        <f t="shared" si="30"/>
        <v>0</v>
      </c>
    </row>
    <row r="153" spans="2:38" x14ac:dyDescent="0.2">
      <c r="B153" s="5">
        <f t="shared" si="26"/>
        <v>146</v>
      </c>
      <c r="C153" s="5">
        <f t="shared" si="27"/>
        <v>146</v>
      </c>
      <c r="D153" s="5">
        <f t="shared" si="28"/>
        <v>12</v>
      </c>
      <c r="E153" s="5">
        <f t="shared" si="29"/>
        <v>58</v>
      </c>
      <c r="F153" s="65">
        <f>1-(1-VLOOKUP($E153,'Annual Mortality Rates'!$B$5:$C$105,2,FALSE))^(1/12)</f>
        <v>2.6705857925313214E-4</v>
      </c>
      <c r="G153" s="76">
        <f>IF(D153+1&gt;Assumptions!$H$9,100%,1-(1-IF(D153&gt;=7,2%,VLOOKUP($D153,'Annual Lapse Rates'!$B$4:$C$14,2,FALSE)))^(1/12))</f>
        <v>1.6821425527395739E-3</v>
      </c>
      <c r="H153" s="82">
        <f t="shared" si="37"/>
        <v>2</v>
      </c>
      <c r="I153" s="66">
        <f t="shared" si="31"/>
        <v>2823.2956082529804</v>
      </c>
      <c r="J153" s="67">
        <f t="shared" si="32"/>
        <v>0.75545785325438475</v>
      </c>
      <c r="K153" s="67">
        <f t="shared" si="33"/>
        <v>4.7584608789368641</v>
      </c>
      <c r="M153" s="68">
        <f t="shared" si="38"/>
        <v>125224050.33107917</v>
      </c>
      <c r="N153" s="68">
        <f>IF(AND(H153=1,D153&lt;15),Assumptions!$H$4*I152,0)</f>
        <v>0</v>
      </c>
      <c r="O153" s="68"/>
      <c r="P153" s="91">
        <f>$M153*(1+VLOOKUP($H153,Assumptions!$C$22:$D$33,2,FALSE))*F153</f>
        <v>33651.170450801597</v>
      </c>
      <c r="Q153" s="91">
        <f>$M153*(1+VLOOKUP($H153,Assumptions!$C$22:$D$33,2,FALSE))*G153</f>
        <v>211961.23308636234</v>
      </c>
      <c r="R153" s="68">
        <f>IF(AND(H153=12,D153&lt;15),Assumptions!$C$7*M153,0)</f>
        <v>0</v>
      </c>
      <c r="S153" s="69">
        <f>M153*Assumptions!$D$17</f>
        <v>510178.28173862811</v>
      </c>
      <c r="T153" s="69">
        <f t="shared" si="34"/>
        <v>0</v>
      </c>
      <c r="U153" s="68">
        <f>T153+AE153*(1+Assumptions!$D$17)</f>
        <v>0</v>
      </c>
      <c r="V153" s="68">
        <f>(M153+N153-O153)*(1+Assumptions!$D$17)-(P153+Q153)*(1+Assumptions!$D$17)^0.5-R153-T153</f>
        <v>125488116.39017698</v>
      </c>
      <c r="W153" s="68"/>
      <c r="X153" s="68">
        <f>IF(AND(H153=1,D153&lt;15),Assumptions!$D$10*N153+Assumptions!$D$11*(1+Assumptions!$D$16)^(B153-1)*$I$7,0)</f>
        <v>0</v>
      </c>
      <c r="Y153" s="66">
        <f>Assumptions!$C$13*N153</f>
        <v>0</v>
      </c>
      <c r="Z153" s="66">
        <f>NPV(Assumptions!$D$19,N153:$N$259)*(1+Assumptions!$D$19)</f>
        <v>12728149.226784978</v>
      </c>
      <c r="AA153" s="69">
        <f t="shared" si="35"/>
        <v>117301.26195532184</v>
      </c>
      <c r="AC153" s="68">
        <f t="shared" si="36"/>
        <v>125488116.39017698</v>
      </c>
      <c r="AD153" s="68"/>
      <c r="AE153" s="68"/>
      <c r="AF153" s="68"/>
      <c r="AG153" s="68"/>
      <c r="AH153" s="68"/>
      <c r="AI153" s="68"/>
      <c r="AK153" s="68"/>
      <c r="AL153" s="71">
        <f t="shared" si="30"/>
        <v>0</v>
      </c>
    </row>
    <row r="154" spans="2:38" x14ac:dyDescent="0.2">
      <c r="B154" s="5">
        <f t="shared" si="26"/>
        <v>147</v>
      </c>
      <c r="C154" s="5">
        <f t="shared" si="27"/>
        <v>147</v>
      </c>
      <c r="D154" s="5">
        <f t="shared" si="28"/>
        <v>12</v>
      </c>
      <c r="E154" s="5">
        <f t="shared" si="29"/>
        <v>58</v>
      </c>
      <c r="F154" s="65">
        <f>1-(1-VLOOKUP($E154,'Annual Mortality Rates'!$B$5:$C$105,2,FALSE))^(1/12)</f>
        <v>2.6705857925313214E-4</v>
      </c>
      <c r="G154" s="76">
        <f>IF(D154+1&gt;Assumptions!$H$9,100%,1-(1-IF(D154&gt;=7,2%,VLOOKUP($D154,'Annual Lapse Rates'!$B$4:$C$14,2,FALSE)))^(1/12))</f>
        <v>1.6821425527395739E-3</v>
      </c>
      <c r="H154" s="82">
        <f t="shared" si="37"/>
        <v>3</v>
      </c>
      <c r="I154" s="66">
        <f t="shared" si="31"/>
        <v>2817.7924372574239</v>
      </c>
      <c r="J154" s="67">
        <f t="shared" si="32"/>
        <v>0.75398531395164847</v>
      </c>
      <c r="K154" s="67">
        <f t="shared" si="33"/>
        <v>4.7491856816050966</v>
      </c>
      <c r="M154" s="68">
        <f t="shared" si="38"/>
        <v>125488116.39017698</v>
      </c>
      <c r="N154" s="68">
        <f>IF(AND(H154=1,D154&lt;15),Assumptions!$H$4*I153,0)</f>
        <v>0</v>
      </c>
      <c r="O154" s="68"/>
      <c r="P154" s="91">
        <f>$M154*(1+VLOOKUP($H154,Assumptions!$C$22:$D$33,2,FALSE))*F154</f>
        <v>33826.859433277772</v>
      </c>
      <c r="Q154" s="91">
        <f>$M154*(1+VLOOKUP($H154,Assumptions!$C$22:$D$33,2,FALSE))*G154</f>
        <v>213067.85888470669</v>
      </c>
      <c r="R154" s="68">
        <f>IF(AND(H154=12,D154&lt;15),Assumptions!$C$7*M154,0)</f>
        <v>0</v>
      </c>
      <c r="S154" s="69">
        <f>M154*Assumptions!$D$17</f>
        <v>511254.1195504528</v>
      </c>
      <c r="T154" s="69">
        <f t="shared" si="34"/>
        <v>0</v>
      </c>
      <c r="U154" s="68">
        <f>T154+AE154*(1+Assumptions!$D$17)</f>
        <v>0</v>
      </c>
      <c r="V154" s="68">
        <f>(M154+N154-O154)*(1+Assumptions!$D$17)-(P154+Q154)*(1+Assumptions!$D$17)^0.5-R154-T154</f>
        <v>125751973.36280639</v>
      </c>
      <c r="W154" s="68"/>
      <c r="X154" s="68">
        <f>IF(AND(H154=1,D154&lt;15),Assumptions!$D$10*N154+Assumptions!$D$11*(1+Assumptions!$D$16)^(B154-1)*$I$7,0)</f>
        <v>0</v>
      </c>
      <c r="Y154" s="66">
        <f>Assumptions!$C$13*N154</f>
        <v>0</v>
      </c>
      <c r="Z154" s="66">
        <f>NPV(Assumptions!$D$19,N154:$N$259)*(1+Assumptions!$D$19)</f>
        <v>12782791.226479594</v>
      </c>
      <c r="AA154" s="69">
        <f t="shared" si="35"/>
        <v>117804.83678036025</v>
      </c>
      <c r="AC154" s="68">
        <f t="shared" si="36"/>
        <v>125751973.36280639</v>
      </c>
      <c r="AD154" s="68"/>
      <c r="AE154" s="68"/>
      <c r="AF154" s="68"/>
      <c r="AG154" s="68"/>
      <c r="AH154" s="68"/>
      <c r="AI154" s="68"/>
      <c r="AK154" s="68"/>
      <c r="AL154" s="71">
        <f t="shared" si="30"/>
        <v>0</v>
      </c>
    </row>
    <row r="155" spans="2:38" x14ac:dyDescent="0.2">
      <c r="B155" s="5">
        <f t="shared" si="26"/>
        <v>148</v>
      </c>
      <c r="C155" s="5">
        <f t="shared" si="27"/>
        <v>148</v>
      </c>
      <c r="D155" s="5">
        <f t="shared" si="28"/>
        <v>12</v>
      </c>
      <c r="E155" s="5">
        <f t="shared" si="29"/>
        <v>58</v>
      </c>
      <c r="F155" s="65">
        <f>1-(1-VLOOKUP($E155,'Annual Mortality Rates'!$B$5:$C$105,2,FALSE))^(1/12)</f>
        <v>2.6705857925313214E-4</v>
      </c>
      <c r="G155" s="76">
        <f>IF(D155+1&gt;Assumptions!$H$9,100%,1-(1-IF(D155&gt;=7,2%,VLOOKUP($D155,'Annual Lapse Rates'!$B$4:$C$14,2,FALSE)))^(1/12))</f>
        <v>1.6821425527395739E-3</v>
      </c>
      <c r="H155" s="82">
        <f t="shared" si="37"/>
        <v>4</v>
      </c>
      <c r="I155" s="66">
        <f t="shared" si="31"/>
        <v>2812.2999930490014</v>
      </c>
      <c r="J155" s="67">
        <f t="shared" si="32"/>
        <v>0.7525156449241881</v>
      </c>
      <c r="K155" s="67">
        <f t="shared" si="33"/>
        <v>4.7399285634984691</v>
      </c>
      <c r="M155" s="68">
        <f t="shared" si="38"/>
        <v>125751973.36280639</v>
      </c>
      <c r="N155" s="68">
        <f>IF(AND(H155=1,D155&lt;15),Assumptions!$H$4*I154,0)</f>
        <v>0</v>
      </c>
      <c r="O155" s="68"/>
      <c r="P155" s="91">
        <f>$M155*(1+VLOOKUP($H155,Assumptions!$C$22:$D$33,2,FALSE))*F155</f>
        <v>34002.932636355654</v>
      </c>
      <c r="Q155" s="91">
        <f>$M155*(1+VLOOKUP($H155,Assumptions!$C$22:$D$33,2,FALSE))*G155</f>
        <v>214176.90480310691</v>
      </c>
      <c r="R155" s="68">
        <f>IF(AND(H155=12,D155&lt;15),Assumptions!$C$7*M155,0)</f>
        <v>0</v>
      </c>
      <c r="S155" s="69">
        <f>M155*Assumptions!$D$17</f>
        <v>512329.10551812378</v>
      </c>
      <c r="T155" s="69">
        <f t="shared" si="34"/>
        <v>0</v>
      </c>
      <c r="U155" s="68">
        <f>T155+AE155*(1+Assumptions!$D$17)</f>
        <v>0</v>
      </c>
      <c r="V155" s="68">
        <f>(M155+N155-O155)*(1+Assumptions!$D$17)-(P155+Q155)*(1+Assumptions!$D$17)^0.5-R155-T155</f>
        <v>126015617.58707576</v>
      </c>
      <c r="W155" s="68"/>
      <c r="X155" s="68">
        <f>IF(AND(H155=1,D155&lt;15),Assumptions!$D$10*N155+Assumptions!$D$11*(1+Assumptions!$D$16)^(B155-1)*$I$7,0)</f>
        <v>0</v>
      </c>
      <c r="Y155" s="66">
        <f>Assumptions!$C$13*N155</f>
        <v>0</v>
      </c>
      <c r="Z155" s="66">
        <f>NPV(Assumptions!$D$19,N155:$N$259)*(1+Assumptions!$D$19)</f>
        <v>12837667.804515291</v>
      </c>
      <c r="AA155" s="69">
        <f t="shared" si="35"/>
        <v>118310.57345430108</v>
      </c>
      <c r="AC155" s="68">
        <f t="shared" si="36"/>
        <v>126015617.58707576</v>
      </c>
      <c r="AD155" s="68"/>
      <c r="AE155" s="68"/>
      <c r="AF155" s="68"/>
      <c r="AG155" s="68"/>
      <c r="AH155" s="68"/>
      <c r="AI155" s="68"/>
      <c r="AK155" s="68"/>
      <c r="AL155" s="71">
        <f t="shared" si="30"/>
        <v>0</v>
      </c>
    </row>
    <row r="156" spans="2:38" x14ac:dyDescent="0.2">
      <c r="B156" s="5">
        <f t="shared" si="26"/>
        <v>149</v>
      </c>
      <c r="C156" s="5">
        <f t="shared" si="27"/>
        <v>149</v>
      </c>
      <c r="D156" s="5">
        <f t="shared" si="28"/>
        <v>12</v>
      </c>
      <c r="E156" s="5">
        <f t="shared" si="29"/>
        <v>58</v>
      </c>
      <c r="F156" s="65">
        <f>1-(1-VLOOKUP($E156,'Annual Mortality Rates'!$B$5:$C$105,2,FALSE))^(1/12)</f>
        <v>2.6705857925313214E-4</v>
      </c>
      <c r="G156" s="76">
        <f>IF(D156+1&gt;Assumptions!$H$9,100%,1-(1-IF(D156&gt;=7,2%,VLOOKUP($D156,'Annual Lapse Rates'!$B$4:$C$14,2,FALSE)))^(1/12))</f>
        <v>1.6821425527395739E-3</v>
      </c>
      <c r="H156" s="82">
        <f t="shared" si="37"/>
        <v>5</v>
      </c>
      <c r="I156" s="66">
        <f t="shared" si="31"/>
        <v>2806.8182547190472</v>
      </c>
      <c r="J156" s="67">
        <f t="shared" si="32"/>
        <v>0.75104884057725974</v>
      </c>
      <c r="K156" s="67">
        <f t="shared" si="33"/>
        <v>4.7306894893769336</v>
      </c>
      <c r="M156" s="68">
        <f t="shared" si="38"/>
        <v>126015617.58707576</v>
      </c>
      <c r="N156" s="68">
        <f>IF(AND(H156=1,D156&lt;15),Assumptions!$H$4*I155,0)</f>
        <v>0</v>
      </c>
      <c r="O156" s="68"/>
      <c r="P156" s="91">
        <f>$M156*(1+VLOOKUP($H156,Assumptions!$C$22:$D$33,2,FALSE))*F156</f>
        <v>34179.388543330941</v>
      </c>
      <c r="Q156" s="91">
        <f>$M156*(1+VLOOKUP($H156,Assumptions!$C$22:$D$33,2,FALSE))*G156</f>
        <v>215288.36128818034</v>
      </c>
      <c r="R156" s="68">
        <f>IF(AND(H156=12,D156&lt;15),Assumptions!$C$7*M156,0)</f>
        <v>0</v>
      </c>
      <c r="S156" s="69">
        <f>M156*Assumptions!$D$17</f>
        <v>513403.22472264105</v>
      </c>
      <c r="T156" s="69">
        <f t="shared" si="34"/>
        <v>0</v>
      </c>
      <c r="U156" s="68">
        <f>T156+AE156*(1+Assumptions!$D$17)</f>
        <v>0</v>
      </c>
      <c r="V156" s="68">
        <f>(M156+N156-O156)*(1+Assumptions!$D$17)-(P156+Q156)*(1+Assumptions!$D$17)^0.5-R156-T156</f>
        <v>126279045.39726709</v>
      </c>
      <c r="W156" s="68"/>
      <c r="X156" s="68">
        <f>IF(AND(H156=1,D156&lt;15),Assumptions!$D$10*N156+Assumptions!$D$11*(1+Assumptions!$D$16)^(B156-1)*$I$7,0)</f>
        <v>0</v>
      </c>
      <c r="Y156" s="66">
        <f>Assumptions!$C$13*N156</f>
        <v>0</v>
      </c>
      <c r="Z156" s="66">
        <f>NPV(Assumptions!$D$19,N156:$N$259)*(1+Assumptions!$D$19)</f>
        <v>12892779.967937898</v>
      </c>
      <c r="AA156" s="69">
        <f t="shared" si="35"/>
        <v>118818.48125797104</v>
      </c>
      <c r="AC156" s="68">
        <f t="shared" si="36"/>
        <v>126279045.39726709</v>
      </c>
      <c r="AD156" s="68"/>
      <c r="AE156" s="68"/>
      <c r="AF156" s="68"/>
      <c r="AG156" s="68"/>
      <c r="AH156" s="68"/>
      <c r="AI156" s="68"/>
      <c r="AK156" s="68"/>
      <c r="AL156" s="71">
        <f t="shared" si="30"/>
        <v>0</v>
      </c>
    </row>
    <row r="157" spans="2:38" x14ac:dyDescent="0.2">
      <c r="B157" s="5">
        <f t="shared" si="26"/>
        <v>150</v>
      </c>
      <c r="C157" s="5">
        <f t="shared" si="27"/>
        <v>150</v>
      </c>
      <c r="D157" s="5">
        <f t="shared" si="28"/>
        <v>12</v>
      </c>
      <c r="E157" s="5">
        <f t="shared" si="29"/>
        <v>58</v>
      </c>
      <c r="F157" s="65">
        <f>1-(1-VLOOKUP($E157,'Annual Mortality Rates'!$B$5:$C$105,2,FALSE))^(1/12)</f>
        <v>2.6705857925313214E-4</v>
      </c>
      <c r="G157" s="76">
        <f>IF(D157+1&gt;Assumptions!$H$9,100%,1-(1-IF(D157&gt;=7,2%,VLOOKUP($D157,'Annual Lapse Rates'!$B$4:$C$14,2,FALSE)))^(1/12))</f>
        <v>1.6821425527395739E-3</v>
      </c>
      <c r="H157" s="82">
        <f t="shared" si="37"/>
        <v>6</v>
      </c>
      <c r="I157" s="66">
        <f t="shared" si="31"/>
        <v>2801.3472013996511</v>
      </c>
      <c r="J157" s="67">
        <f t="shared" si="32"/>
        <v>0.74958489532702477</v>
      </c>
      <c r="K157" s="67">
        <f t="shared" si="33"/>
        <v>4.7214684240691334</v>
      </c>
      <c r="M157" s="68">
        <f t="shared" si="38"/>
        <v>126279045.39726709</v>
      </c>
      <c r="N157" s="68">
        <f>IF(AND(H157=1,D157&lt;15),Assumptions!$H$4*I156,0)</f>
        <v>0</v>
      </c>
      <c r="O157" s="68"/>
      <c r="P157" s="91">
        <f>$M157*(1+VLOOKUP($H157,Assumptions!$C$22:$D$33,2,FALSE))*F157</f>
        <v>34356.225624234103</v>
      </c>
      <c r="Q157" s="91">
        <f>$M157*(1+VLOOKUP($H157,Assumptions!$C$22:$D$33,2,FALSE))*G157</f>
        <v>216402.21870298931</v>
      </c>
      <c r="R157" s="68">
        <f>IF(AND(H157=12,D157&lt;15),Assumptions!$C$7*M157,0)</f>
        <v>0</v>
      </c>
      <c r="S157" s="69">
        <f>M157*Assumptions!$D$17</f>
        <v>514476.46222941601</v>
      </c>
      <c r="T157" s="69">
        <f t="shared" si="34"/>
        <v>0</v>
      </c>
      <c r="U157" s="68">
        <f>T157+AE157*(1+Assumptions!$D$17)</f>
        <v>0</v>
      </c>
      <c r="V157" s="68">
        <f>(M157+N157-O157)*(1+Assumptions!$D$17)-(P157+Q157)*(1+Assumptions!$D$17)^0.5-R157-T157</f>
        <v>126542253.12391742</v>
      </c>
      <c r="W157" s="68"/>
      <c r="X157" s="68">
        <f>IF(AND(H157=1,D157&lt;15),Assumptions!$D$10*N157+Assumptions!$D$11*(1+Assumptions!$D$16)^(B157-1)*$I$7,0)</f>
        <v>0</v>
      </c>
      <c r="Y157" s="66">
        <f>Assumptions!$C$13*N157</f>
        <v>0</v>
      </c>
      <c r="Z157" s="66">
        <f>NPV(Assumptions!$D$19,N157:$N$259)*(1+Assumptions!$D$19)</f>
        <v>12948128.728116505</v>
      </c>
      <c r="AA157" s="69">
        <f t="shared" si="35"/>
        <v>119328.56951203947</v>
      </c>
      <c r="AC157" s="68">
        <f t="shared" si="36"/>
        <v>126542253.12391742</v>
      </c>
      <c r="AD157" s="68"/>
      <c r="AE157" s="68"/>
      <c r="AF157" s="68"/>
      <c r="AG157" s="68"/>
      <c r="AH157" s="68"/>
      <c r="AI157" s="68"/>
      <c r="AK157" s="68"/>
      <c r="AL157" s="71">
        <f t="shared" si="30"/>
        <v>0</v>
      </c>
    </row>
    <row r="158" spans="2:38" x14ac:dyDescent="0.2">
      <c r="B158" s="5">
        <f t="shared" si="26"/>
        <v>151</v>
      </c>
      <c r="C158" s="5">
        <f t="shared" si="27"/>
        <v>151</v>
      </c>
      <c r="D158" s="5">
        <f t="shared" si="28"/>
        <v>12</v>
      </c>
      <c r="E158" s="5">
        <f t="shared" si="29"/>
        <v>58</v>
      </c>
      <c r="F158" s="65">
        <f>1-(1-VLOOKUP($E158,'Annual Mortality Rates'!$B$5:$C$105,2,FALSE))^(1/12)</f>
        <v>2.6705857925313214E-4</v>
      </c>
      <c r="G158" s="76">
        <f>IF(D158+1&gt;Assumptions!$H$9,100%,1-(1-IF(D158&gt;=7,2%,VLOOKUP($D158,'Annual Lapse Rates'!$B$4:$C$14,2,FALSE)))^(1/12))</f>
        <v>1.6821425527395739E-3</v>
      </c>
      <c r="H158" s="82">
        <f t="shared" si="37"/>
        <v>7</v>
      </c>
      <c r="I158" s="66">
        <f t="shared" si="31"/>
        <v>2795.8868122635781</v>
      </c>
      <c r="J158" s="67">
        <f t="shared" si="32"/>
        <v>0.74812380360052866</v>
      </c>
      <c r="K158" s="67">
        <f t="shared" si="33"/>
        <v>4.7122653324722705</v>
      </c>
      <c r="M158" s="68">
        <f t="shared" si="38"/>
        <v>126542253.12391742</v>
      </c>
      <c r="N158" s="68">
        <f>IF(AND(H158=1,D158&lt;15),Assumptions!$H$4*I157,0)</f>
        <v>0</v>
      </c>
      <c r="O158" s="68"/>
      <c r="P158" s="91">
        <f>$M158*(1+VLOOKUP($H158,Assumptions!$C$22:$D$33,2,FALSE))*F158</f>
        <v>34533.442335836568</v>
      </c>
      <c r="Q158" s="91">
        <f>$M158*(1+VLOOKUP($H158,Assumptions!$C$22:$D$33,2,FALSE))*G158</f>
        <v>217518.46732708064</v>
      </c>
      <c r="R158" s="68">
        <f>IF(AND(H158=12,D158&lt;15),Assumptions!$C$7*M158,0)</f>
        <v>0</v>
      </c>
      <c r="S158" s="69">
        <f>M158*Assumptions!$D$17</f>
        <v>515548.80308860209</v>
      </c>
      <c r="T158" s="69">
        <f t="shared" si="34"/>
        <v>0</v>
      </c>
      <c r="U158" s="68">
        <f>T158+AE158*(1+Assumptions!$D$17)</f>
        <v>0</v>
      </c>
      <c r="V158" s="68">
        <f>(M158+N158-O158)*(1+Assumptions!$D$17)-(P158+Q158)*(1+Assumptions!$D$17)^0.5-R158-T158</f>
        <v>126805237.09390053</v>
      </c>
      <c r="W158" s="68"/>
      <c r="X158" s="68">
        <f>IF(AND(H158=1,D158&lt;15),Assumptions!$D$10*N158+Assumptions!$D$11*(1+Assumptions!$D$16)^(B158-1)*$I$7,0)</f>
        <v>0</v>
      </c>
      <c r="Y158" s="66">
        <f>Assumptions!$C$13*N158</f>
        <v>0</v>
      </c>
      <c r="Z158" s="66">
        <f>NPV(Assumptions!$D$19,N158:$N$259)*(1+Assumptions!$D$19)</f>
        <v>13003715.100762006</v>
      </c>
      <c r="AA158" s="69">
        <f t="shared" si="35"/>
        <v>119840.84757718931</v>
      </c>
      <c r="AC158" s="68">
        <f t="shared" si="36"/>
        <v>126805237.09390053</v>
      </c>
      <c r="AD158" s="68"/>
      <c r="AE158" s="68"/>
      <c r="AF158" s="68"/>
      <c r="AG158" s="68"/>
      <c r="AH158" s="68"/>
      <c r="AI158" s="68"/>
      <c r="AK158" s="68"/>
      <c r="AL158" s="71">
        <f t="shared" si="30"/>
        <v>0</v>
      </c>
    </row>
    <row r="159" spans="2:38" x14ac:dyDescent="0.2">
      <c r="B159" s="5">
        <f t="shared" si="26"/>
        <v>152</v>
      </c>
      <c r="C159" s="5">
        <f t="shared" si="27"/>
        <v>152</v>
      </c>
      <c r="D159" s="5">
        <f t="shared" si="28"/>
        <v>12</v>
      </c>
      <c r="E159" s="5">
        <f t="shared" si="29"/>
        <v>58</v>
      </c>
      <c r="F159" s="65">
        <f>1-(1-VLOOKUP($E159,'Annual Mortality Rates'!$B$5:$C$105,2,FALSE))^(1/12)</f>
        <v>2.6705857925313214E-4</v>
      </c>
      <c r="G159" s="76">
        <f>IF(D159+1&gt;Assumptions!$H$9,100%,1-(1-IF(D159&gt;=7,2%,VLOOKUP($D159,'Annual Lapse Rates'!$B$4:$C$14,2,FALSE)))^(1/12))</f>
        <v>1.6821425527395739E-3</v>
      </c>
      <c r="H159" s="82">
        <f t="shared" si="37"/>
        <v>8</v>
      </c>
      <c r="I159" s="66">
        <f t="shared" si="31"/>
        <v>2790.4370665241909</v>
      </c>
      <c r="J159" s="67">
        <f t="shared" si="32"/>
        <v>0.74666555983567973</v>
      </c>
      <c r="K159" s="67">
        <f t="shared" si="33"/>
        <v>4.7030801795519652</v>
      </c>
      <c r="M159" s="68">
        <f t="shared" si="38"/>
        <v>126805237.09390053</v>
      </c>
      <c r="N159" s="68">
        <f>IF(AND(H159=1,D159&lt;15),Assumptions!$H$4*I158,0)</f>
        <v>0</v>
      </c>
      <c r="O159" s="68"/>
      <c r="P159" s="91">
        <f>$M159*(1+VLOOKUP($H159,Assumptions!$C$22:$D$33,2,FALSE))*F159</f>
        <v>34711.037121657486</v>
      </c>
      <c r="Q159" s="91">
        <f>$M159*(1+VLOOKUP($H159,Assumptions!$C$22:$D$33,2,FALSE))*G159</f>
        <v>218637.09735652775</v>
      </c>
      <c r="R159" s="68">
        <f>IF(AND(H159=12,D159&lt;15),Assumptions!$C$7*M159,0)</f>
        <v>0</v>
      </c>
      <c r="S159" s="69">
        <f>M159*Assumptions!$D$17</f>
        <v>516620.23233542859</v>
      </c>
      <c r="T159" s="69">
        <f t="shared" si="34"/>
        <v>0</v>
      </c>
      <c r="U159" s="68">
        <f>T159+AE159*(1+Assumptions!$D$17)</f>
        <v>0</v>
      </c>
      <c r="V159" s="68">
        <f>(M159+N159-O159)*(1+Assumptions!$D$17)-(P159+Q159)*(1+Assumptions!$D$17)^0.5-R159-T159</f>
        <v>127067993.63050899</v>
      </c>
      <c r="W159" s="68"/>
      <c r="X159" s="68">
        <f>IF(AND(H159=1,D159&lt;15),Assumptions!$D$10*N159+Assumptions!$D$11*(1+Assumptions!$D$16)^(B159-1)*$I$7,0)</f>
        <v>0</v>
      </c>
      <c r="Y159" s="66">
        <f>Assumptions!$C$13*N159</f>
        <v>0</v>
      </c>
      <c r="Z159" s="66">
        <f>NPV(Assumptions!$D$19,N159:$N$259)*(1+Assumptions!$D$19)</f>
        <v>13059540.105945749</v>
      </c>
      <c r="AA159" s="69">
        <f t="shared" si="35"/>
        <v>120355.32485428907</v>
      </c>
      <c r="AC159" s="68">
        <f t="shared" si="36"/>
        <v>127067993.63050899</v>
      </c>
      <c r="AD159" s="68"/>
      <c r="AE159" s="68"/>
      <c r="AF159" s="68"/>
      <c r="AG159" s="68"/>
      <c r="AH159" s="68"/>
      <c r="AI159" s="68"/>
      <c r="AK159" s="68"/>
      <c r="AL159" s="71">
        <f t="shared" si="30"/>
        <v>0</v>
      </c>
    </row>
    <row r="160" spans="2:38" x14ac:dyDescent="0.2">
      <c r="B160" s="5">
        <f t="shared" si="26"/>
        <v>153</v>
      </c>
      <c r="C160" s="5">
        <f t="shared" si="27"/>
        <v>153</v>
      </c>
      <c r="D160" s="5">
        <f t="shared" si="28"/>
        <v>12</v>
      </c>
      <c r="E160" s="5">
        <f t="shared" si="29"/>
        <v>58</v>
      </c>
      <c r="F160" s="65">
        <f>1-(1-VLOOKUP($E160,'Annual Mortality Rates'!$B$5:$C$105,2,FALSE))^(1/12)</f>
        <v>2.6705857925313214E-4</v>
      </c>
      <c r="G160" s="76">
        <f>IF(D160+1&gt;Assumptions!$H$9,100%,1-(1-IF(D160&gt;=7,2%,VLOOKUP($D160,'Annual Lapse Rates'!$B$4:$C$14,2,FALSE)))^(1/12))</f>
        <v>1.6821425527395739E-3</v>
      </c>
      <c r="H160" s="82">
        <f t="shared" si="37"/>
        <v>9</v>
      </c>
      <c r="I160" s="66">
        <f t="shared" si="31"/>
        <v>2784.9979434353672</v>
      </c>
      <c r="J160" s="67">
        <f t="shared" si="32"/>
        <v>0.74521015848122818</v>
      </c>
      <c r="K160" s="67">
        <f t="shared" si="33"/>
        <v>4.6939129303421305</v>
      </c>
      <c r="M160" s="68">
        <f t="shared" si="38"/>
        <v>127067993.63050899</v>
      </c>
      <c r="N160" s="68">
        <f>IF(AND(H160=1,D160&lt;15),Assumptions!$H$4*I159,0)</f>
        <v>0</v>
      </c>
      <c r="O160" s="68"/>
      <c r="P160" s="91">
        <f>$M160*(1+VLOOKUP($H160,Assumptions!$C$22:$D$33,2,FALSE))*F160</f>
        <v>34889.008411970986</v>
      </c>
      <c r="Q160" s="91">
        <f>$M160*(1+VLOOKUP($H160,Assumptions!$C$22:$D$33,2,FALSE))*G160</f>
        <v>219758.09890397682</v>
      </c>
      <c r="R160" s="68">
        <f>IF(AND(H160=12,D160&lt;15),Assumptions!$C$7*M160,0)</f>
        <v>0</v>
      </c>
      <c r="S160" s="69">
        <f>M160*Assumptions!$D$17</f>
        <v>517690.73499053414</v>
      </c>
      <c r="T160" s="69">
        <f t="shared" si="34"/>
        <v>0</v>
      </c>
      <c r="U160" s="68">
        <f>T160+AE160*(1+Assumptions!$D$17)</f>
        <v>0</v>
      </c>
      <c r="V160" s="68">
        <f>(M160+N160-O160)*(1+Assumptions!$D$17)-(P160+Q160)*(1+Assumptions!$D$17)^0.5-R160-T160</f>
        <v>127330519.05353637</v>
      </c>
      <c r="W160" s="68"/>
      <c r="X160" s="68">
        <f>IF(AND(H160=1,D160&lt;15),Assumptions!$D$10*N160+Assumptions!$D$11*(1+Assumptions!$D$16)^(B160-1)*$I$7,0)</f>
        <v>0</v>
      </c>
      <c r="Y160" s="66">
        <f>Assumptions!$C$13*N160</f>
        <v>0</v>
      </c>
      <c r="Z160" s="66">
        <f>NPV(Assumptions!$D$19,N160:$N$259)*(1+Assumptions!$D$19)</f>
        <v>13115604.768118255</v>
      </c>
      <c r="AA160" s="69">
        <f t="shared" si="35"/>
        <v>120872.01078456508</v>
      </c>
      <c r="AC160" s="68">
        <f t="shared" si="36"/>
        <v>127330519.05353637</v>
      </c>
      <c r="AD160" s="68"/>
      <c r="AE160" s="68"/>
      <c r="AF160" s="68"/>
      <c r="AG160" s="68"/>
      <c r="AH160" s="68"/>
      <c r="AI160" s="68"/>
      <c r="AK160" s="68"/>
      <c r="AL160" s="71">
        <f t="shared" si="30"/>
        <v>0</v>
      </c>
    </row>
    <row r="161" spans="2:38" x14ac:dyDescent="0.2">
      <c r="B161" s="5">
        <f t="shared" si="26"/>
        <v>154</v>
      </c>
      <c r="C161" s="5">
        <f t="shared" si="27"/>
        <v>154</v>
      </c>
      <c r="D161" s="5">
        <f t="shared" si="28"/>
        <v>12</v>
      </c>
      <c r="E161" s="5">
        <f t="shared" si="29"/>
        <v>58</v>
      </c>
      <c r="F161" s="65">
        <f>1-(1-VLOOKUP($E161,'Annual Mortality Rates'!$B$5:$C$105,2,FALSE))^(1/12)</f>
        <v>2.6705857925313214E-4</v>
      </c>
      <c r="G161" s="76">
        <f>IF(D161+1&gt;Assumptions!$H$9,100%,1-(1-IF(D161&gt;=7,2%,VLOOKUP($D161,'Annual Lapse Rates'!$B$4:$C$14,2,FALSE)))^(1/12))</f>
        <v>1.6821425527395739E-3</v>
      </c>
      <c r="H161" s="82">
        <f t="shared" si="37"/>
        <v>10</v>
      </c>
      <c r="I161" s="66">
        <f t="shared" si="31"/>
        <v>2779.5694222914258</v>
      </c>
      <c r="J161" s="67">
        <f t="shared" si="32"/>
        <v>0.74375759399674402</v>
      </c>
      <c r="K161" s="67">
        <f t="shared" si="33"/>
        <v>4.6847635499448321</v>
      </c>
      <c r="M161" s="68">
        <f t="shared" si="38"/>
        <v>127330519.05353637</v>
      </c>
      <c r="N161" s="68">
        <f>IF(AND(H161=1,D161&lt;15),Assumptions!$H$4*I160,0)</f>
        <v>0</v>
      </c>
      <c r="O161" s="68"/>
      <c r="P161" s="91">
        <f>$M161*(1+VLOOKUP($H161,Assumptions!$C$22:$D$33,2,FALSE))*F161</f>
        <v>35067.354623813837</v>
      </c>
      <c r="Q161" s="91">
        <f>$M161*(1+VLOOKUP($H161,Assumptions!$C$22:$D$33,2,FALSE))*G161</f>
        <v>220881.46199869472</v>
      </c>
      <c r="R161" s="68">
        <f>IF(AND(H161=12,D161&lt;15),Assumptions!$C$7*M161,0)</f>
        <v>0</v>
      </c>
      <c r="S161" s="69">
        <f>M161*Assumptions!$D$17</f>
        <v>518760.29606030235</v>
      </c>
      <c r="T161" s="69">
        <f t="shared" si="34"/>
        <v>0</v>
      </c>
      <c r="U161" s="68">
        <f>T161+AE161*(1+Assumptions!$D$17)</f>
        <v>0</v>
      </c>
      <c r="V161" s="68">
        <f>(M161+N161-O161)*(1+Assumptions!$D$17)-(P161+Q161)*(1+Assumptions!$D$17)^0.5-R161-T161</f>
        <v>127592809.67935985</v>
      </c>
      <c r="W161" s="68"/>
      <c r="X161" s="68">
        <f>IF(AND(H161=1,D161&lt;15),Assumptions!$D$10*N161+Assumptions!$D$11*(1+Assumptions!$D$16)^(B161-1)*$I$7,0)</f>
        <v>0</v>
      </c>
      <c r="Y161" s="66">
        <f>Assumptions!$C$13*N161</f>
        <v>0</v>
      </c>
      <c r="Z161" s="66">
        <f>NPV(Assumptions!$D$19,N161:$N$259)*(1+Assumptions!$D$19)</f>
        <v>13171910.116128009</v>
      </c>
      <c r="AA161" s="69">
        <f t="shared" si="35"/>
        <v>121390.91484977506</v>
      </c>
      <c r="AC161" s="68">
        <f t="shared" si="36"/>
        <v>127592809.67935985</v>
      </c>
      <c r="AD161" s="68"/>
      <c r="AE161" s="68"/>
      <c r="AF161" s="68"/>
      <c r="AG161" s="68"/>
      <c r="AH161" s="68"/>
      <c r="AI161" s="68"/>
      <c r="AK161" s="68"/>
      <c r="AL161" s="71">
        <f t="shared" si="30"/>
        <v>0</v>
      </c>
    </row>
    <row r="162" spans="2:38" x14ac:dyDescent="0.2">
      <c r="B162" s="5">
        <f t="shared" si="26"/>
        <v>155</v>
      </c>
      <c r="C162" s="5">
        <f t="shared" si="27"/>
        <v>155</v>
      </c>
      <c r="D162" s="5">
        <f t="shared" si="28"/>
        <v>12</v>
      </c>
      <c r="E162" s="5">
        <f t="shared" si="29"/>
        <v>58</v>
      </c>
      <c r="F162" s="65">
        <f>1-(1-VLOOKUP($E162,'Annual Mortality Rates'!$B$5:$C$105,2,FALSE))^(1/12)</f>
        <v>2.6705857925313214E-4</v>
      </c>
      <c r="G162" s="76">
        <f>IF(D162+1&gt;Assumptions!$H$9,100%,1-(1-IF(D162&gt;=7,2%,VLOOKUP($D162,'Annual Lapse Rates'!$B$4:$C$14,2,FALSE)))^(1/12))</f>
        <v>1.6821425527395739E-3</v>
      </c>
      <c r="H162" s="82">
        <f t="shared" si="37"/>
        <v>11</v>
      </c>
      <c r="I162" s="66">
        <f t="shared" si="31"/>
        <v>2774.151482427043</v>
      </c>
      <c r="J162" s="67">
        <f t="shared" si="32"/>
        <v>0.74230786085259748</v>
      </c>
      <c r="K162" s="67">
        <f t="shared" si="33"/>
        <v>4.6756320035301613</v>
      </c>
      <c r="M162" s="68">
        <f t="shared" si="38"/>
        <v>127592809.67935985</v>
      </c>
      <c r="N162" s="68">
        <f>IF(AND(H162=1,D162&lt;15),Assumptions!$H$4*I161,0)</f>
        <v>0</v>
      </c>
      <c r="O162" s="68"/>
      <c r="P162" s="91">
        <f>$M162*(1+VLOOKUP($H162,Assumptions!$C$22:$D$33,2,FALSE))*F162</f>
        <v>35246.074160993681</v>
      </c>
      <c r="Q162" s="91">
        <f>$M162*(1+VLOOKUP($H162,Assumptions!$C$22:$D$33,2,FALSE))*G162</f>
        <v>222007.17658662106</v>
      </c>
      <c r="R162" s="68">
        <f>IF(AND(H162=12,D162&lt;15),Assumptions!$C$7*M162,0)</f>
        <v>0</v>
      </c>
      <c r="S162" s="69">
        <f>M162*Assumptions!$D$17</f>
        <v>519828.90053719783</v>
      </c>
      <c r="T162" s="69">
        <f t="shared" si="34"/>
        <v>0</v>
      </c>
      <c r="U162" s="68">
        <f>T162+AE162*(1+Assumptions!$D$17)</f>
        <v>0</v>
      </c>
      <c r="V162" s="68">
        <f>(M162+N162-O162)*(1+Assumptions!$D$17)-(P162+Q162)*(1+Assumptions!$D$17)^0.5-R162-T162</f>
        <v>127854861.82102303</v>
      </c>
      <c r="W162" s="68"/>
      <c r="X162" s="68">
        <f>IF(AND(H162=1,D162&lt;15),Assumptions!$D$10*N162+Assumptions!$D$11*(1+Assumptions!$D$16)^(B162-1)*$I$7,0)</f>
        <v>0</v>
      </c>
      <c r="Y162" s="66">
        <f>Assumptions!$C$13*N162</f>
        <v>0</v>
      </c>
      <c r="Z162" s="66">
        <f>NPV(Assumptions!$D$19,N162:$N$259)*(1+Assumptions!$D$19)</f>
        <v>13228457.183240358</v>
      </c>
      <c r="AA162" s="69">
        <f t="shared" si="35"/>
        <v>121912.04657238185</v>
      </c>
      <c r="AC162" s="68">
        <f t="shared" si="36"/>
        <v>127854861.82102303</v>
      </c>
      <c r="AD162" s="68"/>
      <c r="AE162" s="68"/>
      <c r="AF162" s="68"/>
      <c r="AG162" s="68"/>
      <c r="AH162" s="68"/>
      <c r="AI162" s="68"/>
      <c r="AK162" s="68"/>
      <c r="AL162" s="71">
        <f t="shared" si="30"/>
        <v>0</v>
      </c>
    </row>
    <row r="163" spans="2:38" x14ac:dyDescent="0.2">
      <c r="B163" s="5">
        <f t="shared" si="26"/>
        <v>156</v>
      </c>
      <c r="C163" s="5">
        <f t="shared" si="27"/>
        <v>156</v>
      </c>
      <c r="D163" s="5">
        <f t="shared" si="28"/>
        <v>12</v>
      </c>
      <c r="E163" s="5">
        <f t="shared" si="29"/>
        <v>58</v>
      </c>
      <c r="F163" s="65">
        <f>1-(1-VLOOKUP($E163,'Annual Mortality Rates'!$B$5:$C$105,2,FALSE))^(1/12)</f>
        <v>2.6705857925313214E-4</v>
      </c>
      <c r="G163" s="76">
        <f>IF(D163+1&gt;Assumptions!$H$9,100%,1-(1-IF(D163&gt;=7,2%,VLOOKUP($D163,'Annual Lapse Rates'!$B$4:$C$14,2,FALSE)))^(1/12))</f>
        <v>1.6821425527395739E-3</v>
      </c>
      <c r="H163" s="82">
        <f t="shared" si="37"/>
        <v>12</v>
      </c>
      <c r="I163" s="66">
        <f t="shared" si="31"/>
        <v>2768.7441032171769</v>
      </c>
      <c r="J163" s="67">
        <f t="shared" si="32"/>
        <v>0.74086095352993653</v>
      </c>
      <c r="K163" s="67">
        <f t="shared" si="33"/>
        <v>4.666518256336099</v>
      </c>
      <c r="M163" s="68">
        <f t="shared" si="38"/>
        <v>127854861.82102303</v>
      </c>
      <c r="N163" s="68">
        <f>IF(AND(H163=1,D163&lt;15),Assumptions!$H$4*I162,0)</f>
        <v>0</v>
      </c>
      <c r="O163" s="68"/>
      <c r="P163" s="91">
        <f>$M163*(1+VLOOKUP($H163,Assumptions!$C$22:$D$33,2,FALSE))*F163</f>
        <v>35425.165414097741</v>
      </c>
      <c r="Q163" s="91">
        <f>$M163*(1+VLOOKUP($H163,Assumptions!$C$22:$D$33,2,FALSE))*G163</f>
        <v>223135.23253042297</v>
      </c>
      <c r="R163" s="68">
        <f>IF(AND(H163=12,D163&lt;15),Assumptions!$C$7*M163,0)</f>
        <v>63927.430910511517</v>
      </c>
      <c r="S163" s="69">
        <f>M163*Assumptions!$D$17</f>
        <v>520896.53340010374</v>
      </c>
      <c r="T163" s="69">
        <f t="shared" si="34"/>
        <v>0</v>
      </c>
      <c r="U163" s="68">
        <f>T163+AE163*(1+Assumptions!$D$17)</f>
        <v>0</v>
      </c>
      <c r="V163" s="68">
        <f>(M163+N163-O163)*(1+Assumptions!$D$17)-(P163+Q163)*(1+Assumptions!$D$17)^0.5-R163-T163</f>
        <v>128052744.35740852</v>
      </c>
      <c r="W163" s="68"/>
      <c r="X163" s="68">
        <f>IF(AND(H163=1,D163&lt;15),Assumptions!$D$10*N163+Assumptions!$D$11*(1+Assumptions!$D$16)^(B163-1)*$I$7,0)</f>
        <v>0</v>
      </c>
      <c r="Y163" s="66">
        <f>Assumptions!$C$13*N163</f>
        <v>0</v>
      </c>
      <c r="Z163" s="66">
        <f>NPV(Assumptions!$D$19,N163:$N$259)*(1+Assumptions!$D$19)</f>
        <v>13285247.00715645</v>
      </c>
      <c r="AA163" s="69">
        <f t="shared" si="35"/>
        <v>122435.41551572828</v>
      </c>
      <c r="AC163" s="68">
        <f t="shared" si="36"/>
        <v>128052744.35740852</v>
      </c>
      <c r="AD163" s="68"/>
      <c r="AE163" s="68"/>
      <c r="AF163" s="68"/>
      <c r="AG163" s="68"/>
      <c r="AH163" s="68"/>
      <c r="AI163" s="68"/>
      <c r="AK163" s="68"/>
      <c r="AL163" s="71">
        <f t="shared" si="30"/>
        <v>0</v>
      </c>
    </row>
    <row r="164" spans="2:38" x14ac:dyDescent="0.2">
      <c r="B164" s="5">
        <f t="shared" si="26"/>
        <v>157</v>
      </c>
      <c r="C164" s="5">
        <f t="shared" si="27"/>
        <v>157</v>
      </c>
      <c r="D164" s="5">
        <f t="shared" si="28"/>
        <v>13</v>
      </c>
      <c r="E164" s="5">
        <f t="shared" si="29"/>
        <v>59</v>
      </c>
      <c r="F164" s="65">
        <f>1-(1-VLOOKUP($E164,'Annual Mortality Rates'!$B$5:$C$105,2,FALSE))^(1/12)</f>
        <v>2.9882397117220183E-4</v>
      </c>
      <c r="G164" s="76">
        <f>IF(D164+1&gt;Assumptions!$H$9,100%,1-(1-IF(D164&gt;=7,2%,VLOOKUP($D164,'Annual Lapse Rates'!$B$4:$C$14,2,FALSE)))^(1/12))</f>
        <v>1.6821425527395739E-3</v>
      </c>
      <c r="H164" s="82">
        <f t="shared" si="37"/>
        <v>1</v>
      </c>
      <c r="I164" s="66">
        <f t="shared" si="31"/>
        <v>2763.2593138354255</v>
      </c>
      <c r="J164" s="67">
        <f t="shared" si="32"/>
        <v>0.82736710808297342</v>
      </c>
      <c r="K164" s="67">
        <f t="shared" si="33"/>
        <v>4.6574222736683843</v>
      </c>
      <c r="M164" s="68">
        <f t="shared" si="38"/>
        <v>128052744.35740852</v>
      </c>
      <c r="N164" s="68">
        <f>IF(AND(H164=1,D164&lt;15),Assumptions!$H$4*I163,0)</f>
        <v>6921860.2580429418</v>
      </c>
      <c r="O164" s="68"/>
      <c r="P164" s="91">
        <f>$M164*(1+VLOOKUP($H164,Assumptions!$C$22:$D$33,2,FALSE))*F164</f>
        <v>38384.808430843259</v>
      </c>
      <c r="Q164" s="91">
        <f>$M164*(1+VLOOKUP($H164,Assumptions!$C$22:$D$33,2,FALSE))*G164</f>
        <v>216076.10456080013</v>
      </c>
      <c r="R164" s="68">
        <f>IF(AND(H164=12,D164&lt;15),Assumptions!$C$7*M164,0)</f>
        <v>0</v>
      </c>
      <c r="S164" s="69">
        <f>M164*Assumptions!$D$17</f>
        <v>521702.73134796054</v>
      </c>
      <c r="T164" s="69">
        <f t="shared" si="34"/>
        <v>0</v>
      </c>
      <c r="U164" s="68">
        <f>T164+AE164*(1+Assumptions!$D$17)</f>
        <v>0</v>
      </c>
      <c r="V164" s="68">
        <f>(M164+N164-O164)*(1+Assumptions!$D$17)-(P164+Q164)*(1+Assumptions!$D$17)^0.5-R164-T164</f>
        <v>135269529.12356877</v>
      </c>
      <c r="W164" s="68"/>
      <c r="X164" s="68">
        <f>IF(AND(H164=1,D164&lt;15),Assumptions!$D$10*N164+Assumptions!$D$11*(1+Assumptions!$D$16)^(B164-1)*$I$7,0)</f>
        <v>76651.516779963305</v>
      </c>
      <c r="Y164" s="66">
        <f>Assumptions!$C$13*N164</f>
        <v>34609.301290214709</v>
      </c>
      <c r="Z164" s="66">
        <f>NPV(Assumptions!$D$19,N164:$N$259)*(1+Assumptions!$D$19)</f>
        <v>13342280.630032297</v>
      </c>
      <c r="AA164" s="69">
        <f t="shared" si="35"/>
        <v>59169.907462519666</v>
      </c>
      <c r="AC164" s="68">
        <f t="shared" si="36"/>
        <v>135269529.12356877</v>
      </c>
      <c r="AD164" s="68"/>
      <c r="AE164" s="68"/>
      <c r="AF164" s="68"/>
      <c r="AG164" s="68"/>
      <c r="AH164" s="68"/>
      <c r="AI164" s="68"/>
      <c r="AK164" s="68"/>
      <c r="AL164" s="71">
        <f t="shared" si="30"/>
        <v>0</v>
      </c>
    </row>
    <row r="165" spans="2:38" x14ac:dyDescent="0.2">
      <c r="B165" s="5">
        <f t="shared" si="26"/>
        <v>158</v>
      </c>
      <c r="C165" s="5">
        <f t="shared" si="27"/>
        <v>158</v>
      </c>
      <c r="D165" s="5">
        <f t="shared" si="28"/>
        <v>13</v>
      </c>
      <c r="E165" s="5">
        <f t="shared" si="29"/>
        <v>59</v>
      </c>
      <c r="F165" s="65">
        <f>1-(1-VLOOKUP($E165,'Annual Mortality Rates'!$B$5:$C$105,2,FALSE))^(1/12)</f>
        <v>2.9882397117220183E-4</v>
      </c>
      <c r="G165" s="76">
        <f>IF(D165+1&gt;Assumptions!$H$9,100%,1-(1-IF(D165&gt;=7,2%,VLOOKUP($D165,'Annual Lapse Rates'!$B$4:$C$14,2,FALSE)))^(1/12))</f>
        <v>1.6821425527395739E-3</v>
      </c>
      <c r="H165" s="82">
        <f t="shared" si="37"/>
        <v>2</v>
      </c>
      <c r="I165" s="66">
        <f t="shared" si="31"/>
        <v>2757.7853896378301</v>
      </c>
      <c r="J165" s="67">
        <f t="shared" si="32"/>
        <v>0.82572812153887543</v>
      </c>
      <c r="K165" s="67">
        <f t="shared" si="33"/>
        <v>4.648196076056526</v>
      </c>
      <c r="M165" s="68">
        <f t="shared" si="38"/>
        <v>135269529.12356877</v>
      </c>
      <c r="N165" s="68">
        <f>IF(AND(H165=1,D165&lt;15),Assumptions!$H$4*I164,0)</f>
        <v>0</v>
      </c>
      <c r="O165" s="68"/>
      <c r="P165" s="91">
        <f>$M165*(1+VLOOKUP($H165,Assumptions!$C$22:$D$33,2,FALSE))*F165</f>
        <v>40674.413982994251</v>
      </c>
      <c r="Q165" s="91">
        <f>$M165*(1+VLOOKUP($H165,Assumptions!$C$22:$D$33,2,FALSE))*G165</f>
        <v>228964.77247172387</v>
      </c>
      <c r="R165" s="68">
        <f>IF(AND(H165=12,D165&lt;15),Assumptions!$C$7*M165,0)</f>
        <v>0</v>
      </c>
      <c r="S165" s="69">
        <f>M165*Assumptions!$D$17</f>
        <v>551104.80580524518</v>
      </c>
      <c r="T165" s="69">
        <f t="shared" si="34"/>
        <v>0</v>
      </c>
      <c r="U165" s="68">
        <f>T165+AE165*(1+Assumptions!$D$17)</f>
        <v>0</v>
      </c>
      <c r="V165" s="68">
        <f>(M165+N165-O165)*(1+Assumptions!$D$17)-(P165+Q165)*(1+Assumptions!$D$17)^0.5-R165-T165</f>
        <v>135550446.02952152</v>
      </c>
      <c r="W165" s="68"/>
      <c r="X165" s="68">
        <f>IF(AND(H165=1,D165&lt;15),Assumptions!$D$10*N165+Assumptions!$D$11*(1+Assumptions!$D$16)^(B165-1)*$I$7,0)</f>
        <v>0</v>
      </c>
      <c r="Y165" s="66">
        <f>Assumptions!$C$13*N165</f>
        <v>0</v>
      </c>
      <c r="Z165" s="66">
        <f>NPV(Assumptions!$D$19,N165:$N$259)*(1+Assumptions!$D$19)</f>
        <v>6447983.2644220814</v>
      </c>
      <c r="AA165" s="69">
        <f t="shared" si="35"/>
        <v>59423.924131234839</v>
      </c>
      <c r="AC165" s="68">
        <f t="shared" si="36"/>
        <v>135550446.02952152</v>
      </c>
      <c r="AD165" s="68"/>
      <c r="AE165" s="68"/>
      <c r="AF165" s="68"/>
      <c r="AG165" s="68"/>
      <c r="AH165" s="68"/>
      <c r="AI165" s="68"/>
      <c r="AK165" s="68"/>
      <c r="AL165" s="71">
        <f t="shared" si="30"/>
        <v>0</v>
      </c>
    </row>
    <row r="166" spans="2:38" x14ac:dyDescent="0.2">
      <c r="B166" s="5">
        <f t="shared" si="26"/>
        <v>159</v>
      </c>
      <c r="C166" s="5">
        <f t="shared" si="27"/>
        <v>159</v>
      </c>
      <c r="D166" s="5">
        <f t="shared" si="28"/>
        <v>13</v>
      </c>
      <c r="E166" s="5">
        <f t="shared" si="29"/>
        <v>59</v>
      </c>
      <c r="F166" s="65">
        <f>1-(1-VLOOKUP($E166,'Annual Mortality Rates'!$B$5:$C$105,2,FALSE))^(1/12)</f>
        <v>2.9882397117220183E-4</v>
      </c>
      <c r="G166" s="76">
        <f>IF(D166+1&gt;Assumptions!$H$9,100%,1-(1-IF(D166&gt;=7,2%,VLOOKUP($D166,'Annual Lapse Rates'!$B$4:$C$14,2,FALSE)))^(1/12))</f>
        <v>1.6821425527395739E-3</v>
      </c>
      <c r="H166" s="82">
        <f t="shared" si="37"/>
        <v>3</v>
      </c>
      <c r="I166" s="66">
        <f t="shared" si="31"/>
        <v>2752.3223091008249</v>
      </c>
      <c r="J166" s="67">
        <f t="shared" si="32"/>
        <v>0.8240923817722543</v>
      </c>
      <c r="K166" s="67">
        <f t="shared" si="33"/>
        <v>4.6389881552332799</v>
      </c>
      <c r="M166" s="68">
        <f t="shared" si="38"/>
        <v>135550446.02952152</v>
      </c>
      <c r="N166" s="68">
        <f>IF(AND(H166=1,D166&lt;15),Assumptions!$H$4*I165,0)</f>
        <v>0</v>
      </c>
      <c r="O166" s="68"/>
      <c r="P166" s="91">
        <f>$M166*(1+VLOOKUP($H166,Assumptions!$C$22:$D$33,2,FALSE))*F166</f>
        <v>40885.463725861446</v>
      </c>
      <c r="Q166" s="91">
        <f>$M166*(1+VLOOKUP($H166,Assumptions!$C$22:$D$33,2,FALSE))*G166</f>
        <v>230152.81555885985</v>
      </c>
      <c r="R166" s="68">
        <f>IF(AND(H166=12,D166&lt;15),Assumptions!$C$7*M166,0)</f>
        <v>0</v>
      </c>
      <c r="S166" s="69">
        <f>M166*Assumptions!$D$17</f>
        <v>552249.29605301621</v>
      </c>
      <c r="T166" s="69">
        <f t="shared" si="34"/>
        <v>0</v>
      </c>
      <c r="U166" s="68">
        <f>T166+AE166*(1+Assumptions!$D$17)</f>
        <v>0</v>
      </c>
      <c r="V166" s="68">
        <f>(M166+N166-O166)*(1+Assumptions!$D$17)-(P166+Q166)*(1+Assumptions!$D$17)^0.5-R166-T166</f>
        <v>135831105.48575032</v>
      </c>
      <c r="W166" s="68"/>
      <c r="X166" s="68">
        <f>IF(AND(H166=1,D166&lt;15),Assumptions!$D$10*N166+Assumptions!$D$11*(1+Assumptions!$D$16)^(B166-1)*$I$7,0)</f>
        <v>0</v>
      </c>
      <c r="Y166" s="66">
        <f>Assumptions!$C$13*N166</f>
        <v>0</v>
      </c>
      <c r="Z166" s="66">
        <f>NPV(Assumptions!$D$19,N166:$N$259)*(1+Assumptions!$D$19)</f>
        <v>6475664.4844712624</v>
      </c>
      <c r="AA166" s="69">
        <f t="shared" si="35"/>
        <v>59679.031294607725</v>
      </c>
      <c r="AC166" s="68">
        <f t="shared" si="36"/>
        <v>135831105.48575032</v>
      </c>
      <c r="AD166" s="68"/>
      <c r="AE166" s="68"/>
      <c r="AF166" s="68"/>
      <c r="AG166" s="68"/>
      <c r="AH166" s="68"/>
      <c r="AI166" s="68"/>
      <c r="AK166" s="68"/>
      <c r="AL166" s="71">
        <f t="shared" si="30"/>
        <v>0</v>
      </c>
    </row>
    <row r="167" spans="2:38" x14ac:dyDescent="0.2">
      <c r="B167" s="5">
        <f t="shared" si="26"/>
        <v>160</v>
      </c>
      <c r="C167" s="5">
        <f t="shared" si="27"/>
        <v>160</v>
      </c>
      <c r="D167" s="5">
        <f t="shared" si="28"/>
        <v>13</v>
      </c>
      <c r="E167" s="5">
        <f t="shared" si="29"/>
        <v>59</v>
      </c>
      <c r="F167" s="65">
        <f>1-(1-VLOOKUP($E167,'Annual Mortality Rates'!$B$5:$C$105,2,FALSE))^(1/12)</f>
        <v>2.9882397117220183E-4</v>
      </c>
      <c r="G167" s="76">
        <f>IF(D167+1&gt;Assumptions!$H$9,100%,1-(1-IF(D167&gt;=7,2%,VLOOKUP($D167,'Annual Lapse Rates'!$B$4:$C$14,2,FALSE)))^(1/12))</f>
        <v>1.6821425527395739E-3</v>
      </c>
      <c r="H167" s="82">
        <f t="shared" si="37"/>
        <v>4</v>
      </c>
      <c r="I167" s="66">
        <f t="shared" si="31"/>
        <v>2746.8700507434805</v>
      </c>
      <c r="J167" s="67">
        <f t="shared" si="32"/>
        <v>0.82245988235135292</v>
      </c>
      <c r="K167" s="67">
        <f t="shared" si="33"/>
        <v>4.6297984749929402</v>
      </c>
      <c r="M167" s="68">
        <f t="shared" si="38"/>
        <v>135831105.48575032</v>
      </c>
      <c r="N167" s="68">
        <f>IF(AND(H167=1,D167&lt;15),Assumptions!$H$4*I166,0)</f>
        <v>0</v>
      </c>
      <c r="O167" s="68"/>
      <c r="P167" s="91">
        <f>$M167*(1+VLOOKUP($H167,Assumptions!$C$22:$D$33,2,FALSE))*F167</f>
        <v>41096.960229336684</v>
      </c>
      <c r="Q167" s="91">
        <f>$M167*(1+VLOOKUP($H167,Assumptions!$C$22:$D$33,2,FALSE))*G167</f>
        <v>231343.37355477884</v>
      </c>
      <c r="R167" s="68">
        <f>IF(AND(H167=12,D167&lt;15),Assumptions!$C$7*M167,0)</f>
        <v>0</v>
      </c>
      <c r="S167" s="69">
        <f>M167*Assumptions!$D$17</f>
        <v>553392.73741874367</v>
      </c>
      <c r="T167" s="69">
        <f t="shared" si="34"/>
        <v>0</v>
      </c>
      <c r="U167" s="68">
        <f>T167+AE167*(1+Assumptions!$D$17)</f>
        <v>0</v>
      </c>
      <c r="V167" s="68">
        <f>(M167+N167-O167)*(1+Assumptions!$D$17)-(P167+Q167)*(1+Assumptions!$D$17)^0.5-R167-T167</f>
        <v>136111503.47567675</v>
      </c>
      <c r="W167" s="68"/>
      <c r="X167" s="68">
        <f>IF(AND(H167=1,D167&lt;15),Assumptions!$D$10*N167+Assumptions!$D$11*(1+Assumptions!$D$16)^(B167-1)*$I$7,0)</f>
        <v>0</v>
      </c>
      <c r="Y167" s="66">
        <f>Assumptions!$C$13*N167</f>
        <v>0</v>
      </c>
      <c r="Z167" s="66">
        <f>NPV(Assumptions!$D$19,N167:$N$259)*(1+Assumptions!$D$19)</f>
        <v>6503464.5401178682</v>
      </c>
      <c r="AA167" s="69">
        <f t="shared" si="35"/>
        <v>59935.233634136603</v>
      </c>
      <c r="AC167" s="68">
        <f t="shared" si="36"/>
        <v>136111503.47567675</v>
      </c>
      <c r="AD167" s="68"/>
      <c r="AE167" s="68"/>
      <c r="AF167" s="68"/>
      <c r="AG167" s="68"/>
      <c r="AH167" s="68"/>
      <c r="AI167" s="68"/>
      <c r="AK167" s="68"/>
      <c r="AL167" s="71">
        <f t="shared" si="30"/>
        <v>0</v>
      </c>
    </row>
    <row r="168" spans="2:38" x14ac:dyDescent="0.2">
      <c r="B168" s="5">
        <f t="shared" si="26"/>
        <v>161</v>
      </c>
      <c r="C168" s="5">
        <f t="shared" si="27"/>
        <v>161</v>
      </c>
      <c r="D168" s="5">
        <f t="shared" si="28"/>
        <v>13</v>
      </c>
      <c r="E168" s="5">
        <f t="shared" si="29"/>
        <v>59</v>
      </c>
      <c r="F168" s="65">
        <f>1-(1-VLOOKUP($E168,'Annual Mortality Rates'!$B$5:$C$105,2,FALSE))^(1/12)</f>
        <v>2.9882397117220183E-4</v>
      </c>
      <c r="G168" s="76">
        <f>IF(D168+1&gt;Assumptions!$H$9,100%,1-(1-IF(D168&gt;=7,2%,VLOOKUP($D168,'Annual Lapse Rates'!$B$4:$C$14,2,FALSE)))^(1/12))</f>
        <v>1.6821425527395739E-3</v>
      </c>
      <c r="H168" s="82">
        <f t="shared" si="37"/>
        <v>5</v>
      </c>
      <c r="I168" s="66">
        <f t="shared" si="31"/>
        <v>2741.4285931274217</v>
      </c>
      <c r="J168" s="67">
        <f t="shared" si="32"/>
        <v>0.82083061685715442</v>
      </c>
      <c r="K168" s="67">
        <f t="shared" si="33"/>
        <v>4.6206269992015212</v>
      </c>
      <c r="M168" s="68">
        <f t="shared" si="38"/>
        <v>136111503.47567675</v>
      </c>
      <c r="N168" s="68">
        <f>IF(AND(H168=1,D168&lt;15),Assumptions!$H$4*I167,0)</f>
        <v>0</v>
      </c>
      <c r="O168" s="68"/>
      <c r="P168" s="91">
        <f>$M168*(1+VLOOKUP($H168,Assumptions!$C$22:$D$33,2,FALSE))*F168</f>
        <v>41308.901553177253</v>
      </c>
      <c r="Q168" s="91">
        <f>$M168*(1+VLOOKUP($H168,Assumptions!$C$22:$D$33,2,FALSE))*G168</f>
        <v>232536.43553744935</v>
      </c>
      <c r="R168" s="68">
        <f>IF(AND(H168=12,D168&lt;15),Assumptions!$C$7*M168,0)</f>
        <v>0</v>
      </c>
      <c r="S168" s="69">
        <f>M168*Assumptions!$D$17</f>
        <v>554535.11353839014</v>
      </c>
      <c r="T168" s="69">
        <f t="shared" si="34"/>
        <v>0</v>
      </c>
      <c r="U168" s="68">
        <f>T168+AE168*(1+Assumptions!$D$17)</f>
        <v>0</v>
      </c>
      <c r="V168" s="68">
        <f>(M168+N168-O168)*(1+Assumptions!$D$17)-(P168+Q168)*(1+Assumptions!$D$17)^0.5-R168-T168</f>
        <v>136391635.9792468</v>
      </c>
      <c r="W168" s="68"/>
      <c r="X168" s="68">
        <f>IF(AND(H168=1,D168&lt;15),Assumptions!$D$10*N168+Assumptions!$D$11*(1+Assumptions!$D$16)^(B168-1)*$I$7,0)</f>
        <v>0</v>
      </c>
      <c r="Y168" s="66">
        <f>Assumptions!$C$13*N168</f>
        <v>0</v>
      </c>
      <c r="Z168" s="66">
        <f>NPV(Assumptions!$D$19,N168:$N$259)*(1+Assumptions!$D$19)</f>
        <v>6531383.941523632</v>
      </c>
      <c r="AA168" s="69">
        <f t="shared" si="35"/>
        <v>60192.535851417459</v>
      </c>
      <c r="AC168" s="68">
        <f t="shared" si="36"/>
        <v>136391635.9792468</v>
      </c>
      <c r="AD168" s="68"/>
      <c r="AE168" s="68"/>
      <c r="AF168" s="68"/>
      <c r="AG168" s="68"/>
      <c r="AH168" s="68"/>
      <c r="AI168" s="68"/>
      <c r="AK168" s="68"/>
      <c r="AL168" s="71">
        <f t="shared" si="30"/>
        <v>0</v>
      </c>
    </row>
    <row r="169" spans="2:38" x14ac:dyDescent="0.2">
      <c r="B169" s="5">
        <f t="shared" si="26"/>
        <v>162</v>
      </c>
      <c r="C169" s="5">
        <f t="shared" si="27"/>
        <v>162</v>
      </c>
      <c r="D169" s="5">
        <f t="shared" si="28"/>
        <v>13</v>
      </c>
      <c r="E169" s="5">
        <f t="shared" si="29"/>
        <v>59</v>
      </c>
      <c r="F169" s="65">
        <f>1-(1-VLOOKUP($E169,'Annual Mortality Rates'!$B$5:$C$105,2,FALSE))^(1/12)</f>
        <v>2.9882397117220183E-4</v>
      </c>
      <c r="G169" s="76">
        <f>IF(D169+1&gt;Assumptions!$H$9,100%,1-(1-IF(D169&gt;=7,2%,VLOOKUP($D169,'Annual Lapse Rates'!$B$4:$C$14,2,FALSE)))^(1/12))</f>
        <v>1.6821425527395739E-3</v>
      </c>
      <c r="H169" s="82">
        <f t="shared" si="37"/>
        <v>6</v>
      </c>
      <c r="I169" s="66">
        <f t="shared" si="31"/>
        <v>2735.9979148567418</v>
      </c>
      <c r="J169" s="67">
        <f t="shared" si="32"/>
        <v>0.81920457888335851</v>
      </c>
      <c r="K169" s="67">
        <f t="shared" si="33"/>
        <v>4.6114736917966201</v>
      </c>
      <c r="M169" s="68">
        <f t="shared" si="38"/>
        <v>136391635.9792468</v>
      </c>
      <c r="N169" s="68">
        <f>IF(AND(H169=1,D169&lt;15),Assumptions!$H$4*I168,0)</f>
        <v>0</v>
      </c>
      <c r="O169" s="68"/>
      <c r="P169" s="91">
        <f>$M169*(1+VLOOKUP($H169,Assumptions!$C$22:$D$33,2,FALSE))*F169</f>
        <v>41521.285741079242</v>
      </c>
      <c r="Q169" s="91">
        <f>$M169*(1+VLOOKUP($H169,Assumptions!$C$22:$D$33,2,FALSE))*G169</f>
        <v>233731.990494428</v>
      </c>
      <c r="R169" s="68">
        <f>IF(AND(H169=12,D169&lt;15),Assumptions!$C$7*M169,0)</f>
        <v>0</v>
      </c>
      <c r="S169" s="69">
        <f>M169*Assumptions!$D$17</f>
        <v>555676.40803375782</v>
      </c>
      <c r="T169" s="69">
        <f t="shared" si="34"/>
        <v>0</v>
      </c>
      <c r="U169" s="68">
        <f>T169+AE169*(1+Assumptions!$D$17)</f>
        <v>0</v>
      </c>
      <c r="V169" s="68">
        <f>(M169+N169-O169)*(1+Assumptions!$D$17)-(P169+Q169)*(1+Assumptions!$D$17)^0.5-R169-T169</f>
        <v>136671498.97302341</v>
      </c>
      <c r="W169" s="68"/>
      <c r="X169" s="68">
        <f>IF(AND(H169=1,D169&lt;15),Assumptions!$D$10*N169+Assumptions!$D$11*(1+Assumptions!$D$16)^(B169-1)*$I$7,0)</f>
        <v>0</v>
      </c>
      <c r="Y169" s="66">
        <f>Assumptions!$C$13*N169</f>
        <v>0</v>
      </c>
      <c r="Z169" s="66">
        <f>NPV(Assumptions!$D$19,N169:$N$259)*(1+Assumptions!$D$19)</f>
        <v>6559423.2010404151</v>
      </c>
      <c r="AA169" s="69">
        <f t="shared" si="35"/>
        <v>60450.942668230222</v>
      </c>
      <c r="AC169" s="68">
        <f t="shared" si="36"/>
        <v>136671498.97302341</v>
      </c>
      <c r="AD169" s="68"/>
      <c r="AE169" s="68"/>
      <c r="AF169" s="68"/>
      <c r="AG169" s="68"/>
      <c r="AH169" s="68"/>
      <c r="AI169" s="68"/>
      <c r="AK169" s="68"/>
      <c r="AL169" s="71">
        <f t="shared" si="30"/>
        <v>0</v>
      </c>
    </row>
    <row r="170" spans="2:38" x14ac:dyDescent="0.2">
      <c r="B170" s="5">
        <f t="shared" si="26"/>
        <v>163</v>
      </c>
      <c r="C170" s="5">
        <f t="shared" si="27"/>
        <v>163</v>
      </c>
      <c r="D170" s="5">
        <f t="shared" si="28"/>
        <v>13</v>
      </c>
      <c r="E170" s="5">
        <f t="shared" si="29"/>
        <v>59</v>
      </c>
      <c r="F170" s="65">
        <f>1-(1-VLOOKUP($E170,'Annual Mortality Rates'!$B$5:$C$105,2,FALSE))^(1/12)</f>
        <v>2.9882397117220183E-4</v>
      </c>
      <c r="G170" s="76">
        <f>IF(D170+1&gt;Assumptions!$H$9,100%,1-(1-IF(D170&gt;=7,2%,VLOOKUP($D170,'Annual Lapse Rates'!$B$4:$C$14,2,FALSE)))^(1/12))</f>
        <v>1.6821425527395739E-3</v>
      </c>
      <c r="H170" s="82">
        <f t="shared" si="37"/>
        <v>7</v>
      </c>
      <c r="I170" s="66">
        <f t="shared" si="31"/>
        <v>2730.5779945779182</v>
      </c>
      <c r="J170" s="67">
        <f t="shared" si="32"/>
        <v>0.81758176203635535</v>
      </c>
      <c r="K170" s="67">
        <f t="shared" si="33"/>
        <v>4.6023385167872712</v>
      </c>
      <c r="M170" s="68">
        <f t="shared" si="38"/>
        <v>136671498.97302341</v>
      </c>
      <c r="N170" s="68">
        <f>IF(AND(H170=1,D170&lt;15),Assumptions!$H$4*I169,0)</f>
        <v>0</v>
      </c>
      <c r="O170" s="68"/>
      <c r="P170" s="91">
        <f>$M170*(1+VLOOKUP($H170,Assumptions!$C$22:$D$33,2,FALSE))*F170</f>
        <v>41734.110820689595</v>
      </c>
      <c r="Q170" s="91">
        <f>$M170*(1+VLOOKUP($H170,Assumptions!$C$22:$D$33,2,FALSE))*G170</f>
        <v>234930.02732292749</v>
      </c>
      <c r="R170" s="68">
        <f>IF(AND(H170=12,D170&lt;15),Assumptions!$C$7*M170,0)</f>
        <v>0</v>
      </c>
      <c r="S170" s="69">
        <f>M170*Assumptions!$D$17</f>
        <v>556816.60451286624</v>
      </c>
      <c r="T170" s="69">
        <f t="shared" si="34"/>
        <v>0</v>
      </c>
      <c r="U170" s="68">
        <f>T170+AE170*(1+Assumptions!$D$17)</f>
        <v>0</v>
      </c>
      <c r="V170" s="68">
        <f>(M170+N170-O170)*(1+Assumptions!$D$17)-(P170+Q170)*(1+Assumptions!$D$17)^0.5-R170-T170</f>
        <v>136951088.43027934</v>
      </c>
      <c r="W170" s="68"/>
      <c r="X170" s="68">
        <f>IF(AND(H170=1,D170&lt;15),Assumptions!$D$10*N170+Assumptions!$D$11*(1+Assumptions!$D$16)^(B170-1)*$I$7,0)</f>
        <v>0</v>
      </c>
      <c r="Y170" s="66">
        <f>Assumptions!$C$13*N170</f>
        <v>0</v>
      </c>
      <c r="Z170" s="66">
        <f>NPV(Assumptions!$D$19,N170:$N$259)*(1+Assumptions!$D$19)</f>
        <v>6587582.8332196055</v>
      </c>
      <c r="AA170" s="69">
        <f t="shared" si="35"/>
        <v>60710.458826625472</v>
      </c>
      <c r="AC170" s="68">
        <f t="shared" si="36"/>
        <v>136951088.43027934</v>
      </c>
      <c r="AD170" s="68"/>
      <c r="AE170" s="68"/>
      <c r="AF170" s="68"/>
      <c r="AG170" s="68"/>
      <c r="AH170" s="68"/>
      <c r="AI170" s="68"/>
      <c r="AK170" s="68"/>
      <c r="AL170" s="71">
        <f t="shared" si="30"/>
        <v>0</v>
      </c>
    </row>
    <row r="171" spans="2:38" x14ac:dyDescent="0.2">
      <c r="B171" s="5">
        <f t="shared" si="26"/>
        <v>164</v>
      </c>
      <c r="C171" s="5">
        <f t="shared" si="27"/>
        <v>164</v>
      </c>
      <c r="D171" s="5">
        <f t="shared" si="28"/>
        <v>13</v>
      </c>
      <c r="E171" s="5">
        <f t="shared" si="29"/>
        <v>59</v>
      </c>
      <c r="F171" s="65">
        <f>1-(1-VLOOKUP($E171,'Annual Mortality Rates'!$B$5:$C$105,2,FALSE))^(1/12)</f>
        <v>2.9882397117220183E-4</v>
      </c>
      <c r="G171" s="76">
        <f>IF(D171+1&gt;Assumptions!$H$9,100%,1-(1-IF(D171&gt;=7,2%,VLOOKUP($D171,'Annual Lapse Rates'!$B$4:$C$14,2,FALSE)))^(1/12))</f>
        <v>1.6821425527395739E-3</v>
      </c>
      <c r="H171" s="82">
        <f t="shared" si="37"/>
        <v>8</v>
      </c>
      <c r="I171" s="66">
        <f t="shared" si="31"/>
        <v>2725.1688109797292</v>
      </c>
      <c r="J171" s="67">
        <f t="shared" si="32"/>
        <v>0.81596215993520049</v>
      </c>
      <c r="K171" s="67">
        <f t="shared" si="33"/>
        <v>4.5932214382538055</v>
      </c>
      <c r="M171" s="68">
        <f t="shared" si="38"/>
        <v>136951088.43027934</v>
      </c>
      <c r="N171" s="68">
        <f>IF(AND(H171=1,D171&lt;15),Assumptions!$H$4*I170,0)</f>
        <v>0</v>
      </c>
      <c r="O171" s="68"/>
      <c r="P171" s="91">
        <f>$M171*(1+VLOOKUP($H171,Assumptions!$C$22:$D$33,2,FALSE))*F171</f>
        <v>41947.374803618739</v>
      </c>
      <c r="Q171" s="91">
        <f>$M171*(1+VLOOKUP($H171,Assumptions!$C$22:$D$33,2,FALSE))*G171</f>
        <v>236130.5348298875</v>
      </c>
      <c r="R171" s="68">
        <f>IF(AND(H171=12,D171&lt;15),Assumptions!$C$7*M171,0)</f>
        <v>0</v>
      </c>
      <c r="S171" s="69">
        <f>M171*Assumptions!$D$17</f>
        <v>557955.68657032994</v>
      </c>
      <c r="T171" s="69">
        <f t="shared" si="34"/>
        <v>0</v>
      </c>
      <c r="U171" s="68">
        <f>T171+AE171*(1+Assumptions!$D$17)</f>
        <v>0</v>
      </c>
      <c r="V171" s="68">
        <f>(M171+N171-O171)*(1+Assumptions!$D$17)-(P171+Q171)*(1+Assumptions!$D$17)^0.5-R171-T171</f>
        <v>137230400.32109016</v>
      </c>
      <c r="W171" s="68"/>
      <c r="X171" s="68">
        <f>IF(AND(H171=1,D171&lt;15),Assumptions!$D$10*N171+Assumptions!$D$11*(1+Assumptions!$D$16)^(B171-1)*$I$7,0)</f>
        <v>0</v>
      </c>
      <c r="Y171" s="66">
        <f>Assumptions!$C$13*N171</f>
        <v>0</v>
      </c>
      <c r="Z171" s="66">
        <f>NPV(Assumptions!$D$19,N171:$N$259)*(1+Assumptions!$D$19)</f>
        <v>6615863.3548215646</v>
      </c>
      <c r="AA171" s="69">
        <f t="shared" si="35"/>
        <v>60971.089089011431</v>
      </c>
      <c r="AC171" s="68">
        <f t="shared" si="36"/>
        <v>137230400.32109016</v>
      </c>
      <c r="AD171" s="68"/>
      <c r="AE171" s="68"/>
      <c r="AF171" s="68"/>
      <c r="AG171" s="68"/>
      <c r="AH171" s="68"/>
      <c r="AI171" s="68"/>
      <c r="AK171" s="68"/>
      <c r="AL171" s="71">
        <f t="shared" si="30"/>
        <v>0</v>
      </c>
    </row>
    <row r="172" spans="2:38" x14ac:dyDescent="0.2">
      <c r="B172" s="5">
        <f t="shared" si="26"/>
        <v>165</v>
      </c>
      <c r="C172" s="5">
        <f t="shared" si="27"/>
        <v>165</v>
      </c>
      <c r="D172" s="5">
        <f t="shared" si="28"/>
        <v>13</v>
      </c>
      <c r="E172" s="5">
        <f t="shared" si="29"/>
        <v>59</v>
      </c>
      <c r="F172" s="65">
        <f>1-(1-VLOOKUP($E172,'Annual Mortality Rates'!$B$5:$C$105,2,FALSE))^(1/12)</f>
        <v>2.9882397117220183E-4</v>
      </c>
      <c r="G172" s="76">
        <f>IF(D172+1&gt;Assumptions!$H$9,100%,1-(1-IF(D172&gt;=7,2%,VLOOKUP($D172,'Annual Lapse Rates'!$B$4:$C$14,2,FALSE)))^(1/12))</f>
        <v>1.6821425527395739E-3</v>
      </c>
      <c r="H172" s="82">
        <f t="shared" si="37"/>
        <v>9</v>
      </c>
      <c r="I172" s="66">
        <f t="shared" si="31"/>
        <v>2719.7703427931697</v>
      </c>
      <c r="J172" s="67">
        <f t="shared" si="32"/>
        <v>0.81434576621159016</v>
      </c>
      <c r="K172" s="67">
        <f t="shared" si="33"/>
        <v>4.5841224203477111</v>
      </c>
      <c r="M172" s="68">
        <f t="shared" si="38"/>
        <v>137230400.32109016</v>
      </c>
      <c r="N172" s="68">
        <f>IF(AND(H172=1,D172&lt;15),Assumptions!$H$4*I171,0)</f>
        <v>0</v>
      </c>
      <c r="O172" s="68"/>
      <c r="P172" s="91">
        <f>$M172*(1+VLOOKUP($H172,Assumptions!$C$22:$D$33,2,FALSE))*F172</f>
        <v>42161.075685453819</v>
      </c>
      <c r="Q172" s="91">
        <f>$M172*(1+VLOOKUP($H172,Assumptions!$C$22:$D$33,2,FALSE))*G172</f>
        <v>237333.50173204951</v>
      </c>
      <c r="R172" s="68">
        <f>IF(AND(H172=12,D172&lt;15),Assumptions!$C$7*M172,0)</f>
        <v>0</v>
      </c>
      <c r="S172" s="69">
        <f>M172*Assumptions!$D$17</f>
        <v>559093.63778773812</v>
      </c>
      <c r="T172" s="69">
        <f t="shared" si="34"/>
        <v>0</v>
      </c>
      <c r="U172" s="68">
        <f>T172+AE172*(1+Assumptions!$D$17)</f>
        <v>0</v>
      </c>
      <c r="V172" s="68">
        <f>(M172+N172-O172)*(1+Assumptions!$D$17)-(P172+Q172)*(1+Assumptions!$D$17)^0.5-R172-T172</f>
        <v>137509430.61242777</v>
      </c>
      <c r="W172" s="68"/>
      <c r="X172" s="68">
        <f>IF(AND(H172=1,D172&lt;15),Assumptions!$D$10*N172+Assumptions!$D$11*(1+Assumptions!$D$16)^(B172-1)*$I$7,0)</f>
        <v>0</v>
      </c>
      <c r="Y172" s="66">
        <f>Assumptions!$C$13*N172</f>
        <v>0</v>
      </c>
      <c r="Z172" s="66">
        <f>NPV(Assumptions!$D$19,N172:$N$259)*(1+Assumptions!$D$19)</f>
        <v>6644265.2848251071</v>
      </c>
      <c r="AA172" s="69">
        <f t="shared" si="35"/>
        <v>61232.838238241326</v>
      </c>
      <c r="AC172" s="68">
        <f t="shared" si="36"/>
        <v>137509430.61242777</v>
      </c>
      <c r="AD172" s="68"/>
      <c r="AE172" s="68"/>
      <c r="AF172" s="68"/>
      <c r="AG172" s="68"/>
      <c r="AH172" s="68"/>
      <c r="AI172" s="68"/>
      <c r="AK172" s="68"/>
      <c r="AL172" s="71">
        <f t="shared" si="30"/>
        <v>0</v>
      </c>
    </row>
    <row r="173" spans="2:38" x14ac:dyDescent="0.2">
      <c r="B173" s="5">
        <f t="shared" si="26"/>
        <v>166</v>
      </c>
      <c r="C173" s="5">
        <f t="shared" si="27"/>
        <v>166</v>
      </c>
      <c r="D173" s="5">
        <f t="shared" si="28"/>
        <v>13</v>
      </c>
      <c r="E173" s="5">
        <f t="shared" si="29"/>
        <v>59</v>
      </c>
      <c r="F173" s="65">
        <f>1-(1-VLOOKUP($E173,'Annual Mortality Rates'!$B$5:$C$105,2,FALSE))^(1/12)</f>
        <v>2.9882397117220183E-4</v>
      </c>
      <c r="G173" s="76">
        <f>IF(D173+1&gt;Assumptions!$H$9,100%,1-(1-IF(D173&gt;=7,2%,VLOOKUP($D173,'Annual Lapse Rates'!$B$4:$C$14,2,FALSE)))^(1/12))</f>
        <v>1.6821425527395739E-3</v>
      </c>
      <c r="H173" s="82">
        <f t="shared" si="37"/>
        <v>10</v>
      </c>
      <c r="I173" s="66">
        <f t="shared" si="31"/>
        <v>2714.3825687913682</v>
      </c>
      <c r="J173" s="67">
        <f t="shared" si="32"/>
        <v>0.8127325745098356</v>
      </c>
      <c r="K173" s="67">
        <f t="shared" si="33"/>
        <v>4.5750414272914881</v>
      </c>
      <c r="M173" s="68">
        <f t="shared" si="38"/>
        <v>137509430.61242777</v>
      </c>
      <c r="N173" s="68">
        <f>IF(AND(H173=1,D173&lt;15),Assumptions!$H$4*I172,0)</f>
        <v>0</v>
      </c>
      <c r="O173" s="68"/>
      <c r="P173" s="91">
        <f>$M173*(1+VLOOKUP($H173,Assumptions!$C$22:$D$33,2,FALSE))*F173</f>
        <v>42375.211445772569</v>
      </c>
      <c r="Q173" s="91">
        <f>$M173*(1+VLOOKUP($H173,Assumptions!$C$22:$D$33,2,FALSE))*G173</f>
        <v>238538.91665603439</v>
      </c>
      <c r="R173" s="68">
        <f>IF(AND(H173=12,D173&lt;15),Assumptions!$C$7*M173,0)</f>
        <v>0</v>
      </c>
      <c r="S173" s="69">
        <f>M173*Assumptions!$D$17</f>
        <v>560230.44173403492</v>
      </c>
      <c r="T173" s="69">
        <f t="shared" si="34"/>
        <v>0</v>
      </c>
      <c r="U173" s="68">
        <f>T173+AE173*(1+Assumptions!$D$17)</f>
        <v>0</v>
      </c>
      <c r="V173" s="68">
        <f>(M173+N173-O173)*(1+Assumptions!$D$17)-(P173+Q173)*(1+Assumptions!$D$17)^0.5-R173-T173</f>
        <v>137788175.2682541</v>
      </c>
      <c r="W173" s="68"/>
      <c r="X173" s="68">
        <f>IF(AND(H173=1,D173&lt;15),Assumptions!$D$10*N173+Assumptions!$D$11*(1+Assumptions!$D$16)^(B173-1)*$I$7,0)</f>
        <v>0</v>
      </c>
      <c r="Y173" s="66">
        <f>Assumptions!$C$13*N173</f>
        <v>0</v>
      </c>
      <c r="Z173" s="66">
        <f>NPV(Assumptions!$D$19,N173:$N$259)*(1+Assumptions!$D$19)</f>
        <v>6672789.1444370253</v>
      </c>
      <c r="AA173" s="69">
        <f t="shared" si="35"/>
        <v>61495.711077701235</v>
      </c>
      <c r="AC173" s="68">
        <f t="shared" si="36"/>
        <v>137788175.2682541</v>
      </c>
      <c r="AD173" s="68"/>
      <c r="AE173" s="68"/>
      <c r="AF173" s="68"/>
      <c r="AG173" s="68"/>
      <c r="AH173" s="68"/>
      <c r="AI173" s="68"/>
      <c r="AK173" s="68"/>
      <c r="AL173" s="71">
        <f t="shared" si="30"/>
        <v>0</v>
      </c>
    </row>
    <row r="174" spans="2:38" x14ac:dyDescent="0.2">
      <c r="B174" s="5">
        <f t="shared" si="26"/>
        <v>167</v>
      </c>
      <c r="C174" s="5">
        <f t="shared" si="27"/>
        <v>167</v>
      </c>
      <c r="D174" s="5">
        <f t="shared" si="28"/>
        <v>13</v>
      </c>
      <c r="E174" s="5">
        <f t="shared" si="29"/>
        <v>59</v>
      </c>
      <c r="F174" s="65">
        <f>1-(1-VLOOKUP($E174,'Annual Mortality Rates'!$B$5:$C$105,2,FALSE))^(1/12)</f>
        <v>2.9882397117220183E-4</v>
      </c>
      <c r="G174" s="76">
        <f>IF(D174+1&gt;Assumptions!$H$9,100%,1-(1-IF(D174&gt;=7,2%,VLOOKUP($D174,'Annual Lapse Rates'!$B$4:$C$14,2,FALSE)))^(1/12))</f>
        <v>1.6821425527395739E-3</v>
      </c>
      <c r="H174" s="82">
        <f t="shared" si="37"/>
        <v>11</v>
      </c>
      <c r="I174" s="66">
        <f t="shared" si="31"/>
        <v>2709.0054677895027</v>
      </c>
      <c r="J174" s="67">
        <f t="shared" si="32"/>
        <v>0.811122578486839</v>
      </c>
      <c r="K174" s="67">
        <f t="shared" si="33"/>
        <v>4.5659784233785139</v>
      </c>
      <c r="M174" s="68">
        <f t="shared" si="38"/>
        <v>137788175.2682541</v>
      </c>
      <c r="N174" s="68">
        <f>IF(AND(H174=1,D174&lt;15),Assumptions!$H$4*I173,0)</f>
        <v>0</v>
      </c>
      <c r="O174" s="68"/>
      <c r="P174" s="91">
        <f>$M174*(1+VLOOKUP($H174,Assumptions!$C$22:$D$33,2,FALSE))*F174</f>
        <v>42589.780048157743</v>
      </c>
      <c r="Q174" s="91">
        <f>$M174*(1+VLOOKUP($H174,Assumptions!$C$22:$D$33,2,FALSE))*G174</f>
        <v>239746.76813842426</v>
      </c>
      <c r="R174" s="68">
        <f>IF(AND(H174=12,D174&lt;15),Assumptions!$C$7*M174,0)</f>
        <v>0</v>
      </c>
      <c r="S174" s="69">
        <f>M174*Assumptions!$D$17</f>
        <v>561366.08196590189</v>
      </c>
      <c r="T174" s="69">
        <f t="shared" si="34"/>
        <v>0</v>
      </c>
      <c r="U174" s="68">
        <f>T174+AE174*(1+Assumptions!$D$17)</f>
        <v>0</v>
      </c>
      <c r="V174" s="68">
        <f>(M174+N174-O174)*(1+Assumptions!$D$17)-(P174+Q174)*(1+Assumptions!$D$17)^0.5-R174-T174</f>
        <v>138066630.24961501</v>
      </c>
      <c r="W174" s="68"/>
      <c r="X174" s="68">
        <f>IF(AND(H174=1,D174&lt;15),Assumptions!$D$10*N174+Assumptions!$D$11*(1+Assumptions!$D$16)^(B174-1)*$I$7,0)</f>
        <v>0</v>
      </c>
      <c r="Y174" s="66">
        <f>Assumptions!$C$13*N174</f>
        <v>0</v>
      </c>
      <c r="Z174" s="66">
        <f>NPV(Assumptions!$D$19,N174:$N$259)*(1+Assumptions!$D$19)</f>
        <v>6701435.4571016561</v>
      </c>
      <c r="AA174" s="69">
        <f t="shared" si="35"/>
        <v>61759.712431398191</v>
      </c>
      <c r="AC174" s="68">
        <f t="shared" si="36"/>
        <v>138066630.24961501</v>
      </c>
      <c r="AD174" s="68"/>
      <c r="AE174" s="68"/>
      <c r="AF174" s="68"/>
      <c r="AG174" s="68"/>
      <c r="AH174" s="68"/>
      <c r="AI174" s="68"/>
      <c r="AK174" s="68"/>
      <c r="AL174" s="71">
        <f t="shared" si="30"/>
        <v>0</v>
      </c>
    </row>
    <row r="175" spans="2:38" x14ac:dyDescent="0.2">
      <c r="B175" s="5">
        <f t="shared" si="26"/>
        <v>168</v>
      </c>
      <c r="C175" s="5">
        <f t="shared" si="27"/>
        <v>168</v>
      </c>
      <c r="D175" s="5">
        <f t="shared" si="28"/>
        <v>13</v>
      </c>
      <c r="E175" s="5">
        <f t="shared" si="29"/>
        <v>59</v>
      </c>
      <c r="F175" s="65">
        <f>1-(1-VLOOKUP($E175,'Annual Mortality Rates'!$B$5:$C$105,2,FALSE))^(1/12)</f>
        <v>2.9882397117220183E-4</v>
      </c>
      <c r="G175" s="76">
        <f>IF(D175+1&gt;Assumptions!$H$9,100%,1-(1-IF(D175&gt;=7,2%,VLOOKUP($D175,'Annual Lapse Rates'!$B$4:$C$14,2,FALSE)))^(1/12))</f>
        <v>1.6821425527395739E-3</v>
      </c>
      <c r="H175" s="82">
        <f t="shared" si="37"/>
        <v>12</v>
      </c>
      <c r="I175" s="66">
        <f t="shared" si="31"/>
        <v>2703.6390186447179</v>
      </c>
      <c r="J175" s="67">
        <f t="shared" si="32"/>
        <v>0.80951577181206746</v>
      </c>
      <c r="K175" s="67">
        <f t="shared" si="33"/>
        <v>4.5569333729728978</v>
      </c>
      <c r="M175" s="68">
        <f t="shared" si="38"/>
        <v>138066630.24961501</v>
      </c>
      <c r="N175" s="68">
        <f>IF(AND(H175=1,D175&lt;15),Assumptions!$H$4*I174,0)</f>
        <v>0</v>
      </c>
      <c r="O175" s="68"/>
      <c r="P175" s="91">
        <f>$M175*(1+VLOOKUP($H175,Assumptions!$C$22:$D$33,2,FALSE))*F175</f>
        <v>42804.779440212289</v>
      </c>
      <c r="Q175" s="91">
        <f>$M175*(1+VLOOKUP($H175,Assumptions!$C$22:$D$33,2,FALSE))*G175</f>
        <v>240957.04462584725</v>
      </c>
      <c r="R175" s="68">
        <f>IF(AND(H175=12,D175&lt;15),Assumptions!$C$7*M175,0)</f>
        <v>69033.315124807501</v>
      </c>
      <c r="S175" s="69">
        <f>M175*Assumptions!$D$17</f>
        <v>562500.54202813969</v>
      </c>
      <c r="T175" s="69">
        <f t="shared" si="34"/>
        <v>0</v>
      </c>
      <c r="U175" s="68">
        <f>T175+AE175*(1+Assumptions!$D$17)</f>
        <v>0</v>
      </c>
      <c r="V175" s="68">
        <f>(M175+N175-O175)*(1+Assumptions!$D$17)-(P175+Q175)*(1+Assumptions!$D$17)^0.5-R175-T175</f>
        <v>138275758.19960988</v>
      </c>
      <c r="W175" s="68"/>
      <c r="X175" s="68">
        <f>IF(AND(H175=1,D175&lt;15),Assumptions!$D$10*N175+Assumptions!$D$11*(1+Assumptions!$D$16)^(B175-1)*$I$7,0)</f>
        <v>0</v>
      </c>
      <c r="Y175" s="66">
        <f>Assumptions!$C$13*N175</f>
        <v>0</v>
      </c>
      <c r="Z175" s="66">
        <f>NPV(Assumptions!$D$19,N175:$N$259)*(1+Assumptions!$D$19)</f>
        <v>6730204.7485104864</v>
      </c>
      <c r="AA175" s="69">
        <f t="shared" si="35"/>
        <v>62024.847144048683</v>
      </c>
      <c r="AC175" s="68">
        <f t="shared" si="36"/>
        <v>138275758.19960988</v>
      </c>
      <c r="AD175" s="68"/>
      <c r="AE175" s="68"/>
      <c r="AF175" s="68"/>
      <c r="AG175" s="68"/>
      <c r="AH175" s="68"/>
      <c r="AI175" s="68"/>
      <c r="AK175" s="68"/>
      <c r="AL175" s="71">
        <f t="shared" si="30"/>
        <v>0</v>
      </c>
    </row>
    <row r="176" spans="2:38" x14ac:dyDescent="0.2">
      <c r="B176" s="5">
        <f t="shared" si="26"/>
        <v>169</v>
      </c>
      <c r="C176" s="5">
        <f t="shared" si="27"/>
        <v>169</v>
      </c>
      <c r="D176" s="5">
        <f t="shared" si="28"/>
        <v>14</v>
      </c>
      <c r="E176" s="5">
        <f t="shared" si="29"/>
        <v>60</v>
      </c>
      <c r="F176" s="65">
        <f>1-(1-VLOOKUP($E176,'Annual Mortality Rates'!$B$5:$C$105,2,FALSE))^(1/12)</f>
        <v>3.3143684343883706E-4</v>
      </c>
      <c r="G176" s="76">
        <f>IF(D176+1&gt;Assumptions!$H$9,100%,1-(1-IF(D176&gt;=7,2%,VLOOKUP($D176,'Annual Lapse Rates'!$B$4:$C$14,2,FALSE)))^(1/12))</f>
        <v>1.6821425527395739E-3</v>
      </c>
      <c r="H176" s="82">
        <f t="shared" si="37"/>
        <v>1</v>
      </c>
      <c r="I176" s="66">
        <f t="shared" si="31"/>
        <v>2698.1950268220708</v>
      </c>
      <c r="J176" s="67">
        <f t="shared" si="32"/>
        <v>0.89608558213768041</v>
      </c>
      <c r="K176" s="67">
        <f t="shared" si="33"/>
        <v>4.5479062405093424</v>
      </c>
      <c r="M176" s="68">
        <f t="shared" si="38"/>
        <v>138275758.19960988</v>
      </c>
      <c r="N176" s="68">
        <f>IF(AND(H176=1,D176&lt;15),Assumptions!$H$4*I175,0)</f>
        <v>6759097.5466117952</v>
      </c>
      <c r="O176" s="68"/>
      <c r="P176" s="91">
        <f>$M176*(1+VLOOKUP($H176,Assumptions!$C$22:$D$33,2,FALSE))*F176</f>
        <v>45972.898574358689</v>
      </c>
      <c r="Q176" s="91">
        <f>$M176*(1+VLOOKUP($H176,Assumptions!$C$22:$D$33,2,FALSE))*G176</f>
        <v>233326.41043264151</v>
      </c>
      <c r="R176" s="68">
        <f>IF(AND(H176=12,D176&lt;15),Assumptions!$C$7*M176,0)</f>
        <v>0</v>
      </c>
      <c r="S176" s="69">
        <f>M176*Assumptions!$D$17</f>
        <v>563352.5551830394</v>
      </c>
      <c r="T176" s="69">
        <f t="shared" si="34"/>
        <v>0</v>
      </c>
      <c r="U176" s="68">
        <f>T176+AE176*(1+Assumptions!$D$17)</f>
        <v>0</v>
      </c>
      <c r="V176" s="68">
        <f>(M176+N176-O176)*(1+Assumptions!$D$17)-(P176+Q176)*(1+Assumptions!$D$17)^0.5-R176-T176</f>
        <v>145345878.02080527</v>
      </c>
      <c r="W176" s="68"/>
      <c r="X176" s="68">
        <f>IF(AND(H176=1,D176&lt;15),Assumptions!$D$10*N176+Assumptions!$D$11*(1+Assumptions!$D$16)^(B176-1)*$I$7,0)</f>
        <v>76678.547532602563</v>
      </c>
      <c r="Y176" s="66">
        <f>Assumptions!$C$13*N176</f>
        <v>33795.487733058973</v>
      </c>
      <c r="Z176" s="66">
        <f>NPV(Assumptions!$D$19,N176:$N$259)*(1+Assumptions!$D$19)</f>
        <v>6759097.5466117952</v>
      </c>
      <c r="AA176" s="69">
        <f t="shared" si="35"/>
        <v>0</v>
      </c>
      <c r="AC176" s="68">
        <f t="shared" si="36"/>
        <v>145345878.02080527</v>
      </c>
      <c r="AD176" s="68"/>
      <c r="AE176" s="68"/>
      <c r="AF176" s="68"/>
      <c r="AG176" s="68"/>
      <c r="AH176" s="68"/>
      <c r="AI176" s="68"/>
      <c r="AK176" s="68"/>
      <c r="AL176" s="71">
        <f t="shared" si="30"/>
        <v>0</v>
      </c>
    </row>
    <row r="177" spans="2:38" x14ac:dyDescent="0.2">
      <c r="B177" s="5">
        <f t="shared" si="26"/>
        <v>170</v>
      </c>
      <c r="C177" s="5">
        <f t="shared" si="27"/>
        <v>170</v>
      </c>
      <c r="D177" s="5">
        <f t="shared" si="28"/>
        <v>14</v>
      </c>
      <c r="E177" s="5">
        <f t="shared" si="29"/>
        <v>60</v>
      </c>
      <c r="F177" s="65">
        <f>1-(1-VLOOKUP($E177,'Annual Mortality Rates'!$B$5:$C$105,2,FALSE))^(1/12)</f>
        <v>3.3143684343883706E-4</v>
      </c>
      <c r="G177" s="76">
        <f>IF(D177+1&gt;Assumptions!$H$9,100%,1-(1-IF(D177&gt;=7,2%,VLOOKUP($D177,'Annual Lapse Rates'!$B$4:$C$14,2,FALSE)))^(1/12))</f>
        <v>1.6821425527395739E-3</v>
      </c>
      <c r="H177" s="82">
        <f t="shared" si="37"/>
        <v>2</v>
      </c>
      <c r="I177" s="66">
        <f t="shared" si="31"/>
        <v>2692.7619969091911</v>
      </c>
      <c r="J177" s="67">
        <f t="shared" si="32"/>
        <v>0.89428124267227538</v>
      </c>
      <c r="K177" s="67">
        <f t="shared" si="33"/>
        <v>4.5387486702077009</v>
      </c>
      <c r="M177" s="68">
        <f t="shared" si="38"/>
        <v>145345878.02080527</v>
      </c>
      <c r="N177" s="68">
        <f>IF(AND(H177=1,D177&lt;15),Assumptions!$H$4*I176,0)</f>
        <v>0</v>
      </c>
      <c r="O177" s="68"/>
      <c r="P177" s="91">
        <f>$M177*(1+VLOOKUP($H177,Assumptions!$C$22:$D$33,2,FALSE))*F177</f>
        <v>48474.060136924832</v>
      </c>
      <c r="Q177" s="91">
        <f>$M177*(1+VLOOKUP($H177,Assumptions!$C$22:$D$33,2,FALSE))*G177</f>
        <v>246020.5643233677</v>
      </c>
      <c r="R177" s="68">
        <f>IF(AND(H177=12,D177&lt;15),Assumptions!$C$7*M177,0)</f>
        <v>0</v>
      </c>
      <c r="S177" s="69">
        <f>M177*Assumptions!$D$17</f>
        <v>592157.09849981521</v>
      </c>
      <c r="T177" s="69">
        <f t="shared" si="34"/>
        <v>0</v>
      </c>
      <c r="U177" s="68">
        <f>T177+AE177*(1+Assumptions!$D$17)</f>
        <v>0</v>
      </c>
      <c r="V177" s="68">
        <f>(M177+N177-O177)*(1+Assumptions!$D$17)-(P177+Q177)*(1+Assumptions!$D$17)^0.5-R177-T177</f>
        <v>145642941.20084697</v>
      </c>
      <c r="W177" s="68"/>
      <c r="X177" s="68">
        <f>IF(AND(H177=1,D177&lt;15),Assumptions!$D$10*N177+Assumptions!$D$11*(1+Assumptions!$D$16)^(B177-1)*$I$7,0)</f>
        <v>0</v>
      </c>
      <c r="Y177" s="66">
        <f>Assumptions!$C$13*N177</f>
        <v>0</v>
      </c>
      <c r="Z177" s="66">
        <f>NPV(Assumptions!$D$19,N177:$N$259)*(1+Assumptions!$D$19)</f>
        <v>0</v>
      </c>
      <c r="AA177" s="69">
        <f t="shared" si="35"/>
        <v>0</v>
      </c>
      <c r="AC177" s="68">
        <f t="shared" si="36"/>
        <v>145642941.20084697</v>
      </c>
      <c r="AD177" s="68"/>
      <c r="AE177" s="68"/>
      <c r="AF177" s="68"/>
      <c r="AG177" s="68"/>
      <c r="AH177" s="68"/>
      <c r="AI177" s="68"/>
      <c r="AK177" s="68"/>
      <c r="AL177" s="71">
        <f t="shared" si="30"/>
        <v>0</v>
      </c>
    </row>
    <row r="178" spans="2:38" x14ac:dyDescent="0.2">
      <c r="B178" s="5">
        <f t="shared" si="26"/>
        <v>171</v>
      </c>
      <c r="C178" s="5">
        <f t="shared" si="27"/>
        <v>171</v>
      </c>
      <c r="D178" s="5">
        <f t="shared" si="28"/>
        <v>14</v>
      </c>
      <c r="E178" s="5">
        <f t="shared" si="29"/>
        <v>60</v>
      </c>
      <c r="F178" s="65">
        <f>1-(1-VLOOKUP($E178,'Annual Mortality Rates'!$B$5:$C$105,2,FALSE))^(1/12)</f>
        <v>3.3143684343883706E-4</v>
      </c>
      <c r="G178" s="76">
        <f>IF(D178+1&gt;Assumptions!$H$9,100%,1-(1-IF(D178&gt;=7,2%,VLOOKUP($D178,'Annual Lapse Rates'!$B$4:$C$14,2,FALSE)))^(1/12))</f>
        <v>1.6821425527395739E-3</v>
      </c>
      <c r="H178" s="82">
        <f t="shared" si="37"/>
        <v>3</v>
      </c>
      <c r="I178" s="66">
        <f t="shared" si="31"/>
        <v>2687.3399068334024</v>
      </c>
      <c r="J178" s="67">
        <f t="shared" si="32"/>
        <v>0.8924805363876418</v>
      </c>
      <c r="K178" s="67">
        <f t="shared" si="33"/>
        <v>4.5296095394009397</v>
      </c>
      <c r="M178" s="68">
        <f t="shared" si="38"/>
        <v>145642941.20084697</v>
      </c>
      <c r="N178" s="68">
        <f>IF(AND(H178=1,D178&lt;15),Assumptions!$H$4*I177,0)</f>
        <v>0</v>
      </c>
      <c r="O178" s="68"/>
      <c r="P178" s="91">
        <f>$M178*(1+VLOOKUP($H178,Assumptions!$C$22:$D$33,2,FALSE))*F178</f>
        <v>48723.981419826458</v>
      </c>
      <c r="Q178" s="91">
        <f>$M178*(1+VLOOKUP($H178,Assumptions!$C$22:$D$33,2,FALSE))*G178</f>
        <v>247288.99067103071</v>
      </c>
      <c r="R178" s="68">
        <f>IF(AND(H178=12,D178&lt;15),Assumptions!$C$7*M178,0)</f>
        <v>0</v>
      </c>
      <c r="S178" s="69">
        <f>M178*Assumptions!$D$17</f>
        <v>593367.37066686933</v>
      </c>
      <c r="T178" s="69">
        <f t="shared" si="34"/>
        <v>0</v>
      </c>
      <c r="U178" s="68">
        <f>T178+AE178*(1+Assumptions!$D$17)</f>
        <v>0</v>
      </c>
      <c r="V178" s="68">
        <f>(M178+N178-O178)*(1+Assumptions!$D$17)-(P178+Q178)*(1+Assumptions!$D$17)^0.5-R178-T178</f>
        <v>145939693.21560097</v>
      </c>
      <c r="W178" s="68"/>
      <c r="X178" s="68">
        <f>IF(AND(H178=1,D178&lt;15),Assumptions!$D$10*N178+Assumptions!$D$11*(1+Assumptions!$D$16)^(B178-1)*$I$7,0)</f>
        <v>0</v>
      </c>
      <c r="Y178" s="66">
        <f>Assumptions!$C$13*N178</f>
        <v>0</v>
      </c>
      <c r="Z178" s="66">
        <f>NPV(Assumptions!$D$19,N178:$N$259)*(1+Assumptions!$D$19)</f>
        <v>0</v>
      </c>
      <c r="AA178" s="69">
        <f t="shared" si="35"/>
        <v>0</v>
      </c>
      <c r="AC178" s="68">
        <f t="shared" si="36"/>
        <v>145939693.21560097</v>
      </c>
      <c r="AD178" s="68"/>
      <c r="AE178" s="68"/>
      <c r="AF178" s="68"/>
      <c r="AG178" s="68"/>
      <c r="AH178" s="68"/>
      <c r="AI178" s="68"/>
      <c r="AK178" s="68"/>
      <c r="AL178" s="71">
        <f t="shared" si="30"/>
        <v>0</v>
      </c>
    </row>
    <row r="179" spans="2:38" x14ac:dyDescent="0.2">
      <c r="B179" s="5">
        <f t="shared" si="26"/>
        <v>172</v>
      </c>
      <c r="C179" s="5">
        <f t="shared" si="27"/>
        <v>172</v>
      </c>
      <c r="D179" s="5">
        <f t="shared" si="28"/>
        <v>14</v>
      </c>
      <c r="E179" s="5">
        <f t="shared" si="29"/>
        <v>60</v>
      </c>
      <c r="F179" s="65">
        <f>1-(1-VLOOKUP($E179,'Annual Mortality Rates'!$B$5:$C$105,2,FALSE))^(1/12)</f>
        <v>3.3143684343883706E-4</v>
      </c>
      <c r="G179" s="76">
        <f>IF(D179+1&gt;Assumptions!$H$9,100%,1-(1-IF(D179&gt;=7,2%,VLOOKUP($D179,'Annual Lapse Rates'!$B$4:$C$14,2,FALSE)))^(1/12))</f>
        <v>1.6821425527395739E-3</v>
      </c>
      <c r="H179" s="82">
        <f t="shared" si="37"/>
        <v>4</v>
      </c>
      <c r="I179" s="66">
        <f t="shared" si="31"/>
        <v>2681.9287345664748</v>
      </c>
      <c r="J179" s="67">
        <f t="shared" si="32"/>
        <v>0.89068345596808141</v>
      </c>
      <c r="K179" s="67">
        <f t="shared" si="33"/>
        <v>4.5204888109596686</v>
      </c>
      <c r="M179" s="68">
        <f t="shared" si="38"/>
        <v>145939693.21560097</v>
      </c>
      <c r="N179" s="68">
        <f>IF(AND(H179=1,D179&lt;15),Assumptions!$H$4*I178,0)</f>
        <v>0</v>
      </c>
      <c r="O179" s="68"/>
      <c r="P179" s="91">
        <f>$M179*(1+VLOOKUP($H179,Assumptions!$C$22:$D$33,2,FALSE))*F179</f>
        <v>48974.41364245869</v>
      </c>
      <c r="Q179" s="91">
        <f>$M179*(1+VLOOKUP($H179,Assumptions!$C$22:$D$33,2,FALSE))*G179</f>
        <v>248560.01019286781</v>
      </c>
      <c r="R179" s="68">
        <f>IF(AND(H179=12,D179&lt;15),Assumptions!$C$7*M179,0)</f>
        <v>0</v>
      </c>
      <c r="S179" s="69">
        <f>M179*Assumptions!$D$17</f>
        <v>594576.37510802411</v>
      </c>
      <c r="T179" s="69">
        <f t="shared" si="34"/>
        <v>0</v>
      </c>
      <c r="U179" s="68">
        <f>T179+AE179*(1+Assumptions!$D$17)</f>
        <v>0</v>
      </c>
      <c r="V179" s="68">
        <f>(M179+N179-O179)*(1+Assumptions!$D$17)-(P179+Q179)*(1+Assumptions!$D$17)^0.5-R179-T179</f>
        <v>146236129.6869106</v>
      </c>
      <c r="W179" s="68"/>
      <c r="X179" s="68">
        <f>IF(AND(H179=1,D179&lt;15),Assumptions!$D$10*N179+Assumptions!$D$11*(1+Assumptions!$D$16)^(B179-1)*$I$7,0)</f>
        <v>0</v>
      </c>
      <c r="Y179" s="66">
        <f>Assumptions!$C$13*N179</f>
        <v>0</v>
      </c>
      <c r="Z179" s="66">
        <f>NPV(Assumptions!$D$19,N179:$N$259)*(1+Assumptions!$D$19)</f>
        <v>0</v>
      </c>
      <c r="AA179" s="69">
        <f t="shared" si="35"/>
        <v>0</v>
      </c>
      <c r="AC179" s="68">
        <f t="shared" si="36"/>
        <v>146236129.6869106</v>
      </c>
      <c r="AD179" s="68"/>
      <c r="AE179" s="68"/>
      <c r="AF179" s="68"/>
      <c r="AG179" s="68"/>
      <c r="AH179" s="68"/>
      <c r="AI179" s="68"/>
      <c r="AK179" s="68"/>
      <c r="AL179" s="71">
        <f t="shared" si="30"/>
        <v>0</v>
      </c>
    </row>
    <row r="180" spans="2:38" x14ac:dyDescent="0.2">
      <c r="B180" s="5">
        <f t="shared" si="26"/>
        <v>173</v>
      </c>
      <c r="C180" s="5">
        <f t="shared" si="27"/>
        <v>173</v>
      </c>
      <c r="D180" s="5">
        <f t="shared" si="28"/>
        <v>14</v>
      </c>
      <c r="E180" s="5">
        <f t="shared" si="29"/>
        <v>60</v>
      </c>
      <c r="F180" s="65">
        <f>1-(1-VLOOKUP($E180,'Annual Mortality Rates'!$B$5:$C$105,2,FALSE))^(1/12)</f>
        <v>3.3143684343883706E-4</v>
      </c>
      <c r="G180" s="76">
        <f>IF(D180+1&gt;Assumptions!$H$9,100%,1-(1-IF(D180&gt;=7,2%,VLOOKUP($D180,'Annual Lapse Rates'!$B$4:$C$14,2,FALSE)))^(1/12))</f>
        <v>1.6821425527395739E-3</v>
      </c>
      <c r="H180" s="82">
        <f t="shared" si="37"/>
        <v>5</v>
      </c>
      <c r="I180" s="66">
        <f t="shared" si="31"/>
        <v>2676.5284581245328</v>
      </c>
      <c r="J180" s="67">
        <f t="shared" si="32"/>
        <v>0.88888999411262704</v>
      </c>
      <c r="K180" s="67">
        <f t="shared" si="33"/>
        <v>4.5113864478292651</v>
      </c>
      <c r="M180" s="68">
        <f t="shared" si="38"/>
        <v>146236129.6869106</v>
      </c>
      <c r="N180" s="68">
        <f>IF(AND(H180=1,D180&lt;15),Assumptions!$H$4*I179,0)</f>
        <v>0</v>
      </c>
      <c r="O180" s="68"/>
      <c r="P180" s="91">
        <f>$M180*(1+VLOOKUP($H180,Assumptions!$C$22:$D$33,2,FALSE))*F180</f>
        <v>49225.354364206782</v>
      </c>
      <c r="Q180" s="91">
        <f>$M180*(1+VLOOKUP($H180,Assumptions!$C$22:$D$33,2,FALSE))*G180</f>
        <v>249833.61050201854</v>
      </c>
      <c r="R180" s="68">
        <f>IF(AND(H180=12,D180&lt;15),Assumptions!$C$7*M180,0)</f>
        <v>0</v>
      </c>
      <c r="S180" s="69">
        <f>M180*Assumptions!$D$17</f>
        <v>595784.09398612753</v>
      </c>
      <c r="T180" s="69">
        <f t="shared" si="34"/>
        <v>0</v>
      </c>
      <c r="U180" s="68">
        <f>T180+AE180*(1+Assumptions!$D$17)</f>
        <v>0</v>
      </c>
      <c r="V180" s="68">
        <f>(M180+N180-O180)*(1+Assumptions!$D$17)-(P180+Q180)*(1+Assumptions!$D$17)^0.5-R180-T180</f>
        <v>146532246.23363969</v>
      </c>
      <c r="W180" s="68"/>
      <c r="X180" s="68">
        <f>IF(AND(H180=1,D180&lt;15),Assumptions!$D$10*N180+Assumptions!$D$11*(1+Assumptions!$D$16)^(B180-1)*$I$7,0)</f>
        <v>0</v>
      </c>
      <c r="Y180" s="66">
        <f>Assumptions!$C$13*N180</f>
        <v>0</v>
      </c>
      <c r="Z180" s="66">
        <f>NPV(Assumptions!$D$19,N180:$N$259)*(1+Assumptions!$D$19)</f>
        <v>0</v>
      </c>
      <c r="AA180" s="69">
        <f t="shared" si="35"/>
        <v>0</v>
      </c>
      <c r="AC180" s="68">
        <f t="shared" si="36"/>
        <v>146532246.23363969</v>
      </c>
      <c r="AD180" s="68"/>
      <c r="AE180" s="68"/>
      <c r="AF180" s="68"/>
      <c r="AG180" s="68"/>
      <c r="AH180" s="68"/>
      <c r="AI180" s="68"/>
      <c r="AK180" s="68"/>
      <c r="AL180" s="71">
        <f t="shared" si="30"/>
        <v>0</v>
      </c>
    </row>
    <row r="181" spans="2:38" x14ac:dyDescent="0.2">
      <c r="B181" s="5">
        <f t="shared" si="26"/>
        <v>174</v>
      </c>
      <c r="C181" s="5">
        <f t="shared" si="27"/>
        <v>174</v>
      </c>
      <c r="D181" s="5">
        <f t="shared" si="28"/>
        <v>14</v>
      </c>
      <c r="E181" s="5">
        <f t="shared" si="29"/>
        <v>60</v>
      </c>
      <c r="F181" s="65">
        <f>1-(1-VLOOKUP($E181,'Annual Mortality Rates'!$B$5:$C$105,2,FALSE))^(1/12)</f>
        <v>3.3143684343883706E-4</v>
      </c>
      <c r="G181" s="76">
        <f>IF(D181+1&gt;Assumptions!$H$9,100%,1-(1-IF(D181&gt;=7,2%,VLOOKUP($D181,'Annual Lapse Rates'!$B$4:$C$14,2,FALSE)))^(1/12))</f>
        <v>1.6821425527395739E-3</v>
      </c>
      <c r="H181" s="82">
        <f t="shared" si="37"/>
        <v>6</v>
      </c>
      <c r="I181" s="66">
        <f t="shared" si="31"/>
        <v>2671.1390555679682</v>
      </c>
      <c r="J181" s="67">
        <f t="shared" si="32"/>
        <v>0.88710014353501276</v>
      </c>
      <c r="K181" s="67">
        <f t="shared" si="33"/>
        <v>4.5023024130297173</v>
      </c>
      <c r="M181" s="68">
        <f t="shared" si="38"/>
        <v>146532246.23363969</v>
      </c>
      <c r="N181" s="68">
        <f>IF(AND(H181=1,D181&lt;15),Assumptions!$H$4*I180,0)</f>
        <v>0</v>
      </c>
      <c r="O181" s="68"/>
      <c r="P181" s="91">
        <f>$M181*(1+VLOOKUP($H181,Assumptions!$C$22:$D$33,2,FALSE))*F181</f>
        <v>49476.80112531146</v>
      </c>
      <c r="Q181" s="91">
        <f>$M181*(1+VLOOKUP($H181,Assumptions!$C$22:$D$33,2,FALSE))*G181</f>
        <v>251109.77911445822</v>
      </c>
      <c r="R181" s="68">
        <f>IF(AND(H181=12,D181&lt;15),Assumptions!$C$7*M181,0)</f>
        <v>0</v>
      </c>
      <c r="S181" s="69">
        <f>M181*Assumptions!$D$17</f>
        <v>596990.50945188827</v>
      </c>
      <c r="T181" s="69">
        <f t="shared" si="34"/>
        <v>0</v>
      </c>
      <c r="U181" s="68">
        <f>T181+AE181*(1+Assumptions!$D$17)</f>
        <v>0</v>
      </c>
      <c r="V181" s="68">
        <f>(M181+N181-O181)*(1+Assumptions!$D$17)-(P181+Q181)*(1+Assumptions!$D$17)^0.5-R181-T181</f>
        <v>146828038.47177702</v>
      </c>
      <c r="W181" s="68"/>
      <c r="X181" s="68">
        <f>IF(AND(H181=1,D181&lt;15),Assumptions!$D$10*N181+Assumptions!$D$11*(1+Assumptions!$D$16)^(B181-1)*$I$7,0)</f>
        <v>0</v>
      </c>
      <c r="Y181" s="66">
        <f>Assumptions!$C$13*N181</f>
        <v>0</v>
      </c>
      <c r="Z181" s="66">
        <f>NPV(Assumptions!$D$19,N181:$N$259)*(1+Assumptions!$D$19)</f>
        <v>0</v>
      </c>
      <c r="AA181" s="69">
        <f t="shared" si="35"/>
        <v>0</v>
      </c>
      <c r="AC181" s="68">
        <f t="shared" si="36"/>
        <v>146828038.47177702</v>
      </c>
      <c r="AD181" s="68"/>
      <c r="AE181" s="68"/>
      <c r="AF181" s="68"/>
      <c r="AG181" s="68"/>
      <c r="AH181" s="68"/>
      <c r="AI181" s="68"/>
      <c r="AK181" s="68"/>
      <c r="AL181" s="71">
        <f t="shared" si="30"/>
        <v>0</v>
      </c>
    </row>
    <row r="182" spans="2:38" x14ac:dyDescent="0.2">
      <c r="B182" s="5">
        <f t="shared" si="26"/>
        <v>175</v>
      </c>
      <c r="C182" s="5">
        <f t="shared" si="27"/>
        <v>175</v>
      </c>
      <c r="D182" s="5">
        <f t="shared" si="28"/>
        <v>14</v>
      </c>
      <c r="E182" s="5">
        <f t="shared" si="29"/>
        <v>60</v>
      </c>
      <c r="F182" s="65">
        <f>1-(1-VLOOKUP($E182,'Annual Mortality Rates'!$B$5:$C$105,2,FALSE))^(1/12)</f>
        <v>3.3143684343883706E-4</v>
      </c>
      <c r="G182" s="76">
        <f>IF(D182+1&gt;Assumptions!$H$9,100%,1-(1-IF(D182&gt;=7,2%,VLOOKUP($D182,'Annual Lapse Rates'!$B$4:$C$14,2,FALSE)))^(1/12))</f>
        <v>1.6821425527395739E-3</v>
      </c>
      <c r="H182" s="82">
        <f t="shared" si="37"/>
        <v>7</v>
      </c>
      <c r="I182" s="66">
        <f t="shared" si="31"/>
        <v>2665.7605050013494</v>
      </c>
      <c r="J182" s="67">
        <f t="shared" si="32"/>
        <v>0.88531389696364371</v>
      </c>
      <c r="K182" s="67">
        <f t="shared" si="33"/>
        <v>4.4932366696554764</v>
      </c>
      <c r="M182" s="68">
        <f t="shared" si="38"/>
        <v>146828038.47177702</v>
      </c>
      <c r="N182" s="68">
        <f>IF(AND(H182=1,D182&lt;15),Assumptions!$H$4*I181,0)</f>
        <v>0</v>
      </c>
      <c r="O182" s="68"/>
      <c r="P182" s="91">
        <f>$M182*(1+VLOOKUP($H182,Assumptions!$C$22:$D$33,2,FALSE))*F182</f>
        <v>49728.751446888826</v>
      </c>
      <c r="Q182" s="91">
        <f>$M182*(1+VLOOKUP($H182,Assumptions!$C$22:$D$33,2,FALSE))*G182</f>
        <v>252388.50344909882</v>
      </c>
      <c r="R182" s="68">
        <f>IF(AND(H182=12,D182&lt;15),Assumptions!$C$7*M182,0)</f>
        <v>0</v>
      </c>
      <c r="S182" s="69">
        <f>M182*Assumptions!$D$17</f>
        <v>598195.60364430223</v>
      </c>
      <c r="T182" s="69">
        <f t="shared" si="34"/>
        <v>0</v>
      </c>
      <c r="U182" s="68">
        <f>T182+AE182*(1+Assumptions!$D$17)</f>
        <v>0</v>
      </c>
      <c r="V182" s="68">
        <f>(M182+N182-O182)*(1+Assumptions!$D$17)-(P182+Q182)*(1+Assumptions!$D$17)^0.5-R182-T182</f>
        <v>147123502.01454094</v>
      </c>
      <c r="W182" s="68"/>
      <c r="X182" s="68">
        <f>IF(AND(H182=1,D182&lt;15),Assumptions!$D$10*N182+Assumptions!$D$11*(1+Assumptions!$D$16)^(B182-1)*$I$7,0)</f>
        <v>0</v>
      </c>
      <c r="Y182" s="66">
        <f>Assumptions!$C$13*N182</f>
        <v>0</v>
      </c>
      <c r="Z182" s="66">
        <f>NPV(Assumptions!$D$19,N182:$N$259)*(1+Assumptions!$D$19)</f>
        <v>0</v>
      </c>
      <c r="AA182" s="69">
        <f t="shared" si="35"/>
        <v>0</v>
      </c>
      <c r="AC182" s="68">
        <f t="shared" si="36"/>
        <v>147123502.01454094</v>
      </c>
      <c r="AD182" s="68"/>
      <c r="AE182" s="68"/>
      <c r="AF182" s="68"/>
      <c r="AG182" s="68"/>
      <c r="AH182" s="68"/>
      <c r="AI182" s="68"/>
      <c r="AK182" s="68"/>
      <c r="AL182" s="71">
        <f t="shared" si="30"/>
        <v>0</v>
      </c>
    </row>
    <row r="183" spans="2:38" x14ac:dyDescent="0.2">
      <c r="B183" s="5">
        <f t="shared" si="26"/>
        <v>176</v>
      </c>
      <c r="C183" s="5">
        <f t="shared" si="27"/>
        <v>176</v>
      </c>
      <c r="D183" s="5">
        <f t="shared" si="28"/>
        <v>14</v>
      </c>
      <c r="E183" s="5">
        <f t="shared" si="29"/>
        <v>60</v>
      </c>
      <c r="F183" s="65">
        <f>1-(1-VLOOKUP($E183,'Annual Mortality Rates'!$B$5:$C$105,2,FALSE))^(1/12)</f>
        <v>3.3143684343883706E-4</v>
      </c>
      <c r="G183" s="76">
        <f>IF(D183+1&gt;Assumptions!$H$9,100%,1-(1-IF(D183&gt;=7,2%,VLOOKUP($D183,'Annual Lapse Rates'!$B$4:$C$14,2,FALSE)))^(1/12))</f>
        <v>1.6821425527395739E-3</v>
      </c>
      <c r="H183" s="82">
        <f t="shared" si="37"/>
        <v>8</v>
      </c>
      <c r="I183" s="66">
        <f t="shared" si="31"/>
        <v>2660.3927845733328</v>
      </c>
      <c r="J183" s="67">
        <f t="shared" si="32"/>
        <v>0.8835312471415675</v>
      </c>
      <c r="K183" s="67">
        <f t="shared" si="33"/>
        <v>4.4841891808753056</v>
      </c>
      <c r="M183" s="68">
        <f t="shared" si="38"/>
        <v>147123502.01454094</v>
      </c>
      <c r="N183" s="68">
        <f>IF(AND(H183=1,D183&lt;15),Assumptions!$H$4*I182,0)</f>
        <v>0</v>
      </c>
      <c r="O183" s="68"/>
      <c r="P183" s="91">
        <f>$M183*(1+VLOOKUP($H183,Assumptions!$C$22:$D$33,2,FALSE))*F183</f>
        <v>49981.202830950999</v>
      </c>
      <c r="Q183" s="91">
        <f>$M183*(1+VLOOKUP($H183,Assumptions!$C$22:$D$33,2,FALSE))*G183</f>
        <v>253669.77082789387</v>
      </c>
      <c r="R183" s="68">
        <f>IF(AND(H183=12,D183&lt;15),Assumptions!$C$7*M183,0)</f>
        <v>0</v>
      </c>
      <c r="S183" s="69">
        <f>M183*Assumptions!$D$17</f>
        <v>599399.35869107768</v>
      </c>
      <c r="T183" s="69">
        <f t="shared" si="34"/>
        <v>0</v>
      </c>
      <c r="U183" s="68">
        <f>T183+AE183*(1+Assumptions!$D$17)</f>
        <v>0</v>
      </c>
      <c r="V183" s="68">
        <f>(M183+N183-O183)*(1+Assumptions!$D$17)-(P183+Q183)*(1+Assumptions!$D$17)^0.5-R183-T183</f>
        <v>147418632.47248444</v>
      </c>
      <c r="W183" s="68"/>
      <c r="X183" s="68">
        <f>IF(AND(H183=1,D183&lt;15),Assumptions!$D$10*N183+Assumptions!$D$11*(1+Assumptions!$D$16)^(B183-1)*$I$7,0)</f>
        <v>0</v>
      </c>
      <c r="Y183" s="66">
        <f>Assumptions!$C$13*N183</f>
        <v>0</v>
      </c>
      <c r="Z183" s="66">
        <f>NPV(Assumptions!$D$19,N183:$N$259)*(1+Assumptions!$D$19)</f>
        <v>0</v>
      </c>
      <c r="AA183" s="69">
        <f t="shared" si="35"/>
        <v>0</v>
      </c>
      <c r="AC183" s="68">
        <f t="shared" si="36"/>
        <v>147418632.47248444</v>
      </c>
      <c r="AD183" s="68"/>
      <c r="AE183" s="68"/>
      <c r="AF183" s="68"/>
      <c r="AG183" s="68"/>
      <c r="AH183" s="68"/>
      <c r="AI183" s="68"/>
      <c r="AK183" s="68"/>
      <c r="AL183" s="71">
        <f t="shared" si="30"/>
        <v>0</v>
      </c>
    </row>
    <row r="184" spans="2:38" x14ac:dyDescent="0.2">
      <c r="B184" s="5">
        <f t="shared" si="26"/>
        <v>177</v>
      </c>
      <c r="C184" s="5">
        <f t="shared" si="27"/>
        <v>177</v>
      </c>
      <c r="D184" s="5">
        <f t="shared" si="28"/>
        <v>14</v>
      </c>
      <c r="E184" s="5">
        <f t="shared" si="29"/>
        <v>60</v>
      </c>
      <c r="F184" s="65">
        <f>1-(1-VLOOKUP($E184,'Annual Mortality Rates'!$B$5:$C$105,2,FALSE))^(1/12)</f>
        <v>3.3143684343883706E-4</v>
      </c>
      <c r="G184" s="76">
        <f>IF(D184+1&gt;Assumptions!$H$9,100%,1-(1-IF(D184&gt;=7,2%,VLOOKUP($D184,'Annual Lapse Rates'!$B$4:$C$14,2,FALSE)))^(1/12))</f>
        <v>1.6821425527395739E-3</v>
      </c>
      <c r="H184" s="82">
        <f t="shared" si="37"/>
        <v>9</v>
      </c>
      <c r="I184" s="66">
        <f t="shared" si="31"/>
        <v>2655.0358724765742</v>
      </c>
      <c r="J184" s="67">
        <f t="shared" si="32"/>
        <v>0.88175218682644352</v>
      </c>
      <c r="K184" s="67">
        <f t="shared" si="33"/>
        <v>4.4751599099321293</v>
      </c>
      <c r="M184" s="68">
        <f t="shared" si="38"/>
        <v>147418632.47248444</v>
      </c>
      <c r="N184" s="68">
        <f>IF(AND(H184=1,D184&lt;15),Assumptions!$H$4*I183,0)</f>
        <v>0</v>
      </c>
      <c r="O184" s="68"/>
      <c r="P184" s="91">
        <f>$M184*(1+VLOOKUP($H184,Assumptions!$C$22:$D$33,2,FALSE))*F184</f>
        <v>50234.152760427634</v>
      </c>
      <c r="Q184" s="91">
        <f>$M184*(1+VLOOKUP($H184,Assumptions!$C$22:$D$33,2,FALSE))*G184</f>
        <v>254953.56847594757</v>
      </c>
      <c r="R184" s="68">
        <f>IF(AND(H184=12,D184&lt;15),Assumptions!$C$7*M184,0)</f>
        <v>0</v>
      </c>
      <c r="S184" s="69">
        <f>M184*Assumptions!$D$17</f>
        <v>600601.75670906436</v>
      </c>
      <c r="T184" s="69">
        <f t="shared" si="34"/>
        <v>0</v>
      </c>
      <c r="U184" s="68">
        <f>T184+AE184*(1+Assumptions!$D$17)</f>
        <v>0</v>
      </c>
      <c r="V184" s="68">
        <f>(M184+N184-O184)*(1+Assumptions!$D$17)-(P184+Q184)*(1+Assumptions!$D$17)^0.5-R184-T184</f>
        <v>147713425.45360047</v>
      </c>
      <c r="W184" s="68"/>
      <c r="X184" s="68">
        <f>IF(AND(H184=1,D184&lt;15),Assumptions!$D$10*N184+Assumptions!$D$11*(1+Assumptions!$D$16)^(B184-1)*$I$7,0)</f>
        <v>0</v>
      </c>
      <c r="Y184" s="66">
        <f>Assumptions!$C$13*N184</f>
        <v>0</v>
      </c>
      <c r="Z184" s="66">
        <f>NPV(Assumptions!$D$19,N184:$N$259)*(1+Assumptions!$D$19)</f>
        <v>0</v>
      </c>
      <c r="AA184" s="69">
        <f t="shared" si="35"/>
        <v>0</v>
      </c>
      <c r="AC184" s="68">
        <f t="shared" si="36"/>
        <v>147713425.45360047</v>
      </c>
      <c r="AD184" s="68"/>
      <c r="AE184" s="68"/>
      <c r="AF184" s="68"/>
      <c r="AG184" s="68"/>
      <c r="AH184" s="68"/>
      <c r="AI184" s="68"/>
      <c r="AK184" s="68"/>
      <c r="AL184" s="71">
        <f t="shared" si="30"/>
        <v>0</v>
      </c>
    </row>
    <row r="185" spans="2:38" x14ac:dyDescent="0.2">
      <c r="B185" s="5">
        <f t="shared" si="26"/>
        <v>178</v>
      </c>
      <c r="C185" s="5">
        <f t="shared" si="27"/>
        <v>178</v>
      </c>
      <c r="D185" s="5">
        <f t="shared" si="28"/>
        <v>14</v>
      </c>
      <c r="E185" s="5">
        <f t="shared" si="29"/>
        <v>60</v>
      </c>
      <c r="F185" s="65">
        <f>1-(1-VLOOKUP($E185,'Annual Mortality Rates'!$B$5:$C$105,2,FALSE))^(1/12)</f>
        <v>3.3143684343883706E-4</v>
      </c>
      <c r="G185" s="76">
        <f>IF(D185+1&gt;Assumptions!$H$9,100%,1-(1-IF(D185&gt;=7,2%,VLOOKUP($D185,'Annual Lapse Rates'!$B$4:$C$14,2,FALSE)))^(1/12))</f>
        <v>1.6821425527395739E-3</v>
      </c>
      <c r="H185" s="82">
        <f t="shared" si="37"/>
        <v>10</v>
      </c>
      <c r="I185" s="66">
        <f t="shared" si="31"/>
        <v>2649.6897469476412</v>
      </c>
      <c r="J185" s="67">
        <f t="shared" si="32"/>
        <v>0.87997670879051448</v>
      </c>
      <c r="K185" s="67">
        <f t="shared" si="33"/>
        <v>4.4661488201428865</v>
      </c>
      <c r="M185" s="68">
        <f t="shared" si="38"/>
        <v>147713425.45360047</v>
      </c>
      <c r="N185" s="68">
        <f>IF(AND(H185=1,D185&lt;15),Assumptions!$H$4*I184,0)</f>
        <v>0</v>
      </c>
      <c r="O185" s="68"/>
      <c r="P185" s="91">
        <f>$M185*(1+VLOOKUP($H185,Assumptions!$C$22:$D$33,2,FALSE))*F185</f>
        <v>50487.598699188042</v>
      </c>
      <c r="Q185" s="91">
        <f>$M185*(1+VLOOKUP($H185,Assumptions!$C$22:$D$33,2,FALSE))*G185</f>
        <v>256239.88352162708</v>
      </c>
      <c r="R185" s="68">
        <f>IF(AND(H185=12,D185&lt;15),Assumptions!$C$7*M185,0)</f>
        <v>0</v>
      </c>
      <c r="S185" s="69">
        <f>M185*Assumptions!$D$17</f>
        <v>601802.77980468178</v>
      </c>
      <c r="T185" s="69">
        <f t="shared" si="34"/>
        <v>0</v>
      </c>
      <c r="U185" s="68">
        <f>T185+AE185*(1+Assumptions!$D$17)</f>
        <v>0</v>
      </c>
      <c r="V185" s="68">
        <f>(M185+N185-O185)*(1+Assumptions!$D$17)-(P185+Q185)*(1+Assumptions!$D$17)^0.5-R185-T185</f>
        <v>148007876.56342745</v>
      </c>
      <c r="W185" s="68"/>
      <c r="X185" s="68">
        <f>IF(AND(H185=1,D185&lt;15),Assumptions!$D$10*N185+Assumptions!$D$11*(1+Assumptions!$D$16)^(B185-1)*$I$7,0)</f>
        <v>0</v>
      </c>
      <c r="Y185" s="66">
        <f>Assumptions!$C$13*N185</f>
        <v>0</v>
      </c>
      <c r="Z185" s="66">
        <f>NPV(Assumptions!$D$19,N185:$N$259)*(1+Assumptions!$D$19)</f>
        <v>0</v>
      </c>
      <c r="AA185" s="69">
        <f t="shared" si="35"/>
        <v>0</v>
      </c>
      <c r="AC185" s="68">
        <f t="shared" si="36"/>
        <v>148007876.56342745</v>
      </c>
      <c r="AD185" s="68"/>
      <c r="AE185" s="68"/>
      <c r="AF185" s="68"/>
      <c r="AG185" s="68"/>
      <c r="AH185" s="68"/>
      <c r="AI185" s="68"/>
      <c r="AK185" s="68"/>
      <c r="AL185" s="71">
        <f t="shared" si="30"/>
        <v>0</v>
      </c>
    </row>
    <row r="186" spans="2:38" x14ac:dyDescent="0.2">
      <c r="B186" s="5">
        <f t="shared" si="26"/>
        <v>179</v>
      </c>
      <c r="C186" s="5">
        <f t="shared" si="27"/>
        <v>179</v>
      </c>
      <c r="D186" s="5">
        <f t="shared" si="28"/>
        <v>14</v>
      </c>
      <c r="E186" s="5">
        <f t="shared" si="29"/>
        <v>60</v>
      </c>
      <c r="F186" s="65">
        <f>1-(1-VLOOKUP($E186,'Annual Mortality Rates'!$B$5:$C$105,2,FALSE))^(1/12)</f>
        <v>3.3143684343883706E-4</v>
      </c>
      <c r="G186" s="76">
        <f>IF(D186+1&gt;Assumptions!$H$9,100%,1-(1-IF(D186&gt;=7,2%,VLOOKUP($D186,'Annual Lapse Rates'!$B$4:$C$14,2,FALSE)))^(1/12))</f>
        <v>1.6821425527395739E-3</v>
      </c>
      <c r="H186" s="82">
        <f t="shared" si="37"/>
        <v>11</v>
      </c>
      <c r="I186" s="66">
        <f t="shared" si="31"/>
        <v>2644.3543862669221</v>
      </c>
      <c r="J186" s="67">
        <f t="shared" si="32"/>
        <v>0.87820480582057714</v>
      </c>
      <c r="K186" s="67">
        <f t="shared" si="33"/>
        <v>4.4571558748983806</v>
      </c>
      <c r="M186" s="68">
        <f t="shared" si="38"/>
        <v>148007876.56342745</v>
      </c>
      <c r="N186" s="68">
        <f>IF(AND(H186=1,D186&lt;15),Assumptions!$H$4*I185,0)</f>
        <v>0</v>
      </c>
      <c r="O186" s="68"/>
      <c r="P186" s="91">
        <f>$M186*(1+VLOOKUP($H186,Assumptions!$C$22:$D$33,2,FALSE))*F186</f>
        <v>50741.538092064118</v>
      </c>
      <c r="Q186" s="91">
        <f>$M186*(1+VLOOKUP($H186,Assumptions!$C$22:$D$33,2,FALSE))*G186</f>
        <v>257528.702996679</v>
      </c>
      <c r="R186" s="68">
        <f>IF(AND(H186=12,D186&lt;15),Assumptions!$C$7*M186,0)</f>
        <v>0</v>
      </c>
      <c r="S186" s="69">
        <f>M186*Assumptions!$D$17</f>
        <v>603002.41007434949</v>
      </c>
      <c r="T186" s="69">
        <f t="shared" si="34"/>
        <v>0</v>
      </c>
      <c r="U186" s="68">
        <f>T186+AE186*(1+Assumptions!$D$17)</f>
        <v>0</v>
      </c>
      <c r="V186" s="68">
        <f>(M186+N186-O186)*(1+Assumptions!$D$17)-(P186+Q186)*(1+Assumptions!$D$17)^0.5-R186-T186</f>
        <v>148301981.4051553</v>
      </c>
      <c r="W186" s="68"/>
      <c r="X186" s="68">
        <f>IF(AND(H186=1,D186&lt;15),Assumptions!$D$10*N186+Assumptions!$D$11*(1+Assumptions!$D$16)^(B186-1)*$I$7,0)</f>
        <v>0</v>
      </c>
      <c r="Y186" s="66">
        <f>Assumptions!$C$13*N186</f>
        <v>0</v>
      </c>
      <c r="Z186" s="66">
        <f>NPV(Assumptions!$D$19,N186:$N$259)*(1+Assumptions!$D$19)</f>
        <v>0</v>
      </c>
      <c r="AA186" s="69">
        <f t="shared" si="35"/>
        <v>0</v>
      </c>
      <c r="AC186" s="68">
        <f t="shared" si="36"/>
        <v>148301981.4051553</v>
      </c>
      <c r="AD186" s="68"/>
      <c r="AE186" s="68"/>
      <c r="AF186" s="68"/>
      <c r="AG186" s="68"/>
      <c r="AH186" s="68"/>
      <c r="AI186" s="68"/>
      <c r="AK186" s="68"/>
      <c r="AL186" s="71">
        <f t="shared" si="30"/>
        <v>0</v>
      </c>
    </row>
    <row r="187" spans="2:38" x14ac:dyDescent="0.2">
      <c r="B187" s="5">
        <f t="shared" si="26"/>
        <v>180</v>
      </c>
      <c r="C187" s="5">
        <f t="shared" si="27"/>
        <v>180</v>
      </c>
      <c r="D187" s="5">
        <f t="shared" si="28"/>
        <v>14</v>
      </c>
      <c r="E187" s="5">
        <f t="shared" si="29"/>
        <v>60</v>
      </c>
      <c r="F187" s="65">
        <f>1-(1-VLOOKUP($E187,'Annual Mortality Rates'!$B$5:$C$105,2,FALSE))^(1/12)</f>
        <v>3.3143684343883706E-4</v>
      </c>
      <c r="G187" s="76">
        <f>IF(D187+1&gt;Assumptions!$H$9,100%,1-(1-IF(D187&gt;=7,2%,VLOOKUP($D187,'Annual Lapse Rates'!$B$4:$C$14,2,FALSE)))^(1/12))</f>
        <v>1.6821425527395739E-3</v>
      </c>
      <c r="H187" s="82">
        <f t="shared" si="37"/>
        <v>12</v>
      </c>
      <c r="I187" s="66">
        <f t="shared" si="31"/>
        <v>2639.0297687585407</v>
      </c>
      <c r="J187" s="67">
        <f t="shared" si="32"/>
        <v>0.87643647071795194</v>
      </c>
      <c r="K187" s="67">
        <f t="shared" si="33"/>
        <v>4.4481810376631294</v>
      </c>
      <c r="M187" s="68">
        <f t="shared" si="38"/>
        <v>148301981.4051553</v>
      </c>
      <c r="N187" s="68">
        <f>IF(AND(H187=1,D187&lt;15),Assumptions!$H$4*I186,0)</f>
        <v>0</v>
      </c>
      <c r="O187" s="68"/>
      <c r="P187" s="91">
        <f>$M187*(1+VLOOKUP($H187,Assumptions!$C$22:$D$33,2,FALSE))*F187</f>
        <v>50995.968364874156</v>
      </c>
      <c r="Q187" s="91">
        <f>$M187*(1+VLOOKUP($H187,Assumptions!$C$22:$D$33,2,FALSE))*G187</f>
        <v>258820.01383634997</v>
      </c>
      <c r="R187" s="68">
        <f>IF(AND(H187=12,D187&lt;15),Assumptions!$C$7*M187,0)</f>
        <v>74150.990702577648</v>
      </c>
      <c r="S187" s="69">
        <f>M187*Assumptions!$D$17</f>
        <v>604200.62960491912</v>
      </c>
      <c r="T187" s="69">
        <f t="shared" si="34"/>
        <v>0</v>
      </c>
      <c r="U187" s="68">
        <f>T187+AE187*(1+Assumptions!$D$17)</f>
        <v>0</v>
      </c>
      <c r="V187" s="68">
        <f>(M187+N187-O187)*(1+Assumptions!$D$17)-(P187+Q187)*(1+Assumptions!$D$17)^0.5-R187-T187</f>
        <v>148521584.58902895</v>
      </c>
      <c r="W187" s="68"/>
      <c r="X187" s="68">
        <f>IF(AND(H187=1,D187&lt;15),Assumptions!$D$10*N187+Assumptions!$D$11*(1+Assumptions!$D$16)^(B187-1)*$I$7,0)</f>
        <v>0</v>
      </c>
      <c r="Y187" s="66">
        <f>Assumptions!$C$13*N187</f>
        <v>0</v>
      </c>
      <c r="Z187" s="66">
        <f>NPV(Assumptions!$D$19,N187:$N$259)*(1+Assumptions!$D$19)</f>
        <v>0</v>
      </c>
      <c r="AA187" s="69">
        <f t="shared" si="35"/>
        <v>0</v>
      </c>
      <c r="AB187" s="72"/>
      <c r="AC187" s="68">
        <f t="shared" si="36"/>
        <v>148521584.58902895</v>
      </c>
      <c r="AD187" s="68"/>
      <c r="AE187" s="68"/>
      <c r="AF187" s="68"/>
      <c r="AG187" s="68"/>
      <c r="AH187" s="68"/>
      <c r="AI187" s="68"/>
      <c r="AK187" s="68"/>
      <c r="AL187" s="71">
        <f t="shared" si="30"/>
        <v>0</v>
      </c>
    </row>
    <row r="188" spans="2:38" x14ac:dyDescent="0.2">
      <c r="B188" s="5">
        <f t="shared" si="26"/>
        <v>181</v>
      </c>
      <c r="C188" s="5">
        <f t="shared" si="27"/>
        <v>181</v>
      </c>
      <c r="D188" s="5">
        <f t="shared" si="28"/>
        <v>15</v>
      </c>
      <c r="E188" s="5">
        <f t="shared" si="29"/>
        <v>61</v>
      </c>
      <c r="F188" s="65">
        <f>1-(1-VLOOKUP($E188,'Annual Mortality Rates'!$B$5:$C$105,2,FALSE))^(1/12)</f>
        <v>3.6573479451496027E-4</v>
      </c>
      <c r="G188" s="76">
        <f>IF(D188+1&gt;Assumptions!$H$9,100%,1-(1-IF(D188&gt;=7,2%,VLOOKUP($D188,'Annual Lapse Rates'!$B$4:$C$14,2,FALSE)))^(1/12))</f>
        <v>1</v>
      </c>
      <c r="H188" s="82">
        <f t="shared" si="37"/>
        <v>1</v>
      </c>
      <c r="I188" s="66">
        <f t="shared" si="31"/>
        <v>0</v>
      </c>
      <c r="J188" s="67">
        <f t="shared" si="32"/>
        <v>0.96518501019576797</v>
      </c>
      <c r="K188" s="67">
        <f t="shared" si="33"/>
        <v>2638.0645837483448</v>
      </c>
      <c r="M188" s="68">
        <f t="shared" si="38"/>
        <v>148521584.58902895</v>
      </c>
      <c r="N188" s="68">
        <f>IF(AND(H188=1,D188&lt;15),Assumptions!$H$4*I187,0)</f>
        <v>0</v>
      </c>
      <c r="O188" s="68"/>
      <c r="P188" s="91">
        <f>$M188*(1+VLOOKUP($H188,Assumptions!$C$22:$D$33,2,FALSE))*F188</f>
        <v>54489.259693269501</v>
      </c>
      <c r="Q188" s="91">
        <f>$M188*(1+VLOOKUP($H188,Assumptions!$C$22:$D$33,2,FALSE))*G188</f>
        <v>148985714.54086968</v>
      </c>
      <c r="R188" s="68">
        <f>IF(AND(H188=12,D188&lt;15),Assumptions!$C$7*M188,0)</f>
        <v>0</v>
      </c>
      <c r="S188" s="69">
        <f>M188*Assumptions!$D$17</f>
        <v>605095.32015930361</v>
      </c>
      <c r="T188" s="69">
        <f t="shared" si="34"/>
        <v>149126679.90918827</v>
      </c>
      <c r="U188" s="68">
        <f>T188+AE188*(1+Assumptions!$D$17)</f>
        <v>149126679.90918827</v>
      </c>
      <c r="V188" s="68">
        <f>(M188+N188-O188)*(1+Assumptions!$D$17)-(P188+Q188)*(1+Assumptions!$D$17)^0.5-R188-T188</f>
        <v>-149343499.31820539</v>
      </c>
      <c r="W188" s="68"/>
      <c r="X188" s="68">
        <f>IF(AND(H188=1,D188&lt;15),Assumptions!$D$10*N188+Assumptions!$D$11*(1+Assumptions!$D$16)^(B188-1)*$I$7,0)</f>
        <v>0</v>
      </c>
      <c r="Y188" s="66">
        <f>Assumptions!$C$13*N188</f>
        <v>0</v>
      </c>
      <c r="Z188" s="66">
        <f>NPV(Assumptions!$D$19,N188:$N$259)*(1+Assumptions!$D$19)</f>
        <v>0</v>
      </c>
      <c r="AA188" s="69">
        <f t="shared" si="35"/>
        <v>0</v>
      </c>
      <c r="AC188" s="68">
        <f t="shared" si="36"/>
        <v>-149343499.31820539</v>
      </c>
      <c r="AD188" s="68"/>
      <c r="AE188" s="68"/>
      <c r="AF188" s="68"/>
      <c r="AG188" s="68"/>
      <c r="AH188" s="68"/>
      <c r="AI188" s="68"/>
      <c r="AK188" s="68"/>
      <c r="AL188" s="71">
        <f t="shared" si="30"/>
        <v>0</v>
      </c>
    </row>
    <row r="189" spans="2:38" x14ac:dyDescent="0.2">
      <c r="B189" s="5">
        <f t="shared" si="26"/>
        <v>182</v>
      </c>
      <c r="C189" s="5">
        <f t="shared" si="27"/>
        <v>182</v>
      </c>
      <c r="D189" s="5">
        <f t="shared" si="28"/>
        <v>15</v>
      </c>
      <c r="E189" s="5">
        <f t="shared" si="29"/>
        <v>61</v>
      </c>
      <c r="F189" s="65">
        <f>1-(1-VLOOKUP($E189,'Annual Mortality Rates'!$B$5:$C$105,2,FALSE))^(1/12)</f>
        <v>3.6573479451496027E-4</v>
      </c>
      <c r="G189" s="76">
        <f>IF(D189+1&gt;Assumptions!$H$9,100%,1-(1-IF(D189&gt;=7,2%,VLOOKUP($D189,'Annual Lapse Rates'!$B$4:$C$14,2,FALSE)))^(1/12))</f>
        <v>1</v>
      </c>
      <c r="H189" s="82">
        <f t="shared" si="37"/>
        <v>2</v>
      </c>
      <c r="I189" s="66">
        <f t="shared" si="31"/>
        <v>0</v>
      </c>
      <c r="J189" s="67">
        <f t="shared" si="32"/>
        <v>0</v>
      </c>
      <c r="K189" s="67">
        <f t="shared" si="33"/>
        <v>0</v>
      </c>
      <c r="M189" s="68">
        <f t="shared" si="38"/>
        <v>-149343499.31820539</v>
      </c>
      <c r="N189" s="68">
        <f>IF(AND(H189=1,D189&lt;15),Assumptions!$H$4*I188,0)</f>
        <v>0</v>
      </c>
      <c r="O189" s="68"/>
      <c r="P189" s="91">
        <f>$M189*(1+VLOOKUP($H189,Assumptions!$C$22:$D$33,2,FALSE))*F189</f>
        <v>-54961.489748009517</v>
      </c>
      <c r="Q189" s="91">
        <f>$M189*(1+VLOOKUP($H189,Assumptions!$C$22:$D$33,2,FALSE))*G189</f>
        <v>-150276896.18894419</v>
      </c>
      <c r="R189" s="68">
        <f>IF(AND(H189=12,D189&lt;15),Assumptions!$C$7*M189,0)</f>
        <v>0</v>
      </c>
      <c r="S189" s="69">
        <f>M189*Assumptions!$D$17</f>
        <v>-608443.90250557219</v>
      </c>
      <c r="T189" s="69">
        <f t="shared" si="34"/>
        <v>-149951943.22071096</v>
      </c>
      <c r="U189" s="68">
        <f>T189+AE189*(1+Assumptions!$D$17)</f>
        <v>-149951943.22071096</v>
      </c>
      <c r="V189" s="68">
        <f>(M189+N189-O189)*(1+Assumptions!$D$17)-(P189+Q189)*(1+Assumptions!$D$17)^0.5-R189-T189</f>
        <v>150637781.70073539</v>
      </c>
      <c r="W189" s="68"/>
      <c r="X189" s="68">
        <f>IF(AND(H189=1,D189&lt;15),Assumptions!$D$10*N189+Assumptions!$D$11*(1+Assumptions!$D$16)^(B189-1)*$I$7,0)</f>
        <v>0</v>
      </c>
      <c r="Y189" s="66">
        <f>Assumptions!$C$13*N189</f>
        <v>0</v>
      </c>
      <c r="Z189" s="66">
        <f>NPV(Assumptions!$D$19,N189:$N$259)*(1+Assumptions!$D$19)</f>
        <v>0</v>
      </c>
      <c r="AA189" s="69">
        <f t="shared" si="35"/>
        <v>0</v>
      </c>
      <c r="AC189" s="68">
        <f t="shared" si="36"/>
        <v>150637781.70073539</v>
      </c>
      <c r="AD189" s="68"/>
      <c r="AE189" s="68"/>
      <c r="AF189" s="68"/>
      <c r="AG189" s="68"/>
      <c r="AH189" s="68"/>
      <c r="AI189" s="68"/>
      <c r="AK189" s="68"/>
      <c r="AL189" s="71">
        <f t="shared" si="30"/>
        <v>0</v>
      </c>
    </row>
    <row r="190" spans="2:38" x14ac:dyDescent="0.2">
      <c r="B190" s="5">
        <f t="shared" si="26"/>
        <v>183</v>
      </c>
      <c r="C190" s="5">
        <f t="shared" si="27"/>
        <v>183</v>
      </c>
      <c r="D190" s="5">
        <f t="shared" si="28"/>
        <v>15</v>
      </c>
      <c r="E190" s="5">
        <f t="shared" si="29"/>
        <v>61</v>
      </c>
      <c r="F190" s="65">
        <f>1-(1-VLOOKUP($E190,'Annual Mortality Rates'!$B$5:$C$105,2,FALSE))^(1/12)</f>
        <v>3.6573479451496027E-4</v>
      </c>
      <c r="G190" s="76">
        <f>IF(D190+1&gt;Assumptions!$H$9,100%,1-(1-IF(D190&gt;=7,2%,VLOOKUP($D190,'Annual Lapse Rates'!$B$4:$C$14,2,FALSE)))^(1/12))</f>
        <v>1</v>
      </c>
      <c r="H190" s="82">
        <f t="shared" si="37"/>
        <v>3</v>
      </c>
      <c r="I190" s="66">
        <f t="shared" si="31"/>
        <v>0</v>
      </c>
      <c r="J190" s="67">
        <f t="shared" si="32"/>
        <v>0</v>
      </c>
      <c r="K190" s="67">
        <f t="shared" si="33"/>
        <v>0</v>
      </c>
      <c r="M190" s="68">
        <f t="shared" si="38"/>
        <v>150637781.70073539</v>
      </c>
      <c r="N190" s="68">
        <f>IF(AND(H190=1,D190&lt;15),Assumptions!$H$4*I189,0)</f>
        <v>0</v>
      </c>
      <c r="O190" s="68"/>
      <c r="P190" s="91">
        <f>$M190*(1+VLOOKUP($H190,Assumptions!$C$22:$D$33,2,FALSE))*F190</f>
        <v>55609.97949403766</v>
      </c>
      <c r="Q190" s="91">
        <f>$M190*(1+VLOOKUP($H190,Assumptions!$C$22:$D$33,2,FALSE))*G190</f>
        <v>152050010.90417978</v>
      </c>
      <c r="R190" s="68">
        <f>IF(AND(H190=12,D190&lt;15),Assumptions!$C$7*M190,0)</f>
        <v>0</v>
      </c>
      <c r="S190" s="69">
        <f>M190*Assumptions!$D$17</f>
        <v>613716.96914299473</v>
      </c>
      <c r="T190" s="69">
        <f t="shared" si="34"/>
        <v>151251498.66987839</v>
      </c>
      <c r="U190" s="68">
        <f>T190+AE190*(1+Assumptions!$D$17)</f>
        <v>151251498.66987839</v>
      </c>
      <c r="V190" s="68">
        <f>(M190+N190-O190)*(1+Assumptions!$D$17)-(P190+Q190)*(1+Assumptions!$D$17)^0.5-R190-T190</f>
        <v>-152415154.49840218</v>
      </c>
      <c r="W190" s="68"/>
      <c r="X190" s="68">
        <f>IF(AND(H190=1,D190&lt;15),Assumptions!$D$10*N190+Assumptions!$D$11*(1+Assumptions!$D$16)^(B190-1)*$I$7,0)</f>
        <v>0</v>
      </c>
      <c r="Y190" s="66">
        <f>Assumptions!$C$13*N190</f>
        <v>0</v>
      </c>
      <c r="Z190" s="66">
        <f>NPV(Assumptions!$D$19,N190:$N$259)*(1+Assumptions!$D$19)</f>
        <v>0</v>
      </c>
      <c r="AA190" s="69">
        <f t="shared" si="35"/>
        <v>0</v>
      </c>
      <c r="AC190" s="68">
        <f t="shared" si="36"/>
        <v>-152415154.49840218</v>
      </c>
      <c r="AD190" s="68"/>
      <c r="AE190" s="68"/>
      <c r="AF190" s="68"/>
      <c r="AG190" s="68"/>
      <c r="AH190" s="68"/>
      <c r="AI190" s="68"/>
      <c r="AK190" s="68"/>
      <c r="AL190" s="71">
        <f t="shared" si="30"/>
        <v>0</v>
      </c>
    </row>
    <row r="191" spans="2:38" x14ac:dyDescent="0.2">
      <c r="B191" s="5">
        <f t="shared" si="26"/>
        <v>184</v>
      </c>
      <c r="C191" s="5">
        <f t="shared" si="27"/>
        <v>184</v>
      </c>
      <c r="D191" s="5">
        <f t="shared" si="28"/>
        <v>15</v>
      </c>
      <c r="E191" s="5">
        <f t="shared" si="29"/>
        <v>61</v>
      </c>
      <c r="F191" s="65">
        <f>1-(1-VLOOKUP($E191,'Annual Mortality Rates'!$B$5:$C$105,2,FALSE))^(1/12)</f>
        <v>3.6573479451496027E-4</v>
      </c>
      <c r="G191" s="76">
        <f>IF(D191+1&gt;Assumptions!$H$9,100%,1-(1-IF(D191&gt;=7,2%,VLOOKUP($D191,'Annual Lapse Rates'!$B$4:$C$14,2,FALSE)))^(1/12))</f>
        <v>1</v>
      </c>
      <c r="H191" s="82">
        <f t="shared" si="37"/>
        <v>4</v>
      </c>
      <c r="I191" s="66">
        <f t="shared" si="31"/>
        <v>0</v>
      </c>
      <c r="J191" s="67">
        <f t="shared" si="32"/>
        <v>0</v>
      </c>
      <c r="K191" s="67">
        <f t="shared" si="33"/>
        <v>0</v>
      </c>
      <c r="M191" s="68">
        <f t="shared" si="38"/>
        <v>-152415154.49840218</v>
      </c>
      <c r="N191" s="68">
        <f>IF(AND(H191=1,D191&lt;15),Assumptions!$H$4*I190,0)</f>
        <v>0</v>
      </c>
      <c r="O191" s="68"/>
      <c r="P191" s="91">
        <f>$M191*(1+VLOOKUP($H191,Assumptions!$C$22:$D$33,2,FALSE))*F191</f>
        <v>-56440.319276582028</v>
      </c>
      <c r="Q191" s="91">
        <f>$M191*(1+VLOOKUP($H191,Assumptions!$C$22:$D$33,2,FALSE))*G191</f>
        <v>-154320343.92963219</v>
      </c>
      <c r="R191" s="68">
        <f>IF(AND(H191=12,D191&lt;15),Assumptions!$C$7*M191,0)</f>
        <v>0</v>
      </c>
      <c r="S191" s="69">
        <f>M191*Assumptions!$D$17</f>
        <v>-620958.20593037864</v>
      </c>
      <c r="T191" s="69">
        <f t="shared" si="34"/>
        <v>-153036112.70433256</v>
      </c>
      <c r="U191" s="68">
        <f>T191+AE191*(1+Assumptions!$D$17)</f>
        <v>-153036112.70433256</v>
      </c>
      <c r="V191" s="68">
        <f>(M191+N191-O191)*(1+Assumptions!$D$17)-(P191+Q191)*(1+Assumptions!$D$17)^0.5-R191-T191</f>
        <v>154690939.66131949</v>
      </c>
      <c r="W191" s="68"/>
      <c r="X191" s="68">
        <f>IF(AND(H191=1,D191&lt;15),Assumptions!$D$10*N191+Assumptions!$D$11*(1+Assumptions!$D$16)^(B191-1)*$I$7,0)</f>
        <v>0</v>
      </c>
      <c r="Y191" s="66">
        <f>Assumptions!$C$13*N191</f>
        <v>0</v>
      </c>
      <c r="Z191" s="66">
        <f>NPV(Assumptions!$D$19,N191:$N$259)*(1+Assumptions!$D$19)</f>
        <v>0</v>
      </c>
      <c r="AA191" s="69">
        <f t="shared" si="35"/>
        <v>0</v>
      </c>
      <c r="AC191" s="68">
        <f t="shared" si="36"/>
        <v>154690939.66131949</v>
      </c>
      <c r="AD191" s="68"/>
      <c r="AE191" s="68"/>
      <c r="AF191" s="68"/>
      <c r="AG191" s="68"/>
      <c r="AH191" s="68"/>
      <c r="AI191" s="68"/>
      <c r="AK191" s="68"/>
      <c r="AL191" s="71">
        <f t="shared" si="30"/>
        <v>0</v>
      </c>
    </row>
    <row r="192" spans="2:38" x14ac:dyDescent="0.2">
      <c r="B192" s="5">
        <f t="shared" si="26"/>
        <v>185</v>
      </c>
      <c r="C192" s="5">
        <f t="shared" si="27"/>
        <v>185</v>
      </c>
      <c r="D192" s="5">
        <f t="shared" si="28"/>
        <v>15</v>
      </c>
      <c r="E192" s="5">
        <f t="shared" si="29"/>
        <v>61</v>
      </c>
      <c r="F192" s="65">
        <f>1-(1-VLOOKUP($E192,'Annual Mortality Rates'!$B$5:$C$105,2,FALSE))^(1/12)</f>
        <v>3.6573479451496027E-4</v>
      </c>
      <c r="G192" s="76">
        <f>IF(D192+1&gt;Assumptions!$H$9,100%,1-(1-IF(D192&gt;=7,2%,VLOOKUP($D192,'Annual Lapse Rates'!$B$4:$C$14,2,FALSE)))^(1/12))</f>
        <v>1</v>
      </c>
      <c r="H192" s="82">
        <f t="shared" si="37"/>
        <v>5</v>
      </c>
      <c r="I192" s="66">
        <f t="shared" si="31"/>
        <v>0</v>
      </c>
      <c r="J192" s="67">
        <f t="shared" si="32"/>
        <v>0</v>
      </c>
      <c r="K192" s="67">
        <f t="shared" si="33"/>
        <v>0</v>
      </c>
      <c r="M192" s="68">
        <f t="shared" si="38"/>
        <v>154690939.66131949</v>
      </c>
      <c r="N192" s="68">
        <f>IF(AND(H192=1,D192&lt;15),Assumptions!$H$4*I191,0)</f>
        <v>0</v>
      </c>
      <c r="O192" s="68"/>
      <c r="P192" s="91">
        <f>$M192*(1+VLOOKUP($H192,Assumptions!$C$22:$D$33,2,FALSE))*F192</f>
        <v>57459.856827708158</v>
      </c>
      <c r="Q192" s="91">
        <f>$M192*(1+VLOOKUP($H192,Assumptions!$C$22:$D$33,2,FALSE))*G192</f>
        <v>157107985.59352762</v>
      </c>
      <c r="R192" s="68">
        <f>IF(AND(H192=12,D192&lt;15),Assumptions!$C$7*M192,0)</f>
        <v>0</v>
      </c>
      <c r="S192" s="69">
        <f>M192*Assumptions!$D$17</f>
        <v>630230.03638909408</v>
      </c>
      <c r="T192" s="69">
        <f t="shared" si="34"/>
        <v>155321169.69770858</v>
      </c>
      <c r="U192" s="68">
        <f>T192+AE192*(1+Assumptions!$D$17)</f>
        <v>155321169.69770858</v>
      </c>
      <c r="V192" s="68">
        <f>(M192+N192-O192)*(1+Assumptions!$D$17)-(P192+Q192)*(1+Assumptions!$D$17)^0.5-R192-T192</f>
        <v>-157485275.76404139</v>
      </c>
      <c r="W192" s="68"/>
      <c r="X192" s="68">
        <f>IF(AND(H192=1,D192&lt;15),Assumptions!$D$10*N192+Assumptions!$D$11*(1+Assumptions!$D$16)^(B192-1)*$I$7,0)</f>
        <v>0</v>
      </c>
      <c r="Y192" s="66">
        <f>Assumptions!$C$13*N192</f>
        <v>0</v>
      </c>
      <c r="Z192" s="66">
        <f>NPV(Assumptions!$D$19,N192:$N$259)*(1+Assumptions!$D$19)</f>
        <v>0</v>
      </c>
      <c r="AA192" s="69">
        <f t="shared" si="35"/>
        <v>0</v>
      </c>
      <c r="AC192" s="68">
        <f t="shared" si="36"/>
        <v>-157485275.76404139</v>
      </c>
      <c r="AD192" s="68"/>
      <c r="AE192" s="68"/>
      <c r="AF192" s="68"/>
      <c r="AG192" s="68"/>
      <c r="AH192" s="68"/>
      <c r="AI192" s="68"/>
      <c r="AK192" s="68"/>
      <c r="AL192" s="71">
        <f t="shared" si="30"/>
        <v>0</v>
      </c>
    </row>
    <row r="193" spans="2:38" x14ac:dyDescent="0.2">
      <c r="B193" s="5">
        <f t="shared" si="26"/>
        <v>186</v>
      </c>
      <c r="C193" s="5">
        <f t="shared" si="27"/>
        <v>186</v>
      </c>
      <c r="D193" s="5">
        <f t="shared" si="28"/>
        <v>15</v>
      </c>
      <c r="E193" s="5">
        <f t="shared" si="29"/>
        <v>61</v>
      </c>
      <c r="F193" s="65">
        <f>1-(1-VLOOKUP($E193,'Annual Mortality Rates'!$B$5:$C$105,2,FALSE))^(1/12)</f>
        <v>3.6573479451496027E-4</v>
      </c>
      <c r="G193" s="76">
        <f>IF(D193+1&gt;Assumptions!$H$9,100%,1-(1-IF(D193&gt;=7,2%,VLOOKUP($D193,'Annual Lapse Rates'!$B$4:$C$14,2,FALSE)))^(1/12))</f>
        <v>1</v>
      </c>
      <c r="H193" s="82">
        <f t="shared" si="37"/>
        <v>6</v>
      </c>
      <c r="I193" s="66">
        <f t="shared" si="31"/>
        <v>0</v>
      </c>
      <c r="J193" s="67">
        <f t="shared" si="32"/>
        <v>0</v>
      </c>
      <c r="K193" s="67">
        <f t="shared" si="33"/>
        <v>0</v>
      </c>
      <c r="M193" s="68">
        <f t="shared" si="38"/>
        <v>-157485275.76404139</v>
      </c>
      <c r="N193" s="68">
        <f>IF(AND(H193=1,D193&lt;15),Assumptions!$H$4*I192,0)</f>
        <v>0</v>
      </c>
      <c r="O193" s="68"/>
      <c r="P193" s="91">
        <f>$M193*(1+VLOOKUP($H193,Assumptions!$C$22:$D$33,2,FALSE))*F193</f>
        <v>-58677.804563894046</v>
      </c>
      <c r="Q193" s="91">
        <f>$M193*(1+VLOOKUP($H193,Assumptions!$C$22:$D$33,2,FALSE))*G193</f>
        <v>-160438124.68461719</v>
      </c>
      <c r="R193" s="68">
        <f>IF(AND(H193=12,D193&lt;15),Assumptions!$C$7*M193,0)</f>
        <v>0</v>
      </c>
      <c r="S193" s="69">
        <f>M193*Assumptions!$D$17</f>
        <v>-641614.50756470067</v>
      </c>
      <c r="T193" s="69">
        <f t="shared" si="34"/>
        <v>-158126890.27160609</v>
      </c>
      <c r="U193" s="68">
        <f>T193+AE193*(1+Assumptions!$D$17)</f>
        <v>-158126890.27160609</v>
      </c>
      <c r="V193" s="68">
        <f>(M193+N193-O193)*(1+Assumptions!$D$17)-(P193+Q193)*(1+Assumptions!$D$17)^0.5-R193-T193</f>
        <v>160823412.08544847</v>
      </c>
      <c r="W193" s="68"/>
      <c r="X193" s="68">
        <f>IF(AND(H193=1,D193&lt;15),Assumptions!$D$10*N193+Assumptions!$D$11*(1+Assumptions!$D$16)^(B193-1)*$I$7,0)</f>
        <v>0</v>
      </c>
      <c r="Y193" s="66">
        <f>Assumptions!$C$13*N193</f>
        <v>0</v>
      </c>
      <c r="Z193" s="66">
        <f>NPV(Assumptions!$D$19,N193:$N$259)*(1+Assumptions!$D$19)</f>
        <v>0</v>
      </c>
      <c r="AA193" s="69">
        <f t="shared" si="35"/>
        <v>0</v>
      </c>
      <c r="AC193" s="68">
        <f t="shared" si="36"/>
        <v>160823412.08544847</v>
      </c>
      <c r="AD193" s="68"/>
      <c r="AE193" s="68"/>
      <c r="AF193" s="68"/>
      <c r="AG193" s="68"/>
      <c r="AH193" s="68"/>
      <c r="AI193" s="68"/>
      <c r="AK193" s="68"/>
      <c r="AL193" s="71">
        <f t="shared" si="30"/>
        <v>0</v>
      </c>
    </row>
    <row r="194" spans="2:38" x14ac:dyDescent="0.2">
      <c r="B194" s="5">
        <f t="shared" si="26"/>
        <v>187</v>
      </c>
      <c r="C194" s="5">
        <f t="shared" si="27"/>
        <v>187</v>
      </c>
      <c r="D194" s="5">
        <f t="shared" si="28"/>
        <v>15</v>
      </c>
      <c r="E194" s="5">
        <f t="shared" si="29"/>
        <v>61</v>
      </c>
      <c r="F194" s="65">
        <f>1-(1-VLOOKUP($E194,'Annual Mortality Rates'!$B$5:$C$105,2,FALSE))^(1/12)</f>
        <v>3.6573479451496027E-4</v>
      </c>
      <c r="G194" s="76">
        <f>IF(D194+1&gt;Assumptions!$H$9,100%,1-(1-IF(D194&gt;=7,2%,VLOOKUP($D194,'Annual Lapse Rates'!$B$4:$C$14,2,FALSE)))^(1/12))</f>
        <v>1</v>
      </c>
      <c r="H194" s="82">
        <f t="shared" si="37"/>
        <v>7</v>
      </c>
      <c r="I194" s="66">
        <f t="shared" si="31"/>
        <v>0</v>
      </c>
      <c r="J194" s="67">
        <f t="shared" si="32"/>
        <v>0</v>
      </c>
      <c r="K194" s="67">
        <f t="shared" si="33"/>
        <v>0</v>
      </c>
      <c r="M194" s="68">
        <f t="shared" si="38"/>
        <v>160823412.08544847</v>
      </c>
      <c r="N194" s="68">
        <f>IF(AND(H194=1,D194&lt;15),Assumptions!$H$4*I193,0)</f>
        <v>0</v>
      </c>
      <c r="O194" s="68"/>
      <c r="P194" s="91">
        <f>$M194*(1+VLOOKUP($H194,Assumptions!$C$22:$D$33,2,FALSE))*F194</f>
        <v>60105.377019159605</v>
      </c>
      <c r="Q194" s="91">
        <f>$M194*(1+VLOOKUP($H194,Assumptions!$C$22:$D$33,2,FALSE))*G194</f>
        <v>164341424.22481766</v>
      </c>
      <c r="R194" s="68">
        <f>IF(AND(H194=12,D194&lt;15),Assumptions!$C$7*M194,0)</f>
        <v>0</v>
      </c>
      <c r="S194" s="69">
        <f>M194*Assumptions!$D$17</f>
        <v>655214.48814480565</v>
      </c>
      <c r="T194" s="69">
        <f t="shared" si="34"/>
        <v>161478626.57359329</v>
      </c>
      <c r="U194" s="68">
        <f>T194+AE194*(1+Assumptions!$D$17)</f>
        <v>161478626.57359329</v>
      </c>
      <c r="V194" s="68">
        <f>(M194+N194-O194)*(1+Assumptions!$D$17)-(P194+Q194)*(1+Assumptions!$D$17)^0.5-R194-T194</f>
        <v>-164736085.28379577</v>
      </c>
      <c r="W194" s="68"/>
      <c r="X194" s="68">
        <f>IF(AND(H194=1,D194&lt;15),Assumptions!$D$10*N194+Assumptions!$D$11*(1+Assumptions!$D$16)^(B194-1)*$I$7,0)</f>
        <v>0</v>
      </c>
      <c r="Y194" s="66">
        <f>Assumptions!$C$13*N194</f>
        <v>0</v>
      </c>
      <c r="Z194" s="66">
        <f>NPV(Assumptions!$D$19,N194:$N$259)*(1+Assumptions!$D$19)</f>
        <v>0</v>
      </c>
      <c r="AA194" s="69">
        <f t="shared" si="35"/>
        <v>0</v>
      </c>
      <c r="AC194" s="68">
        <f t="shared" si="36"/>
        <v>-164736085.28379577</v>
      </c>
      <c r="AD194" s="68"/>
      <c r="AE194" s="68"/>
      <c r="AF194" s="68"/>
      <c r="AG194" s="68"/>
      <c r="AH194" s="68"/>
      <c r="AI194" s="68"/>
      <c r="AK194" s="68"/>
      <c r="AL194" s="71">
        <f t="shared" si="30"/>
        <v>0</v>
      </c>
    </row>
    <row r="195" spans="2:38" x14ac:dyDescent="0.2">
      <c r="B195" s="5">
        <f t="shared" si="26"/>
        <v>188</v>
      </c>
      <c r="C195" s="5">
        <f t="shared" si="27"/>
        <v>188</v>
      </c>
      <c r="D195" s="5">
        <f t="shared" si="28"/>
        <v>15</v>
      </c>
      <c r="E195" s="5">
        <f t="shared" si="29"/>
        <v>61</v>
      </c>
      <c r="F195" s="65">
        <f>1-(1-VLOOKUP($E195,'Annual Mortality Rates'!$B$5:$C$105,2,FALSE))^(1/12)</f>
        <v>3.6573479451496027E-4</v>
      </c>
      <c r="G195" s="76">
        <f>IF(D195+1&gt;Assumptions!$H$9,100%,1-(1-IF(D195&gt;=7,2%,VLOOKUP($D195,'Annual Lapse Rates'!$B$4:$C$14,2,FALSE)))^(1/12))</f>
        <v>1</v>
      </c>
      <c r="H195" s="82">
        <f t="shared" si="37"/>
        <v>8</v>
      </c>
      <c r="I195" s="66">
        <f t="shared" si="31"/>
        <v>0</v>
      </c>
      <c r="J195" s="67">
        <f t="shared" si="32"/>
        <v>0</v>
      </c>
      <c r="K195" s="67">
        <f t="shared" si="33"/>
        <v>0</v>
      </c>
      <c r="M195" s="68">
        <f t="shared" si="38"/>
        <v>-164736085.28379577</v>
      </c>
      <c r="N195" s="68">
        <f>IF(AND(H195=1,D195&lt;15),Assumptions!$H$4*I194,0)</f>
        <v>0</v>
      </c>
      <c r="O195" s="68"/>
      <c r="P195" s="91">
        <f>$M195*(1+VLOOKUP($H195,Assumptions!$C$22:$D$33,2,FALSE))*F195</f>
        <v>-61755.961257979718</v>
      </c>
      <c r="Q195" s="91">
        <f>$M195*(1+VLOOKUP($H195,Assumptions!$C$22:$D$33,2,FALSE))*G195</f>
        <v>-168854487.41589066</v>
      </c>
      <c r="R195" s="68">
        <f>IF(AND(H195=12,D195&lt;15),Assumptions!$C$7*M195,0)</f>
        <v>0</v>
      </c>
      <c r="S195" s="69">
        <f>M195*Assumptions!$D$17</f>
        <v>-671155.20307983586</v>
      </c>
      <c r="T195" s="69">
        <f t="shared" si="34"/>
        <v>-165407240.48687562</v>
      </c>
      <c r="U195" s="68">
        <f>T195+AE195*(1+Assumptions!$D$17)</f>
        <v>-165407240.48687562</v>
      </c>
      <c r="V195" s="68">
        <f>(M195+N195-O195)*(1+Assumptions!$D$17)-(P195+Q195)*(1+Assumptions!$D$17)^0.5-R195-T195</f>
        <v>169259986.46234897</v>
      </c>
      <c r="W195" s="68"/>
      <c r="X195" s="68">
        <f>IF(AND(H195=1,D195&lt;15),Assumptions!$D$10*N195+Assumptions!$D$11*(1+Assumptions!$D$16)^(B195-1)*$I$7,0)</f>
        <v>0</v>
      </c>
      <c r="Y195" s="66">
        <f>Assumptions!$C$13*N195</f>
        <v>0</v>
      </c>
      <c r="Z195" s="66">
        <f>NPV(Assumptions!$D$19,N195:$N$259)*(1+Assumptions!$D$19)</f>
        <v>0</v>
      </c>
      <c r="AA195" s="69">
        <f t="shared" si="35"/>
        <v>0</v>
      </c>
      <c r="AC195" s="68">
        <f t="shared" si="36"/>
        <v>169259986.46234897</v>
      </c>
      <c r="AD195" s="68"/>
      <c r="AE195" s="68"/>
      <c r="AF195" s="68"/>
      <c r="AG195" s="68"/>
      <c r="AH195" s="68"/>
      <c r="AI195" s="68"/>
      <c r="AK195" s="68"/>
      <c r="AL195" s="71">
        <f t="shared" si="30"/>
        <v>0</v>
      </c>
    </row>
    <row r="196" spans="2:38" x14ac:dyDescent="0.2">
      <c r="B196" s="5">
        <f t="shared" si="26"/>
        <v>189</v>
      </c>
      <c r="C196" s="5">
        <f t="shared" si="27"/>
        <v>189</v>
      </c>
      <c r="D196" s="5">
        <f t="shared" si="28"/>
        <v>15</v>
      </c>
      <c r="E196" s="5">
        <f t="shared" si="29"/>
        <v>61</v>
      </c>
      <c r="F196" s="65">
        <f>1-(1-VLOOKUP($E196,'Annual Mortality Rates'!$B$5:$C$105,2,FALSE))^(1/12)</f>
        <v>3.6573479451496027E-4</v>
      </c>
      <c r="G196" s="76">
        <f>IF(D196+1&gt;Assumptions!$H$9,100%,1-(1-IF(D196&gt;=7,2%,VLOOKUP($D196,'Annual Lapse Rates'!$B$4:$C$14,2,FALSE)))^(1/12))</f>
        <v>1</v>
      </c>
      <c r="H196" s="82">
        <f t="shared" si="37"/>
        <v>9</v>
      </c>
      <c r="I196" s="66">
        <f t="shared" si="31"/>
        <v>0</v>
      </c>
      <c r="J196" s="67">
        <f t="shared" si="32"/>
        <v>0</v>
      </c>
      <c r="K196" s="67">
        <f t="shared" si="33"/>
        <v>0</v>
      </c>
      <c r="M196" s="68">
        <f t="shared" si="38"/>
        <v>169259986.46234897</v>
      </c>
      <c r="N196" s="68">
        <f>IF(AND(H196=1,D196&lt;15),Assumptions!$H$4*I195,0)</f>
        <v>0</v>
      </c>
      <c r="O196" s="68"/>
      <c r="P196" s="91">
        <f>$M196*(1+VLOOKUP($H196,Assumptions!$C$22:$D$33,2,FALSE))*F196</f>
        <v>63645.323860023746</v>
      </c>
      <c r="Q196" s="91">
        <f>$M196*(1+VLOOKUP($H196,Assumptions!$C$22:$D$33,2,FALSE))*G196</f>
        <v>174020423.58160251</v>
      </c>
      <c r="R196" s="68">
        <f>IF(AND(H196=12,D196&lt;15),Assumptions!$C$7*M196,0)</f>
        <v>0</v>
      </c>
      <c r="S196" s="69">
        <f>M196*Assumptions!$D$17</f>
        <v>689586.13646625425</v>
      </c>
      <c r="T196" s="69">
        <f t="shared" si="34"/>
        <v>169949572.59881523</v>
      </c>
      <c r="U196" s="68">
        <f>T196+AE196*(1+Assumptions!$D$17)</f>
        <v>169949572.59881523</v>
      </c>
      <c r="V196" s="68">
        <f>(M196+N196-O196)*(1+Assumptions!$D$17)-(P196+Q196)*(1+Assumptions!$D$17)^0.5-R196-T196</f>
        <v>-174438328.47063756</v>
      </c>
      <c r="W196" s="68"/>
      <c r="X196" s="68">
        <f>IF(AND(H196=1,D196&lt;15),Assumptions!$D$10*N196+Assumptions!$D$11*(1+Assumptions!$D$16)^(B196-1)*$I$7,0)</f>
        <v>0</v>
      </c>
      <c r="Y196" s="66">
        <f>Assumptions!$C$13*N196</f>
        <v>0</v>
      </c>
      <c r="Z196" s="66">
        <f>NPV(Assumptions!$D$19,N196:$N$259)*(1+Assumptions!$D$19)</f>
        <v>0</v>
      </c>
      <c r="AA196" s="69">
        <f t="shared" si="35"/>
        <v>0</v>
      </c>
      <c r="AC196" s="68">
        <f t="shared" si="36"/>
        <v>-174438328.47063756</v>
      </c>
      <c r="AD196" s="68"/>
      <c r="AE196" s="68"/>
      <c r="AF196" s="68"/>
      <c r="AG196" s="68"/>
      <c r="AH196" s="68"/>
      <c r="AI196" s="68"/>
      <c r="AK196" s="68"/>
      <c r="AL196" s="71">
        <f t="shared" si="30"/>
        <v>0</v>
      </c>
    </row>
    <row r="197" spans="2:38" x14ac:dyDescent="0.2">
      <c r="B197" s="5">
        <f t="shared" si="26"/>
        <v>190</v>
      </c>
      <c r="C197" s="5">
        <f t="shared" si="27"/>
        <v>190</v>
      </c>
      <c r="D197" s="5">
        <f t="shared" si="28"/>
        <v>15</v>
      </c>
      <c r="E197" s="5">
        <f t="shared" si="29"/>
        <v>61</v>
      </c>
      <c r="F197" s="65">
        <f>1-(1-VLOOKUP($E197,'Annual Mortality Rates'!$B$5:$C$105,2,FALSE))^(1/12)</f>
        <v>3.6573479451496027E-4</v>
      </c>
      <c r="G197" s="76">
        <f>IF(D197+1&gt;Assumptions!$H$9,100%,1-(1-IF(D197&gt;=7,2%,VLOOKUP($D197,'Annual Lapse Rates'!$B$4:$C$14,2,FALSE)))^(1/12))</f>
        <v>1</v>
      </c>
      <c r="H197" s="82">
        <f t="shared" si="37"/>
        <v>10</v>
      </c>
      <c r="I197" s="66">
        <f t="shared" si="31"/>
        <v>0</v>
      </c>
      <c r="J197" s="67">
        <f t="shared" si="32"/>
        <v>0</v>
      </c>
      <c r="K197" s="67">
        <f t="shared" si="33"/>
        <v>0</v>
      </c>
      <c r="M197" s="68">
        <f t="shared" si="38"/>
        <v>-174438328.47063756</v>
      </c>
      <c r="N197" s="68">
        <f>IF(AND(H197=1,D197&lt;15),Assumptions!$H$4*I196,0)</f>
        <v>0</v>
      </c>
      <c r="O197" s="68"/>
      <c r="P197" s="91">
        <f>$M197*(1+VLOOKUP($H197,Assumptions!$C$22:$D$33,2,FALSE))*F197</f>
        <v>-65791.858913077449</v>
      </c>
      <c r="Q197" s="91">
        <f>$M197*(1+VLOOKUP($H197,Assumptions!$C$22:$D$33,2,FALSE))*G197</f>
        <v>-179889526.23534498</v>
      </c>
      <c r="R197" s="68">
        <f>IF(AND(H197=12,D197&lt;15),Assumptions!$C$7*M197,0)</f>
        <v>0</v>
      </c>
      <c r="S197" s="69">
        <f>M197*Assumptions!$D$17</f>
        <v>-710683.34280208824</v>
      </c>
      <c r="T197" s="69">
        <f t="shared" si="34"/>
        <v>-175149011.81343964</v>
      </c>
      <c r="U197" s="68">
        <f>T197+AE197*(1+Assumptions!$D$17)</f>
        <v>-175149011.81343964</v>
      </c>
      <c r="V197" s="68">
        <f>(M197+N197-O197)*(1+Assumptions!$D$17)-(P197+Q197)*(1+Assumptions!$D$17)^0.5-R197-T197</f>
        <v>180321525.60043499</v>
      </c>
      <c r="W197" s="68"/>
      <c r="X197" s="68">
        <f>IF(AND(H197=1,D197&lt;15),Assumptions!$D$10*N197+Assumptions!$D$11*(1+Assumptions!$D$16)^(B197-1)*$I$7,0)</f>
        <v>0</v>
      </c>
      <c r="Y197" s="66">
        <f>Assumptions!$C$13*N197</f>
        <v>0</v>
      </c>
      <c r="Z197" s="66">
        <f>NPV(Assumptions!$D$19,N197:$N$259)*(1+Assumptions!$D$19)</f>
        <v>0</v>
      </c>
      <c r="AA197" s="69">
        <f t="shared" si="35"/>
        <v>0</v>
      </c>
      <c r="AC197" s="68">
        <f t="shared" si="36"/>
        <v>180321525.60043499</v>
      </c>
      <c r="AD197" s="68"/>
      <c r="AE197" s="68"/>
      <c r="AF197" s="68"/>
      <c r="AG197" s="68"/>
      <c r="AH197" s="68"/>
      <c r="AI197" s="68"/>
      <c r="AK197" s="68"/>
      <c r="AL197" s="71">
        <f t="shared" si="30"/>
        <v>0</v>
      </c>
    </row>
    <row r="198" spans="2:38" x14ac:dyDescent="0.2">
      <c r="B198" s="5">
        <f t="shared" si="26"/>
        <v>191</v>
      </c>
      <c r="C198" s="5">
        <f t="shared" si="27"/>
        <v>191</v>
      </c>
      <c r="D198" s="5">
        <f t="shared" si="28"/>
        <v>15</v>
      </c>
      <c r="E198" s="5">
        <f t="shared" si="29"/>
        <v>61</v>
      </c>
      <c r="F198" s="65">
        <f>1-(1-VLOOKUP($E198,'Annual Mortality Rates'!$B$5:$C$105,2,FALSE))^(1/12)</f>
        <v>3.6573479451496027E-4</v>
      </c>
      <c r="G198" s="76">
        <f>IF(D198+1&gt;Assumptions!$H$9,100%,1-(1-IF(D198&gt;=7,2%,VLOOKUP($D198,'Annual Lapse Rates'!$B$4:$C$14,2,FALSE)))^(1/12))</f>
        <v>1</v>
      </c>
      <c r="H198" s="82">
        <f t="shared" si="37"/>
        <v>11</v>
      </c>
      <c r="I198" s="66">
        <f t="shared" si="31"/>
        <v>0</v>
      </c>
      <c r="J198" s="67">
        <f t="shared" si="32"/>
        <v>0</v>
      </c>
      <c r="K198" s="67">
        <f t="shared" si="33"/>
        <v>0</v>
      </c>
      <c r="M198" s="68">
        <f t="shared" si="38"/>
        <v>180321525.60043499</v>
      </c>
      <c r="N198" s="68">
        <f>IF(AND(H198=1,D198&lt;15),Assumptions!$H$4*I197,0)</f>
        <v>0</v>
      </c>
      <c r="O198" s="68"/>
      <c r="P198" s="91">
        <f>$M198*(1+VLOOKUP($H198,Assumptions!$C$22:$D$33,2,FALSE))*F198</f>
        <v>68216.882415952656</v>
      </c>
      <c r="Q198" s="91">
        <f>$M198*(1+VLOOKUP($H198,Assumptions!$C$22:$D$33,2,FALSE))*G198</f>
        <v>186520078.04294994</v>
      </c>
      <c r="R198" s="68">
        <f>IF(AND(H198=12,D198&lt;15),Assumptions!$C$7*M198,0)</f>
        <v>0</v>
      </c>
      <c r="S198" s="69">
        <f>M198*Assumptions!$D$17</f>
        <v>734652.21615248767</v>
      </c>
      <c r="T198" s="69">
        <f t="shared" si="34"/>
        <v>181056177.81658748</v>
      </c>
      <c r="U198" s="68">
        <f>T198+AE198*(1+Assumptions!$D$17)</f>
        <v>181056177.81658748</v>
      </c>
      <c r="V198" s="68">
        <f>(M198+N198-O198)*(1+Assumptions!$D$17)-(P198+Q198)*(1+Assumptions!$D$17)^0.5-R198-T198</f>
        <v>-186968000.48166758</v>
      </c>
      <c r="W198" s="68"/>
      <c r="X198" s="68">
        <f>IF(AND(H198=1,D198&lt;15),Assumptions!$D$10*N198+Assumptions!$D$11*(1+Assumptions!$D$16)^(B198-1)*$I$7,0)</f>
        <v>0</v>
      </c>
      <c r="Y198" s="66">
        <f>Assumptions!$C$13*N198</f>
        <v>0</v>
      </c>
      <c r="Z198" s="66">
        <f>NPV(Assumptions!$D$19,N198:$N$259)*(1+Assumptions!$D$19)</f>
        <v>0</v>
      </c>
      <c r="AA198" s="69">
        <f t="shared" si="35"/>
        <v>0</v>
      </c>
      <c r="AC198" s="68">
        <f t="shared" si="36"/>
        <v>-186968000.48166758</v>
      </c>
      <c r="AD198" s="68"/>
      <c r="AE198" s="68"/>
      <c r="AF198" s="68"/>
      <c r="AG198" s="68"/>
      <c r="AH198" s="68"/>
      <c r="AI198" s="68"/>
      <c r="AK198" s="68"/>
      <c r="AL198" s="71">
        <f t="shared" si="30"/>
        <v>0</v>
      </c>
    </row>
    <row r="199" spans="2:38" x14ac:dyDescent="0.2">
      <c r="B199" s="5">
        <f t="shared" si="26"/>
        <v>192</v>
      </c>
      <c r="C199" s="5">
        <f t="shared" si="27"/>
        <v>192</v>
      </c>
      <c r="D199" s="5">
        <f t="shared" si="28"/>
        <v>15</v>
      </c>
      <c r="E199" s="5">
        <f t="shared" si="29"/>
        <v>61</v>
      </c>
      <c r="F199" s="65">
        <f>1-(1-VLOOKUP($E199,'Annual Mortality Rates'!$B$5:$C$105,2,FALSE))^(1/12)</f>
        <v>3.6573479451496027E-4</v>
      </c>
      <c r="G199" s="76">
        <f>IF(D199+1&gt;Assumptions!$H$9,100%,1-(1-IF(D199&gt;=7,2%,VLOOKUP($D199,'Annual Lapse Rates'!$B$4:$C$14,2,FALSE)))^(1/12))</f>
        <v>1</v>
      </c>
      <c r="H199" s="82">
        <f t="shared" si="37"/>
        <v>12</v>
      </c>
      <c r="I199" s="66">
        <f t="shared" si="31"/>
        <v>0</v>
      </c>
      <c r="J199" s="67">
        <f t="shared" si="32"/>
        <v>0</v>
      </c>
      <c r="K199" s="67">
        <f t="shared" si="33"/>
        <v>0</v>
      </c>
      <c r="M199" s="68">
        <f t="shared" si="38"/>
        <v>-186968000.48166758</v>
      </c>
      <c r="N199" s="68">
        <f>IF(AND(H199=1,D199&lt;15),Assumptions!$H$4*I198,0)</f>
        <v>0</v>
      </c>
      <c r="O199" s="68"/>
      <c r="P199" s="91">
        <f>$M199*(1+VLOOKUP($H199,Assumptions!$C$22:$D$33,2,FALSE))*F199</f>
        <v>-70944.979608424532</v>
      </c>
      <c r="Q199" s="91">
        <f>$M199*(1+VLOOKUP($H199,Assumptions!$C$22:$D$33,2,FALSE))*G199</f>
        <v>-193979300.49973014</v>
      </c>
      <c r="R199" s="68">
        <f>IF(AND(H199=12,D199&lt;15),Assumptions!$C$7*M199,0)</f>
        <v>0</v>
      </c>
      <c r="S199" s="69">
        <f>M199*Assumptions!$D$17</f>
        <v>-761730.77754353872</v>
      </c>
      <c r="T199" s="69">
        <f t="shared" si="34"/>
        <v>-187729731.25921112</v>
      </c>
      <c r="U199" s="68">
        <f>T199+AE199*(1+Assumptions!$D$17)</f>
        <v>-187729731.25921112</v>
      </c>
      <c r="V199" s="68">
        <f>(M199+N199-O199)*(1+Assumptions!$D$17)-(P199+Q199)*(1+Assumptions!$D$17)^0.5-R199-T199</f>
        <v>194445136.04007646</v>
      </c>
      <c r="W199" s="68"/>
      <c r="X199" s="68">
        <f>IF(AND(H199=1,D199&lt;15),Assumptions!$D$10*N199+Assumptions!$D$11*(1+Assumptions!$D$16)^(B199-1)*$I$7,0)</f>
        <v>0</v>
      </c>
      <c r="Y199" s="66">
        <f>Assumptions!$C$13*N199</f>
        <v>0</v>
      </c>
      <c r="Z199" s="66">
        <f>NPV(Assumptions!$D$19,N199:$N$259)*(1+Assumptions!$D$19)</f>
        <v>0</v>
      </c>
      <c r="AA199" s="69">
        <f t="shared" si="35"/>
        <v>0</v>
      </c>
      <c r="AC199" s="68">
        <f t="shared" si="36"/>
        <v>194445136.04007646</v>
      </c>
      <c r="AD199" s="68"/>
      <c r="AE199" s="68"/>
      <c r="AF199" s="68"/>
      <c r="AG199" s="68"/>
      <c r="AH199" s="68"/>
      <c r="AI199" s="68"/>
      <c r="AK199" s="68"/>
      <c r="AL199" s="71">
        <f t="shared" si="30"/>
        <v>0</v>
      </c>
    </row>
    <row r="200" spans="2:38" x14ac:dyDescent="0.2">
      <c r="B200" s="5">
        <f t="shared" ref="B200:B259" si="39">B199+1</f>
        <v>193</v>
      </c>
      <c r="C200" s="5">
        <f t="shared" ref="C200:C259" si="40">$C$4+B200</f>
        <v>193</v>
      </c>
      <c r="D200" s="5">
        <f t="shared" ref="D200:D259" si="41">ROUNDDOWN((C200-1)/12,0)</f>
        <v>16</v>
      </c>
      <c r="E200" s="5">
        <f t="shared" ref="E200:E259" si="42">ROUNDDOWN(($E$4+B200)/12,0)</f>
        <v>62</v>
      </c>
      <c r="F200" s="65">
        <f>1-(1-VLOOKUP($E200,'Annual Mortality Rates'!$B$5:$C$105,2,FALSE))^(1/12)</f>
        <v>4.0004569505669441E-4</v>
      </c>
      <c r="G200" s="76">
        <f>IF(D200+1&gt;Assumptions!$H$9,100%,1-(1-IF(D200&gt;=7,2%,VLOOKUP($D200,'Annual Lapse Rates'!$B$4:$C$14,2,FALSE)))^(1/12))</f>
        <v>1</v>
      </c>
      <c r="H200" s="82">
        <f t="shared" si="37"/>
        <v>1</v>
      </c>
      <c r="I200" s="66">
        <f t="shared" si="31"/>
        <v>0</v>
      </c>
      <c r="J200" s="67">
        <f t="shared" si="32"/>
        <v>0</v>
      </c>
      <c r="K200" s="67">
        <f t="shared" si="33"/>
        <v>0</v>
      </c>
      <c r="M200" s="68">
        <f t="shared" si="38"/>
        <v>194445136.04007646</v>
      </c>
      <c r="N200" s="68">
        <f>IF(AND(H200=1,D200&lt;15),Assumptions!$H$4*I199,0)</f>
        <v>0</v>
      </c>
      <c r="O200" s="68"/>
      <c r="P200" s="91">
        <f>$M200*(1+VLOOKUP($H200,Assumptions!$C$22:$D$33,2,FALSE))*F200</f>
        <v>78030.023783788216</v>
      </c>
      <c r="Q200" s="91">
        <f>$M200*(1+VLOOKUP($H200,Assumptions!$C$22:$D$33,2,FALSE))*G200</f>
        <v>195052777.09020171</v>
      </c>
      <c r="R200" s="68">
        <f>IF(AND(H200=12,D200&lt;15),Assumptions!$C$7*M200,0)</f>
        <v>0</v>
      </c>
      <c r="S200" s="69">
        <f>M200*Assumptions!$D$17</f>
        <v>792193.55335561512</v>
      </c>
      <c r="T200" s="69">
        <f t="shared" si="34"/>
        <v>195237329.59343207</v>
      </c>
      <c r="U200" s="68">
        <f>T200+AE200*(1+Assumptions!$D$17)</f>
        <v>195237329.59343207</v>
      </c>
      <c r="V200" s="68">
        <f>(M200+N200-O200)*(1+Assumptions!$D$17)-(P200+Q200)*(1+Assumptions!$D$17)^0.5-R200-T200</f>
        <v>-195527896.60824585</v>
      </c>
      <c r="W200" s="68"/>
      <c r="X200" s="68">
        <f>IF(AND(H200=1,D200&lt;15),Assumptions!$D$10*N200+Assumptions!$D$11*(1+Assumptions!$D$16)^(B200-1)*$I$7,0)</f>
        <v>0</v>
      </c>
      <c r="Y200" s="66">
        <f>Assumptions!$C$13*N200</f>
        <v>0</v>
      </c>
      <c r="Z200" s="66">
        <f>NPV(Assumptions!$D$19,N200:$N$259)*(1+Assumptions!$D$19)</f>
        <v>0</v>
      </c>
      <c r="AA200" s="69">
        <f t="shared" si="35"/>
        <v>0</v>
      </c>
      <c r="AC200" s="68">
        <f t="shared" si="36"/>
        <v>-195527896.60824585</v>
      </c>
      <c r="AD200" s="68"/>
      <c r="AE200" s="68"/>
      <c r="AF200" s="68"/>
      <c r="AG200" s="68"/>
      <c r="AH200" s="68"/>
      <c r="AI200" s="68"/>
      <c r="AK200" s="68"/>
      <c r="AL200" s="71">
        <f t="shared" ref="AL200:AL259" si="43">ROUND(AK200-AG200,3)</f>
        <v>0</v>
      </c>
    </row>
    <row r="201" spans="2:38" x14ac:dyDescent="0.2">
      <c r="B201" s="5">
        <f t="shared" si="39"/>
        <v>194</v>
      </c>
      <c r="C201" s="5">
        <f t="shared" si="40"/>
        <v>194</v>
      </c>
      <c r="D201" s="5">
        <f t="shared" si="41"/>
        <v>16</v>
      </c>
      <c r="E201" s="5">
        <f t="shared" si="42"/>
        <v>62</v>
      </c>
      <c r="F201" s="65">
        <f>1-(1-VLOOKUP($E201,'Annual Mortality Rates'!$B$5:$C$105,2,FALSE))^(1/12)</f>
        <v>4.0004569505669441E-4</v>
      </c>
      <c r="G201" s="76">
        <f>IF(D201+1&gt;Assumptions!$H$9,100%,1-(1-IF(D201&gt;=7,2%,VLOOKUP($D201,'Annual Lapse Rates'!$B$4:$C$14,2,FALSE)))^(1/12))</f>
        <v>1</v>
      </c>
      <c r="H201" s="82">
        <f t="shared" si="37"/>
        <v>2</v>
      </c>
      <c r="I201" s="66">
        <f t="shared" ref="I201:I259" si="44">I200-J201-K201</f>
        <v>0</v>
      </c>
      <c r="J201" s="67">
        <f t="shared" ref="J201:J259" si="45">$I200*F201</f>
        <v>0</v>
      </c>
      <c r="K201" s="67">
        <f t="shared" ref="K201:K259" si="46">IF(G201=100%,I200-J201,$I200*G201)</f>
        <v>0</v>
      </c>
      <c r="M201" s="68">
        <f t="shared" si="38"/>
        <v>-195527896.60824585</v>
      </c>
      <c r="N201" s="68">
        <f>IF(AND(H201=1,D201&lt;15),Assumptions!$H$4*I200,0)</f>
        <v>0</v>
      </c>
      <c r="O201" s="68"/>
      <c r="P201" s="91">
        <f>$M201*(1+VLOOKUP($H201,Assumptions!$C$22:$D$33,2,FALSE))*F201</f>
        <v>-78708.968884754315</v>
      </c>
      <c r="Q201" s="91">
        <f>$M201*(1+VLOOKUP($H201,Assumptions!$C$22:$D$33,2,FALSE))*G201</f>
        <v>-196749945.9620474</v>
      </c>
      <c r="R201" s="68">
        <f>IF(AND(H201=12,D201&lt;15),Assumptions!$C$7*M201,0)</f>
        <v>0</v>
      </c>
      <c r="S201" s="69">
        <f>M201*Assumptions!$D$17</f>
        <v>-796604.85393839062</v>
      </c>
      <c r="T201" s="69">
        <f t="shared" ref="T201:T259" si="47">(M201+S201)*(G201=100%)</f>
        <v>-196324501.46218425</v>
      </c>
      <c r="U201" s="68">
        <f>T201+AE201*(1+Assumptions!$D$17)</f>
        <v>-196324501.46218425</v>
      </c>
      <c r="V201" s="68">
        <f>(M201+N201-O201)*(1+Assumptions!$D$17)-(P201+Q201)*(1+Assumptions!$D$17)^0.5-R201-T201</f>
        <v>197229199.53072366</v>
      </c>
      <c r="W201" s="68"/>
      <c r="X201" s="68">
        <f>IF(AND(H201=1,D201&lt;15),Assumptions!$D$10*N201+Assumptions!$D$11*(1+Assumptions!$D$16)^(B201-1)*$I$7,0)</f>
        <v>0</v>
      </c>
      <c r="Y201" s="66">
        <f>Assumptions!$C$13*N201</f>
        <v>0</v>
      </c>
      <c r="Z201" s="66">
        <f>NPV(Assumptions!$D$19,N201:$N$259)*(1+Assumptions!$D$19)</f>
        <v>0</v>
      </c>
      <c r="AA201" s="69">
        <f t="shared" ref="AA201:AA259" si="48">Z202*$AA$4</f>
        <v>0</v>
      </c>
      <c r="AC201" s="68">
        <f t="shared" ref="AC201:AC259" si="49">V201</f>
        <v>197229199.53072366</v>
      </c>
      <c r="AD201" s="68"/>
      <c r="AE201" s="68"/>
      <c r="AF201" s="68"/>
      <c r="AG201" s="68"/>
      <c r="AH201" s="68"/>
      <c r="AI201" s="68"/>
      <c r="AK201" s="68"/>
      <c r="AL201" s="71">
        <f t="shared" si="43"/>
        <v>0</v>
      </c>
    </row>
    <row r="202" spans="2:38" x14ac:dyDescent="0.2">
      <c r="B202" s="5">
        <f t="shared" si="39"/>
        <v>195</v>
      </c>
      <c r="C202" s="5">
        <f t="shared" si="40"/>
        <v>195</v>
      </c>
      <c r="D202" s="5">
        <f t="shared" si="41"/>
        <v>16</v>
      </c>
      <c r="E202" s="5">
        <f t="shared" si="42"/>
        <v>62</v>
      </c>
      <c r="F202" s="65">
        <f>1-(1-VLOOKUP($E202,'Annual Mortality Rates'!$B$5:$C$105,2,FALSE))^(1/12)</f>
        <v>4.0004569505669441E-4</v>
      </c>
      <c r="G202" s="76">
        <f>IF(D202+1&gt;Assumptions!$H$9,100%,1-(1-IF(D202&gt;=7,2%,VLOOKUP($D202,'Annual Lapse Rates'!$B$4:$C$14,2,FALSE)))^(1/12))</f>
        <v>1</v>
      </c>
      <c r="H202" s="82">
        <f t="shared" ref="H202:H259" si="50">IF(H201=12,1,H201+1)</f>
        <v>3</v>
      </c>
      <c r="I202" s="66">
        <f t="shared" si="44"/>
        <v>0</v>
      </c>
      <c r="J202" s="67">
        <f t="shared" si="45"/>
        <v>0</v>
      </c>
      <c r="K202" s="67">
        <f t="shared" si="46"/>
        <v>0</v>
      </c>
      <c r="M202" s="68">
        <f t="shared" ref="M202:M259" si="51">V201</f>
        <v>197229199.53072366</v>
      </c>
      <c r="N202" s="68">
        <f>IF(AND(H202=1,D202&lt;15),Assumptions!$H$4*I201,0)</f>
        <v>0</v>
      </c>
      <c r="O202" s="68"/>
      <c r="P202" s="91">
        <f>$M202*(1+VLOOKUP($H202,Assumptions!$C$22:$D$33,2,FALSE))*F202</f>
        <v>79640.386201228903</v>
      </c>
      <c r="Q202" s="91">
        <f>$M202*(1+VLOOKUP($H202,Assumptions!$C$22:$D$33,2,FALSE))*G202</f>
        <v>199078223.27632418</v>
      </c>
      <c r="R202" s="68">
        <f>IF(AND(H202=12,D202&lt;15),Assumptions!$C$7*M202,0)</f>
        <v>0</v>
      </c>
      <c r="S202" s="69">
        <f>M202*Assumptions!$D$17</f>
        <v>803536.17263804795</v>
      </c>
      <c r="T202" s="69">
        <f t="shared" si="47"/>
        <v>198032735.70336172</v>
      </c>
      <c r="U202" s="68">
        <f>T202+AE202*(1+Assumptions!$D$17)</f>
        <v>198032735.70336172</v>
      </c>
      <c r="V202" s="68">
        <f>(M202+N202-O202)*(1+Assumptions!$D$17)-(P202+Q202)*(1+Assumptions!$D$17)^0.5-R202-T202</f>
        <v>-199563148.1818147</v>
      </c>
      <c r="W202" s="68"/>
      <c r="X202" s="68">
        <f>IF(AND(H202=1,D202&lt;15),Assumptions!$D$10*N202+Assumptions!$D$11*(1+Assumptions!$D$16)^(B202-1)*$I$7,0)</f>
        <v>0</v>
      </c>
      <c r="Y202" s="66">
        <f>Assumptions!$C$13*N202</f>
        <v>0</v>
      </c>
      <c r="Z202" s="66">
        <f>NPV(Assumptions!$D$19,N202:$N$259)*(1+Assumptions!$D$19)</f>
        <v>0</v>
      </c>
      <c r="AA202" s="69">
        <f t="shared" si="48"/>
        <v>0</v>
      </c>
      <c r="AC202" s="68">
        <f t="shared" si="49"/>
        <v>-199563148.1818147</v>
      </c>
      <c r="AD202" s="68"/>
      <c r="AE202" s="68"/>
      <c r="AF202" s="68"/>
      <c r="AG202" s="68"/>
      <c r="AH202" s="68"/>
      <c r="AI202" s="68"/>
      <c r="AK202" s="68"/>
      <c r="AL202" s="71">
        <f t="shared" si="43"/>
        <v>0</v>
      </c>
    </row>
    <row r="203" spans="2:38" x14ac:dyDescent="0.2">
      <c r="B203" s="5">
        <f t="shared" si="39"/>
        <v>196</v>
      </c>
      <c r="C203" s="5">
        <f t="shared" si="40"/>
        <v>196</v>
      </c>
      <c r="D203" s="5">
        <f t="shared" si="41"/>
        <v>16</v>
      </c>
      <c r="E203" s="5">
        <f t="shared" si="42"/>
        <v>62</v>
      </c>
      <c r="F203" s="65">
        <f>1-(1-VLOOKUP($E203,'Annual Mortality Rates'!$B$5:$C$105,2,FALSE))^(1/12)</f>
        <v>4.0004569505669441E-4</v>
      </c>
      <c r="G203" s="76">
        <f>IF(D203+1&gt;Assumptions!$H$9,100%,1-(1-IF(D203&gt;=7,2%,VLOOKUP($D203,'Annual Lapse Rates'!$B$4:$C$14,2,FALSE)))^(1/12))</f>
        <v>1</v>
      </c>
      <c r="H203" s="82">
        <f t="shared" si="50"/>
        <v>4</v>
      </c>
      <c r="I203" s="66">
        <f t="shared" si="44"/>
        <v>0</v>
      </c>
      <c r="J203" s="67">
        <f t="shared" si="45"/>
        <v>0</v>
      </c>
      <c r="K203" s="67">
        <f t="shared" si="46"/>
        <v>0</v>
      </c>
      <c r="M203" s="68">
        <f t="shared" si="51"/>
        <v>-199563148.1818147</v>
      </c>
      <c r="N203" s="68">
        <f>IF(AND(H203=1,D203&lt;15),Assumptions!$H$4*I202,0)</f>
        <v>0</v>
      </c>
      <c r="O203" s="68"/>
      <c r="P203" s="91">
        <f>$M203*(1+VLOOKUP($H203,Assumptions!$C$22:$D$33,2,FALSE))*F203</f>
        <v>-80832.308051122367</v>
      </c>
      <c r="Q203" s="91">
        <f>$M203*(1+VLOOKUP($H203,Assumptions!$C$22:$D$33,2,FALSE))*G203</f>
        <v>-202057687.53408739</v>
      </c>
      <c r="R203" s="68">
        <f>IF(AND(H203=12,D203&lt;15),Assumptions!$C$7*M203,0)</f>
        <v>0</v>
      </c>
      <c r="S203" s="69">
        <f>M203*Assumptions!$D$17</f>
        <v>-813044.9683472719</v>
      </c>
      <c r="T203" s="69">
        <f t="shared" si="47"/>
        <v>-200376193.15016198</v>
      </c>
      <c r="U203" s="68">
        <f>T203+AE203*(1+Assumptions!$D$17)</f>
        <v>-200376193.15016198</v>
      </c>
      <c r="V203" s="68">
        <f>(M203+N203-O203)*(1+Assumptions!$D$17)-(P203+Q203)*(1+Assumptions!$D$17)^0.5-R203-T203</f>
        <v>202549869.97081274</v>
      </c>
      <c r="W203" s="68"/>
      <c r="X203" s="68">
        <f>IF(AND(H203=1,D203&lt;15),Assumptions!$D$10*N203+Assumptions!$D$11*(1+Assumptions!$D$16)^(B203-1)*$I$7,0)</f>
        <v>0</v>
      </c>
      <c r="Y203" s="66">
        <f>Assumptions!$C$13*N203</f>
        <v>0</v>
      </c>
      <c r="Z203" s="66">
        <f>NPV(Assumptions!$D$19,N203:$N$259)*(1+Assumptions!$D$19)</f>
        <v>0</v>
      </c>
      <c r="AA203" s="69">
        <f t="shared" si="48"/>
        <v>0</v>
      </c>
      <c r="AC203" s="68">
        <f t="shared" si="49"/>
        <v>202549869.97081274</v>
      </c>
      <c r="AD203" s="68"/>
      <c r="AE203" s="68"/>
      <c r="AF203" s="68"/>
      <c r="AG203" s="68"/>
      <c r="AH203" s="68"/>
      <c r="AI203" s="68"/>
      <c r="AK203" s="68"/>
      <c r="AL203" s="71">
        <f t="shared" si="43"/>
        <v>0</v>
      </c>
    </row>
    <row r="204" spans="2:38" x14ac:dyDescent="0.2">
      <c r="B204" s="5">
        <f t="shared" si="39"/>
        <v>197</v>
      </c>
      <c r="C204" s="5">
        <f t="shared" si="40"/>
        <v>197</v>
      </c>
      <c r="D204" s="5">
        <f t="shared" si="41"/>
        <v>16</v>
      </c>
      <c r="E204" s="5">
        <f t="shared" si="42"/>
        <v>62</v>
      </c>
      <c r="F204" s="65">
        <f>1-(1-VLOOKUP($E204,'Annual Mortality Rates'!$B$5:$C$105,2,FALSE))^(1/12)</f>
        <v>4.0004569505669441E-4</v>
      </c>
      <c r="G204" s="76">
        <f>IF(D204+1&gt;Assumptions!$H$9,100%,1-(1-IF(D204&gt;=7,2%,VLOOKUP($D204,'Annual Lapse Rates'!$B$4:$C$14,2,FALSE)))^(1/12))</f>
        <v>1</v>
      </c>
      <c r="H204" s="82">
        <f t="shared" si="50"/>
        <v>5</v>
      </c>
      <c r="I204" s="66">
        <f t="shared" si="44"/>
        <v>0</v>
      </c>
      <c r="J204" s="67">
        <f t="shared" si="45"/>
        <v>0</v>
      </c>
      <c r="K204" s="67">
        <f t="shared" si="46"/>
        <v>0</v>
      </c>
      <c r="M204" s="68">
        <f t="shared" si="51"/>
        <v>202549869.97081274</v>
      </c>
      <c r="N204" s="68">
        <f>IF(AND(H204=1,D204&lt;15),Assumptions!$H$4*I203,0)</f>
        <v>0</v>
      </c>
      <c r="O204" s="68"/>
      <c r="P204" s="91">
        <f>$M204*(1+VLOOKUP($H204,Assumptions!$C$22:$D$33,2,FALSE))*F204</f>
        <v>82295.284821056179</v>
      </c>
      <c r="Q204" s="91">
        <f>$M204*(1+VLOOKUP($H204,Assumptions!$C$22:$D$33,2,FALSE))*G204</f>
        <v>205714711.68910667</v>
      </c>
      <c r="R204" s="68">
        <f>IF(AND(H204=12,D204&lt;15),Assumptions!$C$7*M204,0)</f>
        <v>0</v>
      </c>
      <c r="S204" s="69">
        <f>M204*Assumptions!$D$17</f>
        <v>825213.24262296956</v>
      </c>
      <c r="T204" s="69">
        <f t="shared" si="47"/>
        <v>203375083.21343571</v>
      </c>
      <c r="U204" s="68">
        <f>T204+AE204*(1+Assumptions!$D$17)</f>
        <v>203375083.21343571</v>
      </c>
      <c r="V204" s="68">
        <f>(M204+N204-O204)*(1+Assumptions!$D$17)-(P204+Q204)*(1+Assumptions!$D$17)^0.5-R204-T204</f>
        <v>-206215802.0920755</v>
      </c>
      <c r="W204" s="68"/>
      <c r="X204" s="68">
        <f>IF(AND(H204=1,D204&lt;15),Assumptions!$D$10*N204+Assumptions!$D$11*(1+Assumptions!$D$16)^(B204-1)*$I$7,0)</f>
        <v>0</v>
      </c>
      <c r="Y204" s="66">
        <f>Assumptions!$C$13*N204</f>
        <v>0</v>
      </c>
      <c r="Z204" s="66">
        <f>NPV(Assumptions!$D$19,N204:$N$259)*(1+Assumptions!$D$19)</f>
        <v>0</v>
      </c>
      <c r="AA204" s="69">
        <f t="shared" si="48"/>
        <v>0</v>
      </c>
      <c r="AC204" s="68">
        <f t="shared" si="49"/>
        <v>-206215802.0920755</v>
      </c>
      <c r="AD204" s="68"/>
      <c r="AE204" s="68"/>
      <c r="AF204" s="68"/>
      <c r="AG204" s="68"/>
      <c r="AH204" s="68"/>
      <c r="AI204" s="68"/>
      <c r="AK204" s="68"/>
      <c r="AL204" s="71">
        <f t="shared" si="43"/>
        <v>0</v>
      </c>
    </row>
    <row r="205" spans="2:38" x14ac:dyDescent="0.2">
      <c r="B205" s="5">
        <f t="shared" si="39"/>
        <v>198</v>
      </c>
      <c r="C205" s="5">
        <f t="shared" si="40"/>
        <v>198</v>
      </c>
      <c r="D205" s="5">
        <f t="shared" si="41"/>
        <v>16</v>
      </c>
      <c r="E205" s="5">
        <f t="shared" si="42"/>
        <v>62</v>
      </c>
      <c r="F205" s="65">
        <f>1-(1-VLOOKUP($E205,'Annual Mortality Rates'!$B$5:$C$105,2,FALSE))^(1/12)</f>
        <v>4.0004569505669441E-4</v>
      </c>
      <c r="G205" s="76">
        <f>IF(D205+1&gt;Assumptions!$H$9,100%,1-(1-IF(D205&gt;=7,2%,VLOOKUP($D205,'Annual Lapse Rates'!$B$4:$C$14,2,FALSE)))^(1/12))</f>
        <v>1</v>
      </c>
      <c r="H205" s="82">
        <f t="shared" si="50"/>
        <v>6</v>
      </c>
      <c r="I205" s="66">
        <f t="shared" si="44"/>
        <v>0</v>
      </c>
      <c r="J205" s="67">
        <f t="shared" si="45"/>
        <v>0</v>
      </c>
      <c r="K205" s="67">
        <f t="shared" si="46"/>
        <v>0</v>
      </c>
      <c r="M205" s="68">
        <f t="shared" si="51"/>
        <v>-206215802.0920755</v>
      </c>
      <c r="N205" s="68">
        <f>IF(AND(H205=1,D205&lt;15),Assumptions!$H$4*I204,0)</f>
        <v>0</v>
      </c>
      <c r="O205" s="68"/>
      <c r="P205" s="91">
        <f>$M205*(1+VLOOKUP($H205,Assumptions!$C$22:$D$33,2,FALSE))*F205</f>
        <v>-84042.539077340538</v>
      </c>
      <c r="Q205" s="91">
        <f>$M205*(1+VLOOKUP($H205,Assumptions!$C$22:$D$33,2,FALSE))*G205</f>
        <v>-210082348.38130191</v>
      </c>
      <c r="R205" s="68">
        <f>IF(AND(H205=12,D205&lt;15),Assumptions!$C$7*M205,0)</f>
        <v>0</v>
      </c>
      <c r="S205" s="69">
        <f>M205*Assumptions!$D$17</f>
        <v>-840148.70386744663</v>
      </c>
      <c r="T205" s="69">
        <f t="shared" si="47"/>
        <v>-207055950.79594293</v>
      </c>
      <c r="U205" s="68">
        <f>T205+AE205*(1+Assumptions!$D$17)</f>
        <v>-207055950.79594293</v>
      </c>
      <c r="V205" s="68">
        <f>(M205+N205-O205)*(1+Assumptions!$D$17)-(P205+Q205)*(1+Assumptions!$D$17)^0.5-R205-T205</f>
        <v>210594077.69683143</v>
      </c>
      <c r="W205" s="68"/>
      <c r="X205" s="68">
        <f>IF(AND(H205=1,D205&lt;15),Assumptions!$D$10*N205+Assumptions!$D$11*(1+Assumptions!$D$16)^(B205-1)*$I$7,0)</f>
        <v>0</v>
      </c>
      <c r="Y205" s="66">
        <f>Assumptions!$C$13*N205</f>
        <v>0</v>
      </c>
      <c r="Z205" s="66">
        <f>NPV(Assumptions!$D$19,N205:$N$259)*(1+Assumptions!$D$19)</f>
        <v>0</v>
      </c>
      <c r="AA205" s="69">
        <f t="shared" si="48"/>
        <v>0</v>
      </c>
      <c r="AC205" s="68">
        <f t="shared" si="49"/>
        <v>210594077.69683143</v>
      </c>
      <c r="AD205" s="68"/>
      <c r="AE205" s="68"/>
      <c r="AF205" s="68"/>
      <c r="AG205" s="68"/>
      <c r="AH205" s="68"/>
      <c r="AI205" s="68"/>
      <c r="AK205" s="68"/>
      <c r="AL205" s="71">
        <f t="shared" si="43"/>
        <v>0</v>
      </c>
    </row>
    <row r="206" spans="2:38" x14ac:dyDescent="0.2">
      <c r="B206" s="5">
        <f t="shared" si="39"/>
        <v>199</v>
      </c>
      <c r="C206" s="5">
        <f t="shared" si="40"/>
        <v>199</v>
      </c>
      <c r="D206" s="5">
        <f t="shared" si="41"/>
        <v>16</v>
      </c>
      <c r="E206" s="5">
        <f t="shared" si="42"/>
        <v>62</v>
      </c>
      <c r="F206" s="65">
        <f>1-(1-VLOOKUP($E206,'Annual Mortality Rates'!$B$5:$C$105,2,FALSE))^(1/12)</f>
        <v>4.0004569505669441E-4</v>
      </c>
      <c r="G206" s="76">
        <f>IF(D206+1&gt;Assumptions!$H$9,100%,1-(1-IF(D206&gt;=7,2%,VLOOKUP($D206,'Annual Lapse Rates'!$B$4:$C$14,2,FALSE)))^(1/12))</f>
        <v>1</v>
      </c>
      <c r="H206" s="82">
        <f t="shared" si="50"/>
        <v>7</v>
      </c>
      <c r="I206" s="66">
        <f t="shared" si="44"/>
        <v>0</v>
      </c>
      <c r="J206" s="67">
        <f t="shared" si="45"/>
        <v>0</v>
      </c>
      <c r="K206" s="67">
        <f t="shared" si="46"/>
        <v>0</v>
      </c>
      <c r="M206" s="68">
        <f t="shared" si="51"/>
        <v>210594077.69683143</v>
      </c>
      <c r="N206" s="68">
        <f>IF(AND(H206=1,D206&lt;15),Assumptions!$H$4*I205,0)</f>
        <v>0</v>
      </c>
      <c r="O206" s="68"/>
      <c r="P206" s="91">
        <f>$M206*(1+VLOOKUP($H206,Assumptions!$C$22:$D$33,2,FALSE))*F206</f>
        <v>86090.162872394227</v>
      </c>
      <c r="Q206" s="91">
        <f>$M206*(1+VLOOKUP($H206,Assumptions!$C$22:$D$33,2,FALSE))*G206</f>
        <v>215200823.14644966</v>
      </c>
      <c r="R206" s="68">
        <f>IF(AND(H206=12,D206&lt;15),Assumptions!$C$7*M206,0)</f>
        <v>0</v>
      </c>
      <c r="S206" s="69">
        <f>M206*Assumptions!$D$17</f>
        <v>857986.34064015024</v>
      </c>
      <c r="T206" s="69">
        <f t="shared" si="47"/>
        <v>211452064.03747159</v>
      </c>
      <c r="U206" s="68">
        <f>T206+AE206*(1+Assumptions!$D$17)</f>
        <v>211452064.03747159</v>
      </c>
      <c r="V206" s="68">
        <f>(M206+N206-O206)*(1+Assumptions!$D$17)-(P206+Q206)*(1+Assumptions!$D$17)^0.5-R206-T206</f>
        <v>-215725020.304272</v>
      </c>
      <c r="W206" s="68"/>
      <c r="X206" s="68">
        <f>IF(AND(H206=1,D206&lt;15),Assumptions!$D$10*N206+Assumptions!$D$11*(1+Assumptions!$D$16)^(B206-1)*$I$7,0)</f>
        <v>0</v>
      </c>
      <c r="Y206" s="66">
        <f>Assumptions!$C$13*N206</f>
        <v>0</v>
      </c>
      <c r="Z206" s="66">
        <f>NPV(Assumptions!$D$19,N206:$N$259)*(1+Assumptions!$D$19)</f>
        <v>0</v>
      </c>
      <c r="AA206" s="69">
        <f t="shared" si="48"/>
        <v>0</v>
      </c>
      <c r="AC206" s="68">
        <f t="shared" si="49"/>
        <v>-215725020.304272</v>
      </c>
      <c r="AD206" s="68"/>
      <c r="AE206" s="68"/>
      <c r="AF206" s="68"/>
      <c r="AG206" s="68"/>
      <c r="AH206" s="68"/>
      <c r="AI206" s="68"/>
      <c r="AK206" s="68"/>
      <c r="AL206" s="71">
        <f t="shared" si="43"/>
        <v>0</v>
      </c>
    </row>
    <row r="207" spans="2:38" x14ac:dyDescent="0.2">
      <c r="B207" s="5">
        <f t="shared" si="39"/>
        <v>200</v>
      </c>
      <c r="C207" s="5">
        <f t="shared" si="40"/>
        <v>200</v>
      </c>
      <c r="D207" s="5">
        <f t="shared" si="41"/>
        <v>16</v>
      </c>
      <c r="E207" s="5">
        <f t="shared" si="42"/>
        <v>62</v>
      </c>
      <c r="F207" s="65">
        <f>1-(1-VLOOKUP($E207,'Annual Mortality Rates'!$B$5:$C$105,2,FALSE))^(1/12)</f>
        <v>4.0004569505669441E-4</v>
      </c>
      <c r="G207" s="76">
        <f>IF(D207+1&gt;Assumptions!$H$9,100%,1-(1-IF(D207&gt;=7,2%,VLOOKUP($D207,'Annual Lapse Rates'!$B$4:$C$14,2,FALSE)))^(1/12))</f>
        <v>1</v>
      </c>
      <c r="H207" s="82">
        <f t="shared" si="50"/>
        <v>8</v>
      </c>
      <c r="I207" s="66">
        <f t="shared" si="44"/>
        <v>0</v>
      </c>
      <c r="J207" s="67">
        <f t="shared" si="45"/>
        <v>0</v>
      </c>
      <c r="K207" s="67">
        <f t="shared" si="46"/>
        <v>0</v>
      </c>
      <c r="M207" s="68">
        <f t="shared" si="51"/>
        <v>-215725020.304272</v>
      </c>
      <c r="N207" s="68">
        <f>IF(AND(H207=1,D207&lt;15),Assumptions!$H$4*I206,0)</f>
        <v>0</v>
      </c>
      <c r="O207" s="68"/>
      <c r="P207" s="91">
        <f>$M207*(1+VLOOKUP($H207,Assumptions!$C$22:$D$33,2,FALSE))*F207</f>
        <v>-88457.362330960546</v>
      </c>
      <c r="Q207" s="91">
        <f>$M207*(1+VLOOKUP($H207,Assumptions!$C$22:$D$33,2,FALSE))*G207</f>
        <v>-221118145.81187877</v>
      </c>
      <c r="R207" s="68">
        <f>IF(AND(H207=12,D207&lt;15),Assumptions!$C$7*M207,0)</f>
        <v>0</v>
      </c>
      <c r="S207" s="69">
        <f>M207*Assumptions!$D$17</f>
        <v>-878890.43594965851</v>
      </c>
      <c r="T207" s="69">
        <f t="shared" si="47"/>
        <v>-216603910.74022165</v>
      </c>
      <c r="U207" s="68">
        <f>T207+AE207*(1+Assumptions!$D$17)</f>
        <v>-216603910.74022165</v>
      </c>
      <c r="V207" s="68">
        <f>(M207+N207-O207)*(1+Assumptions!$D$17)-(P207+Q207)*(1+Assumptions!$D$17)^0.5-R207-T207</f>
        <v>221656756.6865159</v>
      </c>
      <c r="W207" s="68"/>
      <c r="X207" s="68">
        <f>IF(AND(H207=1,D207&lt;15),Assumptions!$D$10*N207+Assumptions!$D$11*(1+Assumptions!$D$16)^(B207-1)*$I$7,0)</f>
        <v>0</v>
      </c>
      <c r="Y207" s="66">
        <f>Assumptions!$C$13*N207</f>
        <v>0</v>
      </c>
      <c r="Z207" s="66">
        <f>NPV(Assumptions!$D$19,N207:$N$259)*(1+Assumptions!$D$19)</f>
        <v>0</v>
      </c>
      <c r="AA207" s="69">
        <f t="shared" si="48"/>
        <v>0</v>
      </c>
      <c r="AC207" s="68">
        <f t="shared" si="49"/>
        <v>221656756.6865159</v>
      </c>
      <c r="AD207" s="68"/>
      <c r="AE207" s="68"/>
      <c r="AF207" s="68"/>
      <c r="AG207" s="68"/>
      <c r="AH207" s="68"/>
      <c r="AI207" s="68"/>
      <c r="AK207" s="68"/>
      <c r="AL207" s="71">
        <f t="shared" si="43"/>
        <v>0</v>
      </c>
    </row>
    <row r="208" spans="2:38" x14ac:dyDescent="0.2">
      <c r="B208" s="5">
        <f t="shared" si="39"/>
        <v>201</v>
      </c>
      <c r="C208" s="5">
        <f t="shared" si="40"/>
        <v>201</v>
      </c>
      <c r="D208" s="5">
        <f t="shared" si="41"/>
        <v>16</v>
      </c>
      <c r="E208" s="5">
        <f t="shared" si="42"/>
        <v>62</v>
      </c>
      <c r="F208" s="65">
        <f>1-(1-VLOOKUP($E208,'Annual Mortality Rates'!$B$5:$C$105,2,FALSE))^(1/12)</f>
        <v>4.0004569505669441E-4</v>
      </c>
      <c r="G208" s="76">
        <f>IF(D208+1&gt;Assumptions!$H$9,100%,1-(1-IF(D208&gt;=7,2%,VLOOKUP($D208,'Annual Lapse Rates'!$B$4:$C$14,2,FALSE)))^(1/12))</f>
        <v>1</v>
      </c>
      <c r="H208" s="82">
        <f t="shared" si="50"/>
        <v>9</v>
      </c>
      <c r="I208" s="66">
        <f t="shared" si="44"/>
        <v>0</v>
      </c>
      <c r="J208" s="67">
        <f t="shared" si="45"/>
        <v>0</v>
      </c>
      <c r="K208" s="67">
        <f t="shared" si="46"/>
        <v>0</v>
      </c>
      <c r="M208" s="68">
        <f t="shared" si="51"/>
        <v>221656756.6865159</v>
      </c>
      <c r="N208" s="68">
        <f>IF(AND(H208=1,D208&lt;15),Assumptions!$H$4*I207,0)</f>
        <v>0</v>
      </c>
      <c r="O208" s="68"/>
      <c r="P208" s="91">
        <f>$M208*(1+VLOOKUP($H208,Assumptions!$C$22:$D$33,2,FALSE))*F208</f>
        <v>91166.75467277618</v>
      </c>
      <c r="Q208" s="91">
        <f>$M208*(1+VLOOKUP($H208,Assumptions!$C$22:$D$33,2,FALSE))*G208</f>
        <v>227890852.96832415</v>
      </c>
      <c r="R208" s="68">
        <f>IF(AND(H208=12,D208&lt;15),Assumptions!$C$7*M208,0)</f>
        <v>0</v>
      </c>
      <c r="S208" s="69">
        <f>M208*Assumptions!$D$17</f>
        <v>903057.06422289065</v>
      </c>
      <c r="T208" s="69">
        <f t="shared" si="47"/>
        <v>222559813.7507388</v>
      </c>
      <c r="U208" s="68">
        <f>T208+AE208*(1+Assumptions!$D$17)</f>
        <v>222559813.7507388</v>
      </c>
      <c r="V208" s="68">
        <f>(M208+N208-O208)*(1+Assumptions!$D$17)-(P208+Q208)*(1+Assumptions!$D$17)^0.5-R208-T208</f>
        <v>-228445961.14901364</v>
      </c>
      <c r="W208" s="68"/>
      <c r="X208" s="68">
        <f>IF(AND(H208=1,D208&lt;15),Assumptions!$D$10*N208+Assumptions!$D$11*(1+Assumptions!$D$16)^(B208-1)*$I$7,0)</f>
        <v>0</v>
      </c>
      <c r="Y208" s="66">
        <f>Assumptions!$C$13*N208</f>
        <v>0</v>
      </c>
      <c r="Z208" s="66">
        <f>NPV(Assumptions!$D$19,N208:$N$259)*(1+Assumptions!$D$19)</f>
        <v>0</v>
      </c>
      <c r="AA208" s="69">
        <f t="shared" si="48"/>
        <v>0</v>
      </c>
      <c r="AC208" s="68">
        <f t="shared" si="49"/>
        <v>-228445961.14901364</v>
      </c>
      <c r="AD208" s="68"/>
      <c r="AE208" s="68"/>
      <c r="AF208" s="68"/>
      <c r="AG208" s="68"/>
      <c r="AH208" s="68"/>
      <c r="AI208" s="68"/>
      <c r="AK208" s="68"/>
      <c r="AL208" s="71">
        <f t="shared" si="43"/>
        <v>0</v>
      </c>
    </row>
    <row r="209" spans="2:38" x14ac:dyDescent="0.2">
      <c r="B209" s="5">
        <f t="shared" si="39"/>
        <v>202</v>
      </c>
      <c r="C209" s="5">
        <f t="shared" si="40"/>
        <v>202</v>
      </c>
      <c r="D209" s="5">
        <f t="shared" si="41"/>
        <v>16</v>
      </c>
      <c r="E209" s="5">
        <f t="shared" si="42"/>
        <v>62</v>
      </c>
      <c r="F209" s="65">
        <f>1-(1-VLOOKUP($E209,'Annual Mortality Rates'!$B$5:$C$105,2,FALSE))^(1/12)</f>
        <v>4.0004569505669441E-4</v>
      </c>
      <c r="G209" s="76">
        <f>IF(D209+1&gt;Assumptions!$H$9,100%,1-(1-IF(D209&gt;=7,2%,VLOOKUP($D209,'Annual Lapse Rates'!$B$4:$C$14,2,FALSE)))^(1/12))</f>
        <v>1</v>
      </c>
      <c r="H209" s="82">
        <f t="shared" si="50"/>
        <v>10</v>
      </c>
      <c r="I209" s="66">
        <f t="shared" si="44"/>
        <v>0</v>
      </c>
      <c r="J209" s="67">
        <f t="shared" si="45"/>
        <v>0</v>
      </c>
      <c r="K209" s="67">
        <f t="shared" si="46"/>
        <v>0</v>
      </c>
      <c r="M209" s="68">
        <f t="shared" si="51"/>
        <v>-228445961.14901364</v>
      </c>
      <c r="N209" s="68">
        <f>IF(AND(H209=1,D209&lt;15),Assumptions!$H$4*I208,0)</f>
        <v>0</v>
      </c>
      <c r="O209" s="68"/>
      <c r="P209" s="91">
        <f>$M209*(1+VLOOKUP($H209,Assumptions!$C$22:$D$33,2,FALSE))*F209</f>
        <v>-94244.724039212757</v>
      </c>
      <c r="Q209" s="91">
        <f>$M209*(1+VLOOKUP($H209,Assumptions!$C$22:$D$33,2,FALSE))*G209</f>
        <v>-235584897.43492031</v>
      </c>
      <c r="R209" s="68">
        <f>IF(AND(H209=12,D209&lt;15),Assumptions!$C$7*M209,0)</f>
        <v>0</v>
      </c>
      <c r="S209" s="69">
        <f>M209*Assumptions!$D$17</f>
        <v>-930717.12359560421</v>
      </c>
      <c r="T209" s="69">
        <f t="shared" si="47"/>
        <v>-229376678.27260923</v>
      </c>
      <c r="U209" s="68">
        <f>T209+AE209*(1+Assumptions!$D$17)</f>
        <v>-229376678.27260923</v>
      </c>
      <c r="V209" s="68">
        <f>(M209+N209-O209)*(1+Assumptions!$D$17)-(P209+Q209)*(1+Assumptions!$D$17)^0.5-R209-T209</f>
        <v>236158747.16214564</v>
      </c>
      <c r="W209" s="68"/>
      <c r="X209" s="68">
        <f>IF(AND(H209=1,D209&lt;15),Assumptions!$D$10*N209+Assumptions!$D$11*(1+Assumptions!$D$16)^(B209-1)*$I$7,0)</f>
        <v>0</v>
      </c>
      <c r="Y209" s="66">
        <f>Assumptions!$C$13*N209</f>
        <v>0</v>
      </c>
      <c r="Z209" s="66">
        <f>NPV(Assumptions!$D$19,N209:$N$259)*(1+Assumptions!$D$19)</f>
        <v>0</v>
      </c>
      <c r="AA209" s="69">
        <f t="shared" si="48"/>
        <v>0</v>
      </c>
      <c r="AC209" s="68">
        <f t="shared" si="49"/>
        <v>236158747.16214564</v>
      </c>
      <c r="AD209" s="68"/>
      <c r="AE209" s="68"/>
      <c r="AF209" s="68"/>
      <c r="AG209" s="68"/>
      <c r="AH209" s="68"/>
      <c r="AI209" s="68"/>
      <c r="AK209" s="68"/>
      <c r="AL209" s="71">
        <f t="shared" si="43"/>
        <v>0</v>
      </c>
    </row>
    <row r="210" spans="2:38" x14ac:dyDescent="0.2">
      <c r="B210" s="5">
        <f t="shared" si="39"/>
        <v>203</v>
      </c>
      <c r="C210" s="5">
        <f t="shared" si="40"/>
        <v>203</v>
      </c>
      <c r="D210" s="5">
        <f t="shared" si="41"/>
        <v>16</v>
      </c>
      <c r="E210" s="5">
        <f t="shared" si="42"/>
        <v>62</v>
      </c>
      <c r="F210" s="65">
        <f>1-(1-VLOOKUP($E210,'Annual Mortality Rates'!$B$5:$C$105,2,FALSE))^(1/12)</f>
        <v>4.0004569505669441E-4</v>
      </c>
      <c r="G210" s="76">
        <f>IF(D210+1&gt;Assumptions!$H$9,100%,1-(1-IF(D210&gt;=7,2%,VLOOKUP($D210,'Annual Lapse Rates'!$B$4:$C$14,2,FALSE)))^(1/12))</f>
        <v>1</v>
      </c>
      <c r="H210" s="82">
        <f t="shared" si="50"/>
        <v>11</v>
      </c>
      <c r="I210" s="66">
        <f t="shared" si="44"/>
        <v>0</v>
      </c>
      <c r="J210" s="67">
        <f t="shared" si="45"/>
        <v>0</v>
      </c>
      <c r="K210" s="67">
        <f t="shared" si="46"/>
        <v>0</v>
      </c>
      <c r="M210" s="68">
        <f t="shared" si="51"/>
        <v>236158747.16214564</v>
      </c>
      <c r="N210" s="68">
        <f>IF(AND(H210=1,D210&lt;15),Assumptions!$H$4*I209,0)</f>
        <v>0</v>
      </c>
      <c r="O210" s="68"/>
      <c r="P210" s="91">
        <f>$M210*(1+VLOOKUP($H210,Assumptions!$C$22:$D$33,2,FALSE))*F210</f>
        <v>97721.843876180545</v>
      </c>
      <c r="Q210" s="91">
        <f>$M210*(1+VLOOKUP($H210,Assumptions!$C$22:$D$33,2,FALSE))*G210</f>
        <v>244276704.09584442</v>
      </c>
      <c r="R210" s="68">
        <f>IF(AND(H210=12,D210&lt;15),Assumptions!$C$7*M210,0)</f>
        <v>0</v>
      </c>
      <c r="S210" s="69">
        <f>M210*Assumptions!$D$17</f>
        <v>962139.96852989565</v>
      </c>
      <c r="T210" s="69">
        <f t="shared" si="47"/>
        <v>237120887.13067555</v>
      </c>
      <c r="U210" s="68">
        <f>T210+AE210*(1+Assumptions!$D$17)</f>
        <v>237120887.13067555</v>
      </c>
      <c r="V210" s="68">
        <f>(M210+N210-O210)*(1+Assumptions!$D$17)-(P210+Q210)*(1+Assumptions!$D$17)^0.5-R210-T210</f>
        <v>-244871725.7697258</v>
      </c>
      <c r="W210" s="68"/>
      <c r="X210" s="68">
        <f>IF(AND(H210=1,D210&lt;15),Assumptions!$D$10*N210+Assumptions!$D$11*(1+Assumptions!$D$16)^(B210-1)*$I$7,0)</f>
        <v>0</v>
      </c>
      <c r="Y210" s="66">
        <f>Assumptions!$C$13*N210</f>
        <v>0</v>
      </c>
      <c r="Z210" s="66">
        <f>NPV(Assumptions!$D$19,N210:$N$259)*(1+Assumptions!$D$19)</f>
        <v>0</v>
      </c>
      <c r="AA210" s="69">
        <f t="shared" si="48"/>
        <v>0</v>
      </c>
      <c r="AC210" s="68">
        <f t="shared" si="49"/>
        <v>-244871725.7697258</v>
      </c>
      <c r="AD210" s="68"/>
      <c r="AE210" s="68"/>
      <c r="AF210" s="68"/>
      <c r="AG210" s="68"/>
      <c r="AH210" s="68"/>
      <c r="AI210" s="68"/>
      <c r="AK210" s="68"/>
      <c r="AL210" s="71">
        <f t="shared" si="43"/>
        <v>0</v>
      </c>
    </row>
    <row r="211" spans="2:38" x14ac:dyDescent="0.2">
      <c r="B211" s="5">
        <f t="shared" si="39"/>
        <v>204</v>
      </c>
      <c r="C211" s="5">
        <f t="shared" si="40"/>
        <v>204</v>
      </c>
      <c r="D211" s="5">
        <f t="shared" si="41"/>
        <v>16</v>
      </c>
      <c r="E211" s="5">
        <f t="shared" si="42"/>
        <v>62</v>
      </c>
      <c r="F211" s="65">
        <f>1-(1-VLOOKUP($E211,'Annual Mortality Rates'!$B$5:$C$105,2,FALSE))^(1/12)</f>
        <v>4.0004569505669441E-4</v>
      </c>
      <c r="G211" s="76">
        <f>IF(D211+1&gt;Assumptions!$H$9,100%,1-(1-IF(D211&gt;=7,2%,VLOOKUP($D211,'Annual Lapse Rates'!$B$4:$C$14,2,FALSE)))^(1/12))</f>
        <v>1</v>
      </c>
      <c r="H211" s="82">
        <f t="shared" si="50"/>
        <v>12</v>
      </c>
      <c r="I211" s="66">
        <f t="shared" si="44"/>
        <v>0</v>
      </c>
      <c r="J211" s="67">
        <f t="shared" si="45"/>
        <v>0</v>
      </c>
      <c r="K211" s="67">
        <f t="shared" si="46"/>
        <v>0</v>
      </c>
      <c r="M211" s="68">
        <f t="shared" si="51"/>
        <v>-244871725.7697258</v>
      </c>
      <c r="N211" s="68">
        <f>IF(AND(H211=1,D211&lt;15),Assumptions!$H$4*I210,0)</f>
        <v>0</v>
      </c>
      <c r="O211" s="68"/>
      <c r="P211" s="91">
        <f>$M211*(1+VLOOKUP($H211,Assumptions!$C$22:$D$33,2,FALSE))*F211</f>
        <v>-101633.37522535531</v>
      </c>
      <c r="Q211" s="91">
        <f>$M211*(1+VLOOKUP($H211,Assumptions!$C$22:$D$33,2,FALSE))*G211</f>
        <v>-254054415.48609054</v>
      </c>
      <c r="R211" s="68">
        <f>IF(AND(H211=12,D211&lt;15),Assumptions!$C$7*M211,0)</f>
        <v>0</v>
      </c>
      <c r="S211" s="69">
        <f>M211*Assumptions!$D$17</f>
        <v>-997637.72190145729</v>
      </c>
      <c r="T211" s="69">
        <f t="shared" si="47"/>
        <v>-245869363.49162725</v>
      </c>
      <c r="U211" s="68">
        <f>T211+AE211*(1+Assumptions!$D$17)</f>
        <v>-245869363.49162725</v>
      </c>
      <c r="V211" s="68">
        <f>(M211+N211-O211)*(1+Assumptions!$D$17)-(P211+Q211)*(1+Assumptions!$D$17)^0.5-R211-T211</f>
        <v>254673254.20883742</v>
      </c>
      <c r="W211" s="68"/>
      <c r="X211" s="68">
        <f>IF(AND(H211=1,D211&lt;15),Assumptions!$D$10*N211+Assumptions!$D$11*(1+Assumptions!$D$16)^(B211-1)*$I$7,0)</f>
        <v>0</v>
      </c>
      <c r="Y211" s="66">
        <f>Assumptions!$C$13*N211</f>
        <v>0</v>
      </c>
      <c r="Z211" s="66">
        <f>NPV(Assumptions!$D$19,N211:$N$259)*(1+Assumptions!$D$19)</f>
        <v>0</v>
      </c>
      <c r="AA211" s="69">
        <f t="shared" si="48"/>
        <v>0</v>
      </c>
      <c r="AC211" s="68">
        <f t="shared" si="49"/>
        <v>254673254.20883742</v>
      </c>
      <c r="AD211" s="68"/>
      <c r="AE211" s="68"/>
      <c r="AF211" s="68"/>
      <c r="AG211" s="68"/>
      <c r="AH211" s="68"/>
      <c r="AI211" s="68"/>
      <c r="AK211" s="68"/>
      <c r="AL211" s="71">
        <f t="shared" si="43"/>
        <v>0</v>
      </c>
    </row>
    <row r="212" spans="2:38" x14ac:dyDescent="0.2">
      <c r="B212" s="5">
        <f t="shared" si="39"/>
        <v>205</v>
      </c>
      <c r="C212" s="5">
        <f t="shared" si="40"/>
        <v>205</v>
      </c>
      <c r="D212" s="5">
        <f t="shared" si="41"/>
        <v>17</v>
      </c>
      <c r="E212" s="5">
        <f t="shared" si="42"/>
        <v>63</v>
      </c>
      <c r="F212" s="65">
        <f>1-(1-VLOOKUP($E212,'Annual Mortality Rates'!$B$5:$C$105,2,FALSE))^(1/12)</f>
        <v>4.3855627899469507E-4</v>
      </c>
      <c r="G212" s="76">
        <f>IF(D212+1&gt;Assumptions!$H$9,100%,1-(1-IF(D212&gt;=7,2%,VLOOKUP($D212,'Annual Lapse Rates'!$B$4:$C$14,2,FALSE)))^(1/12))</f>
        <v>1</v>
      </c>
      <c r="H212" s="82">
        <f t="shared" si="50"/>
        <v>1</v>
      </c>
      <c r="I212" s="66">
        <f t="shared" si="44"/>
        <v>0</v>
      </c>
      <c r="J212" s="67">
        <f t="shared" si="45"/>
        <v>0</v>
      </c>
      <c r="K212" s="67">
        <f t="shared" si="46"/>
        <v>0</v>
      </c>
      <c r="M212" s="68">
        <f t="shared" si="51"/>
        <v>254673254.20883742</v>
      </c>
      <c r="N212" s="68">
        <f>IF(AND(H212=1,D212&lt;15),Assumptions!$H$4*I211,0)</f>
        <v>0</v>
      </c>
      <c r="O212" s="68"/>
      <c r="P212" s="91">
        <f>$M212*(1+VLOOKUP($H212,Assumptions!$C$22:$D$33,2,FALSE))*F212</f>
        <v>112037.58145881437</v>
      </c>
      <c r="Q212" s="91">
        <f>$M212*(1+VLOOKUP($H212,Assumptions!$C$22:$D$33,2,FALSE))*G212</f>
        <v>255469108.12824005</v>
      </c>
      <c r="R212" s="68">
        <f>IF(AND(H212=12,D212&lt;15),Assumptions!$C$7*M212,0)</f>
        <v>0</v>
      </c>
      <c r="S212" s="69">
        <f>M212*Assumptions!$D$17</f>
        <v>1037570.3620313477</v>
      </c>
      <c r="T212" s="69">
        <f t="shared" si="47"/>
        <v>255710824.57086876</v>
      </c>
      <c r="U212" s="68">
        <f>T212+AE212*(1+Assumptions!$D$17)</f>
        <v>255710824.57086876</v>
      </c>
      <c r="V212" s="68">
        <f>(M212+N212-O212)*(1+Assumptions!$D$17)-(P212+Q212)*(1+Assumptions!$D$17)^0.5-R212-T212</f>
        <v>-256101251.11690426</v>
      </c>
      <c r="W212" s="68"/>
      <c r="X212" s="68">
        <f>IF(AND(H212=1,D212&lt;15),Assumptions!$D$10*N212+Assumptions!$D$11*(1+Assumptions!$D$16)^(B212-1)*$I$7,0)</f>
        <v>0</v>
      </c>
      <c r="Y212" s="66">
        <f>Assumptions!$C$13*N212</f>
        <v>0</v>
      </c>
      <c r="Z212" s="66">
        <f>NPV(Assumptions!$D$19,N212:$N$259)*(1+Assumptions!$D$19)</f>
        <v>0</v>
      </c>
      <c r="AA212" s="69">
        <f t="shared" si="48"/>
        <v>0</v>
      </c>
      <c r="AC212" s="68">
        <f t="shared" si="49"/>
        <v>-256101251.11690426</v>
      </c>
      <c r="AD212" s="68"/>
      <c r="AE212" s="68"/>
      <c r="AF212" s="68"/>
      <c r="AG212" s="68"/>
      <c r="AH212" s="68"/>
      <c r="AI212" s="68"/>
      <c r="AK212" s="68"/>
      <c r="AL212" s="71">
        <f t="shared" si="43"/>
        <v>0</v>
      </c>
    </row>
    <row r="213" spans="2:38" x14ac:dyDescent="0.2">
      <c r="B213" s="5">
        <f t="shared" si="39"/>
        <v>206</v>
      </c>
      <c r="C213" s="5">
        <f t="shared" si="40"/>
        <v>206</v>
      </c>
      <c r="D213" s="5">
        <f t="shared" si="41"/>
        <v>17</v>
      </c>
      <c r="E213" s="5">
        <f t="shared" si="42"/>
        <v>63</v>
      </c>
      <c r="F213" s="65">
        <f>1-(1-VLOOKUP($E213,'Annual Mortality Rates'!$B$5:$C$105,2,FALSE))^(1/12)</f>
        <v>4.3855627899469507E-4</v>
      </c>
      <c r="G213" s="76">
        <f>IF(D213+1&gt;Assumptions!$H$9,100%,1-(1-IF(D213&gt;=7,2%,VLOOKUP($D213,'Annual Lapse Rates'!$B$4:$C$14,2,FALSE)))^(1/12))</f>
        <v>1</v>
      </c>
      <c r="H213" s="82">
        <f t="shared" si="50"/>
        <v>2</v>
      </c>
      <c r="I213" s="66">
        <f t="shared" si="44"/>
        <v>0</v>
      </c>
      <c r="J213" s="67">
        <f t="shared" si="45"/>
        <v>0</v>
      </c>
      <c r="K213" s="67">
        <f t="shared" si="46"/>
        <v>0</v>
      </c>
      <c r="M213" s="68">
        <f t="shared" si="51"/>
        <v>-256101251.11690426</v>
      </c>
      <c r="N213" s="68">
        <f>IF(AND(H213=1,D213&lt;15),Assumptions!$H$4*I212,0)</f>
        <v>0</v>
      </c>
      <c r="O213" s="68"/>
      <c r="P213" s="91">
        <f>$M213*(1+VLOOKUP($H213,Assumptions!$C$22:$D$33,2,FALSE))*F213</f>
        <v>-113016.77930906377</v>
      </c>
      <c r="Q213" s="91">
        <f>$M213*(1+VLOOKUP($H213,Assumptions!$C$22:$D$33,2,FALSE))*G213</f>
        <v>-257701883.93638495</v>
      </c>
      <c r="R213" s="68">
        <f>IF(AND(H213=12,D213&lt;15),Assumptions!$C$7*M213,0)</f>
        <v>0</v>
      </c>
      <c r="S213" s="69">
        <f>M213*Assumptions!$D$17</f>
        <v>-1043388.1981974791</v>
      </c>
      <c r="T213" s="69">
        <f t="shared" si="47"/>
        <v>-257144639.31510174</v>
      </c>
      <c r="U213" s="68">
        <f>T213+AE213*(1+Assumptions!$D$17)</f>
        <v>-257144639.31510174</v>
      </c>
      <c r="V213" s="68">
        <f>(M213+N213-O213)*(1+Assumptions!$D$17)-(P213+Q213)*(1+Assumptions!$D$17)^0.5-R213-T213</f>
        <v>258339551.79489633</v>
      </c>
      <c r="W213" s="68"/>
      <c r="X213" s="68">
        <f>IF(AND(H213=1,D213&lt;15),Assumptions!$D$10*N213+Assumptions!$D$11*(1+Assumptions!$D$16)^(B213-1)*$I$7,0)</f>
        <v>0</v>
      </c>
      <c r="Y213" s="66">
        <f>Assumptions!$C$13*N213</f>
        <v>0</v>
      </c>
      <c r="Z213" s="66">
        <f>NPV(Assumptions!$D$19,N213:$N$259)*(1+Assumptions!$D$19)</f>
        <v>0</v>
      </c>
      <c r="AA213" s="69">
        <f t="shared" si="48"/>
        <v>0</v>
      </c>
      <c r="AC213" s="68">
        <f t="shared" si="49"/>
        <v>258339551.79489633</v>
      </c>
      <c r="AD213" s="68"/>
      <c r="AE213" s="68"/>
      <c r="AF213" s="68"/>
      <c r="AG213" s="68"/>
      <c r="AH213" s="68"/>
      <c r="AI213" s="68"/>
      <c r="AK213" s="68"/>
      <c r="AL213" s="71">
        <f t="shared" si="43"/>
        <v>0</v>
      </c>
    </row>
    <row r="214" spans="2:38" x14ac:dyDescent="0.2">
      <c r="B214" s="5">
        <f t="shared" si="39"/>
        <v>207</v>
      </c>
      <c r="C214" s="5">
        <f t="shared" si="40"/>
        <v>207</v>
      </c>
      <c r="D214" s="5">
        <f t="shared" si="41"/>
        <v>17</v>
      </c>
      <c r="E214" s="5">
        <f t="shared" si="42"/>
        <v>63</v>
      </c>
      <c r="F214" s="65">
        <f>1-(1-VLOOKUP($E214,'Annual Mortality Rates'!$B$5:$C$105,2,FALSE))^(1/12)</f>
        <v>4.3855627899469507E-4</v>
      </c>
      <c r="G214" s="76">
        <f>IF(D214+1&gt;Assumptions!$H$9,100%,1-(1-IF(D214&gt;=7,2%,VLOOKUP($D214,'Annual Lapse Rates'!$B$4:$C$14,2,FALSE)))^(1/12))</f>
        <v>1</v>
      </c>
      <c r="H214" s="82">
        <f t="shared" si="50"/>
        <v>3</v>
      </c>
      <c r="I214" s="66">
        <f t="shared" si="44"/>
        <v>0</v>
      </c>
      <c r="J214" s="67">
        <f t="shared" si="45"/>
        <v>0</v>
      </c>
      <c r="K214" s="67">
        <f t="shared" si="46"/>
        <v>0</v>
      </c>
      <c r="M214" s="68">
        <f t="shared" si="51"/>
        <v>258339551.79489633</v>
      </c>
      <c r="N214" s="68">
        <f>IF(AND(H214=1,D214&lt;15),Assumptions!$H$4*I213,0)</f>
        <v>0</v>
      </c>
      <c r="O214" s="68"/>
      <c r="P214" s="91">
        <f>$M214*(1+VLOOKUP($H214,Assumptions!$C$22:$D$33,2,FALSE))*F214</f>
        <v>114358.58660750509</v>
      </c>
      <c r="Q214" s="91">
        <f>$M214*(1+VLOOKUP($H214,Assumptions!$C$22:$D$33,2,FALSE))*G214</f>
        <v>260761485.09297347</v>
      </c>
      <c r="R214" s="68">
        <f>IF(AND(H214=12,D214&lt;15),Assumptions!$C$7*M214,0)</f>
        <v>0</v>
      </c>
      <c r="S214" s="69">
        <f>M214*Assumptions!$D$17</f>
        <v>1052507.3122246428</v>
      </c>
      <c r="T214" s="69">
        <f t="shared" si="47"/>
        <v>259392059.10712099</v>
      </c>
      <c r="U214" s="68">
        <f>T214+AE214*(1+Assumptions!$D$17)</f>
        <v>259392059.10712099</v>
      </c>
      <c r="V214" s="68">
        <f>(M214+N214-O214)*(1+Assumptions!$D$17)-(P214+Q214)*(1+Assumptions!$D$17)^0.5-R214-T214</f>
        <v>-261406723.75107554</v>
      </c>
      <c r="W214" s="68"/>
      <c r="X214" s="68">
        <f>IF(AND(H214=1,D214&lt;15),Assumptions!$D$10*N214+Assumptions!$D$11*(1+Assumptions!$D$16)^(B214-1)*$I$7,0)</f>
        <v>0</v>
      </c>
      <c r="Y214" s="66">
        <f>Assumptions!$C$13*N214</f>
        <v>0</v>
      </c>
      <c r="Z214" s="66">
        <f>NPV(Assumptions!$D$19,N214:$N$259)*(1+Assumptions!$D$19)</f>
        <v>0</v>
      </c>
      <c r="AA214" s="69">
        <f t="shared" si="48"/>
        <v>0</v>
      </c>
      <c r="AC214" s="68">
        <f t="shared" si="49"/>
        <v>-261406723.75107554</v>
      </c>
      <c r="AD214" s="68"/>
      <c r="AE214" s="68"/>
      <c r="AF214" s="68"/>
      <c r="AG214" s="68"/>
      <c r="AH214" s="68"/>
      <c r="AI214" s="68"/>
      <c r="AK214" s="68"/>
      <c r="AL214" s="71">
        <f t="shared" si="43"/>
        <v>0</v>
      </c>
    </row>
    <row r="215" spans="2:38" x14ac:dyDescent="0.2">
      <c r="B215" s="5">
        <f t="shared" si="39"/>
        <v>208</v>
      </c>
      <c r="C215" s="5">
        <f t="shared" si="40"/>
        <v>208</v>
      </c>
      <c r="D215" s="5">
        <f t="shared" si="41"/>
        <v>17</v>
      </c>
      <c r="E215" s="5">
        <f t="shared" si="42"/>
        <v>63</v>
      </c>
      <c r="F215" s="65">
        <f>1-(1-VLOOKUP($E215,'Annual Mortality Rates'!$B$5:$C$105,2,FALSE))^(1/12)</f>
        <v>4.3855627899469507E-4</v>
      </c>
      <c r="G215" s="76">
        <f>IF(D215+1&gt;Assumptions!$H$9,100%,1-(1-IF(D215&gt;=7,2%,VLOOKUP($D215,'Annual Lapse Rates'!$B$4:$C$14,2,FALSE)))^(1/12))</f>
        <v>1</v>
      </c>
      <c r="H215" s="82">
        <f t="shared" si="50"/>
        <v>4</v>
      </c>
      <c r="I215" s="66">
        <f t="shared" si="44"/>
        <v>0</v>
      </c>
      <c r="J215" s="67">
        <f t="shared" si="45"/>
        <v>0</v>
      </c>
      <c r="K215" s="67">
        <f t="shared" si="46"/>
        <v>0</v>
      </c>
      <c r="M215" s="68">
        <f t="shared" si="51"/>
        <v>-261406723.75107554</v>
      </c>
      <c r="N215" s="68">
        <f>IF(AND(H215=1,D215&lt;15),Assumptions!$H$4*I214,0)</f>
        <v>0</v>
      </c>
      <c r="O215" s="68"/>
      <c r="P215" s="91">
        <f>$M215*(1+VLOOKUP($H215,Assumptions!$C$22:$D$33,2,FALSE))*F215</f>
        <v>-116074.57957337168</v>
      </c>
      <c r="Q215" s="91">
        <f>$M215*(1+VLOOKUP($H215,Assumptions!$C$22:$D$33,2,FALSE))*G215</f>
        <v>-264674307.79796398</v>
      </c>
      <c r="R215" s="68">
        <f>IF(AND(H215=12,D215&lt;15),Assumptions!$C$7*M215,0)</f>
        <v>0</v>
      </c>
      <c r="S215" s="69">
        <f>M215*Assumptions!$D$17</f>
        <v>-1065003.3504398519</v>
      </c>
      <c r="T215" s="69">
        <f t="shared" si="47"/>
        <v>-262471727.10151538</v>
      </c>
      <c r="U215" s="68">
        <f>T215+AE215*(1+Assumptions!$D$17)</f>
        <v>-262471727.10151538</v>
      </c>
      <c r="V215" s="68">
        <f>(M215+N215-O215)*(1+Assumptions!$D$17)-(P215+Q215)*(1+Assumptions!$D$17)^0.5-R215-T215</f>
        <v>265329228.50121415</v>
      </c>
      <c r="W215" s="68"/>
      <c r="X215" s="68">
        <f>IF(AND(H215=1,D215&lt;15),Assumptions!$D$10*N215+Assumptions!$D$11*(1+Assumptions!$D$16)^(B215-1)*$I$7,0)</f>
        <v>0</v>
      </c>
      <c r="Y215" s="66">
        <f>Assumptions!$C$13*N215</f>
        <v>0</v>
      </c>
      <c r="Z215" s="66">
        <f>NPV(Assumptions!$D$19,N215:$N$259)*(1+Assumptions!$D$19)</f>
        <v>0</v>
      </c>
      <c r="AA215" s="69">
        <f t="shared" si="48"/>
        <v>0</v>
      </c>
      <c r="AC215" s="68">
        <f t="shared" si="49"/>
        <v>265329228.50121415</v>
      </c>
      <c r="AD215" s="68"/>
      <c r="AE215" s="68"/>
      <c r="AF215" s="68"/>
      <c r="AG215" s="68"/>
      <c r="AH215" s="68"/>
      <c r="AI215" s="68"/>
      <c r="AK215" s="68"/>
      <c r="AL215" s="71">
        <f t="shared" si="43"/>
        <v>0</v>
      </c>
    </row>
    <row r="216" spans="2:38" x14ac:dyDescent="0.2">
      <c r="B216" s="5">
        <f t="shared" si="39"/>
        <v>209</v>
      </c>
      <c r="C216" s="5">
        <f t="shared" si="40"/>
        <v>209</v>
      </c>
      <c r="D216" s="5">
        <f t="shared" si="41"/>
        <v>17</v>
      </c>
      <c r="E216" s="5">
        <f t="shared" si="42"/>
        <v>63</v>
      </c>
      <c r="F216" s="65">
        <f>1-(1-VLOOKUP($E216,'Annual Mortality Rates'!$B$5:$C$105,2,FALSE))^(1/12)</f>
        <v>4.3855627899469507E-4</v>
      </c>
      <c r="G216" s="76">
        <f>IF(D216+1&gt;Assumptions!$H$9,100%,1-(1-IF(D216&gt;=7,2%,VLOOKUP($D216,'Annual Lapse Rates'!$B$4:$C$14,2,FALSE)))^(1/12))</f>
        <v>1</v>
      </c>
      <c r="H216" s="82">
        <f t="shared" si="50"/>
        <v>5</v>
      </c>
      <c r="I216" s="66">
        <f t="shared" si="44"/>
        <v>0</v>
      </c>
      <c r="J216" s="67">
        <f t="shared" si="45"/>
        <v>0</v>
      </c>
      <c r="K216" s="67">
        <f t="shared" si="46"/>
        <v>0</v>
      </c>
      <c r="M216" s="68">
        <f t="shared" si="51"/>
        <v>265329228.50121415</v>
      </c>
      <c r="N216" s="68">
        <f>IF(AND(H216=1,D216&lt;15),Assumptions!$H$4*I215,0)</f>
        <v>0</v>
      </c>
      <c r="O216" s="68"/>
      <c r="P216" s="91">
        <f>$M216*(1+VLOOKUP($H216,Assumptions!$C$22:$D$33,2,FALSE))*F216</f>
        <v>118179.95227190107</v>
      </c>
      <c r="Q216" s="91">
        <f>$M216*(1+VLOOKUP($H216,Assumptions!$C$22:$D$33,2,FALSE))*G216</f>
        <v>269474997.6965456</v>
      </c>
      <c r="R216" s="68">
        <f>IF(AND(H216=12,D216&lt;15),Assumptions!$C$7*M216,0)</f>
        <v>0</v>
      </c>
      <c r="S216" s="69">
        <f>M216*Assumptions!$D$17</f>
        <v>1080984.1203338651</v>
      </c>
      <c r="T216" s="69">
        <f t="shared" si="47"/>
        <v>266410212.621548</v>
      </c>
      <c r="U216" s="68">
        <f>T216+AE216*(1+Assumptions!$D$17)</f>
        <v>266410212.621548</v>
      </c>
      <c r="V216" s="68">
        <f>(M216+N216-O216)*(1+Assumptions!$D$17)-(P216+Q216)*(1+Assumptions!$D$17)^0.5-R216-T216</f>
        <v>-270141797.41907275</v>
      </c>
      <c r="W216" s="68"/>
      <c r="X216" s="68">
        <f>IF(AND(H216=1,D216&lt;15),Assumptions!$D$10*N216+Assumptions!$D$11*(1+Assumptions!$D$16)^(B216-1)*$I$7,0)</f>
        <v>0</v>
      </c>
      <c r="Y216" s="66">
        <f>Assumptions!$C$13*N216</f>
        <v>0</v>
      </c>
      <c r="Z216" s="66">
        <f>NPV(Assumptions!$D$19,N216:$N$259)*(1+Assumptions!$D$19)</f>
        <v>0</v>
      </c>
      <c r="AA216" s="69">
        <f t="shared" si="48"/>
        <v>0</v>
      </c>
      <c r="AC216" s="68">
        <f t="shared" si="49"/>
        <v>-270141797.41907275</v>
      </c>
      <c r="AD216" s="68"/>
      <c r="AE216" s="68"/>
      <c r="AF216" s="68"/>
      <c r="AG216" s="68"/>
      <c r="AH216" s="68"/>
      <c r="AI216" s="68"/>
      <c r="AK216" s="68"/>
      <c r="AL216" s="71">
        <f t="shared" si="43"/>
        <v>0</v>
      </c>
    </row>
    <row r="217" spans="2:38" x14ac:dyDescent="0.2">
      <c r="B217" s="5">
        <f t="shared" si="39"/>
        <v>210</v>
      </c>
      <c r="C217" s="5">
        <f t="shared" si="40"/>
        <v>210</v>
      </c>
      <c r="D217" s="5">
        <f t="shared" si="41"/>
        <v>17</v>
      </c>
      <c r="E217" s="5">
        <f t="shared" si="42"/>
        <v>63</v>
      </c>
      <c r="F217" s="65">
        <f>1-(1-VLOOKUP($E217,'Annual Mortality Rates'!$B$5:$C$105,2,FALSE))^(1/12)</f>
        <v>4.3855627899469507E-4</v>
      </c>
      <c r="G217" s="76">
        <f>IF(D217+1&gt;Assumptions!$H$9,100%,1-(1-IF(D217&gt;=7,2%,VLOOKUP($D217,'Annual Lapse Rates'!$B$4:$C$14,2,FALSE)))^(1/12))</f>
        <v>1</v>
      </c>
      <c r="H217" s="82">
        <f t="shared" si="50"/>
        <v>6</v>
      </c>
      <c r="I217" s="66">
        <f t="shared" si="44"/>
        <v>0</v>
      </c>
      <c r="J217" s="67">
        <f t="shared" si="45"/>
        <v>0</v>
      </c>
      <c r="K217" s="67">
        <f t="shared" si="46"/>
        <v>0</v>
      </c>
      <c r="M217" s="68">
        <f t="shared" si="51"/>
        <v>-270141797.41907275</v>
      </c>
      <c r="N217" s="68">
        <f>IF(AND(H217=1,D217&lt;15),Assumptions!$H$4*I216,0)</f>
        <v>0</v>
      </c>
      <c r="O217" s="68"/>
      <c r="P217" s="91">
        <f>$M217*(1+VLOOKUP($H217,Assumptions!$C$22:$D$33,2,FALSE))*F217</f>
        <v>-120693.73862974191</v>
      </c>
      <c r="Q217" s="91">
        <f>$M217*(1+VLOOKUP($H217,Assumptions!$C$22:$D$33,2,FALSE))*G217</f>
        <v>-275206956.12068039</v>
      </c>
      <c r="R217" s="68">
        <f>IF(AND(H217=12,D217&lt;15),Assumptions!$C$7*M217,0)</f>
        <v>0</v>
      </c>
      <c r="S217" s="69">
        <f>M217*Assumptions!$D$17</f>
        <v>-1100591.1218225597</v>
      </c>
      <c r="T217" s="69">
        <f t="shared" si="47"/>
        <v>-271242388.54089528</v>
      </c>
      <c r="U217" s="68">
        <f>T217+AE217*(1+Assumptions!$D$17)</f>
        <v>-271242388.54089528</v>
      </c>
      <c r="V217" s="68">
        <f>(M217+N217-O217)*(1+Assumptions!$D$17)-(P217+Q217)*(1+Assumptions!$D$17)^0.5-R217-T217</f>
        <v>275887939.23060685</v>
      </c>
      <c r="W217" s="68"/>
      <c r="X217" s="68">
        <f>IF(AND(H217=1,D217&lt;15),Assumptions!$D$10*N217+Assumptions!$D$11*(1+Assumptions!$D$16)^(B217-1)*$I$7,0)</f>
        <v>0</v>
      </c>
      <c r="Y217" s="66">
        <f>Assumptions!$C$13*N217</f>
        <v>0</v>
      </c>
      <c r="Z217" s="66">
        <f>NPV(Assumptions!$D$19,N217:$N$259)*(1+Assumptions!$D$19)</f>
        <v>0</v>
      </c>
      <c r="AA217" s="69">
        <f t="shared" si="48"/>
        <v>0</v>
      </c>
      <c r="AC217" s="68">
        <f t="shared" si="49"/>
        <v>275887939.23060685</v>
      </c>
      <c r="AD217" s="68"/>
      <c r="AE217" s="68"/>
      <c r="AF217" s="68"/>
      <c r="AG217" s="68"/>
      <c r="AH217" s="68"/>
      <c r="AI217" s="68"/>
      <c r="AK217" s="68"/>
      <c r="AL217" s="71">
        <f t="shared" si="43"/>
        <v>0</v>
      </c>
    </row>
    <row r="218" spans="2:38" x14ac:dyDescent="0.2">
      <c r="B218" s="5">
        <f t="shared" si="39"/>
        <v>211</v>
      </c>
      <c r="C218" s="5">
        <f t="shared" si="40"/>
        <v>211</v>
      </c>
      <c r="D218" s="5">
        <f t="shared" si="41"/>
        <v>17</v>
      </c>
      <c r="E218" s="5">
        <f t="shared" si="42"/>
        <v>63</v>
      </c>
      <c r="F218" s="65">
        <f>1-(1-VLOOKUP($E218,'Annual Mortality Rates'!$B$5:$C$105,2,FALSE))^(1/12)</f>
        <v>4.3855627899469507E-4</v>
      </c>
      <c r="G218" s="76">
        <f>IF(D218+1&gt;Assumptions!$H$9,100%,1-(1-IF(D218&gt;=7,2%,VLOOKUP($D218,'Annual Lapse Rates'!$B$4:$C$14,2,FALSE)))^(1/12))</f>
        <v>1</v>
      </c>
      <c r="H218" s="82">
        <f t="shared" si="50"/>
        <v>7</v>
      </c>
      <c r="I218" s="66">
        <f t="shared" si="44"/>
        <v>0</v>
      </c>
      <c r="J218" s="67">
        <f t="shared" si="45"/>
        <v>0</v>
      </c>
      <c r="K218" s="67">
        <f t="shared" si="46"/>
        <v>0</v>
      </c>
      <c r="M218" s="68">
        <f t="shared" si="51"/>
        <v>275887939.23060685</v>
      </c>
      <c r="N218" s="68">
        <f>IF(AND(H218=1,D218&lt;15),Assumptions!$H$4*I217,0)</f>
        <v>0</v>
      </c>
      <c r="O218" s="68"/>
      <c r="P218" s="91">
        <f>$M218*(1+VLOOKUP($H218,Assumptions!$C$22:$D$33,2,FALSE))*F218</f>
        <v>123639.09653705022</v>
      </c>
      <c r="Q218" s="91">
        <f>$M218*(1+VLOOKUP($H218,Assumptions!$C$22:$D$33,2,FALSE))*G218</f>
        <v>281922987.90127641</v>
      </c>
      <c r="R218" s="68">
        <f>IF(AND(H218=12,D218&lt;15),Assumptions!$C$7*M218,0)</f>
        <v>0</v>
      </c>
      <c r="S218" s="69">
        <f>M218*Assumptions!$D$17</f>
        <v>1124001.6148411471</v>
      </c>
      <c r="T218" s="69">
        <f t="shared" si="47"/>
        <v>277011940.84544802</v>
      </c>
      <c r="U218" s="68">
        <f>T218+AE218*(1+Assumptions!$D$17)</f>
        <v>277011940.84544802</v>
      </c>
      <c r="V218" s="68">
        <f>(M218+N218-O218)*(1+Assumptions!$D$17)-(P218+Q218)*(1+Assumptions!$D$17)^0.5-R218-T218</f>
        <v>-282620589.42911202</v>
      </c>
      <c r="W218" s="68"/>
      <c r="X218" s="68">
        <f>IF(AND(H218=1,D218&lt;15),Assumptions!$D$10*N218+Assumptions!$D$11*(1+Assumptions!$D$16)^(B218-1)*$I$7,0)</f>
        <v>0</v>
      </c>
      <c r="Y218" s="66">
        <f>Assumptions!$C$13*N218</f>
        <v>0</v>
      </c>
      <c r="Z218" s="66">
        <f>NPV(Assumptions!$D$19,N218:$N$259)*(1+Assumptions!$D$19)</f>
        <v>0</v>
      </c>
      <c r="AA218" s="69">
        <f t="shared" si="48"/>
        <v>0</v>
      </c>
      <c r="AC218" s="68">
        <f t="shared" si="49"/>
        <v>-282620589.42911202</v>
      </c>
      <c r="AD218" s="68"/>
      <c r="AE218" s="68"/>
      <c r="AF218" s="68"/>
      <c r="AG218" s="68"/>
      <c r="AH218" s="68"/>
      <c r="AI218" s="68"/>
      <c r="AK218" s="68"/>
      <c r="AL218" s="71">
        <f t="shared" si="43"/>
        <v>0</v>
      </c>
    </row>
    <row r="219" spans="2:38" x14ac:dyDescent="0.2">
      <c r="B219" s="5">
        <f t="shared" si="39"/>
        <v>212</v>
      </c>
      <c r="C219" s="5">
        <f t="shared" si="40"/>
        <v>212</v>
      </c>
      <c r="D219" s="5">
        <f t="shared" si="41"/>
        <v>17</v>
      </c>
      <c r="E219" s="5">
        <f t="shared" si="42"/>
        <v>63</v>
      </c>
      <c r="F219" s="65">
        <f>1-(1-VLOOKUP($E219,'Annual Mortality Rates'!$B$5:$C$105,2,FALSE))^(1/12)</f>
        <v>4.3855627899469507E-4</v>
      </c>
      <c r="G219" s="76">
        <f>IF(D219+1&gt;Assumptions!$H$9,100%,1-(1-IF(D219&gt;=7,2%,VLOOKUP($D219,'Annual Lapse Rates'!$B$4:$C$14,2,FALSE)))^(1/12))</f>
        <v>1</v>
      </c>
      <c r="H219" s="82">
        <f t="shared" si="50"/>
        <v>8</v>
      </c>
      <c r="I219" s="66">
        <f t="shared" si="44"/>
        <v>0</v>
      </c>
      <c r="J219" s="67">
        <f t="shared" si="45"/>
        <v>0</v>
      </c>
      <c r="K219" s="67">
        <f t="shared" si="46"/>
        <v>0</v>
      </c>
      <c r="M219" s="68">
        <f t="shared" si="51"/>
        <v>-282620589.42911202</v>
      </c>
      <c r="N219" s="68">
        <f>IF(AND(H219=1,D219&lt;15),Assumptions!$H$4*I218,0)</f>
        <v>0</v>
      </c>
      <c r="O219" s="68"/>
      <c r="P219" s="91">
        <f>$M219*(1+VLOOKUP($H219,Assumptions!$C$22:$D$33,2,FALSE))*F219</f>
        <v>-127043.65991900179</v>
      </c>
      <c r="Q219" s="91">
        <f>$M219*(1+VLOOKUP($H219,Assumptions!$C$22:$D$33,2,FALSE))*G219</f>
        <v>-289686104.1648398</v>
      </c>
      <c r="R219" s="68">
        <f>IF(AND(H219=12,D219&lt;15),Assumptions!$C$7*M219,0)</f>
        <v>0</v>
      </c>
      <c r="S219" s="69">
        <f>M219*Assumptions!$D$17</f>
        <v>-1151431.2651418617</v>
      </c>
      <c r="T219" s="69">
        <f t="shared" si="47"/>
        <v>-283772020.69425386</v>
      </c>
      <c r="U219" s="68">
        <f>T219+AE219*(1+Assumptions!$D$17)</f>
        <v>-283772020.69425386</v>
      </c>
      <c r="V219" s="68">
        <f>(M219+N219-O219)*(1+Assumptions!$D$17)-(P219+Q219)*(1+Assumptions!$D$17)^0.5-R219-T219</f>
        <v>290402915.05834848</v>
      </c>
      <c r="W219" s="68"/>
      <c r="X219" s="68">
        <f>IF(AND(H219=1,D219&lt;15),Assumptions!$D$10*N219+Assumptions!$D$11*(1+Assumptions!$D$16)^(B219-1)*$I$7,0)</f>
        <v>0</v>
      </c>
      <c r="Y219" s="66">
        <f>Assumptions!$C$13*N219</f>
        <v>0</v>
      </c>
      <c r="Z219" s="66">
        <f>NPV(Assumptions!$D$19,N219:$N$259)*(1+Assumptions!$D$19)</f>
        <v>0</v>
      </c>
      <c r="AA219" s="69">
        <f t="shared" si="48"/>
        <v>0</v>
      </c>
      <c r="AC219" s="68">
        <f t="shared" si="49"/>
        <v>290402915.05834848</v>
      </c>
      <c r="AD219" s="68"/>
      <c r="AE219" s="68"/>
      <c r="AF219" s="68"/>
      <c r="AG219" s="68"/>
      <c r="AH219" s="68"/>
      <c r="AI219" s="68"/>
      <c r="AK219" s="68"/>
      <c r="AL219" s="71">
        <f t="shared" si="43"/>
        <v>0</v>
      </c>
    </row>
    <row r="220" spans="2:38" x14ac:dyDescent="0.2">
      <c r="B220" s="5">
        <f t="shared" si="39"/>
        <v>213</v>
      </c>
      <c r="C220" s="5">
        <f t="shared" si="40"/>
        <v>213</v>
      </c>
      <c r="D220" s="5">
        <f t="shared" si="41"/>
        <v>17</v>
      </c>
      <c r="E220" s="5">
        <f t="shared" si="42"/>
        <v>63</v>
      </c>
      <c r="F220" s="65">
        <f>1-(1-VLOOKUP($E220,'Annual Mortality Rates'!$B$5:$C$105,2,FALSE))^(1/12)</f>
        <v>4.3855627899469507E-4</v>
      </c>
      <c r="G220" s="76">
        <f>IF(D220+1&gt;Assumptions!$H$9,100%,1-(1-IF(D220&gt;=7,2%,VLOOKUP($D220,'Annual Lapse Rates'!$B$4:$C$14,2,FALSE)))^(1/12))</f>
        <v>1</v>
      </c>
      <c r="H220" s="82">
        <f t="shared" si="50"/>
        <v>9</v>
      </c>
      <c r="I220" s="66">
        <f t="shared" si="44"/>
        <v>0</v>
      </c>
      <c r="J220" s="67">
        <f t="shared" si="45"/>
        <v>0</v>
      </c>
      <c r="K220" s="67">
        <f t="shared" si="46"/>
        <v>0</v>
      </c>
      <c r="M220" s="68">
        <f t="shared" si="51"/>
        <v>290402915.05834848</v>
      </c>
      <c r="N220" s="68">
        <f>IF(AND(H220=1,D220&lt;15),Assumptions!$H$4*I219,0)</f>
        <v>0</v>
      </c>
      <c r="O220" s="68"/>
      <c r="P220" s="91">
        <f>$M220*(1+VLOOKUP($H220,Assumptions!$C$22:$D$33,2,FALSE))*F220</f>
        <v>130939.9662013731</v>
      </c>
      <c r="Q220" s="91">
        <f>$M220*(1+VLOOKUP($H220,Assumptions!$C$22:$D$33,2,FALSE))*G220</f>
        <v>298570497.04436451</v>
      </c>
      <c r="R220" s="68">
        <f>IF(AND(H220=12,D220&lt;15),Assumptions!$C$7*M220,0)</f>
        <v>0</v>
      </c>
      <c r="S220" s="69">
        <f>M220*Assumptions!$D$17</f>
        <v>1183137.4230800301</v>
      </c>
      <c r="T220" s="69">
        <f t="shared" si="47"/>
        <v>291586052.4814285</v>
      </c>
      <c r="U220" s="68">
        <f>T220+AE220*(1+Assumptions!$D$17)</f>
        <v>291586052.4814285</v>
      </c>
      <c r="V220" s="68">
        <f>(M220+N220-O220)*(1+Assumptions!$D$17)-(P220+Q220)*(1+Assumptions!$D$17)^0.5-R220-T220</f>
        <v>-299309291.83529419</v>
      </c>
      <c r="W220" s="68"/>
      <c r="X220" s="68">
        <f>IF(AND(H220=1,D220&lt;15),Assumptions!$D$10*N220+Assumptions!$D$11*(1+Assumptions!$D$16)^(B220-1)*$I$7,0)</f>
        <v>0</v>
      </c>
      <c r="Y220" s="66">
        <f>Assumptions!$C$13*N220</f>
        <v>0</v>
      </c>
      <c r="Z220" s="66">
        <f>NPV(Assumptions!$D$19,N220:$N$259)*(1+Assumptions!$D$19)</f>
        <v>0</v>
      </c>
      <c r="AA220" s="69">
        <f t="shared" si="48"/>
        <v>0</v>
      </c>
      <c r="AC220" s="68">
        <f t="shared" si="49"/>
        <v>-299309291.83529419</v>
      </c>
      <c r="AD220" s="68"/>
      <c r="AE220" s="68"/>
      <c r="AF220" s="68"/>
      <c r="AG220" s="68"/>
      <c r="AH220" s="68"/>
      <c r="AI220" s="68"/>
      <c r="AK220" s="68"/>
      <c r="AL220" s="71">
        <f t="shared" si="43"/>
        <v>0</v>
      </c>
    </row>
    <row r="221" spans="2:38" x14ac:dyDescent="0.2">
      <c r="B221" s="5">
        <f t="shared" si="39"/>
        <v>214</v>
      </c>
      <c r="C221" s="5">
        <f t="shared" si="40"/>
        <v>214</v>
      </c>
      <c r="D221" s="5">
        <f t="shared" si="41"/>
        <v>17</v>
      </c>
      <c r="E221" s="5">
        <f t="shared" si="42"/>
        <v>63</v>
      </c>
      <c r="F221" s="65">
        <f>1-(1-VLOOKUP($E221,'Annual Mortality Rates'!$B$5:$C$105,2,FALSE))^(1/12)</f>
        <v>4.3855627899469507E-4</v>
      </c>
      <c r="G221" s="76">
        <f>IF(D221+1&gt;Assumptions!$H$9,100%,1-(1-IF(D221&gt;=7,2%,VLOOKUP($D221,'Annual Lapse Rates'!$B$4:$C$14,2,FALSE)))^(1/12))</f>
        <v>1</v>
      </c>
      <c r="H221" s="82">
        <f t="shared" si="50"/>
        <v>10</v>
      </c>
      <c r="I221" s="66">
        <f t="shared" si="44"/>
        <v>0</v>
      </c>
      <c r="J221" s="67">
        <f t="shared" si="45"/>
        <v>0</v>
      </c>
      <c r="K221" s="67">
        <f t="shared" si="46"/>
        <v>0</v>
      </c>
      <c r="M221" s="68">
        <f t="shared" si="51"/>
        <v>-299309291.83529419</v>
      </c>
      <c r="N221" s="68">
        <f>IF(AND(H221=1,D221&lt;15),Assumptions!$H$4*I220,0)</f>
        <v>0</v>
      </c>
      <c r="O221" s="68"/>
      <c r="P221" s="91">
        <f>$M221*(1+VLOOKUP($H221,Assumptions!$C$22:$D$33,2,FALSE))*F221</f>
        <v>-135365.96833631839</v>
      </c>
      <c r="Q221" s="91">
        <f>$M221*(1+VLOOKUP($H221,Assumptions!$C$22:$D$33,2,FALSE))*G221</f>
        <v>-308662707.20514715</v>
      </c>
      <c r="R221" s="68">
        <f>IF(AND(H221=12,D221&lt;15),Assumptions!$C$7*M221,0)</f>
        <v>0</v>
      </c>
      <c r="S221" s="69">
        <f>M221*Assumptions!$D$17</f>
        <v>-1219423.104533118</v>
      </c>
      <c r="T221" s="69">
        <f t="shared" si="47"/>
        <v>-300528714.93982732</v>
      </c>
      <c r="U221" s="68">
        <f>T221+AE221*(1+Assumptions!$D$17)</f>
        <v>-300528714.93982732</v>
      </c>
      <c r="V221" s="68">
        <f>(M221+N221-O221)*(1+Assumptions!$D$17)-(P221+Q221)*(1+Assumptions!$D$17)^0.5-R221-T221</f>
        <v>309426474.56493264</v>
      </c>
      <c r="W221" s="68"/>
      <c r="X221" s="68">
        <f>IF(AND(H221=1,D221&lt;15),Assumptions!$D$10*N221+Assumptions!$D$11*(1+Assumptions!$D$16)^(B221-1)*$I$7,0)</f>
        <v>0</v>
      </c>
      <c r="Y221" s="66">
        <f>Assumptions!$C$13*N221</f>
        <v>0</v>
      </c>
      <c r="Z221" s="66">
        <f>NPV(Assumptions!$D$19,N221:$N$259)*(1+Assumptions!$D$19)</f>
        <v>0</v>
      </c>
      <c r="AA221" s="69">
        <f t="shared" si="48"/>
        <v>0</v>
      </c>
      <c r="AC221" s="68">
        <f t="shared" si="49"/>
        <v>309426474.56493264</v>
      </c>
      <c r="AD221" s="68"/>
      <c r="AE221" s="68"/>
      <c r="AF221" s="68"/>
      <c r="AG221" s="68"/>
      <c r="AH221" s="68"/>
      <c r="AI221" s="68"/>
      <c r="AK221" s="68"/>
      <c r="AL221" s="71">
        <f t="shared" si="43"/>
        <v>0</v>
      </c>
    </row>
    <row r="222" spans="2:38" x14ac:dyDescent="0.2">
      <c r="B222" s="5">
        <f t="shared" si="39"/>
        <v>215</v>
      </c>
      <c r="C222" s="5">
        <f t="shared" si="40"/>
        <v>215</v>
      </c>
      <c r="D222" s="5">
        <f t="shared" si="41"/>
        <v>17</v>
      </c>
      <c r="E222" s="5">
        <f t="shared" si="42"/>
        <v>63</v>
      </c>
      <c r="F222" s="65">
        <f>1-(1-VLOOKUP($E222,'Annual Mortality Rates'!$B$5:$C$105,2,FALSE))^(1/12)</f>
        <v>4.3855627899469507E-4</v>
      </c>
      <c r="G222" s="76">
        <f>IF(D222+1&gt;Assumptions!$H$9,100%,1-(1-IF(D222&gt;=7,2%,VLOOKUP($D222,'Annual Lapse Rates'!$B$4:$C$14,2,FALSE)))^(1/12))</f>
        <v>1</v>
      </c>
      <c r="H222" s="82">
        <f t="shared" si="50"/>
        <v>11</v>
      </c>
      <c r="I222" s="66">
        <f t="shared" si="44"/>
        <v>0</v>
      </c>
      <c r="J222" s="67">
        <f t="shared" si="45"/>
        <v>0</v>
      </c>
      <c r="K222" s="67">
        <f t="shared" si="46"/>
        <v>0</v>
      </c>
      <c r="M222" s="68">
        <f t="shared" si="51"/>
        <v>309426474.56493264</v>
      </c>
      <c r="N222" s="68">
        <f>IF(AND(H222=1,D222&lt;15),Assumptions!$H$4*I221,0)</f>
        <v>0</v>
      </c>
      <c r="O222" s="68"/>
      <c r="P222" s="91">
        <f>$M222*(1+VLOOKUP($H222,Assumptions!$C$22:$D$33,2,FALSE))*F222</f>
        <v>140365.64254634379</v>
      </c>
      <c r="Q222" s="91">
        <f>$M222*(1+VLOOKUP($H222,Assumptions!$C$22:$D$33,2,FALSE))*G222</f>
        <v>320063009.62810224</v>
      </c>
      <c r="R222" s="68">
        <f>IF(AND(H222=12,D222&lt;15),Assumptions!$C$7*M222,0)</f>
        <v>0</v>
      </c>
      <c r="S222" s="69">
        <f>M222*Assumptions!$D$17</f>
        <v>1260641.7593154544</v>
      </c>
      <c r="T222" s="69">
        <f t="shared" si="47"/>
        <v>310687116.32424808</v>
      </c>
      <c r="U222" s="68">
        <f>T222+AE222*(1+Assumptions!$D$17)</f>
        <v>310687116.32424808</v>
      </c>
      <c r="V222" s="68">
        <f>(M222+N222-O222)*(1+Assumptions!$D$17)-(P222+Q222)*(1+Assumptions!$D$17)^0.5-R222-T222</f>
        <v>-320854986.35260552</v>
      </c>
      <c r="W222" s="68"/>
      <c r="X222" s="68">
        <f>IF(AND(H222=1,D222&lt;15),Assumptions!$D$10*N222+Assumptions!$D$11*(1+Assumptions!$D$16)^(B222-1)*$I$7,0)</f>
        <v>0</v>
      </c>
      <c r="Y222" s="66">
        <f>Assumptions!$C$13*N222</f>
        <v>0</v>
      </c>
      <c r="Z222" s="66">
        <f>NPV(Assumptions!$D$19,N222:$N$259)*(1+Assumptions!$D$19)</f>
        <v>0</v>
      </c>
      <c r="AA222" s="69">
        <f t="shared" si="48"/>
        <v>0</v>
      </c>
      <c r="AC222" s="68">
        <f t="shared" si="49"/>
        <v>-320854986.35260552</v>
      </c>
      <c r="AD222" s="68"/>
      <c r="AE222" s="68"/>
      <c r="AF222" s="68"/>
      <c r="AG222" s="68"/>
      <c r="AH222" s="68"/>
      <c r="AI222" s="68"/>
      <c r="AK222" s="68"/>
      <c r="AL222" s="71">
        <f t="shared" si="43"/>
        <v>0</v>
      </c>
    </row>
    <row r="223" spans="2:38" x14ac:dyDescent="0.2">
      <c r="B223" s="5">
        <f t="shared" si="39"/>
        <v>216</v>
      </c>
      <c r="C223" s="5">
        <f t="shared" si="40"/>
        <v>216</v>
      </c>
      <c r="D223" s="5">
        <f t="shared" si="41"/>
        <v>17</v>
      </c>
      <c r="E223" s="5">
        <f t="shared" si="42"/>
        <v>63</v>
      </c>
      <c r="F223" s="65">
        <f>1-(1-VLOOKUP($E223,'Annual Mortality Rates'!$B$5:$C$105,2,FALSE))^(1/12)</f>
        <v>4.3855627899469507E-4</v>
      </c>
      <c r="G223" s="76">
        <f>IF(D223+1&gt;Assumptions!$H$9,100%,1-(1-IF(D223&gt;=7,2%,VLOOKUP($D223,'Annual Lapse Rates'!$B$4:$C$14,2,FALSE)))^(1/12))</f>
        <v>1</v>
      </c>
      <c r="H223" s="82">
        <f t="shared" si="50"/>
        <v>12</v>
      </c>
      <c r="I223" s="66">
        <f t="shared" si="44"/>
        <v>0</v>
      </c>
      <c r="J223" s="67">
        <f t="shared" si="45"/>
        <v>0</v>
      </c>
      <c r="K223" s="67">
        <f t="shared" si="46"/>
        <v>0</v>
      </c>
      <c r="M223" s="68">
        <f t="shared" si="51"/>
        <v>-320854986.35260552</v>
      </c>
      <c r="N223" s="68">
        <f>IF(AND(H223=1,D223&lt;15),Assumptions!$H$4*I222,0)</f>
        <v>0</v>
      </c>
      <c r="O223" s="68"/>
      <c r="P223" s="91">
        <f>$M223*(1+VLOOKUP($H223,Assumptions!$C$22:$D$33,2,FALSE))*F223</f>
        <v>-145989.70524588082</v>
      </c>
      <c r="Q223" s="91">
        <f>$M223*(1+VLOOKUP($H223,Assumptions!$C$22:$D$33,2,FALSE))*G223</f>
        <v>-332887048.34082824</v>
      </c>
      <c r="R223" s="68">
        <f>IF(AND(H223=12,D223&lt;15),Assumptions!$C$7*M223,0)</f>
        <v>0</v>
      </c>
      <c r="S223" s="69">
        <f>M223*Assumptions!$D$17</f>
        <v>-1307202.9310013179</v>
      </c>
      <c r="T223" s="69">
        <f t="shared" si="47"/>
        <v>-322162189.28360683</v>
      </c>
      <c r="U223" s="68">
        <f>T223+AE223*(1+Assumptions!$D$17)</f>
        <v>-322162189.28360683</v>
      </c>
      <c r="V223" s="68">
        <f>(M223+N223-O223)*(1+Assumptions!$D$17)-(P223+Q223)*(1+Assumptions!$D$17)^0.5-R223-T223</f>
        <v>333710757.3801229</v>
      </c>
      <c r="W223" s="68"/>
      <c r="X223" s="68">
        <f>IF(AND(H223=1,D223&lt;15),Assumptions!$D$10*N223+Assumptions!$D$11*(1+Assumptions!$D$16)^(B223-1)*$I$7,0)</f>
        <v>0</v>
      </c>
      <c r="Y223" s="66">
        <f>Assumptions!$C$13*N223</f>
        <v>0</v>
      </c>
      <c r="Z223" s="66">
        <f>NPV(Assumptions!$D$19,N223:$N$259)*(1+Assumptions!$D$19)</f>
        <v>0</v>
      </c>
      <c r="AA223" s="69">
        <f t="shared" si="48"/>
        <v>0</v>
      </c>
      <c r="AC223" s="68">
        <f t="shared" si="49"/>
        <v>333710757.3801229</v>
      </c>
      <c r="AD223" s="68"/>
      <c r="AE223" s="68"/>
      <c r="AF223" s="68"/>
      <c r="AG223" s="68"/>
      <c r="AH223" s="68"/>
      <c r="AI223" s="68"/>
      <c r="AK223" s="68"/>
      <c r="AL223" s="71">
        <f t="shared" si="43"/>
        <v>0</v>
      </c>
    </row>
    <row r="224" spans="2:38" x14ac:dyDescent="0.2">
      <c r="B224" s="5">
        <f t="shared" si="39"/>
        <v>217</v>
      </c>
      <c r="C224" s="5">
        <f t="shared" si="40"/>
        <v>217</v>
      </c>
      <c r="D224" s="5">
        <f t="shared" si="41"/>
        <v>18</v>
      </c>
      <c r="E224" s="5">
        <f t="shared" si="42"/>
        <v>64</v>
      </c>
      <c r="F224" s="65">
        <f>1-(1-VLOOKUP($E224,'Annual Mortality Rates'!$B$5:$C$105,2,FALSE))^(1/12)</f>
        <v>4.8378519100333861E-4</v>
      </c>
      <c r="G224" s="76">
        <f>IF(D224+1&gt;Assumptions!$H$9,100%,1-(1-IF(D224&gt;=7,2%,VLOOKUP($D224,'Annual Lapse Rates'!$B$4:$C$14,2,FALSE)))^(1/12))</f>
        <v>1</v>
      </c>
      <c r="H224" s="82">
        <f t="shared" si="50"/>
        <v>1</v>
      </c>
      <c r="I224" s="66">
        <f t="shared" si="44"/>
        <v>0</v>
      </c>
      <c r="J224" s="67">
        <f t="shared" si="45"/>
        <v>0</v>
      </c>
      <c r="K224" s="67">
        <f t="shared" si="46"/>
        <v>0</v>
      </c>
      <c r="M224" s="68">
        <f t="shared" si="51"/>
        <v>333710757.3801229</v>
      </c>
      <c r="N224" s="68">
        <f>IF(AND(H224=1,D224&lt;15),Assumptions!$H$4*I223,0)</f>
        <v>0</v>
      </c>
      <c r="O224" s="68"/>
      <c r="P224" s="91">
        <f>$M224*(1+VLOOKUP($H224,Assumptions!$C$22:$D$33,2,FALSE))*F224</f>
        <v>161948.83600682096</v>
      </c>
      <c r="Q224" s="91">
        <f>$M224*(1+VLOOKUP($H224,Assumptions!$C$22:$D$33,2,FALSE))*G224</f>
        <v>334753603.49693578</v>
      </c>
      <c r="R224" s="68">
        <f>IF(AND(H224=12,D224&lt;15),Assumptions!$C$7*M224,0)</f>
        <v>0</v>
      </c>
      <c r="S224" s="69">
        <f>M224*Assumptions!$D$17</f>
        <v>1359578.9335016641</v>
      </c>
      <c r="T224" s="69">
        <f t="shared" si="47"/>
        <v>335070336.31362456</v>
      </c>
      <c r="U224" s="68">
        <f>T224+AE224*(1+Assumptions!$D$17)</f>
        <v>335070336.31362456</v>
      </c>
      <c r="V224" s="68">
        <f>(M224+N224-O224)*(1+Assumptions!$D$17)-(P224+Q224)*(1+Assumptions!$D$17)^0.5-R224-T224</f>
        <v>-335597102.56718177</v>
      </c>
      <c r="W224" s="68"/>
      <c r="X224" s="68">
        <f>IF(AND(H224=1,D224&lt;15),Assumptions!$D$10*N224+Assumptions!$D$11*(1+Assumptions!$D$16)^(B224-1)*$I$7,0)</f>
        <v>0</v>
      </c>
      <c r="Y224" s="66">
        <f>Assumptions!$C$13*N224</f>
        <v>0</v>
      </c>
      <c r="Z224" s="66">
        <f>NPV(Assumptions!$D$19,N224:$N$259)*(1+Assumptions!$D$19)</f>
        <v>0</v>
      </c>
      <c r="AA224" s="69">
        <f t="shared" si="48"/>
        <v>0</v>
      </c>
      <c r="AC224" s="68">
        <f t="shared" si="49"/>
        <v>-335597102.56718177</v>
      </c>
      <c r="AD224" s="68"/>
      <c r="AE224" s="68"/>
      <c r="AF224" s="68"/>
      <c r="AG224" s="68"/>
      <c r="AH224" s="68"/>
      <c r="AI224" s="68"/>
      <c r="AK224" s="68"/>
      <c r="AL224" s="71">
        <f t="shared" si="43"/>
        <v>0</v>
      </c>
    </row>
    <row r="225" spans="2:38" x14ac:dyDescent="0.2">
      <c r="B225" s="5">
        <f t="shared" si="39"/>
        <v>218</v>
      </c>
      <c r="C225" s="5">
        <f t="shared" si="40"/>
        <v>218</v>
      </c>
      <c r="D225" s="5">
        <f t="shared" si="41"/>
        <v>18</v>
      </c>
      <c r="E225" s="5">
        <f t="shared" si="42"/>
        <v>64</v>
      </c>
      <c r="F225" s="65">
        <f>1-(1-VLOOKUP($E225,'Annual Mortality Rates'!$B$5:$C$105,2,FALSE))^(1/12)</f>
        <v>4.8378519100333861E-4</v>
      </c>
      <c r="G225" s="76">
        <f>IF(D225+1&gt;Assumptions!$H$9,100%,1-(1-IF(D225&gt;=7,2%,VLOOKUP($D225,'Annual Lapse Rates'!$B$4:$C$14,2,FALSE)))^(1/12))</f>
        <v>1</v>
      </c>
      <c r="H225" s="82">
        <f t="shared" si="50"/>
        <v>2</v>
      </c>
      <c r="I225" s="66">
        <f t="shared" si="44"/>
        <v>0</v>
      </c>
      <c r="J225" s="67">
        <f t="shared" si="45"/>
        <v>0</v>
      </c>
      <c r="K225" s="67">
        <f t="shared" si="46"/>
        <v>0</v>
      </c>
      <c r="M225" s="68">
        <f t="shared" si="51"/>
        <v>-335597102.56718177</v>
      </c>
      <c r="N225" s="68">
        <f>IF(AND(H225=1,D225&lt;15),Assumptions!$H$4*I224,0)</f>
        <v>0</v>
      </c>
      <c r="O225" s="68"/>
      <c r="P225" s="91">
        <f>$M225*(1+VLOOKUP($H225,Assumptions!$C$22:$D$33,2,FALSE))*F225</f>
        <v>-163371.63904291627</v>
      </c>
      <c r="Q225" s="91">
        <f>$M225*(1+VLOOKUP($H225,Assumptions!$C$22:$D$33,2,FALSE))*G225</f>
        <v>-337694584.45822668</v>
      </c>
      <c r="R225" s="68">
        <f>IF(AND(H225=12,D225&lt;15),Assumptions!$C$7*M225,0)</f>
        <v>0</v>
      </c>
      <c r="S225" s="69">
        <f>M225*Assumptions!$D$17</f>
        <v>-1367264.1372924312</v>
      </c>
      <c r="T225" s="69">
        <f t="shared" si="47"/>
        <v>-336964366.70447421</v>
      </c>
      <c r="U225" s="68">
        <f>T225+AE225*(1+Assumptions!$D$17)</f>
        <v>-336964366.70447421</v>
      </c>
      <c r="V225" s="68">
        <f>(M225+N225-O225)*(1+Assumptions!$D$17)-(P225+Q225)*(1+Assumptions!$D$17)^0.5-R225-T225</f>
        <v>338545494.09756148</v>
      </c>
      <c r="W225" s="68"/>
      <c r="X225" s="68">
        <f>IF(AND(H225=1,D225&lt;15),Assumptions!$D$10*N225+Assumptions!$D$11*(1+Assumptions!$D$16)^(B225-1)*$I$7,0)</f>
        <v>0</v>
      </c>
      <c r="Y225" s="66">
        <f>Assumptions!$C$13*N225</f>
        <v>0</v>
      </c>
      <c r="Z225" s="66">
        <f>NPV(Assumptions!$D$19,N225:$N$259)*(1+Assumptions!$D$19)</f>
        <v>0</v>
      </c>
      <c r="AA225" s="69">
        <f t="shared" si="48"/>
        <v>0</v>
      </c>
      <c r="AC225" s="68">
        <f t="shared" si="49"/>
        <v>338545494.09756148</v>
      </c>
      <c r="AD225" s="68"/>
      <c r="AE225" s="68"/>
      <c r="AF225" s="68"/>
      <c r="AG225" s="68"/>
      <c r="AH225" s="68"/>
      <c r="AI225" s="68"/>
      <c r="AK225" s="68"/>
      <c r="AL225" s="71">
        <f t="shared" si="43"/>
        <v>0</v>
      </c>
    </row>
    <row r="226" spans="2:38" x14ac:dyDescent="0.2">
      <c r="B226" s="5">
        <f t="shared" si="39"/>
        <v>219</v>
      </c>
      <c r="C226" s="5">
        <f t="shared" si="40"/>
        <v>219</v>
      </c>
      <c r="D226" s="5">
        <f t="shared" si="41"/>
        <v>18</v>
      </c>
      <c r="E226" s="5">
        <f t="shared" si="42"/>
        <v>64</v>
      </c>
      <c r="F226" s="65">
        <f>1-(1-VLOOKUP($E226,'Annual Mortality Rates'!$B$5:$C$105,2,FALSE))^(1/12)</f>
        <v>4.8378519100333861E-4</v>
      </c>
      <c r="G226" s="76">
        <f>IF(D226+1&gt;Assumptions!$H$9,100%,1-(1-IF(D226&gt;=7,2%,VLOOKUP($D226,'Annual Lapse Rates'!$B$4:$C$14,2,FALSE)))^(1/12))</f>
        <v>1</v>
      </c>
      <c r="H226" s="82">
        <f t="shared" si="50"/>
        <v>3</v>
      </c>
      <c r="I226" s="66">
        <f t="shared" si="44"/>
        <v>0</v>
      </c>
      <c r="J226" s="67">
        <f t="shared" si="45"/>
        <v>0</v>
      </c>
      <c r="K226" s="67">
        <f t="shared" si="46"/>
        <v>0</v>
      </c>
      <c r="M226" s="68">
        <f t="shared" si="51"/>
        <v>338545494.09756148</v>
      </c>
      <c r="N226" s="68">
        <f>IF(AND(H226=1,D226&lt;15),Assumptions!$H$4*I225,0)</f>
        <v>0</v>
      </c>
      <c r="O226" s="68"/>
      <c r="P226" s="91">
        <f>$M226*(1+VLOOKUP($H226,Assumptions!$C$22:$D$33,2,FALSE))*F226</f>
        <v>165318.76493023318</v>
      </c>
      <c r="Q226" s="91">
        <f>$M226*(1+VLOOKUP($H226,Assumptions!$C$22:$D$33,2,FALSE))*G226</f>
        <v>341719358.10472608</v>
      </c>
      <c r="R226" s="68">
        <f>IF(AND(H226=12,D226&lt;15),Assumptions!$C$7*M226,0)</f>
        <v>0</v>
      </c>
      <c r="S226" s="69">
        <f>M226*Assumptions!$D$17</f>
        <v>1379276.2493498584</v>
      </c>
      <c r="T226" s="69">
        <f t="shared" si="47"/>
        <v>339924770.34691131</v>
      </c>
      <c r="U226" s="68">
        <f>T226+AE226*(1+Assumptions!$D$17)</f>
        <v>339924770.34691131</v>
      </c>
      <c r="V226" s="68">
        <f>(M226+N226-O226)*(1+Assumptions!$D$17)-(P226+Q226)*(1+Assumptions!$D$17)^0.5-R226-T226</f>
        <v>-342580409.21167564</v>
      </c>
      <c r="W226" s="68"/>
      <c r="X226" s="68">
        <f>IF(AND(H226=1,D226&lt;15),Assumptions!$D$10*N226+Assumptions!$D$11*(1+Assumptions!$D$16)^(B226-1)*$I$7,0)</f>
        <v>0</v>
      </c>
      <c r="Y226" s="66">
        <f>Assumptions!$C$13*N226</f>
        <v>0</v>
      </c>
      <c r="Z226" s="66">
        <f>NPV(Assumptions!$D$19,N226:$N$259)*(1+Assumptions!$D$19)</f>
        <v>0</v>
      </c>
      <c r="AA226" s="69">
        <f t="shared" si="48"/>
        <v>0</v>
      </c>
      <c r="AC226" s="68">
        <f t="shared" si="49"/>
        <v>-342580409.21167564</v>
      </c>
      <c r="AD226" s="68"/>
      <c r="AE226" s="68"/>
      <c r="AF226" s="68"/>
      <c r="AG226" s="68"/>
      <c r="AH226" s="68"/>
      <c r="AI226" s="68"/>
      <c r="AK226" s="68"/>
      <c r="AL226" s="71">
        <f t="shared" si="43"/>
        <v>0</v>
      </c>
    </row>
    <row r="227" spans="2:38" x14ac:dyDescent="0.2">
      <c r="B227" s="5">
        <f t="shared" si="39"/>
        <v>220</v>
      </c>
      <c r="C227" s="5">
        <f t="shared" si="40"/>
        <v>220</v>
      </c>
      <c r="D227" s="5">
        <f t="shared" si="41"/>
        <v>18</v>
      </c>
      <c r="E227" s="5">
        <f t="shared" si="42"/>
        <v>64</v>
      </c>
      <c r="F227" s="65">
        <f>1-(1-VLOOKUP($E227,'Annual Mortality Rates'!$B$5:$C$105,2,FALSE))^(1/12)</f>
        <v>4.8378519100333861E-4</v>
      </c>
      <c r="G227" s="76">
        <f>IF(D227+1&gt;Assumptions!$H$9,100%,1-(1-IF(D227&gt;=7,2%,VLOOKUP($D227,'Annual Lapse Rates'!$B$4:$C$14,2,FALSE)))^(1/12))</f>
        <v>1</v>
      </c>
      <c r="H227" s="82">
        <f t="shared" si="50"/>
        <v>4</v>
      </c>
      <c r="I227" s="66">
        <f t="shared" si="44"/>
        <v>0</v>
      </c>
      <c r="J227" s="67">
        <f t="shared" si="45"/>
        <v>0</v>
      </c>
      <c r="K227" s="67">
        <f t="shared" si="46"/>
        <v>0</v>
      </c>
      <c r="M227" s="68">
        <f t="shared" si="51"/>
        <v>-342580409.21167564</v>
      </c>
      <c r="N227" s="68">
        <f>IF(AND(H227=1,D227&lt;15),Assumptions!$H$4*I226,0)</f>
        <v>0</v>
      </c>
      <c r="O227" s="68"/>
      <c r="P227" s="91">
        <f>$M227*(1+VLOOKUP($H227,Assumptions!$C$22:$D$33,2,FALSE))*F227</f>
        <v>-167807.02031327831</v>
      </c>
      <c r="Q227" s="91">
        <f>$M227*(1+VLOOKUP($H227,Assumptions!$C$22:$D$33,2,FALSE))*G227</f>
        <v>-346862664.32682157</v>
      </c>
      <c r="R227" s="68">
        <f>IF(AND(H227=12,D227&lt;15),Assumptions!$C$7*M227,0)</f>
        <v>0</v>
      </c>
      <c r="S227" s="69">
        <f>M227*Assumptions!$D$17</f>
        <v>-1395714.9929812732</v>
      </c>
      <c r="T227" s="69">
        <f t="shared" si="47"/>
        <v>-343976124.2046569</v>
      </c>
      <c r="U227" s="68">
        <f>T227+AE227*(1+Assumptions!$D$17)</f>
        <v>-343976124.2046569</v>
      </c>
      <c r="V227" s="68">
        <f>(M227+N227-O227)*(1+Assumptions!$D$17)-(P227+Q227)*(1+Assumptions!$D$17)^0.5-R227-T227</f>
        <v>347736675.33613211</v>
      </c>
      <c r="W227" s="68"/>
      <c r="X227" s="68">
        <f>IF(AND(H227=1,D227&lt;15),Assumptions!$D$10*N227+Assumptions!$D$11*(1+Assumptions!$D$16)^(B227-1)*$I$7,0)</f>
        <v>0</v>
      </c>
      <c r="Y227" s="66">
        <f>Assumptions!$C$13*N227</f>
        <v>0</v>
      </c>
      <c r="Z227" s="66">
        <f>NPV(Assumptions!$D$19,N227:$N$259)*(1+Assumptions!$D$19)</f>
        <v>0</v>
      </c>
      <c r="AA227" s="69">
        <f t="shared" si="48"/>
        <v>0</v>
      </c>
      <c r="AC227" s="68">
        <f t="shared" si="49"/>
        <v>347736675.33613211</v>
      </c>
      <c r="AD227" s="68"/>
      <c r="AE227" s="68"/>
      <c r="AF227" s="68"/>
      <c r="AG227" s="68"/>
      <c r="AH227" s="68"/>
      <c r="AI227" s="68"/>
      <c r="AK227" s="68"/>
      <c r="AL227" s="71">
        <f t="shared" si="43"/>
        <v>0</v>
      </c>
    </row>
    <row r="228" spans="2:38" x14ac:dyDescent="0.2">
      <c r="B228" s="5">
        <f t="shared" si="39"/>
        <v>221</v>
      </c>
      <c r="C228" s="5">
        <f t="shared" si="40"/>
        <v>221</v>
      </c>
      <c r="D228" s="5">
        <f t="shared" si="41"/>
        <v>18</v>
      </c>
      <c r="E228" s="5">
        <f t="shared" si="42"/>
        <v>64</v>
      </c>
      <c r="F228" s="65">
        <f>1-(1-VLOOKUP($E228,'Annual Mortality Rates'!$B$5:$C$105,2,FALSE))^(1/12)</f>
        <v>4.8378519100333861E-4</v>
      </c>
      <c r="G228" s="76">
        <f>IF(D228+1&gt;Assumptions!$H$9,100%,1-(1-IF(D228&gt;=7,2%,VLOOKUP($D228,'Annual Lapse Rates'!$B$4:$C$14,2,FALSE)))^(1/12))</f>
        <v>1</v>
      </c>
      <c r="H228" s="82">
        <f t="shared" si="50"/>
        <v>5</v>
      </c>
      <c r="I228" s="66">
        <f t="shared" si="44"/>
        <v>0</v>
      </c>
      <c r="J228" s="67">
        <f t="shared" si="45"/>
        <v>0</v>
      </c>
      <c r="K228" s="67">
        <f t="shared" si="46"/>
        <v>0</v>
      </c>
      <c r="M228" s="68">
        <f t="shared" si="51"/>
        <v>347736675.33613211</v>
      </c>
      <c r="N228" s="68">
        <f>IF(AND(H228=1,D228&lt;15),Assumptions!$H$4*I227,0)</f>
        <v>0</v>
      </c>
      <c r="O228" s="68"/>
      <c r="P228" s="91">
        <f>$M228*(1+VLOOKUP($H228,Assumptions!$C$22:$D$33,2,FALSE))*F228</f>
        <v>170858.4453634872</v>
      </c>
      <c r="Q228" s="91">
        <f>$M228*(1+VLOOKUP($H228,Assumptions!$C$22:$D$33,2,FALSE))*G228</f>
        <v>353170060.88825917</v>
      </c>
      <c r="R228" s="68">
        <f>IF(AND(H228=12,D228&lt;15),Assumptions!$C$7*M228,0)</f>
        <v>0</v>
      </c>
      <c r="S228" s="69">
        <f>M228*Assumptions!$D$17</f>
        <v>1416722.2594337417</v>
      </c>
      <c r="T228" s="69">
        <f t="shared" si="47"/>
        <v>349153397.59556586</v>
      </c>
      <c r="U228" s="68">
        <f>T228+AE228*(1+Assumptions!$D$17)</f>
        <v>349153397.59556586</v>
      </c>
      <c r="V228" s="68">
        <f>(M228+N228-O228)*(1+Assumptions!$D$17)-(P228+Q228)*(1+Assumptions!$D$17)^0.5-R228-T228</f>
        <v>-354059965.02935284</v>
      </c>
      <c r="W228" s="68"/>
      <c r="X228" s="68">
        <f>IF(AND(H228=1,D228&lt;15),Assumptions!$D$10*N228+Assumptions!$D$11*(1+Assumptions!$D$16)^(B228-1)*$I$7,0)</f>
        <v>0</v>
      </c>
      <c r="Y228" s="66">
        <f>Assumptions!$C$13*N228</f>
        <v>0</v>
      </c>
      <c r="Z228" s="66">
        <f>NPV(Assumptions!$D$19,N228:$N$259)*(1+Assumptions!$D$19)</f>
        <v>0</v>
      </c>
      <c r="AA228" s="69">
        <f t="shared" si="48"/>
        <v>0</v>
      </c>
      <c r="AC228" s="68">
        <f t="shared" si="49"/>
        <v>-354059965.02935284</v>
      </c>
      <c r="AD228" s="68"/>
      <c r="AE228" s="68"/>
      <c r="AF228" s="68"/>
      <c r="AG228" s="68"/>
      <c r="AH228" s="68"/>
      <c r="AI228" s="68"/>
      <c r="AK228" s="68"/>
      <c r="AL228" s="71">
        <f t="shared" si="43"/>
        <v>0</v>
      </c>
    </row>
    <row r="229" spans="2:38" x14ac:dyDescent="0.2">
      <c r="B229" s="5">
        <f t="shared" si="39"/>
        <v>222</v>
      </c>
      <c r="C229" s="5">
        <f t="shared" si="40"/>
        <v>222</v>
      </c>
      <c r="D229" s="5">
        <f t="shared" si="41"/>
        <v>18</v>
      </c>
      <c r="E229" s="5">
        <f t="shared" si="42"/>
        <v>64</v>
      </c>
      <c r="F229" s="65">
        <f>1-(1-VLOOKUP($E229,'Annual Mortality Rates'!$B$5:$C$105,2,FALSE))^(1/12)</f>
        <v>4.8378519100333861E-4</v>
      </c>
      <c r="G229" s="76">
        <f>IF(D229+1&gt;Assumptions!$H$9,100%,1-(1-IF(D229&gt;=7,2%,VLOOKUP($D229,'Annual Lapse Rates'!$B$4:$C$14,2,FALSE)))^(1/12))</f>
        <v>1</v>
      </c>
      <c r="H229" s="82">
        <f t="shared" si="50"/>
        <v>6</v>
      </c>
      <c r="I229" s="66">
        <f t="shared" si="44"/>
        <v>0</v>
      </c>
      <c r="J229" s="67">
        <f t="shared" si="45"/>
        <v>0</v>
      </c>
      <c r="K229" s="67">
        <f t="shared" si="46"/>
        <v>0</v>
      </c>
      <c r="M229" s="68">
        <f t="shared" si="51"/>
        <v>-354059965.02935284</v>
      </c>
      <c r="N229" s="68">
        <f>IF(AND(H229=1,D229&lt;15),Assumptions!$H$4*I228,0)</f>
        <v>0</v>
      </c>
      <c r="O229" s="68"/>
      <c r="P229" s="91">
        <f>$M229*(1+VLOOKUP($H229,Assumptions!$C$22:$D$33,2,FALSE))*F229</f>
        <v>-174500.63595476764</v>
      </c>
      <c r="Q229" s="91">
        <f>$M229*(1+VLOOKUP($H229,Assumptions!$C$22:$D$33,2,FALSE))*G229</f>
        <v>-360698589.37365323</v>
      </c>
      <c r="R229" s="68">
        <f>IF(AND(H229=12,D229&lt;15),Assumptions!$C$7*M229,0)</f>
        <v>0</v>
      </c>
      <c r="S229" s="69">
        <f>M229*Assumptions!$D$17</f>
        <v>-1442484.1243637907</v>
      </c>
      <c r="T229" s="69">
        <f t="shared" si="47"/>
        <v>-355502449.15371662</v>
      </c>
      <c r="U229" s="68">
        <f>T229+AE229*(1+Assumptions!$D$17)</f>
        <v>-355502449.15371662</v>
      </c>
      <c r="V229" s="68">
        <f>(M229+N229-O229)*(1+Assumptions!$D$17)-(P229+Q229)*(1+Assumptions!$D$17)^0.5-R229-T229</f>
        <v>361607463.60711163</v>
      </c>
      <c r="W229" s="68"/>
      <c r="X229" s="68">
        <f>IF(AND(H229=1,D229&lt;15),Assumptions!$D$10*N229+Assumptions!$D$11*(1+Assumptions!$D$16)^(B229-1)*$I$7,0)</f>
        <v>0</v>
      </c>
      <c r="Y229" s="66">
        <f>Assumptions!$C$13*N229</f>
        <v>0</v>
      </c>
      <c r="Z229" s="66">
        <f>NPV(Assumptions!$D$19,N229:$N$259)*(1+Assumptions!$D$19)</f>
        <v>0</v>
      </c>
      <c r="AA229" s="69">
        <f t="shared" si="48"/>
        <v>0</v>
      </c>
      <c r="AC229" s="68">
        <f t="shared" si="49"/>
        <v>361607463.60711163</v>
      </c>
      <c r="AD229" s="68"/>
      <c r="AE229" s="68"/>
      <c r="AF229" s="68"/>
      <c r="AG229" s="68"/>
      <c r="AH229" s="68"/>
      <c r="AI229" s="68"/>
      <c r="AK229" s="68"/>
      <c r="AL229" s="71">
        <f t="shared" si="43"/>
        <v>0</v>
      </c>
    </row>
    <row r="230" spans="2:38" x14ac:dyDescent="0.2">
      <c r="B230" s="5">
        <f t="shared" si="39"/>
        <v>223</v>
      </c>
      <c r="C230" s="5">
        <f t="shared" si="40"/>
        <v>223</v>
      </c>
      <c r="D230" s="5">
        <f t="shared" si="41"/>
        <v>18</v>
      </c>
      <c r="E230" s="5">
        <f t="shared" si="42"/>
        <v>64</v>
      </c>
      <c r="F230" s="65">
        <f>1-(1-VLOOKUP($E230,'Annual Mortality Rates'!$B$5:$C$105,2,FALSE))^(1/12)</f>
        <v>4.8378519100333861E-4</v>
      </c>
      <c r="G230" s="76">
        <f>IF(D230+1&gt;Assumptions!$H$9,100%,1-(1-IF(D230&gt;=7,2%,VLOOKUP($D230,'Annual Lapse Rates'!$B$4:$C$14,2,FALSE)))^(1/12))</f>
        <v>1</v>
      </c>
      <c r="H230" s="82">
        <f t="shared" si="50"/>
        <v>7</v>
      </c>
      <c r="I230" s="66">
        <f t="shared" si="44"/>
        <v>0</v>
      </c>
      <c r="J230" s="67">
        <f t="shared" si="45"/>
        <v>0</v>
      </c>
      <c r="K230" s="67">
        <f t="shared" si="46"/>
        <v>0</v>
      </c>
      <c r="M230" s="68">
        <f t="shared" si="51"/>
        <v>361607463.60711163</v>
      </c>
      <c r="N230" s="68">
        <f>IF(AND(H230=1,D230&lt;15),Assumptions!$H$4*I229,0)</f>
        <v>0</v>
      </c>
      <c r="O230" s="68"/>
      <c r="P230" s="91">
        <f>$M230*(1+VLOOKUP($H230,Assumptions!$C$22:$D$33,2,FALSE))*F230</f>
        <v>178767.15569610492</v>
      </c>
      <c r="Q230" s="91">
        <f>$M230*(1+VLOOKUP($H230,Assumptions!$C$22:$D$33,2,FALSE))*G230</f>
        <v>369517626.87351722</v>
      </c>
      <c r="R230" s="68">
        <f>IF(AND(H230=12,D230&lt;15),Assumptions!$C$7*M230,0)</f>
        <v>0</v>
      </c>
      <c r="S230" s="69">
        <f>M230*Assumptions!$D$17</f>
        <v>1473233.5678264899</v>
      </c>
      <c r="T230" s="69">
        <f t="shared" si="47"/>
        <v>363080697.17493814</v>
      </c>
      <c r="U230" s="68">
        <f>T230+AE230*(1+Assumptions!$D$17)</f>
        <v>363080697.17493814</v>
      </c>
      <c r="V230" s="68">
        <f>(M230+N230-O230)*(1+Assumptions!$D$17)-(P230+Q230)*(1+Assumptions!$D$17)^0.5-R230-T230</f>
        <v>-370448722.9736079</v>
      </c>
      <c r="W230" s="68"/>
      <c r="X230" s="68">
        <f>IF(AND(H230=1,D230&lt;15),Assumptions!$D$10*N230+Assumptions!$D$11*(1+Assumptions!$D$16)^(B230-1)*$I$7,0)</f>
        <v>0</v>
      </c>
      <c r="Y230" s="66">
        <f>Assumptions!$C$13*N230</f>
        <v>0</v>
      </c>
      <c r="Z230" s="66">
        <f>NPV(Assumptions!$D$19,N230:$N$259)*(1+Assumptions!$D$19)</f>
        <v>0</v>
      </c>
      <c r="AA230" s="69">
        <f t="shared" si="48"/>
        <v>0</v>
      </c>
      <c r="AC230" s="68">
        <f t="shared" si="49"/>
        <v>-370448722.9736079</v>
      </c>
      <c r="AD230" s="68"/>
      <c r="AE230" s="68"/>
      <c r="AF230" s="68"/>
      <c r="AG230" s="68"/>
      <c r="AH230" s="68"/>
      <c r="AI230" s="68"/>
      <c r="AK230" s="68"/>
      <c r="AL230" s="71">
        <f t="shared" si="43"/>
        <v>0</v>
      </c>
    </row>
    <row r="231" spans="2:38" x14ac:dyDescent="0.2">
      <c r="B231" s="5">
        <f t="shared" si="39"/>
        <v>224</v>
      </c>
      <c r="C231" s="5">
        <f t="shared" si="40"/>
        <v>224</v>
      </c>
      <c r="D231" s="5">
        <f t="shared" si="41"/>
        <v>18</v>
      </c>
      <c r="E231" s="5">
        <f t="shared" si="42"/>
        <v>64</v>
      </c>
      <c r="F231" s="65">
        <f>1-(1-VLOOKUP($E231,'Annual Mortality Rates'!$B$5:$C$105,2,FALSE))^(1/12)</f>
        <v>4.8378519100333861E-4</v>
      </c>
      <c r="G231" s="76">
        <f>IF(D231+1&gt;Assumptions!$H$9,100%,1-(1-IF(D231&gt;=7,2%,VLOOKUP($D231,'Annual Lapse Rates'!$B$4:$C$14,2,FALSE)))^(1/12))</f>
        <v>1</v>
      </c>
      <c r="H231" s="82">
        <f t="shared" si="50"/>
        <v>8</v>
      </c>
      <c r="I231" s="66">
        <f t="shared" si="44"/>
        <v>0</v>
      </c>
      <c r="J231" s="67">
        <f t="shared" si="45"/>
        <v>0</v>
      </c>
      <c r="K231" s="67">
        <f t="shared" si="46"/>
        <v>0</v>
      </c>
      <c r="M231" s="68">
        <f t="shared" si="51"/>
        <v>-370448722.9736079</v>
      </c>
      <c r="N231" s="68">
        <f>IF(AND(H231=1,D231&lt;15),Assumptions!$H$4*I230,0)</f>
        <v>0</v>
      </c>
      <c r="O231" s="68"/>
      <c r="P231" s="91">
        <f>$M231*(1+VLOOKUP($H231,Assumptions!$C$22:$D$33,2,FALSE))*F231</f>
        <v>-183698.046355748</v>
      </c>
      <c r="Q231" s="91">
        <f>$M231*(1+VLOOKUP($H231,Assumptions!$C$22:$D$33,2,FALSE))*G231</f>
        <v>-379709941.04794806</v>
      </c>
      <c r="R231" s="68">
        <f>IF(AND(H231=12,D231&lt;15),Assumptions!$C$7*M231,0)</f>
        <v>0</v>
      </c>
      <c r="S231" s="69">
        <f>M231*Assumptions!$D$17</f>
        <v>-1509253.952888936</v>
      </c>
      <c r="T231" s="69">
        <f t="shared" si="47"/>
        <v>-371957976.92649686</v>
      </c>
      <c r="U231" s="68">
        <f>T231+AE231*(1+Assumptions!$D$17)</f>
        <v>-371957976.92649686</v>
      </c>
      <c r="V231" s="68">
        <f>(M231+N231-O231)*(1+Assumptions!$D$17)-(P231+Q231)*(1+Assumptions!$D$17)^0.5-R231-T231</f>
        <v>380666719.34365958</v>
      </c>
      <c r="W231" s="68"/>
      <c r="X231" s="68">
        <f>IF(AND(H231=1,D231&lt;15),Assumptions!$D$10*N231+Assumptions!$D$11*(1+Assumptions!$D$16)^(B231-1)*$I$7,0)</f>
        <v>0</v>
      </c>
      <c r="Y231" s="66">
        <f>Assumptions!$C$13*N231</f>
        <v>0</v>
      </c>
      <c r="Z231" s="66">
        <f>NPV(Assumptions!$D$19,N231:$N$259)*(1+Assumptions!$D$19)</f>
        <v>0</v>
      </c>
      <c r="AA231" s="69">
        <f t="shared" si="48"/>
        <v>0</v>
      </c>
      <c r="AC231" s="68">
        <f t="shared" si="49"/>
        <v>380666719.34365958</v>
      </c>
      <c r="AD231" s="68"/>
      <c r="AE231" s="68"/>
      <c r="AF231" s="68"/>
      <c r="AG231" s="68"/>
      <c r="AH231" s="68"/>
      <c r="AI231" s="68"/>
      <c r="AK231" s="68"/>
      <c r="AL231" s="71">
        <f t="shared" si="43"/>
        <v>0</v>
      </c>
    </row>
    <row r="232" spans="2:38" x14ac:dyDescent="0.2">
      <c r="B232" s="5">
        <f t="shared" si="39"/>
        <v>225</v>
      </c>
      <c r="C232" s="5">
        <f t="shared" si="40"/>
        <v>225</v>
      </c>
      <c r="D232" s="5">
        <f t="shared" si="41"/>
        <v>18</v>
      </c>
      <c r="E232" s="5">
        <f t="shared" si="42"/>
        <v>64</v>
      </c>
      <c r="F232" s="65">
        <f>1-(1-VLOOKUP($E232,'Annual Mortality Rates'!$B$5:$C$105,2,FALSE))^(1/12)</f>
        <v>4.8378519100333861E-4</v>
      </c>
      <c r="G232" s="76">
        <f>IF(D232+1&gt;Assumptions!$H$9,100%,1-(1-IF(D232&gt;=7,2%,VLOOKUP($D232,'Annual Lapse Rates'!$B$4:$C$14,2,FALSE)))^(1/12))</f>
        <v>1</v>
      </c>
      <c r="H232" s="82">
        <f t="shared" si="50"/>
        <v>9</v>
      </c>
      <c r="I232" s="66">
        <f t="shared" si="44"/>
        <v>0</v>
      </c>
      <c r="J232" s="67">
        <f t="shared" si="45"/>
        <v>0</v>
      </c>
      <c r="K232" s="67">
        <f t="shared" si="46"/>
        <v>0</v>
      </c>
      <c r="M232" s="68">
        <f t="shared" si="51"/>
        <v>380666719.34365958</v>
      </c>
      <c r="N232" s="68">
        <f>IF(AND(H232=1,D232&lt;15),Assumptions!$H$4*I231,0)</f>
        <v>0</v>
      </c>
      <c r="O232" s="68"/>
      <c r="P232" s="91">
        <f>$M232*(1+VLOOKUP($H232,Assumptions!$C$22:$D$33,2,FALSE))*F232</f>
        <v>189340.44744421344</v>
      </c>
      <c r="Q232" s="91">
        <f>$M232*(1+VLOOKUP($H232,Assumptions!$C$22:$D$33,2,FALSE))*G232</f>
        <v>391372970.82519996</v>
      </c>
      <c r="R232" s="68">
        <f>IF(AND(H232=12,D232&lt;15),Assumptions!$C$7*M232,0)</f>
        <v>0</v>
      </c>
      <c r="S232" s="69">
        <f>M232*Assumptions!$D$17</f>
        <v>1550883.3349213963</v>
      </c>
      <c r="T232" s="69">
        <f t="shared" si="47"/>
        <v>382217602.678581</v>
      </c>
      <c r="U232" s="68">
        <f>T232+AE232*(1+Assumptions!$D$17)</f>
        <v>382217602.678581</v>
      </c>
      <c r="V232" s="68">
        <f>(M232+N232-O232)*(1+Assumptions!$D$17)-(P232+Q232)*(1+Assumptions!$D$17)^0.5-R232-T232</f>
        <v>-392359137.16833079</v>
      </c>
      <c r="W232" s="68"/>
      <c r="X232" s="68">
        <f>IF(AND(H232=1,D232&lt;15),Assumptions!$D$10*N232+Assumptions!$D$11*(1+Assumptions!$D$16)^(B232-1)*$I$7,0)</f>
        <v>0</v>
      </c>
      <c r="Y232" s="66">
        <f>Assumptions!$C$13*N232</f>
        <v>0</v>
      </c>
      <c r="Z232" s="66">
        <f>NPV(Assumptions!$D$19,N232:$N$259)*(1+Assumptions!$D$19)</f>
        <v>0</v>
      </c>
      <c r="AA232" s="69">
        <f t="shared" si="48"/>
        <v>0</v>
      </c>
      <c r="AC232" s="68">
        <f t="shared" si="49"/>
        <v>-392359137.16833079</v>
      </c>
      <c r="AD232" s="68"/>
      <c r="AE232" s="68"/>
      <c r="AF232" s="68"/>
      <c r="AG232" s="68"/>
      <c r="AH232" s="68"/>
      <c r="AI232" s="68"/>
      <c r="AK232" s="68"/>
      <c r="AL232" s="71">
        <f t="shared" si="43"/>
        <v>0</v>
      </c>
    </row>
    <row r="233" spans="2:38" x14ac:dyDescent="0.2">
      <c r="B233" s="5">
        <f t="shared" si="39"/>
        <v>226</v>
      </c>
      <c r="C233" s="5">
        <f t="shared" si="40"/>
        <v>226</v>
      </c>
      <c r="D233" s="5">
        <f t="shared" si="41"/>
        <v>18</v>
      </c>
      <c r="E233" s="5">
        <f t="shared" si="42"/>
        <v>64</v>
      </c>
      <c r="F233" s="65">
        <f>1-(1-VLOOKUP($E233,'Annual Mortality Rates'!$B$5:$C$105,2,FALSE))^(1/12)</f>
        <v>4.8378519100333861E-4</v>
      </c>
      <c r="G233" s="76">
        <f>IF(D233+1&gt;Assumptions!$H$9,100%,1-(1-IF(D233&gt;=7,2%,VLOOKUP($D233,'Annual Lapse Rates'!$B$4:$C$14,2,FALSE)))^(1/12))</f>
        <v>1</v>
      </c>
      <c r="H233" s="82">
        <f t="shared" si="50"/>
        <v>10</v>
      </c>
      <c r="I233" s="66">
        <f t="shared" si="44"/>
        <v>0</v>
      </c>
      <c r="J233" s="67">
        <f t="shared" si="45"/>
        <v>0</v>
      </c>
      <c r="K233" s="67">
        <f t="shared" si="46"/>
        <v>0</v>
      </c>
      <c r="M233" s="68">
        <f t="shared" si="51"/>
        <v>-392359137.16833079</v>
      </c>
      <c r="N233" s="68">
        <f>IF(AND(H233=1,D233&lt;15),Assumptions!$H$4*I232,0)</f>
        <v>0</v>
      </c>
      <c r="O233" s="68"/>
      <c r="P233" s="91">
        <f>$M233*(1+VLOOKUP($H233,Assumptions!$C$22:$D$33,2,FALSE))*F233</f>
        <v>-195749.33824553873</v>
      </c>
      <c r="Q233" s="91">
        <f>$M233*(1+VLOOKUP($H233,Assumptions!$C$22:$D$33,2,FALSE))*G233</f>
        <v>-404620360.20484114</v>
      </c>
      <c r="R233" s="68">
        <f>IF(AND(H233=12,D233&lt;15),Assumptions!$C$7*M233,0)</f>
        <v>0</v>
      </c>
      <c r="S233" s="69">
        <f>M233*Assumptions!$D$17</f>
        <v>-1598519.6924692432</v>
      </c>
      <c r="T233" s="69">
        <f t="shared" si="47"/>
        <v>-393957656.86080003</v>
      </c>
      <c r="U233" s="68">
        <f>T233+AE233*(1+Assumptions!$D$17)</f>
        <v>-393957656.86080003</v>
      </c>
      <c r="V233" s="68">
        <f>(M233+N233-O233)*(1+Assumptions!$D$17)-(P233+Q233)*(1+Assumptions!$D$17)^0.5-R233-T233</f>
        <v>405639906.80290627</v>
      </c>
      <c r="W233" s="68"/>
      <c r="X233" s="68">
        <f>IF(AND(H233=1,D233&lt;15),Assumptions!$D$10*N233+Assumptions!$D$11*(1+Assumptions!$D$16)^(B233-1)*$I$7,0)</f>
        <v>0</v>
      </c>
      <c r="Y233" s="66">
        <f>Assumptions!$C$13*N233</f>
        <v>0</v>
      </c>
      <c r="Z233" s="66">
        <f>NPV(Assumptions!$D$19,N233:$N$259)*(1+Assumptions!$D$19)</f>
        <v>0</v>
      </c>
      <c r="AA233" s="69">
        <f t="shared" si="48"/>
        <v>0</v>
      </c>
      <c r="AC233" s="68">
        <f t="shared" si="49"/>
        <v>405639906.80290627</v>
      </c>
      <c r="AD233" s="68"/>
      <c r="AE233" s="68"/>
      <c r="AF233" s="68"/>
      <c r="AG233" s="68"/>
      <c r="AH233" s="68"/>
      <c r="AI233" s="68"/>
      <c r="AK233" s="68"/>
      <c r="AL233" s="71">
        <f t="shared" si="43"/>
        <v>0</v>
      </c>
    </row>
    <row r="234" spans="2:38" x14ac:dyDescent="0.2">
      <c r="B234" s="5">
        <f t="shared" si="39"/>
        <v>227</v>
      </c>
      <c r="C234" s="5">
        <f t="shared" si="40"/>
        <v>227</v>
      </c>
      <c r="D234" s="5">
        <f t="shared" si="41"/>
        <v>18</v>
      </c>
      <c r="E234" s="5">
        <f t="shared" si="42"/>
        <v>64</v>
      </c>
      <c r="F234" s="65">
        <f>1-(1-VLOOKUP($E234,'Annual Mortality Rates'!$B$5:$C$105,2,FALSE))^(1/12)</f>
        <v>4.8378519100333861E-4</v>
      </c>
      <c r="G234" s="76">
        <f>IF(D234+1&gt;Assumptions!$H$9,100%,1-(1-IF(D234&gt;=7,2%,VLOOKUP($D234,'Annual Lapse Rates'!$B$4:$C$14,2,FALSE)))^(1/12))</f>
        <v>1</v>
      </c>
      <c r="H234" s="82">
        <f t="shared" si="50"/>
        <v>11</v>
      </c>
      <c r="I234" s="66">
        <f t="shared" si="44"/>
        <v>0</v>
      </c>
      <c r="J234" s="67">
        <f t="shared" si="45"/>
        <v>0</v>
      </c>
      <c r="K234" s="67">
        <f t="shared" si="46"/>
        <v>0</v>
      </c>
      <c r="M234" s="68">
        <f t="shared" si="51"/>
        <v>405639906.80290627</v>
      </c>
      <c r="N234" s="68">
        <f>IF(AND(H234=1,D234&lt;15),Assumptions!$H$4*I233,0)</f>
        <v>0</v>
      </c>
      <c r="O234" s="68"/>
      <c r="P234" s="91">
        <f>$M234*(1+VLOOKUP($H234,Assumptions!$C$22:$D$33,2,FALSE))*F234</f>
        <v>202988.4184715437</v>
      </c>
      <c r="Q234" s="91">
        <f>$M234*(1+VLOOKUP($H234,Assumptions!$C$22:$D$33,2,FALSE))*G234</f>
        <v>419583778.59925622</v>
      </c>
      <c r="R234" s="68">
        <f>IF(AND(H234=12,D234&lt;15),Assumptions!$C$7*M234,0)</f>
        <v>0</v>
      </c>
      <c r="S234" s="69">
        <f>M234*Assumptions!$D$17</f>
        <v>1652627.1919026219</v>
      </c>
      <c r="T234" s="69">
        <f t="shared" si="47"/>
        <v>407292533.99480891</v>
      </c>
      <c r="U234" s="68">
        <f>T234+AE234*(1+Assumptions!$D$17)</f>
        <v>407292533.99480891</v>
      </c>
      <c r="V234" s="68">
        <f>(M234+N234-O234)*(1+Assumptions!$D$17)-(P234+Q234)*(1+Assumptions!$D$17)^0.5-R234-T234</f>
        <v>-420641029.43521917</v>
      </c>
      <c r="W234" s="68"/>
      <c r="X234" s="68">
        <f>IF(AND(H234=1,D234&lt;15),Assumptions!$D$10*N234+Assumptions!$D$11*(1+Assumptions!$D$16)^(B234-1)*$I$7,0)</f>
        <v>0</v>
      </c>
      <c r="Y234" s="66">
        <f>Assumptions!$C$13*N234</f>
        <v>0</v>
      </c>
      <c r="Z234" s="66">
        <f>NPV(Assumptions!$D$19,N234:$N$259)*(1+Assumptions!$D$19)</f>
        <v>0</v>
      </c>
      <c r="AA234" s="69">
        <f t="shared" si="48"/>
        <v>0</v>
      </c>
      <c r="AC234" s="68">
        <f t="shared" si="49"/>
        <v>-420641029.43521917</v>
      </c>
      <c r="AD234" s="68"/>
      <c r="AE234" s="68"/>
      <c r="AF234" s="68"/>
      <c r="AG234" s="68"/>
      <c r="AH234" s="68"/>
      <c r="AI234" s="68"/>
      <c r="AK234" s="68"/>
      <c r="AL234" s="71">
        <f t="shared" si="43"/>
        <v>0</v>
      </c>
    </row>
    <row r="235" spans="2:38" x14ac:dyDescent="0.2">
      <c r="B235" s="5">
        <f t="shared" si="39"/>
        <v>228</v>
      </c>
      <c r="C235" s="5">
        <f t="shared" si="40"/>
        <v>228</v>
      </c>
      <c r="D235" s="5">
        <f t="shared" si="41"/>
        <v>18</v>
      </c>
      <c r="E235" s="5">
        <f t="shared" si="42"/>
        <v>64</v>
      </c>
      <c r="F235" s="65">
        <f>1-(1-VLOOKUP($E235,'Annual Mortality Rates'!$B$5:$C$105,2,FALSE))^(1/12)</f>
        <v>4.8378519100333861E-4</v>
      </c>
      <c r="G235" s="76">
        <f>IF(D235+1&gt;Assumptions!$H$9,100%,1-(1-IF(D235&gt;=7,2%,VLOOKUP($D235,'Annual Lapse Rates'!$B$4:$C$14,2,FALSE)))^(1/12))</f>
        <v>1</v>
      </c>
      <c r="H235" s="82">
        <f t="shared" si="50"/>
        <v>12</v>
      </c>
      <c r="I235" s="66">
        <f t="shared" si="44"/>
        <v>0</v>
      </c>
      <c r="J235" s="67">
        <f t="shared" si="45"/>
        <v>0</v>
      </c>
      <c r="K235" s="67">
        <f t="shared" si="46"/>
        <v>0</v>
      </c>
      <c r="M235" s="68">
        <f t="shared" si="51"/>
        <v>-420641029.43521917</v>
      </c>
      <c r="N235" s="68">
        <f>IF(AND(H235=1,D235&lt;15),Assumptions!$H$4*I234,0)</f>
        <v>0</v>
      </c>
      <c r="O235" s="68"/>
      <c r="P235" s="91">
        <f>$M235*(1+VLOOKUP($H235,Assumptions!$C$22:$D$33,2,FALSE))*F235</f>
        <v>-211131.14704800193</v>
      </c>
      <c r="Q235" s="91">
        <f>$M235*(1+VLOOKUP($H235,Assumptions!$C$22:$D$33,2,FALSE))*G235</f>
        <v>-436415068.03903991</v>
      </c>
      <c r="R235" s="68">
        <f>IF(AND(H235=12,D235&lt;15),Assumptions!$C$7*M235,0)</f>
        <v>0</v>
      </c>
      <c r="S235" s="69">
        <f>M235*Assumptions!$D$17</f>
        <v>-1713743.6224003537</v>
      </c>
      <c r="T235" s="69">
        <f t="shared" si="47"/>
        <v>-422354773.05761951</v>
      </c>
      <c r="U235" s="68">
        <f>T235+AE235*(1+Assumptions!$D$17)</f>
        <v>-422354773.05761951</v>
      </c>
      <c r="V235" s="68">
        <f>(M235+N235-O235)*(1+Assumptions!$D$17)-(P235+Q235)*(1+Assumptions!$D$17)^0.5-R235-T235</f>
        <v>437514729.70148897</v>
      </c>
      <c r="W235" s="68"/>
      <c r="X235" s="68">
        <f>IF(AND(H235=1,D235&lt;15),Assumptions!$D$10*N235+Assumptions!$D$11*(1+Assumptions!$D$16)^(B235-1)*$I$7,0)</f>
        <v>0</v>
      </c>
      <c r="Y235" s="66">
        <f>Assumptions!$C$13*N235</f>
        <v>0</v>
      </c>
      <c r="Z235" s="66">
        <f>NPV(Assumptions!$D$19,N235:$N$259)*(1+Assumptions!$D$19)</f>
        <v>0</v>
      </c>
      <c r="AA235" s="69">
        <f t="shared" si="48"/>
        <v>0</v>
      </c>
      <c r="AC235" s="68">
        <f t="shared" si="49"/>
        <v>437514729.70148897</v>
      </c>
      <c r="AD235" s="68"/>
      <c r="AE235" s="68"/>
      <c r="AF235" s="68"/>
      <c r="AG235" s="68"/>
      <c r="AH235" s="68"/>
      <c r="AI235" s="68"/>
      <c r="AK235" s="68"/>
      <c r="AL235" s="71">
        <f t="shared" si="43"/>
        <v>0</v>
      </c>
    </row>
    <row r="236" spans="2:38" x14ac:dyDescent="0.2">
      <c r="B236" s="5">
        <f t="shared" si="39"/>
        <v>229</v>
      </c>
      <c r="C236" s="5">
        <f t="shared" si="40"/>
        <v>229</v>
      </c>
      <c r="D236" s="5">
        <f t="shared" si="41"/>
        <v>19</v>
      </c>
      <c r="E236" s="5">
        <f t="shared" si="42"/>
        <v>65</v>
      </c>
      <c r="F236" s="65">
        <f>1-(1-VLOOKUP($E236,'Annual Mortality Rates'!$B$5:$C$105,2,FALSE))^(1/12)</f>
        <v>5.399338581985047E-4</v>
      </c>
      <c r="G236" s="76">
        <f>IF(D236+1&gt;Assumptions!$H$9,100%,1-(1-IF(D236&gt;=7,2%,VLOOKUP($D236,'Annual Lapse Rates'!$B$4:$C$14,2,FALSE)))^(1/12))</f>
        <v>1</v>
      </c>
      <c r="H236" s="82">
        <f t="shared" si="50"/>
        <v>1</v>
      </c>
      <c r="I236" s="66">
        <f t="shared" si="44"/>
        <v>0</v>
      </c>
      <c r="J236" s="67">
        <f t="shared" si="45"/>
        <v>0</v>
      </c>
      <c r="K236" s="67">
        <f t="shared" si="46"/>
        <v>0</v>
      </c>
      <c r="M236" s="68">
        <f t="shared" si="51"/>
        <v>437514729.70148897</v>
      </c>
      <c r="N236" s="68">
        <f>IF(AND(H236=1,D236&lt;15),Assumptions!$H$4*I235,0)</f>
        <v>0</v>
      </c>
      <c r="O236" s="68"/>
      <c r="P236" s="91">
        <f>$M236*(1+VLOOKUP($H236,Assumptions!$C$22:$D$33,2,FALSE))*F236</f>
        <v>236967.23170148337</v>
      </c>
      <c r="Q236" s="91">
        <f>$M236*(1+VLOOKUP($H236,Assumptions!$C$22:$D$33,2,FALSE))*G236</f>
        <v>438881963.23180616</v>
      </c>
      <c r="R236" s="68">
        <f>IF(AND(H236=12,D236&lt;15),Assumptions!$C$7*M236,0)</f>
        <v>0</v>
      </c>
      <c r="S236" s="69">
        <f>M236*Assumptions!$D$17</f>
        <v>1782489.1659733169</v>
      </c>
      <c r="T236" s="69">
        <f t="shared" si="47"/>
        <v>439297218.86746228</v>
      </c>
      <c r="U236" s="68">
        <f>T236+AE236*(1+Assumptions!$D$17)</f>
        <v>439297218.86746228</v>
      </c>
      <c r="V236" s="68">
        <f>(M236+N236-O236)*(1+Assumptions!$D$17)-(P236+Q236)*(1+Assumptions!$D$17)^0.5-R236-T236</f>
        <v>-440012533.66536409</v>
      </c>
      <c r="W236" s="68"/>
      <c r="X236" s="68">
        <f>IF(AND(H236=1,D236&lt;15),Assumptions!$D$10*N236+Assumptions!$D$11*(1+Assumptions!$D$16)^(B236-1)*$I$7,0)</f>
        <v>0</v>
      </c>
      <c r="Y236" s="66">
        <f>Assumptions!$C$13*N236</f>
        <v>0</v>
      </c>
      <c r="Z236" s="66">
        <f>NPV(Assumptions!$D$19,N236:$N$259)*(1+Assumptions!$D$19)</f>
        <v>0</v>
      </c>
      <c r="AA236" s="69">
        <f t="shared" si="48"/>
        <v>0</v>
      </c>
      <c r="AC236" s="68">
        <f t="shared" si="49"/>
        <v>-440012533.66536409</v>
      </c>
      <c r="AD236" s="68"/>
      <c r="AE236" s="68"/>
      <c r="AF236" s="68"/>
      <c r="AG236" s="68"/>
      <c r="AH236" s="68"/>
      <c r="AI236" s="68"/>
      <c r="AK236" s="68"/>
      <c r="AL236" s="71">
        <f t="shared" si="43"/>
        <v>0</v>
      </c>
    </row>
    <row r="237" spans="2:38" x14ac:dyDescent="0.2">
      <c r="B237" s="5">
        <f t="shared" si="39"/>
        <v>230</v>
      </c>
      <c r="C237" s="5">
        <f t="shared" si="40"/>
        <v>230</v>
      </c>
      <c r="D237" s="5">
        <f t="shared" si="41"/>
        <v>19</v>
      </c>
      <c r="E237" s="5">
        <f t="shared" si="42"/>
        <v>65</v>
      </c>
      <c r="F237" s="65">
        <f>1-(1-VLOOKUP($E237,'Annual Mortality Rates'!$B$5:$C$105,2,FALSE))^(1/12)</f>
        <v>5.399338581985047E-4</v>
      </c>
      <c r="G237" s="76">
        <f>IF(D237+1&gt;Assumptions!$H$9,100%,1-(1-IF(D237&gt;=7,2%,VLOOKUP($D237,'Annual Lapse Rates'!$B$4:$C$14,2,FALSE)))^(1/12))</f>
        <v>1</v>
      </c>
      <c r="H237" s="82">
        <f t="shared" si="50"/>
        <v>2</v>
      </c>
      <c r="I237" s="66">
        <f t="shared" si="44"/>
        <v>0</v>
      </c>
      <c r="J237" s="67">
        <f t="shared" si="45"/>
        <v>0</v>
      </c>
      <c r="K237" s="67">
        <f t="shared" si="46"/>
        <v>0</v>
      </c>
      <c r="M237" s="68">
        <f t="shared" si="51"/>
        <v>-440012533.66536409</v>
      </c>
      <c r="N237" s="68">
        <f>IF(AND(H237=1,D237&lt;15),Assumptions!$H$4*I236,0)</f>
        <v>0</v>
      </c>
      <c r="O237" s="68"/>
      <c r="P237" s="91">
        <f>$M237*(1+VLOOKUP($H237,Assumptions!$C$22:$D$33,2,FALSE))*F237</f>
        <v>-239062.52536362474</v>
      </c>
      <c r="Q237" s="91">
        <f>$M237*(1+VLOOKUP($H237,Assumptions!$C$22:$D$33,2,FALSE))*G237</f>
        <v>-442762612.00077266</v>
      </c>
      <c r="R237" s="68">
        <f>IF(AND(H237=12,D237&lt;15),Assumptions!$C$7*M237,0)</f>
        <v>0</v>
      </c>
      <c r="S237" s="69">
        <f>M237*Assumptions!$D$17</f>
        <v>-1792665.5285094318</v>
      </c>
      <c r="T237" s="69">
        <f t="shared" si="47"/>
        <v>-441805199.19387352</v>
      </c>
      <c r="U237" s="68">
        <f>T237+AE237*(1+Assumptions!$D$17)</f>
        <v>-441805199.19387352</v>
      </c>
      <c r="V237" s="68">
        <f>(M237+N237-O237)*(1+Assumptions!$D$17)-(P237+Q237)*(1+Assumptions!$D$17)^0.5-R237-T237</f>
        <v>443903179.07836878</v>
      </c>
      <c r="W237" s="68"/>
      <c r="X237" s="68">
        <f>IF(AND(H237=1,D237&lt;15),Assumptions!$D$10*N237+Assumptions!$D$11*(1+Assumptions!$D$16)^(B237-1)*$I$7,0)</f>
        <v>0</v>
      </c>
      <c r="Y237" s="66">
        <f>Assumptions!$C$13*N237</f>
        <v>0</v>
      </c>
      <c r="Z237" s="66">
        <f>NPV(Assumptions!$D$19,N237:$N$259)*(1+Assumptions!$D$19)</f>
        <v>0</v>
      </c>
      <c r="AA237" s="69">
        <f t="shared" si="48"/>
        <v>0</v>
      </c>
      <c r="AC237" s="68">
        <f t="shared" si="49"/>
        <v>443903179.07836878</v>
      </c>
      <c r="AD237" s="68"/>
      <c r="AE237" s="68"/>
      <c r="AF237" s="68"/>
      <c r="AG237" s="68"/>
      <c r="AH237" s="68"/>
      <c r="AI237" s="68"/>
      <c r="AK237" s="68"/>
      <c r="AL237" s="71">
        <f t="shared" si="43"/>
        <v>0</v>
      </c>
    </row>
    <row r="238" spans="2:38" x14ac:dyDescent="0.2">
      <c r="B238" s="5">
        <f t="shared" si="39"/>
        <v>231</v>
      </c>
      <c r="C238" s="5">
        <f t="shared" si="40"/>
        <v>231</v>
      </c>
      <c r="D238" s="5">
        <f t="shared" si="41"/>
        <v>19</v>
      </c>
      <c r="E238" s="5">
        <f t="shared" si="42"/>
        <v>65</v>
      </c>
      <c r="F238" s="65">
        <f>1-(1-VLOOKUP($E238,'Annual Mortality Rates'!$B$5:$C$105,2,FALSE))^(1/12)</f>
        <v>5.399338581985047E-4</v>
      </c>
      <c r="G238" s="76">
        <f>IF(D238+1&gt;Assumptions!$H$9,100%,1-(1-IF(D238&gt;=7,2%,VLOOKUP($D238,'Annual Lapse Rates'!$B$4:$C$14,2,FALSE)))^(1/12))</f>
        <v>1</v>
      </c>
      <c r="H238" s="82">
        <f t="shared" si="50"/>
        <v>3</v>
      </c>
      <c r="I238" s="66">
        <f t="shared" si="44"/>
        <v>0</v>
      </c>
      <c r="J238" s="67">
        <f t="shared" si="45"/>
        <v>0</v>
      </c>
      <c r="K238" s="67">
        <f t="shared" si="46"/>
        <v>0</v>
      </c>
      <c r="M238" s="68">
        <f t="shared" si="51"/>
        <v>443903179.07836878</v>
      </c>
      <c r="N238" s="68">
        <f>IF(AND(H238=1,D238&lt;15),Assumptions!$H$4*I237,0)</f>
        <v>0</v>
      </c>
      <c r="O238" s="68"/>
      <c r="P238" s="91">
        <f>$M238*(1+VLOOKUP($H238,Assumptions!$C$22:$D$33,2,FALSE))*F238</f>
        <v>241925.34073523755</v>
      </c>
      <c r="Q238" s="91">
        <f>$M238*(1+VLOOKUP($H238,Assumptions!$C$22:$D$33,2,FALSE))*G238</f>
        <v>448064771.38222843</v>
      </c>
      <c r="R238" s="68">
        <f>IF(AND(H238=12,D238&lt;15),Assumptions!$C$7*M238,0)</f>
        <v>0</v>
      </c>
      <c r="S238" s="69">
        <f>M238*Assumptions!$D$17</f>
        <v>1808516.4995202965</v>
      </c>
      <c r="T238" s="69">
        <f t="shared" si="47"/>
        <v>445711695.57788908</v>
      </c>
      <c r="U238" s="68">
        <f>T238+AE238*(1+Assumptions!$D$17)</f>
        <v>445711695.57788908</v>
      </c>
      <c r="V238" s="68">
        <f>(M238+N238-O238)*(1+Assumptions!$D$17)-(P238+Q238)*(1+Assumptions!$D$17)^0.5-R238-T238</f>
        <v>-449218996.94919735</v>
      </c>
      <c r="W238" s="68"/>
      <c r="X238" s="68">
        <f>IF(AND(H238=1,D238&lt;15),Assumptions!$D$10*N238+Assumptions!$D$11*(1+Assumptions!$D$16)^(B238-1)*$I$7,0)</f>
        <v>0</v>
      </c>
      <c r="Y238" s="66">
        <f>Assumptions!$C$13*N238</f>
        <v>0</v>
      </c>
      <c r="Z238" s="66">
        <f>NPV(Assumptions!$D$19,N238:$N$259)*(1+Assumptions!$D$19)</f>
        <v>0</v>
      </c>
      <c r="AA238" s="69">
        <f t="shared" si="48"/>
        <v>0</v>
      </c>
      <c r="AC238" s="68">
        <f t="shared" si="49"/>
        <v>-449218996.94919735</v>
      </c>
      <c r="AD238" s="68"/>
      <c r="AE238" s="68"/>
      <c r="AF238" s="68"/>
      <c r="AG238" s="68"/>
      <c r="AH238" s="68"/>
      <c r="AI238" s="68"/>
      <c r="AK238" s="68"/>
      <c r="AL238" s="71">
        <f t="shared" si="43"/>
        <v>0</v>
      </c>
    </row>
    <row r="239" spans="2:38" x14ac:dyDescent="0.2">
      <c r="B239" s="5">
        <f t="shared" si="39"/>
        <v>232</v>
      </c>
      <c r="C239" s="5">
        <f t="shared" si="40"/>
        <v>232</v>
      </c>
      <c r="D239" s="5">
        <f t="shared" si="41"/>
        <v>19</v>
      </c>
      <c r="E239" s="5">
        <f t="shared" si="42"/>
        <v>65</v>
      </c>
      <c r="F239" s="65">
        <f>1-(1-VLOOKUP($E239,'Annual Mortality Rates'!$B$5:$C$105,2,FALSE))^(1/12)</f>
        <v>5.399338581985047E-4</v>
      </c>
      <c r="G239" s="76">
        <f>IF(D239+1&gt;Assumptions!$H$9,100%,1-(1-IF(D239&gt;=7,2%,VLOOKUP($D239,'Annual Lapse Rates'!$B$4:$C$14,2,FALSE)))^(1/12))</f>
        <v>1</v>
      </c>
      <c r="H239" s="82">
        <f t="shared" si="50"/>
        <v>4</v>
      </c>
      <c r="I239" s="66">
        <f t="shared" si="44"/>
        <v>0</v>
      </c>
      <c r="J239" s="67">
        <f t="shared" si="45"/>
        <v>0</v>
      </c>
      <c r="K239" s="67">
        <f t="shared" si="46"/>
        <v>0</v>
      </c>
      <c r="M239" s="68">
        <f t="shared" si="51"/>
        <v>-449218996.94919735</v>
      </c>
      <c r="N239" s="68">
        <f>IF(AND(H239=1,D239&lt;15),Assumptions!$H$4*I238,0)</f>
        <v>0</v>
      </c>
      <c r="O239" s="68"/>
      <c r="P239" s="91">
        <f>$M239*(1+VLOOKUP($H239,Assumptions!$C$22:$D$33,2,FALSE))*F239</f>
        <v>-245580.40302632796</v>
      </c>
      <c r="Q239" s="91">
        <f>$M239*(1+VLOOKUP($H239,Assumptions!$C$22:$D$33,2,FALSE))*G239</f>
        <v>-454834234.4110623</v>
      </c>
      <c r="R239" s="68">
        <f>IF(AND(H239=12,D239&lt;15),Assumptions!$C$7*M239,0)</f>
        <v>0</v>
      </c>
      <c r="S239" s="69">
        <f>M239*Assumptions!$D$17</f>
        <v>-1830173.7995373821</v>
      </c>
      <c r="T239" s="69">
        <f t="shared" si="47"/>
        <v>-451049170.74873471</v>
      </c>
      <c r="U239" s="68">
        <f>T239+AE239*(1+Assumptions!$D$17)</f>
        <v>-451049170.74873471</v>
      </c>
      <c r="V239" s="68">
        <f>(M239+N239-O239)*(1+Assumptions!$D$17)-(P239+Q239)*(1+Assumptions!$D$17)^0.5-R239-T239</f>
        <v>456005898.2766915</v>
      </c>
      <c r="W239" s="68"/>
      <c r="X239" s="68">
        <f>IF(AND(H239=1,D239&lt;15),Assumptions!$D$10*N239+Assumptions!$D$11*(1+Assumptions!$D$16)^(B239-1)*$I$7,0)</f>
        <v>0</v>
      </c>
      <c r="Y239" s="66">
        <f>Assumptions!$C$13*N239</f>
        <v>0</v>
      </c>
      <c r="Z239" s="66">
        <f>NPV(Assumptions!$D$19,N239:$N$259)*(1+Assumptions!$D$19)</f>
        <v>0</v>
      </c>
      <c r="AA239" s="69">
        <f t="shared" si="48"/>
        <v>0</v>
      </c>
      <c r="AC239" s="68">
        <f t="shared" si="49"/>
        <v>456005898.2766915</v>
      </c>
      <c r="AD239" s="68"/>
      <c r="AE239" s="68"/>
      <c r="AF239" s="68"/>
      <c r="AG239" s="68"/>
      <c r="AH239" s="68"/>
      <c r="AI239" s="68"/>
      <c r="AK239" s="68"/>
      <c r="AL239" s="71">
        <f t="shared" si="43"/>
        <v>0</v>
      </c>
    </row>
    <row r="240" spans="2:38" x14ac:dyDescent="0.2">
      <c r="B240" s="5">
        <f t="shared" si="39"/>
        <v>233</v>
      </c>
      <c r="C240" s="5">
        <f t="shared" si="40"/>
        <v>233</v>
      </c>
      <c r="D240" s="5">
        <f t="shared" si="41"/>
        <v>19</v>
      </c>
      <c r="E240" s="5">
        <f t="shared" si="42"/>
        <v>65</v>
      </c>
      <c r="F240" s="65">
        <f>1-(1-VLOOKUP($E240,'Annual Mortality Rates'!$B$5:$C$105,2,FALSE))^(1/12)</f>
        <v>5.399338581985047E-4</v>
      </c>
      <c r="G240" s="76">
        <f>IF(D240+1&gt;Assumptions!$H$9,100%,1-(1-IF(D240&gt;=7,2%,VLOOKUP($D240,'Annual Lapse Rates'!$B$4:$C$14,2,FALSE)))^(1/12))</f>
        <v>1</v>
      </c>
      <c r="H240" s="82">
        <f t="shared" si="50"/>
        <v>5</v>
      </c>
      <c r="I240" s="66">
        <f t="shared" si="44"/>
        <v>0</v>
      </c>
      <c r="J240" s="67">
        <f t="shared" si="45"/>
        <v>0</v>
      </c>
      <c r="K240" s="67">
        <f t="shared" si="46"/>
        <v>0</v>
      </c>
      <c r="M240" s="68">
        <f t="shared" si="51"/>
        <v>456005898.2766915</v>
      </c>
      <c r="N240" s="68">
        <f>IF(AND(H240=1,D240&lt;15),Assumptions!$H$4*I239,0)</f>
        <v>0</v>
      </c>
      <c r="O240" s="68"/>
      <c r="P240" s="91">
        <f>$M240*(1+VLOOKUP($H240,Assumptions!$C$22:$D$33,2,FALSE))*F240</f>
        <v>250060.10251808717</v>
      </c>
      <c r="Q240" s="91">
        <f>$M240*(1+VLOOKUP($H240,Assumptions!$C$22:$D$33,2,FALSE))*G240</f>
        <v>463130990.4372648</v>
      </c>
      <c r="R240" s="68">
        <f>IF(AND(H240=12,D240&lt;15),Assumptions!$C$7*M240,0)</f>
        <v>0</v>
      </c>
      <c r="S240" s="69">
        <f>M240*Assumptions!$D$17</f>
        <v>1857824.4756530006</v>
      </c>
      <c r="T240" s="69">
        <f t="shared" si="47"/>
        <v>457863722.75234449</v>
      </c>
      <c r="U240" s="68">
        <f>T240+AE240*(1+Assumptions!$D$17)</f>
        <v>457863722.75234449</v>
      </c>
      <c r="V240" s="68">
        <f>(M240+N240-O240)*(1+Assumptions!$D$17)-(P240+Q240)*(1+Assumptions!$D$17)^0.5-R240-T240</f>
        <v>-464324026.94484216</v>
      </c>
      <c r="W240" s="68"/>
      <c r="X240" s="68">
        <f>IF(AND(H240=1,D240&lt;15),Assumptions!$D$10*N240+Assumptions!$D$11*(1+Assumptions!$D$16)^(B240-1)*$I$7,0)</f>
        <v>0</v>
      </c>
      <c r="Y240" s="66">
        <f>Assumptions!$C$13*N240</f>
        <v>0</v>
      </c>
      <c r="Z240" s="66">
        <f>NPV(Assumptions!$D$19,N240:$N$259)*(1+Assumptions!$D$19)</f>
        <v>0</v>
      </c>
      <c r="AA240" s="69">
        <f t="shared" si="48"/>
        <v>0</v>
      </c>
      <c r="AC240" s="68">
        <f t="shared" si="49"/>
        <v>-464324026.94484216</v>
      </c>
      <c r="AD240" s="68"/>
      <c r="AE240" s="68"/>
      <c r="AF240" s="68"/>
      <c r="AG240" s="68"/>
      <c r="AH240" s="68"/>
      <c r="AI240" s="68"/>
      <c r="AK240" s="68"/>
      <c r="AL240" s="71">
        <f t="shared" si="43"/>
        <v>0</v>
      </c>
    </row>
    <row r="241" spans="2:38" x14ac:dyDescent="0.2">
      <c r="B241" s="5">
        <f t="shared" si="39"/>
        <v>234</v>
      </c>
      <c r="C241" s="5">
        <f t="shared" si="40"/>
        <v>234</v>
      </c>
      <c r="D241" s="5">
        <f t="shared" si="41"/>
        <v>19</v>
      </c>
      <c r="E241" s="5">
        <f t="shared" si="42"/>
        <v>65</v>
      </c>
      <c r="F241" s="65">
        <f>1-(1-VLOOKUP($E241,'Annual Mortality Rates'!$B$5:$C$105,2,FALSE))^(1/12)</f>
        <v>5.399338581985047E-4</v>
      </c>
      <c r="G241" s="76">
        <f>IF(D241+1&gt;Assumptions!$H$9,100%,1-(1-IF(D241&gt;=7,2%,VLOOKUP($D241,'Annual Lapse Rates'!$B$4:$C$14,2,FALSE)))^(1/12))</f>
        <v>1</v>
      </c>
      <c r="H241" s="82">
        <f t="shared" si="50"/>
        <v>6</v>
      </c>
      <c r="I241" s="66">
        <f t="shared" si="44"/>
        <v>0</v>
      </c>
      <c r="J241" s="67">
        <f t="shared" si="45"/>
        <v>0</v>
      </c>
      <c r="K241" s="67">
        <f t="shared" si="46"/>
        <v>0</v>
      </c>
      <c r="M241" s="68">
        <f t="shared" si="51"/>
        <v>-464324026.94484216</v>
      </c>
      <c r="N241" s="68">
        <f>IF(AND(H241=1,D241&lt;15),Assumptions!$H$4*I240,0)</f>
        <v>0</v>
      </c>
      <c r="O241" s="68"/>
      <c r="P241" s="91">
        <f>$M241*(1+VLOOKUP($H241,Assumptions!$C$22:$D$33,2,FALSE))*F241</f>
        <v>-255404.96825989377</v>
      </c>
      <c r="Q241" s="91">
        <f>$M241*(1+VLOOKUP($H241,Assumptions!$C$22:$D$33,2,FALSE))*G241</f>
        <v>-473030102.45005798</v>
      </c>
      <c r="R241" s="68">
        <f>IF(AND(H241=12,D241&lt;15),Assumptions!$C$7*M241,0)</f>
        <v>0</v>
      </c>
      <c r="S241" s="69">
        <f>M241*Assumptions!$D$17</f>
        <v>-1891713.5614953605</v>
      </c>
      <c r="T241" s="69">
        <f t="shared" si="47"/>
        <v>-466215740.50633752</v>
      </c>
      <c r="U241" s="68">
        <f>T241+AE241*(1+Assumptions!$D$17)</f>
        <v>-466215740.50633752</v>
      </c>
      <c r="V241" s="68">
        <f>(M241+N241-O241)*(1+Assumptions!$D$17)-(P241+Q241)*(1+Assumptions!$D$17)^0.5-R241-T241</f>
        <v>474248639.30692685</v>
      </c>
      <c r="W241" s="68"/>
      <c r="X241" s="68">
        <f>IF(AND(H241=1,D241&lt;15),Assumptions!$D$10*N241+Assumptions!$D$11*(1+Assumptions!$D$16)^(B241-1)*$I$7,0)</f>
        <v>0</v>
      </c>
      <c r="Y241" s="66">
        <f>Assumptions!$C$13*N241</f>
        <v>0</v>
      </c>
      <c r="Z241" s="66">
        <f>NPV(Assumptions!$D$19,N241:$N$259)*(1+Assumptions!$D$19)</f>
        <v>0</v>
      </c>
      <c r="AA241" s="69">
        <f t="shared" si="48"/>
        <v>0</v>
      </c>
      <c r="AC241" s="68">
        <f t="shared" si="49"/>
        <v>474248639.30692685</v>
      </c>
      <c r="AD241" s="68"/>
      <c r="AE241" s="68"/>
      <c r="AF241" s="68"/>
      <c r="AG241" s="68"/>
      <c r="AH241" s="68"/>
      <c r="AI241" s="68"/>
      <c r="AK241" s="68"/>
      <c r="AL241" s="71">
        <f t="shared" si="43"/>
        <v>0</v>
      </c>
    </row>
    <row r="242" spans="2:38" x14ac:dyDescent="0.2">
      <c r="B242" s="5">
        <f t="shared" si="39"/>
        <v>235</v>
      </c>
      <c r="C242" s="5">
        <f t="shared" si="40"/>
        <v>235</v>
      </c>
      <c r="D242" s="5">
        <f t="shared" si="41"/>
        <v>19</v>
      </c>
      <c r="E242" s="5">
        <f t="shared" si="42"/>
        <v>65</v>
      </c>
      <c r="F242" s="65">
        <f>1-(1-VLOOKUP($E242,'Annual Mortality Rates'!$B$5:$C$105,2,FALSE))^(1/12)</f>
        <v>5.399338581985047E-4</v>
      </c>
      <c r="G242" s="76">
        <f>IF(D242+1&gt;Assumptions!$H$9,100%,1-(1-IF(D242&gt;=7,2%,VLOOKUP($D242,'Annual Lapse Rates'!$B$4:$C$14,2,FALSE)))^(1/12))</f>
        <v>1</v>
      </c>
      <c r="H242" s="82">
        <f t="shared" si="50"/>
        <v>7</v>
      </c>
      <c r="I242" s="66">
        <f t="shared" si="44"/>
        <v>0</v>
      </c>
      <c r="J242" s="67">
        <f t="shared" si="45"/>
        <v>0</v>
      </c>
      <c r="K242" s="67">
        <f t="shared" si="46"/>
        <v>0</v>
      </c>
      <c r="M242" s="68">
        <f t="shared" si="51"/>
        <v>474248639.30692685</v>
      </c>
      <c r="N242" s="68">
        <f>IF(AND(H242=1,D242&lt;15),Assumptions!$H$4*I241,0)</f>
        <v>0</v>
      </c>
      <c r="O242" s="68"/>
      <c r="P242" s="91">
        <f>$M242*(1+VLOOKUP($H242,Assumptions!$C$22:$D$33,2,FALSE))*F242</f>
        <v>261664.27345064463</v>
      </c>
      <c r="Q242" s="91">
        <f>$M242*(1+VLOOKUP($H242,Assumptions!$C$22:$D$33,2,FALSE))*G242</f>
        <v>484622828.29176593</v>
      </c>
      <c r="R242" s="68">
        <f>IF(AND(H242=12,D242&lt;15),Assumptions!$C$7*M242,0)</f>
        <v>0</v>
      </c>
      <c r="S242" s="69">
        <f>M242*Assumptions!$D$17</f>
        <v>1932147.6607632202</v>
      </c>
      <c r="T242" s="69">
        <f t="shared" si="47"/>
        <v>476180786.96769005</v>
      </c>
      <c r="U242" s="68">
        <f>T242+AE242*(1+Assumptions!$D$17)</f>
        <v>476180786.96769005</v>
      </c>
      <c r="V242" s="68">
        <f>(M242+N242-O242)*(1+Assumptions!$D$17)-(P242+Q242)*(1+Assumptions!$D$17)^0.5-R242-T242</f>
        <v>-485871228.28765392</v>
      </c>
      <c r="W242" s="68"/>
      <c r="X242" s="68">
        <f>IF(AND(H242=1,D242&lt;15),Assumptions!$D$10*N242+Assumptions!$D$11*(1+Assumptions!$D$16)^(B242-1)*$I$7,0)</f>
        <v>0</v>
      </c>
      <c r="Y242" s="66">
        <f>Assumptions!$C$13*N242</f>
        <v>0</v>
      </c>
      <c r="Z242" s="66">
        <f>NPV(Assumptions!$D$19,N242:$N$259)*(1+Assumptions!$D$19)</f>
        <v>0</v>
      </c>
      <c r="AA242" s="69">
        <f t="shared" si="48"/>
        <v>0</v>
      </c>
      <c r="AC242" s="68">
        <f t="shared" si="49"/>
        <v>-485871228.28765392</v>
      </c>
      <c r="AD242" s="68"/>
      <c r="AE242" s="68"/>
      <c r="AF242" s="68"/>
      <c r="AG242" s="68"/>
      <c r="AH242" s="68"/>
      <c r="AI242" s="68"/>
      <c r="AK242" s="68"/>
      <c r="AL242" s="71">
        <f t="shared" si="43"/>
        <v>0</v>
      </c>
    </row>
    <row r="243" spans="2:38" x14ac:dyDescent="0.2">
      <c r="B243" s="5">
        <f t="shared" si="39"/>
        <v>236</v>
      </c>
      <c r="C243" s="5">
        <f t="shared" si="40"/>
        <v>236</v>
      </c>
      <c r="D243" s="5">
        <f t="shared" si="41"/>
        <v>19</v>
      </c>
      <c r="E243" s="5">
        <f t="shared" si="42"/>
        <v>65</v>
      </c>
      <c r="F243" s="65">
        <f>1-(1-VLOOKUP($E243,'Annual Mortality Rates'!$B$5:$C$105,2,FALSE))^(1/12)</f>
        <v>5.399338581985047E-4</v>
      </c>
      <c r="G243" s="76">
        <f>IF(D243+1&gt;Assumptions!$H$9,100%,1-(1-IF(D243&gt;=7,2%,VLOOKUP($D243,'Annual Lapse Rates'!$B$4:$C$14,2,FALSE)))^(1/12))</f>
        <v>1</v>
      </c>
      <c r="H243" s="82">
        <f t="shared" si="50"/>
        <v>8</v>
      </c>
      <c r="I243" s="66">
        <f t="shared" si="44"/>
        <v>0</v>
      </c>
      <c r="J243" s="67">
        <f t="shared" si="45"/>
        <v>0</v>
      </c>
      <c r="K243" s="67">
        <f t="shared" si="46"/>
        <v>0</v>
      </c>
      <c r="M243" s="68">
        <f t="shared" si="51"/>
        <v>-485871228.28765392</v>
      </c>
      <c r="N243" s="68">
        <f>IF(AND(H243=1,D243&lt;15),Assumptions!$H$4*I242,0)</f>
        <v>0</v>
      </c>
      <c r="O243" s="68"/>
      <c r="P243" s="91">
        <f>$M243*(1+VLOOKUP($H243,Assumptions!$C$22:$D$33,2,FALSE))*F243</f>
        <v>-268896.78504892439</v>
      </c>
      <c r="Q243" s="91">
        <f>$M243*(1+VLOOKUP($H243,Assumptions!$C$22:$D$33,2,FALSE))*G243</f>
        <v>-498018008.99484521</v>
      </c>
      <c r="R243" s="68">
        <f>IF(AND(H243=12,D243&lt;15),Assumptions!$C$7*M243,0)</f>
        <v>0</v>
      </c>
      <c r="S243" s="69">
        <f>M243*Assumptions!$D$17</f>
        <v>-1979499.5269571694</v>
      </c>
      <c r="T243" s="69">
        <f t="shared" si="47"/>
        <v>-487850727.81461108</v>
      </c>
      <c r="U243" s="68">
        <f>T243+AE243*(1+Assumptions!$D$17)</f>
        <v>-487850727.81461108</v>
      </c>
      <c r="V243" s="68">
        <f>(M243+N243-O243)*(1+Assumptions!$D$17)-(P243+Q243)*(1+Assumptions!$D$17)^0.5-R243-T243</f>
        <v>499300915.29658258</v>
      </c>
      <c r="W243" s="68"/>
      <c r="X243" s="68">
        <f>IF(AND(H243=1,D243&lt;15),Assumptions!$D$10*N243+Assumptions!$D$11*(1+Assumptions!$D$16)^(B243-1)*$I$7,0)</f>
        <v>0</v>
      </c>
      <c r="Y243" s="66">
        <f>Assumptions!$C$13*N243</f>
        <v>0</v>
      </c>
      <c r="Z243" s="66">
        <f>NPV(Assumptions!$D$19,N243:$N$259)*(1+Assumptions!$D$19)</f>
        <v>0</v>
      </c>
      <c r="AA243" s="69">
        <f t="shared" si="48"/>
        <v>0</v>
      </c>
      <c r="AC243" s="68">
        <f t="shared" si="49"/>
        <v>499300915.29658258</v>
      </c>
      <c r="AD243" s="68"/>
      <c r="AE243" s="68"/>
      <c r="AF243" s="68"/>
      <c r="AG243" s="68"/>
      <c r="AH243" s="68"/>
      <c r="AI243" s="68"/>
      <c r="AK243" s="68"/>
      <c r="AL243" s="71">
        <f t="shared" si="43"/>
        <v>0</v>
      </c>
    </row>
    <row r="244" spans="2:38" x14ac:dyDescent="0.2">
      <c r="B244" s="5">
        <f t="shared" si="39"/>
        <v>237</v>
      </c>
      <c r="C244" s="5">
        <f t="shared" si="40"/>
        <v>237</v>
      </c>
      <c r="D244" s="5">
        <f t="shared" si="41"/>
        <v>19</v>
      </c>
      <c r="E244" s="5">
        <f t="shared" si="42"/>
        <v>65</v>
      </c>
      <c r="F244" s="65">
        <f>1-(1-VLOOKUP($E244,'Annual Mortality Rates'!$B$5:$C$105,2,FALSE))^(1/12)</f>
        <v>5.399338581985047E-4</v>
      </c>
      <c r="G244" s="76">
        <f>IF(D244+1&gt;Assumptions!$H$9,100%,1-(1-IF(D244&gt;=7,2%,VLOOKUP($D244,'Annual Lapse Rates'!$B$4:$C$14,2,FALSE)))^(1/12))</f>
        <v>1</v>
      </c>
      <c r="H244" s="82">
        <f t="shared" si="50"/>
        <v>9</v>
      </c>
      <c r="I244" s="66">
        <f t="shared" si="44"/>
        <v>0</v>
      </c>
      <c r="J244" s="67">
        <f t="shared" si="45"/>
        <v>0</v>
      </c>
      <c r="K244" s="67">
        <f t="shared" si="46"/>
        <v>0</v>
      </c>
      <c r="M244" s="68">
        <f t="shared" si="51"/>
        <v>499300915.29658258</v>
      </c>
      <c r="N244" s="68">
        <f>IF(AND(H244=1,D244&lt;15),Assumptions!$H$4*I243,0)</f>
        <v>0</v>
      </c>
      <c r="O244" s="68"/>
      <c r="P244" s="91">
        <f>$M244*(1+VLOOKUP($H244,Assumptions!$C$22:$D$33,2,FALSE))*F244</f>
        <v>277171.67343057599</v>
      </c>
      <c r="Q244" s="91">
        <f>$M244*(1+VLOOKUP($H244,Assumptions!$C$22:$D$33,2,FALSE))*G244</f>
        <v>513343753.53929895</v>
      </c>
      <c r="R244" s="68">
        <f>IF(AND(H244=12,D244&lt;15),Assumptions!$C$7*M244,0)</f>
        <v>0</v>
      </c>
      <c r="S244" s="69">
        <f>M244*Assumptions!$D$17</f>
        <v>2034213.7342071992</v>
      </c>
      <c r="T244" s="69">
        <f t="shared" si="47"/>
        <v>501335129.03078979</v>
      </c>
      <c r="U244" s="68">
        <f>T244+AE244*(1+Assumptions!$D$17)</f>
        <v>501335129.03078979</v>
      </c>
      <c r="V244" s="68">
        <f>(M244+N244-O244)*(1+Assumptions!$D$17)-(P244+Q244)*(1+Assumptions!$D$17)^0.5-R244-T244</f>
        <v>-514666139.32551235</v>
      </c>
      <c r="W244" s="68"/>
      <c r="X244" s="68">
        <f>IF(AND(H244=1,D244&lt;15),Assumptions!$D$10*N244+Assumptions!$D$11*(1+Assumptions!$D$16)^(B244-1)*$I$7,0)</f>
        <v>0</v>
      </c>
      <c r="Y244" s="66">
        <f>Assumptions!$C$13*N244</f>
        <v>0</v>
      </c>
      <c r="Z244" s="66">
        <f>NPV(Assumptions!$D$19,N244:$N$259)*(1+Assumptions!$D$19)</f>
        <v>0</v>
      </c>
      <c r="AA244" s="69">
        <f t="shared" si="48"/>
        <v>0</v>
      </c>
      <c r="AC244" s="68">
        <f t="shared" si="49"/>
        <v>-514666139.32551235</v>
      </c>
      <c r="AD244" s="68"/>
      <c r="AE244" s="68"/>
      <c r="AF244" s="68"/>
      <c r="AG244" s="68"/>
      <c r="AH244" s="68"/>
      <c r="AI244" s="68"/>
      <c r="AK244" s="68"/>
      <c r="AL244" s="71">
        <f t="shared" si="43"/>
        <v>0</v>
      </c>
    </row>
    <row r="245" spans="2:38" x14ac:dyDescent="0.2">
      <c r="B245" s="5">
        <f t="shared" si="39"/>
        <v>238</v>
      </c>
      <c r="C245" s="5">
        <f t="shared" si="40"/>
        <v>238</v>
      </c>
      <c r="D245" s="5">
        <f t="shared" si="41"/>
        <v>19</v>
      </c>
      <c r="E245" s="5">
        <f t="shared" si="42"/>
        <v>65</v>
      </c>
      <c r="F245" s="65">
        <f>1-(1-VLOOKUP($E245,'Annual Mortality Rates'!$B$5:$C$105,2,FALSE))^(1/12)</f>
        <v>5.399338581985047E-4</v>
      </c>
      <c r="G245" s="76">
        <f>IF(D245+1&gt;Assumptions!$H$9,100%,1-(1-IF(D245&gt;=7,2%,VLOOKUP($D245,'Annual Lapse Rates'!$B$4:$C$14,2,FALSE)))^(1/12))</f>
        <v>1</v>
      </c>
      <c r="H245" s="82">
        <f t="shared" si="50"/>
        <v>10</v>
      </c>
      <c r="I245" s="66">
        <f t="shared" si="44"/>
        <v>0</v>
      </c>
      <c r="J245" s="67">
        <f t="shared" si="45"/>
        <v>0</v>
      </c>
      <c r="K245" s="67">
        <f t="shared" si="46"/>
        <v>0</v>
      </c>
      <c r="M245" s="68">
        <f t="shared" si="51"/>
        <v>-514666139.32551235</v>
      </c>
      <c r="N245" s="68">
        <f>IF(AND(H245=1,D245&lt;15),Assumptions!$H$4*I244,0)</f>
        <v>0</v>
      </c>
      <c r="O245" s="68"/>
      <c r="P245" s="91">
        <f>$M245*(1+VLOOKUP($H245,Assumptions!$C$22:$D$33,2,FALSE))*F245</f>
        <v>-286569.60161172034</v>
      </c>
      <c r="Q245" s="91">
        <f>$M245*(1+VLOOKUP($H245,Assumptions!$C$22:$D$33,2,FALSE))*G245</f>
        <v>-530749456.1794346</v>
      </c>
      <c r="R245" s="68">
        <f>IF(AND(H245=12,D245&lt;15),Assumptions!$C$7*M245,0)</f>
        <v>0</v>
      </c>
      <c r="S245" s="69">
        <f>M245*Assumptions!$D$17</f>
        <v>-2096813.5588645469</v>
      </c>
      <c r="T245" s="69">
        <f t="shared" si="47"/>
        <v>-516762952.88437688</v>
      </c>
      <c r="U245" s="68">
        <f>T245+AE245*(1+Assumptions!$D$17)</f>
        <v>-516762952.88437688</v>
      </c>
      <c r="V245" s="68">
        <f>(M245+N245-O245)*(1+Assumptions!$D$17)-(P245+Q245)*(1+Assumptions!$D$17)^0.5-R245-T245</f>
        <v>532116679.4719227</v>
      </c>
      <c r="W245" s="68"/>
      <c r="X245" s="68">
        <f>IF(AND(H245=1,D245&lt;15),Assumptions!$D$10*N245+Assumptions!$D$11*(1+Assumptions!$D$16)^(B245-1)*$I$7,0)</f>
        <v>0</v>
      </c>
      <c r="Y245" s="66">
        <f>Assumptions!$C$13*N245</f>
        <v>0</v>
      </c>
      <c r="Z245" s="66">
        <f>NPV(Assumptions!$D$19,N245:$N$259)*(1+Assumptions!$D$19)</f>
        <v>0</v>
      </c>
      <c r="AA245" s="69">
        <f t="shared" si="48"/>
        <v>0</v>
      </c>
      <c r="AC245" s="68">
        <f t="shared" si="49"/>
        <v>532116679.4719227</v>
      </c>
      <c r="AD245" s="68"/>
      <c r="AE245" s="68"/>
      <c r="AF245" s="68"/>
      <c r="AG245" s="68"/>
      <c r="AH245" s="68"/>
      <c r="AI245" s="68"/>
      <c r="AK245" s="68"/>
      <c r="AL245" s="71">
        <f t="shared" si="43"/>
        <v>0</v>
      </c>
    </row>
    <row r="246" spans="2:38" x14ac:dyDescent="0.2">
      <c r="B246" s="5">
        <f t="shared" si="39"/>
        <v>239</v>
      </c>
      <c r="C246" s="5">
        <f t="shared" si="40"/>
        <v>239</v>
      </c>
      <c r="D246" s="5">
        <f t="shared" si="41"/>
        <v>19</v>
      </c>
      <c r="E246" s="5">
        <f t="shared" si="42"/>
        <v>65</v>
      </c>
      <c r="F246" s="65">
        <f>1-(1-VLOOKUP($E246,'Annual Mortality Rates'!$B$5:$C$105,2,FALSE))^(1/12)</f>
        <v>5.399338581985047E-4</v>
      </c>
      <c r="G246" s="76">
        <f>IF(D246+1&gt;Assumptions!$H$9,100%,1-(1-IF(D246&gt;=7,2%,VLOOKUP($D246,'Annual Lapse Rates'!$B$4:$C$14,2,FALSE)))^(1/12))</f>
        <v>1</v>
      </c>
      <c r="H246" s="82">
        <f t="shared" si="50"/>
        <v>11</v>
      </c>
      <c r="I246" s="66">
        <f t="shared" si="44"/>
        <v>0</v>
      </c>
      <c r="J246" s="67">
        <f t="shared" si="45"/>
        <v>0</v>
      </c>
      <c r="K246" s="67">
        <f t="shared" si="46"/>
        <v>0</v>
      </c>
      <c r="M246" s="68">
        <f t="shared" si="51"/>
        <v>532116679.4719227</v>
      </c>
      <c r="N246" s="68">
        <f>IF(AND(H246=1,D246&lt;15),Assumptions!$H$4*I245,0)</f>
        <v>0</v>
      </c>
      <c r="O246" s="68"/>
      <c r="P246" s="91">
        <f>$M246*(1+VLOOKUP($H246,Assumptions!$C$22:$D$33,2,FALSE))*F246</f>
        <v>297184.01778826973</v>
      </c>
      <c r="Q246" s="91">
        <f>$M246*(1+VLOOKUP($H246,Assumptions!$C$22:$D$33,2,FALSE))*G246</f>
        <v>550408190.32877004</v>
      </c>
      <c r="R246" s="68">
        <f>IF(AND(H246=12,D246&lt;15),Assumptions!$C$7*M246,0)</f>
        <v>0</v>
      </c>
      <c r="S246" s="69">
        <f>M246*Assumptions!$D$17</f>
        <v>2167909.2195125478</v>
      </c>
      <c r="T246" s="69">
        <f t="shared" si="47"/>
        <v>534284588.69143522</v>
      </c>
      <c r="U246" s="68">
        <f>T246+AE246*(1+Assumptions!$D$17)</f>
        <v>534284588.69143522</v>
      </c>
      <c r="V246" s="68">
        <f>(M246+N246-O246)*(1+Assumptions!$D$17)-(P246+Q246)*(1+Assumptions!$D$17)^0.5-R246-T246</f>
        <v>-551826054.9905839</v>
      </c>
      <c r="W246" s="68"/>
      <c r="X246" s="68">
        <f>IF(AND(H246=1,D246&lt;15),Assumptions!$D$10*N246+Assumptions!$D$11*(1+Assumptions!$D$16)^(B246-1)*$I$7,0)</f>
        <v>0</v>
      </c>
      <c r="Y246" s="66">
        <f>Assumptions!$C$13*N246</f>
        <v>0</v>
      </c>
      <c r="Z246" s="66">
        <f>NPV(Assumptions!$D$19,N246:$N$259)*(1+Assumptions!$D$19)</f>
        <v>0</v>
      </c>
      <c r="AA246" s="69">
        <f t="shared" si="48"/>
        <v>0</v>
      </c>
      <c r="AC246" s="68">
        <f t="shared" si="49"/>
        <v>-551826054.9905839</v>
      </c>
      <c r="AD246" s="68"/>
      <c r="AE246" s="68"/>
      <c r="AF246" s="68"/>
      <c r="AG246" s="68"/>
      <c r="AH246" s="68"/>
      <c r="AI246" s="68"/>
      <c r="AK246" s="68"/>
      <c r="AL246" s="71">
        <f t="shared" si="43"/>
        <v>0</v>
      </c>
    </row>
    <row r="247" spans="2:38" x14ac:dyDescent="0.2">
      <c r="B247" s="5">
        <f t="shared" si="39"/>
        <v>240</v>
      </c>
      <c r="C247" s="5">
        <f t="shared" si="40"/>
        <v>240</v>
      </c>
      <c r="D247" s="5">
        <f t="shared" si="41"/>
        <v>19</v>
      </c>
      <c r="E247" s="5">
        <f t="shared" si="42"/>
        <v>65</v>
      </c>
      <c r="F247" s="65">
        <f>1-(1-VLOOKUP($E247,'Annual Mortality Rates'!$B$5:$C$105,2,FALSE))^(1/12)</f>
        <v>5.399338581985047E-4</v>
      </c>
      <c r="G247" s="76">
        <f>IF(D247+1&gt;Assumptions!$H$9,100%,1-(1-IF(D247&gt;=7,2%,VLOOKUP($D247,'Annual Lapse Rates'!$B$4:$C$14,2,FALSE)))^(1/12))</f>
        <v>1</v>
      </c>
      <c r="H247" s="82">
        <f t="shared" si="50"/>
        <v>12</v>
      </c>
      <c r="I247" s="66">
        <f t="shared" si="44"/>
        <v>0</v>
      </c>
      <c r="J247" s="67">
        <f t="shared" si="45"/>
        <v>0</v>
      </c>
      <c r="K247" s="67">
        <f t="shared" si="46"/>
        <v>0</v>
      </c>
      <c r="M247" s="68">
        <f t="shared" si="51"/>
        <v>-551826054.9905839</v>
      </c>
      <c r="N247" s="68">
        <f>IF(AND(H247=1,D247&lt;15),Assumptions!$H$4*I246,0)</f>
        <v>0</v>
      </c>
      <c r="O247" s="68"/>
      <c r="P247" s="91">
        <f>$M247*(1+VLOOKUP($H247,Assumptions!$C$22:$D$33,2,FALSE))*F247</f>
        <v>-309122.67983523343</v>
      </c>
      <c r="Q247" s="91">
        <f>$M247*(1+VLOOKUP($H247,Assumptions!$C$22:$D$33,2,FALSE))*G247</f>
        <v>-572519532.0527308</v>
      </c>
      <c r="R247" s="68">
        <f>IF(AND(H247=12,D247&lt;15),Assumptions!$C$7*M247,0)</f>
        <v>0</v>
      </c>
      <c r="S247" s="69">
        <f>M247*Assumptions!$D$17</f>
        <v>-2248207.6550739822</v>
      </c>
      <c r="T247" s="69">
        <f t="shared" si="47"/>
        <v>-554074262.6456579</v>
      </c>
      <c r="U247" s="68">
        <f>T247+AE247*(1+Assumptions!$D$17)</f>
        <v>-554074262.6456579</v>
      </c>
      <c r="V247" s="68">
        <f>(M247+N247-O247)*(1+Assumptions!$D$17)-(P247+Q247)*(1+Assumptions!$D$17)^0.5-R247-T247</f>
        <v>573994356.05963886</v>
      </c>
      <c r="W247" s="68"/>
      <c r="X247" s="68">
        <f>IF(AND(H247=1,D247&lt;15),Assumptions!$D$10*N247+Assumptions!$D$11*(1+Assumptions!$D$16)^(B247-1)*$I$7,0)</f>
        <v>0</v>
      </c>
      <c r="Y247" s="66">
        <f>Assumptions!$C$13*N247</f>
        <v>0</v>
      </c>
      <c r="Z247" s="66">
        <f>NPV(Assumptions!$D$19,N247:$N$259)*(1+Assumptions!$D$19)</f>
        <v>0</v>
      </c>
      <c r="AA247" s="69">
        <f t="shared" si="48"/>
        <v>0</v>
      </c>
      <c r="AC247" s="68">
        <f t="shared" si="49"/>
        <v>573994356.05963886</v>
      </c>
      <c r="AD247" s="68"/>
      <c r="AE247" s="68"/>
      <c r="AF247" s="68"/>
      <c r="AG247" s="68"/>
      <c r="AH247" s="68"/>
      <c r="AI247" s="68"/>
      <c r="AK247" s="68"/>
      <c r="AL247" s="71">
        <f t="shared" si="43"/>
        <v>0</v>
      </c>
    </row>
    <row r="248" spans="2:38" x14ac:dyDescent="0.2">
      <c r="B248" s="5">
        <f t="shared" si="39"/>
        <v>241</v>
      </c>
      <c r="C248" s="5">
        <f t="shared" si="40"/>
        <v>241</v>
      </c>
      <c r="D248" s="5">
        <f t="shared" si="41"/>
        <v>20</v>
      </c>
      <c r="E248" s="5">
        <f t="shared" si="42"/>
        <v>66</v>
      </c>
      <c r="F248" s="65">
        <f>1-(1-VLOOKUP($E248,'Annual Mortality Rates'!$B$5:$C$105,2,FALSE))^(1/12)</f>
        <v>6.120561724122231E-4</v>
      </c>
      <c r="G248" s="76">
        <f>IF(D248+1&gt;Assumptions!$H$9,100%,1-(1-IF(D248&gt;=7,2%,VLOOKUP($D248,'Annual Lapse Rates'!$B$4:$C$14,2,FALSE)))^(1/12))</f>
        <v>1</v>
      </c>
      <c r="H248" s="82">
        <f t="shared" si="50"/>
        <v>1</v>
      </c>
      <c r="I248" s="66">
        <f t="shared" si="44"/>
        <v>0</v>
      </c>
      <c r="J248" s="67">
        <f t="shared" si="45"/>
        <v>0</v>
      </c>
      <c r="K248" s="67">
        <f t="shared" si="46"/>
        <v>0</v>
      </c>
      <c r="M248" s="68">
        <f t="shared" si="51"/>
        <v>573994356.05963886</v>
      </c>
      <c r="N248" s="68">
        <f>IF(AND(H248=1,D248&lt;15),Assumptions!$H$4*I247,0)</f>
        <v>0</v>
      </c>
      <c r="O248" s="68"/>
      <c r="P248" s="91">
        <f>$M248*(1+VLOOKUP($H248,Assumptions!$C$22:$D$33,2,FALSE))*F248</f>
        <v>352414.65352031909</v>
      </c>
      <c r="Q248" s="91">
        <f>$M248*(1+VLOOKUP($H248,Assumptions!$C$22:$D$33,2,FALSE))*G248</f>
        <v>575788088.42232525</v>
      </c>
      <c r="R248" s="68">
        <f>IF(AND(H248=12,D248&lt;15),Assumptions!$C$7*M248,0)</f>
        <v>0</v>
      </c>
      <c r="S248" s="69">
        <f>M248*Assumptions!$D$17</f>
        <v>2338524.0577024962</v>
      </c>
      <c r="T248" s="69">
        <f t="shared" si="47"/>
        <v>576332880.1173414</v>
      </c>
      <c r="U248" s="68">
        <f>T248+AE248*(1+Assumptions!$D$17)</f>
        <v>576332880.1173414</v>
      </c>
      <c r="V248" s="68">
        <f>(M248+N248-O248)*(1+Assumptions!$D$17)-(P248+Q248)*(1+Assumptions!$D$17)^0.5-R248-T248</f>
        <v>-577312943.98547423</v>
      </c>
      <c r="W248" s="68"/>
      <c r="X248" s="68">
        <f>IF(AND(H248=1,D248&lt;15),Assumptions!$D$10*N248+Assumptions!$D$11*(1+Assumptions!$D$16)^(B248-1)*$I$7,0)</f>
        <v>0</v>
      </c>
      <c r="Y248" s="66">
        <f>Assumptions!$C$13*N248</f>
        <v>0</v>
      </c>
      <c r="Z248" s="66">
        <f>NPV(Assumptions!$D$19,N248:$N$259)*(1+Assumptions!$D$19)</f>
        <v>0</v>
      </c>
      <c r="AA248" s="69">
        <f t="shared" si="48"/>
        <v>0</v>
      </c>
      <c r="AC248" s="68">
        <f t="shared" si="49"/>
        <v>-577312943.98547423</v>
      </c>
      <c r="AD248" s="68"/>
      <c r="AE248" s="68"/>
      <c r="AF248" s="68"/>
      <c r="AG248" s="68"/>
      <c r="AH248" s="68"/>
      <c r="AI248" s="68"/>
      <c r="AK248" s="68"/>
      <c r="AL248" s="71">
        <f t="shared" si="43"/>
        <v>0</v>
      </c>
    </row>
    <row r="249" spans="2:38" x14ac:dyDescent="0.2">
      <c r="B249" s="5">
        <f t="shared" si="39"/>
        <v>242</v>
      </c>
      <c r="C249" s="5">
        <f t="shared" si="40"/>
        <v>242</v>
      </c>
      <c r="D249" s="5">
        <f t="shared" si="41"/>
        <v>20</v>
      </c>
      <c r="E249" s="5">
        <f t="shared" si="42"/>
        <v>66</v>
      </c>
      <c r="F249" s="65">
        <f>1-(1-VLOOKUP($E249,'Annual Mortality Rates'!$B$5:$C$105,2,FALSE))^(1/12)</f>
        <v>6.120561724122231E-4</v>
      </c>
      <c r="G249" s="76">
        <f>IF(D249+1&gt;Assumptions!$H$9,100%,1-(1-IF(D249&gt;=7,2%,VLOOKUP($D249,'Annual Lapse Rates'!$B$4:$C$14,2,FALSE)))^(1/12))</f>
        <v>1</v>
      </c>
      <c r="H249" s="82">
        <f t="shared" si="50"/>
        <v>2</v>
      </c>
      <c r="I249" s="66">
        <f t="shared" si="44"/>
        <v>0</v>
      </c>
      <c r="J249" s="67">
        <f t="shared" si="45"/>
        <v>0</v>
      </c>
      <c r="K249" s="67">
        <f t="shared" si="46"/>
        <v>0</v>
      </c>
      <c r="M249" s="68">
        <f t="shared" si="51"/>
        <v>-577312943.98547423</v>
      </c>
      <c r="N249" s="68">
        <f>IF(AND(H249=1,D249&lt;15),Assumptions!$H$4*I248,0)</f>
        <v>0</v>
      </c>
      <c r="O249" s="68"/>
      <c r="P249" s="91">
        <f>$M249*(1+VLOOKUP($H249,Assumptions!$C$22:$D$33,2,FALSE))*F249</f>
        <v>-355556.37547215517</v>
      </c>
      <c r="Q249" s="91">
        <f>$M249*(1+VLOOKUP($H249,Assumptions!$C$22:$D$33,2,FALSE))*G249</f>
        <v>-580921149.88538349</v>
      </c>
      <c r="R249" s="68">
        <f>IF(AND(H249=12,D249&lt;15),Assumptions!$C$7*M249,0)</f>
        <v>0</v>
      </c>
      <c r="S249" s="69">
        <f>M249*Assumptions!$D$17</f>
        <v>-2352044.3956992701</v>
      </c>
      <c r="T249" s="69">
        <f t="shared" si="47"/>
        <v>-579664988.38117349</v>
      </c>
      <c r="U249" s="68">
        <f>T249+AE249*(1+Assumptions!$D$17)</f>
        <v>-579664988.38117349</v>
      </c>
      <c r="V249" s="68">
        <f>(M249+N249-O249)*(1+Assumptions!$D$17)-(P249+Q249)*(1+Assumptions!$D$17)^0.5-R249-T249</f>
        <v>582459599.2992655</v>
      </c>
      <c r="W249" s="68"/>
      <c r="X249" s="68">
        <f>IF(AND(H249=1,D249&lt;15),Assumptions!$D$10*N249+Assumptions!$D$11*(1+Assumptions!$D$16)^(B249-1)*$I$7,0)</f>
        <v>0</v>
      </c>
      <c r="Y249" s="66">
        <f>Assumptions!$C$13*N249</f>
        <v>0</v>
      </c>
      <c r="Z249" s="66">
        <f>NPV(Assumptions!$D$19,N249:$N$259)*(1+Assumptions!$D$19)</f>
        <v>0</v>
      </c>
      <c r="AA249" s="69">
        <f t="shared" si="48"/>
        <v>0</v>
      </c>
      <c r="AC249" s="68">
        <f t="shared" si="49"/>
        <v>582459599.2992655</v>
      </c>
      <c r="AD249" s="68"/>
      <c r="AE249" s="68"/>
      <c r="AF249" s="68"/>
      <c r="AG249" s="68"/>
      <c r="AH249" s="68"/>
      <c r="AI249" s="68"/>
      <c r="AK249" s="68"/>
      <c r="AL249" s="71">
        <f t="shared" si="43"/>
        <v>0</v>
      </c>
    </row>
    <row r="250" spans="2:38" x14ac:dyDescent="0.2">
      <c r="B250" s="5">
        <f t="shared" si="39"/>
        <v>243</v>
      </c>
      <c r="C250" s="5">
        <f t="shared" si="40"/>
        <v>243</v>
      </c>
      <c r="D250" s="5">
        <f t="shared" si="41"/>
        <v>20</v>
      </c>
      <c r="E250" s="5">
        <f t="shared" si="42"/>
        <v>66</v>
      </c>
      <c r="F250" s="65">
        <f>1-(1-VLOOKUP($E250,'Annual Mortality Rates'!$B$5:$C$105,2,FALSE))^(1/12)</f>
        <v>6.120561724122231E-4</v>
      </c>
      <c r="G250" s="76">
        <f>IF(D250+1&gt;Assumptions!$H$9,100%,1-(1-IF(D250&gt;=7,2%,VLOOKUP($D250,'Annual Lapse Rates'!$B$4:$C$14,2,FALSE)))^(1/12))</f>
        <v>1</v>
      </c>
      <c r="H250" s="82">
        <f t="shared" si="50"/>
        <v>3</v>
      </c>
      <c r="I250" s="66">
        <f t="shared" si="44"/>
        <v>0</v>
      </c>
      <c r="J250" s="67">
        <f t="shared" si="45"/>
        <v>0</v>
      </c>
      <c r="K250" s="67">
        <f t="shared" si="46"/>
        <v>0</v>
      </c>
      <c r="M250" s="68">
        <f t="shared" si="51"/>
        <v>582459599.2992655</v>
      </c>
      <c r="N250" s="68">
        <f>IF(AND(H250=1,D250&lt;15),Assumptions!$H$4*I249,0)</f>
        <v>0</v>
      </c>
      <c r="O250" s="68"/>
      <c r="P250" s="91">
        <f>$M250*(1+VLOOKUP($H250,Assumptions!$C$22:$D$33,2,FALSE))*F250</f>
        <v>359840.16161560186</v>
      </c>
      <c r="Q250" s="91">
        <f>$M250*(1+VLOOKUP($H250,Assumptions!$C$22:$D$33,2,FALSE))*G250</f>
        <v>587920158.04269612</v>
      </c>
      <c r="R250" s="68">
        <f>IF(AND(H250=12,D250&lt;15),Assumptions!$C$7*M250,0)</f>
        <v>0</v>
      </c>
      <c r="S250" s="69">
        <f>M250*Assumptions!$D$17</f>
        <v>2373012.5065194275</v>
      </c>
      <c r="T250" s="69">
        <f t="shared" si="47"/>
        <v>584832611.80578494</v>
      </c>
      <c r="U250" s="68">
        <f>T250+AE250*(1+Assumptions!$D$17)</f>
        <v>584832611.80578494</v>
      </c>
      <c r="V250" s="68">
        <f>(M250+N250-O250)*(1+Assumptions!$D$17)-(P250+Q250)*(1+Assumptions!$D$17)^0.5-R250-T250</f>
        <v>-589477142.88087714</v>
      </c>
      <c r="W250" s="68"/>
      <c r="X250" s="68">
        <f>IF(AND(H250=1,D250&lt;15),Assumptions!$D$10*N250+Assumptions!$D$11*(1+Assumptions!$D$16)^(B250-1)*$I$7,0)</f>
        <v>0</v>
      </c>
      <c r="Y250" s="66">
        <f>Assumptions!$C$13*N250</f>
        <v>0</v>
      </c>
      <c r="Z250" s="66">
        <f>NPV(Assumptions!$D$19,N250:$N$259)*(1+Assumptions!$D$19)</f>
        <v>0</v>
      </c>
      <c r="AA250" s="69">
        <f t="shared" si="48"/>
        <v>0</v>
      </c>
      <c r="AC250" s="68">
        <f t="shared" si="49"/>
        <v>-589477142.88087714</v>
      </c>
      <c r="AD250" s="68"/>
      <c r="AE250" s="68"/>
      <c r="AF250" s="68"/>
      <c r="AG250" s="68"/>
      <c r="AH250" s="68"/>
      <c r="AI250" s="68"/>
      <c r="AK250" s="68"/>
      <c r="AL250" s="71">
        <f t="shared" si="43"/>
        <v>0</v>
      </c>
    </row>
    <row r="251" spans="2:38" x14ac:dyDescent="0.2">
      <c r="B251" s="5">
        <f t="shared" si="39"/>
        <v>244</v>
      </c>
      <c r="C251" s="5">
        <f t="shared" si="40"/>
        <v>244</v>
      </c>
      <c r="D251" s="5">
        <f t="shared" si="41"/>
        <v>20</v>
      </c>
      <c r="E251" s="5">
        <f t="shared" si="42"/>
        <v>66</v>
      </c>
      <c r="F251" s="65">
        <f>1-(1-VLOOKUP($E251,'Annual Mortality Rates'!$B$5:$C$105,2,FALSE))^(1/12)</f>
        <v>6.120561724122231E-4</v>
      </c>
      <c r="G251" s="76">
        <f>IF(D251+1&gt;Assumptions!$H$9,100%,1-(1-IF(D251&gt;=7,2%,VLOOKUP($D251,'Annual Lapse Rates'!$B$4:$C$14,2,FALSE)))^(1/12))</f>
        <v>1</v>
      </c>
      <c r="H251" s="82">
        <f t="shared" si="50"/>
        <v>4</v>
      </c>
      <c r="I251" s="66">
        <f t="shared" si="44"/>
        <v>0</v>
      </c>
      <c r="J251" s="67">
        <f t="shared" si="45"/>
        <v>0</v>
      </c>
      <c r="K251" s="67">
        <f t="shared" si="46"/>
        <v>0</v>
      </c>
      <c r="M251" s="68">
        <f t="shared" si="51"/>
        <v>-589477142.88087714</v>
      </c>
      <c r="N251" s="68">
        <f>IF(AND(H251=1,D251&lt;15),Assumptions!$H$4*I250,0)</f>
        <v>0</v>
      </c>
      <c r="O251" s="68"/>
      <c r="P251" s="91">
        <f>$M251*(1+VLOOKUP($H251,Assumptions!$C$22:$D$33,2,FALSE))*F251</f>
        <v>-365303.03784361487</v>
      </c>
      <c r="Q251" s="91">
        <f>$M251*(1+VLOOKUP($H251,Assumptions!$C$22:$D$33,2,FALSE))*G251</f>
        <v>-596845607.16688812</v>
      </c>
      <c r="R251" s="68">
        <f>IF(AND(H251=12,D251&lt;15),Assumptions!$C$7*M251,0)</f>
        <v>0</v>
      </c>
      <c r="S251" s="69">
        <f>M251*Assumptions!$D$17</f>
        <v>-2401602.8477280601</v>
      </c>
      <c r="T251" s="69">
        <f t="shared" si="47"/>
        <v>-591878745.72860515</v>
      </c>
      <c r="U251" s="68">
        <f>T251+AE251*(1+Assumptions!$D$17)</f>
        <v>-591878745.72860515</v>
      </c>
      <c r="V251" s="68">
        <f>(M251+N251-O251)*(1+Assumptions!$D$17)-(P251+Q251)*(1+Assumptions!$D$17)^0.5-R251-T251</f>
        <v>598426229.20949256</v>
      </c>
      <c r="W251" s="68"/>
      <c r="X251" s="68">
        <f>IF(AND(H251=1,D251&lt;15),Assumptions!$D$10*N251+Assumptions!$D$11*(1+Assumptions!$D$16)^(B251-1)*$I$7,0)</f>
        <v>0</v>
      </c>
      <c r="Y251" s="66">
        <f>Assumptions!$C$13*N251</f>
        <v>0</v>
      </c>
      <c r="Z251" s="66">
        <f>NPV(Assumptions!$D$19,N251:$N$259)*(1+Assumptions!$D$19)</f>
        <v>0</v>
      </c>
      <c r="AA251" s="69">
        <f t="shared" si="48"/>
        <v>0</v>
      </c>
      <c r="AC251" s="68">
        <f t="shared" si="49"/>
        <v>598426229.20949256</v>
      </c>
      <c r="AD251" s="68"/>
      <c r="AE251" s="68"/>
      <c r="AF251" s="68"/>
      <c r="AG251" s="68"/>
      <c r="AH251" s="68"/>
      <c r="AI251" s="68"/>
      <c r="AK251" s="68"/>
      <c r="AL251" s="71">
        <f t="shared" si="43"/>
        <v>0</v>
      </c>
    </row>
    <row r="252" spans="2:38" x14ac:dyDescent="0.2">
      <c r="B252" s="5">
        <f t="shared" si="39"/>
        <v>245</v>
      </c>
      <c r="C252" s="5">
        <f t="shared" si="40"/>
        <v>245</v>
      </c>
      <c r="D252" s="5">
        <f t="shared" si="41"/>
        <v>20</v>
      </c>
      <c r="E252" s="5">
        <f t="shared" si="42"/>
        <v>66</v>
      </c>
      <c r="F252" s="65">
        <f>1-(1-VLOOKUP($E252,'Annual Mortality Rates'!$B$5:$C$105,2,FALSE))^(1/12)</f>
        <v>6.120561724122231E-4</v>
      </c>
      <c r="G252" s="76">
        <f>IF(D252+1&gt;Assumptions!$H$9,100%,1-(1-IF(D252&gt;=7,2%,VLOOKUP($D252,'Annual Lapse Rates'!$B$4:$C$14,2,FALSE)))^(1/12))</f>
        <v>1</v>
      </c>
      <c r="H252" s="82">
        <f t="shared" si="50"/>
        <v>5</v>
      </c>
      <c r="I252" s="66">
        <f t="shared" si="44"/>
        <v>0</v>
      </c>
      <c r="J252" s="67">
        <f t="shared" si="45"/>
        <v>0</v>
      </c>
      <c r="K252" s="67">
        <f t="shared" si="46"/>
        <v>0</v>
      </c>
      <c r="M252" s="68">
        <f t="shared" si="51"/>
        <v>598426229.20949256</v>
      </c>
      <c r="N252" s="68">
        <f>IF(AND(H252=1,D252&lt;15),Assumptions!$H$4*I251,0)</f>
        <v>0</v>
      </c>
      <c r="O252" s="68"/>
      <c r="P252" s="91">
        <f>$M252*(1+VLOOKUP($H252,Assumptions!$C$22:$D$33,2,FALSE))*F252</f>
        <v>371993.44337293302</v>
      </c>
      <c r="Q252" s="91">
        <f>$M252*(1+VLOOKUP($H252,Assumptions!$C$22:$D$33,2,FALSE))*G252</f>
        <v>607776639.04089093</v>
      </c>
      <c r="R252" s="68">
        <f>IF(AND(H252=12,D252&lt;15),Assumptions!$C$7*M252,0)</f>
        <v>0</v>
      </c>
      <c r="S252" s="69">
        <f>M252*Assumptions!$D$17</f>
        <v>2438062.5331813945</v>
      </c>
      <c r="T252" s="69">
        <f t="shared" si="47"/>
        <v>600864291.74267399</v>
      </c>
      <c r="U252" s="68">
        <f>T252+AE252*(1+Assumptions!$D$17)</f>
        <v>600864291.74267399</v>
      </c>
      <c r="V252" s="68">
        <f>(M252+N252-O252)*(1+Assumptions!$D$17)-(P252+Q252)*(1+Assumptions!$D$17)^0.5-R252-T252</f>
        <v>-609386209.65867293</v>
      </c>
      <c r="W252" s="68"/>
      <c r="X252" s="68">
        <f>IF(AND(H252=1,D252&lt;15),Assumptions!$D$10*N252+Assumptions!$D$11*(1+Assumptions!$D$16)^(B252-1)*$I$7,0)</f>
        <v>0</v>
      </c>
      <c r="Y252" s="66">
        <f>Assumptions!$C$13*N252</f>
        <v>0</v>
      </c>
      <c r="Z252" s="66">
        <f>NPV(Assumptions!$D$19,N252:$N$259)*(1+Assumptions!$D$19)</f>
        <v>0</v>
      </c>
      <c r="AA252" s="69">
        <f t="shared" si="48"/>
        <v>0</v>
      </c>
      <c r="AC252" s="68">
        <f t="shared" si="49"/>
        <v>-609386209.65867293</v>
      </c>
      <c r="AD252" s="68"/>
      <c r="AE252" s="68"/>
      <c r="AF252" s="68"/>
      <c r="AG252" s="68"/>
      <c r="AH252" s="68"/>
      <c r="AI252" s="68"/>
      <c r="AK252" s="68"/>
      <c r="AL252" s="71">
        <f t="shared" si="43"/>
        <v>0</v>
      </c>
    </row>
    <row r="253" spans="2:38" x14ac:dyDescent="0.2">
      <c r="B253" s="5">
        <f t="shared" si="39"/>
        <v>246</v>
      </c>
      <c r="C253" s="5">
        <f t="shared" si="40"/>
        <v>246</v>
      </c>
      <c r="D253" s="5">
        <f t="shared" si="41"/>
        <v>20</v>
      </c>
      <c r="E253" s="5">
        <f t="shared" si="42"/>
        <v>66</v>
      </c>
      <c r="F253" s="65">
        <f>1-(1-VLOOKUP($E253,'Annual Mortality Rates'!$B$5:$C$105,2,FALSE))^(1/12)</f>
        <v>6.120561724122231E-4</v>
      </c>
      <c r="G253" s="76">
        <f>IF(D253+1&gt;Assumptions!$H$9,100%,1-(1-IF(D253&gt;=7,2%,VLOOKUP($D253,'Annual Lapse Rates'!$B$4:$C$14,2,FALSE)))^(1/12))</f>
        <v>1</v>
      </c>
      <c r="H253" s="82">
        <f t="shared" si="50"/>
        <v>6</v>
      </c>
      <c r="I253" s="66">
        <f t="shared" si="44"/>
        <v>0</v>
      </c>
      <c r="J253" s="67">
        <f t="shared" si="45"/>
        <v>0</v>
      </c>
      <c r="K253" s="67">
        <f t="shared" si="46"/>
        <v>0</v>
      </c>
      <c r="M253" s="68">
        <f t="shared" si="51"/>
        <v>-609386209.65867293</v>
      </c>
      <c r="N253" s="68">
        <f>IF(AND(H253=1,D253&lt;15),Assumptions!$H$4*I252,0)</f>
        <v>0</v>
      </c>
      <c r="O253" s="68"/>
      <c r="P253" s="91">
        <f>$M253*(1+VLOOKUP($H253,Assumptions!$C$22:$D$33,2,FALSE))*F253</f>
        <v>-379971.93958581385</v>
      </c>
      <c r="Q253" s="91">
        <f>$M253*(1+VLOOKUP($H253,Assumptions!$C$22:$D$33,2,FALSE))*G253</f>
        <v>-620812201.08977306</v>
      </c>
      <c r="R253" s="68">
        <f>IF(AND(H253=12,D253&lt;15),Assumptions!$C$7*M253,0)</f>
        <v>0</v>
      </c>
      <c r="S253" s="69">
        <f>M253*Assumptions!$D$17</f>
        <v>-2482714.8501977213</v>
      </c>
      <c r="T253" s="69">
        <f t="shared" si="47"/>
        <v>-611868924.5088706</v>
      </c>
      <c r="U253" s="68">
        <f>T253+AE253*(1+Assumptions!$D$17)</f>
        <v>-611868924.5088706</v>
      </c>
      <c r="V253" s="68">
        <f>(M253+N253-O253)*(1+Assumptions!$D$17)-(P253+Q253)*(1+Assumptions!$D$17)^0.5-R253-T253</f>
        <v>622456293.69525969</v>
      </c>
      <c r="W253" s="68"/>
      <c r="X253" s="68">
        <f>IF(AND(H253=1,D253&lt;15),Assumptions!$D$10*N253+Assumptions!$D$11*(1+Assumptions!$D$16)^(B253-1)*$I$7,0)</f>
        <v>0</v>
      </c>
      <c r="Y253" s="66">
        <f>Assumptions!$C$13*N253</f>
        <v>0</v>
      </c>
      <c r="Z253" s="66">
        <f>NPV(Assumptions!$D$19,N253:$N$259)*(1+Assumptions!$D$19)</f>
        <v>0</v>
      </c>
      <c r="AA253" s="69">
        <f t="shared" si="48"/>
        <v>0</v>
      </c>
      <c r="AC253" s="68">
        <f t="shared" si="49"/>
        <v>622456293.69525969</v>
      </c>
      <c r="AD253" s="68"/>
      <c r="AE253" s="68"/>
      <c r="AF253" s="68"/>
      <c r="AG253" s="68"/>
      <c r="AH253" s="68"/>
      <c r="AI253" s="68"/>
      <c r="AK253" s="68"/>
      <c r="AL253" s="71">
        <f t="shared" si="43"/>
        <v>0</v>
      </c>
    </row>
    <row r="254" spans="2:38" x14ac:dyDescent="0.2">
      <c r="B254" s="5">
        <f t="shared" si="39"/>
        <v>247</v>
      </c>
      <c r="C254" s="5">
        <f t="shared" si="40"/>
        <v>247</v>
      </c>
      <c r="D254" s="5">
        <f t="shared" si="41"/>
        <v>20</v>
      </c>
      <c r="E254" s="5">
        <f t="shared" si="42"/>
        <v>66</v>
      </c>
      <c r="F254" s="65">
        <f>1-(1-VLOOKUP($E254,'Annual Mortality Rates'!$B$5:$C$105,2,FALSE))^(1/12)</f>
        <v>6.120561724122231E-4</v>
      </c>
      <c r="G254" s="76">
        <f>IF(D254+1&gt;Assumptions!$H$9,100%,1-(1-IF(D254&gt;=7,2%,VLOOKUP($D254,'Annual Lapse Rates'!$B$4:$C$14,2,FALSE)))^(1/12))</f>
        <v>1</v>
      </c>
      <c r="H254" s="82">
        <f t="shared" si="50"/>
        <v>7</v>
      </c>
      <c r="I254" s="66">
        <f t="shared" si="44"/>
        <v>0</v>
      </c>
      <c r="J254" s="67">
        <f t="shared" si="45"/>
        <v>0</v>
      </c>
      <c r="K254" s="67">
        <f t="shared" si="46"/>
        <v>0</v>
      </c>
      <c r="M254" s="68">
        <f t="shared" si="51"/>
        <v>622456293.69525969</v>
      </c>
      <c r="N254" s="68">
        <f>IF(AND(H254=1,D254&lt;15),Assumptions!$H$4*I253,0)</f>
        <v>0</v>
      </c>
      <c r="O254" s="68"/>
      <c r="P254" s="91">
        <f>$M254*(1+VLOOKUP($H254,Assumptions!$C$22:$D$33,2,FALSE))*F254</f>
        <v>389312.11510142911</v>
      </c>
      <c r="Q254" s="91">
        <f>$M254*(1+VLOOKUP($H254,Assumptions!$C$22:$D$33,2,FALSE))*G254</f>
        <v>636072525.1198436</v>
      </c>
      <c r="R254" s="68">
        <f>IF(AND(H254=12,D254&lt;15),Assumptions!$C$7*M254,0)</f>
        <v>0</v>
      </c>
      <c r="S254" s="69">
        <f>M254*Assumptions!$D$17</f>
        <v>2535963.9904254624</v>
      </c>
      <c r="T254" s="69">
        <f t="shared" si="47"/>
        <v>624992257.68568516</v>
      </c>
      <c r="U254" s="68">
        <f>T254+AE254*(1+Assumptions!$D$17)</f>
        <v>624992257.68568516</v>
      </c>
      <c r="V254" s="68">
        <f>(M254+N254-O254)*(1+Assumptions!$D$17)-(P254+Q254)*(1+Assumptions!$D$17)^0.5-R254-T254</f>
        <v>-637757031.53461289</v>
      </c>
      <c r="W254" s="68"/>
      <c r="X254" s="68">
        <f>IF(AND(H254=1,D254&lt;15),Assumptions!$D$10*N254+Assumptions!$D$11*(1+Assumptions!$D$16)^(B254-1)*$I$7,0)</f>
        <v>0</v>
      </c>
      <c r="Y254" s="66">
        <f>Assumptions!$C$13*N254</f>
        <v>0</v>
      </c>
      <c r="Z254" s="66">
        <f>NPV(Assumptions!$D$19,N254:$N$259)*(1+Assumptions!$D$19)</f>
        <v>0</v>
      </c>
      <c r="AA254" s="69">
        <f t="shared" si="48"/>
        <v>0</v>
      </c>
      <c r="AC254" s="68">
        <f t="shared" si="49"/>
        <v>-637757031.53461289</v>
      </c>
      <c r="AD254" s="68"/>
      <c r="AE254" s="68"/>
      <c r="AF254" s="68"/>
      <c r="AG254" s="68"/>
      <c r="AH254" s="68"/>
      <c r="AI254" s="68"/>
      <c r="AK254" s="68"/>
      <c r="AL254" s="71">
        <f t="shared" si="43"/>
        <v>0</v>
      </c>
    </row>
    <row r="255" spans="2:38" x14ac:dyDescent="0.2">
      <c r="B255" s="5">
        <f t="shared" si="39"/>
        <v>248</v>
      </c>
      <c r="C255" s="5">
        <f t="shared" si="40"/>
        <v>248</v>
      </c>
      <c r="D255" s="5">
        <f t="shared" si="41"/>
        <v>20</v>
      </c>
      <c r="E255" s="5">
        <f t="shared" si="42"/>
        <v>66</v>
      </c>
      <c r="F255" s="65">
        <f>1-(1-VLOOKUP($E255,'Annual Mortality Rates'!$B$5:$C$105,2,FALSE))^(1/12)</f>
        <v>6.120561724122231E-4</v>
      </c>
      <c r="G255" s="76">
        <f>IF(D255+1&gt;Assumptions!$H$9,100%,1-(1-IF(D255&gt;=7,2%,VLOOKUP($D255,'Annual Lapse Rates'!$B$4:$C$14,2,FALSE)))^(1/12))</f>
        <v>1</v>
      </c>
      <c r="H255" s="82">
        <f t="shared" si="50"/>
        <v>8</v>
      </c>
      <c r="I255" s="66">
        <f t="shared" si="44"/>
        <v>0</v>
      </c>
      <c r="J255" s="67">
        <f t="shared" si="45"/>
        <v>0</v>
      </c>
      <c r="K255" s="67">
        <f t="shared" si="46"/>
        <v>0</v>
      </c>
      <c r="M255" s="68">
        <f t="shared" si="51"/>
        <v>-637757031.53461289</v>
      </c>
      <c r="N255" s="68">
        <f>IF(AND(H255=1,D255&lt;15),Assumptions!$H$4*I254,0)</f>
        <v>0</v>
      </c>
      <c r="O255" s="68"/>
      <c r="P255" s="91">
        <f>$M255*(1+VLOOKUP($H255,Assumptions!$C$22:$D$33,2,FALSE))*F255</f>
        <v>-400101.70584130799</v>
      </c>
      <c r="Q255" s="91">
        <f>$M255*(1+VLOOKUP($H255,Assumptions!$C$22:$D$33,2,FALSE))*G255</f>
        <v>-653700957.32297814</v>
      </c>
      <c r="R255" s="68">
        <f>IF(AND(H255=12,D255&lt;15),Assumptions!$C$7*M255,0)</f>
        <v>0</v>
      </c>
      <c r="S255" s="69">
        <f>M255*Assumptions!$D$17</f>
        <v>-2598301.0903641395</v>
      </c>
      <c r="T255" s="69">
        <f t="shared" si="47"/>
        <v>-640355332.62497699</v>
      </c>
      <c r="U255" s="68">
        <f>T255+AE255*(1+Assumptions!$D$17)</f>
        <v>-640355332.62497699</v>
      </c>
      <c r="V255" s="68">
        <f>(M255+N255-O255)*(1+Assumptions!$D$17)-(P255+Q255)*(1+Assumptions!$D$17)^0.5-R255-T255</f>
        <v>655432148.99132431</v>
      </c>
      <c r="W255" s="68"/>
      <c r="X255" s="68">
        <f>IF(AND(H255=1,D255&lt;15),Assumptions!$D$10*N255+Assumptions!$D$11*(1+Assumptions!$D$16)^(B255-1)*$I$7,0)</f>
        <v>0</v>
      </c>
      <c r="Y255" s="66">
        <f>Assumptions!$C$13*N255</f>
        <v>0</v>
      </c>
      <c r="Z255" s="66">
        <f>NPV(Assumptions!$D$19,N255:$N$259)*(1+Assumptions!$D$19)</f>
        <v>0</v>
      </c>
      <c r="AA255" s="69">
        <f t="shared" si="48"/>
        <v>0</v>
      </c>
      <c r="AC255" s="68">
        <f t="shared" si="49"/>
        <v>655432148.99132431</v>
      </c>
      <c r="AD255" s="68"/>
      <c r="AE255" s="68"/>
      <c r="AF255" s="68"/>
      <c r="AG255" s="68"/>
      <c r="AH255" s="68"/>
      <c r="AI255" s="68"/>
      <c r="AK255" s="68"/>
      <c r="AL255" s="71">
        <f t="shared" si="43"/>
        <v>0</v>
      </c>
    </row>
    <row r="256" spans="2:38" x14ac:dyDescent="0.2">
      <c r="B256" s="5">
        <f t="shared" si="39"/>
        <v>249</v>
      </c>
      <c r="C256" s="5">
        <f t="shared" si="40"/>
        <v>249</v>
      </c>
      <c r="D256" s="5">
        <f t="shared" si="41"/>
        <v>20</v>
      </c>
      <c r="E256" s="5">
        <f t="shared" si="42"/>
        <v>66</v>
      </c>
      <c r="F256" s="65">
        <f>1-(1-VLOOKUP($E256,'Annual Mortality Rates'!$B$5:$C$105,2,FALSE))^(1/12)</f>
        <v>6.120561724122231E-4</v>
      </c>
      <c r="G256" s="76">
        <f>IF(D256+1&gt;Assumptions!$H$9,100%,1-(1-IF(D256&gt;=7,2%,VLOOKUP($D256,'Annual Lapse Rates'!$B$4:$C$14,2,FALSE)))^(1/12))</f>
        <v>1</v>
      </c>
      <c r="H256" s="82">
        <f t="shared" si="50"/>
        <v>9</v>
      </c>
      <c r="I256" s="66">
        <f t="shared" si="44"/>
        <v>0</v>
      </c>
      <c r="J256" s="67">
        <f t="shared" si="45"/>
        <v>0</v>
      </c>
      <c r="K256" s="67">
        <f t="shared" si="46"/>
        <v>0</v>
      </c>
      <c r="M256" s="68">
        <f t="shared" si="51"/>
        <v>655432148.99132431</v>
      </c>
      <c r="N256" s="68">
        <f>IF(AND(H256=1,D256&lt;15),Assumptions!$H$4*I255,0)</f>
        <v>0</v>
      </c>
      <c r="O256" s="68"/>
      <c r="P256" s="91">
        <f>$M256*(1+VLOOKUP($H256,Assumptions!$C$22:$D$33,2,FALSE))*F256</f>
        <v>412443.95373594761</v>
      </c>
      <c r="Q256" s="91">
        <f>$M256*(1+VLOOKUP($H256,Assumptions!$C$22:$D$33,2,FALSE))*G256</f>
        <v>673866178.18170524</v>
      </c>
      <c r="R256" s="68">
        <f>IF(AND(H256=12,D256&lt;15),Assumptions!$C$7*M256,0)</f>
        <v>0</v>
      </c>
      <c r="S256" s="69">
        <f>M256*Assumptions!$D$17</f>
        <v>2670311.7067733053</v>
      </c>
      <c r="T256" s="69">
        <f t="shared" si="47"/>
        <v>658102460.69809759</v>
      </c>
      <c r="U256" s="68">
        <f>T256+AE256*(1+Assumptions!$D$17)</f>
        <v>658102460.69809759</v>
      </c>
      <c r="V256" s="68">
        <f>(M256+N256-O256)*(1+Assumptions!$D$17)-(P256+Q256)*(1+Assumptions!$D$17)^0.5-R256-T256</f>
        <v>-675650773.26326334</v>
      </c>
      <c r="W256" s="68"/>
      <c r="X256" s="68">
        <f>IF(AND(H256=1,D256&lt;15),Assumptions!$D$10*N256+Assumptions!$D$11*(1+Assumptions!$D$16)^(B256-1)*$I$7,0)</f>
        <v>0</v>
      </c>
      <c r="Y256" s="66">
        <f>Assumptions!$C$13*N256</f>
        <v>0</v>
      </c>
      <c r="Z256" s="66">
        <f>NPV(Assumptions!$D$19,N256:$N$259)*(1+Assumptions!$D$19)</f>
        <v>0</v>
      </c>
      <c r="AA256" s="69">
        <f t="shared" si="48"/>
        <v>0</v>
      </c>
      <c r="AC256" s="68">
        <f t="shared" si="49"/>
        <v>-675650773.26326334</v>
      </c>
      <c r="AD256" s="68"/>
      <c r="AE256" s="68"/>
      <c r="AF256" s="68"/>
      <c r="AG256" s="68"/>
      <c r="AH256" s="68"/>
      <c r="AI256" s="68"/>
      <c r="AK256" s="68"/>
      <c r="AL256" s="71">
        <f t="shared" si="43"/>
        <v>0</v>
      </c>
    </row>
    <row r="257" spans="2:38" x14ac:dyDescent="0.2">
      <c r="B257" s="5">
        <f t="shared" si="39"/>
        <v>250</v>
      </c>
      <c r="C257" s="5">
        <f t="shared" si="40"/>
        <v>250</v>
      </c>
      <c r="D257" s="5">
        <f t="shared" si="41"/>
        <v>20</v>
      </c>
      <c r="E257" s="5">
        <f t="shared" si="42"/>
        <v>66</v>
      </c>
      <c r="F257" s="65">
        <f>1-(1-VLOOKUP($E257,'Annual Mortality Rates'!$B$5:$C$105,2,FALSE))^(1/12)</f>
        <v>6.120561724122231E-4</v>
      </c>
      <c r="G257" s="76">
        <f>IF(D257+1&gt;Assumptions!$H$9,100%,1-(1-IF(D257&gt;=7,2%,VLOOKUP($D257,'Annual Lapse Rates'!$B$4:$C$14,2,FALSE)))^(1/12))</f>
        <v>1</v>
      </c>
      <c r="H257" s="82">
        <f t="shared" si="50"/>
        <v>10</v>
      </c>
      <c r="I257" s="66">
        <f t="shared" si="44"/>
        <v>0</v>
      </c>
      <c r="J257" s="67">
        <f t="shared" si="45"/>
        <v>0</v>
      </c>
      <c r="K257" s="67">
        <f t="shared" si="46"/>
        <v>0</v>
      </c>
      <c r="M257" s="68">
        <f t="shared" si="51"/>
        <v>-675650773.26326334</v>
      </c>
      <c r="N257" s="68">
        <f>IF(AND(H257=1,D257&lt;15),Assumptions!$H$4*I256,0)</f>
        <v>0</v>
      </c>
      <c r="O257" s="68"/>
      <c r="P257" s="91">
        <f>$M257*(1+VLOOKUP($H257,Assumptions!$C$22:$D$33,2,FALSE))*F257</f>
        <v>-426459.23323871149</v>
      </c>
      <c r="Q257" s="91">
        <f>$M257*(1+VLOOKUP($H257,Assumptions!$C$22:$D$33,2,FALSE))*G257</f>
        <v>-696764859.92774034</v>
      </c>
      <c r="R257" s="68">
        <f>IF(AND(H257=12,D257&lt;15),Assumptions!$C$7*M257,0)</f>
        <v>0</v>
      </c>
      <c r="S257" s="69">
        <f>M257*Assumptions!$D$17</f>
        <v>-2752684.8847922622</v>
      </c>
      <c r="T257" s="69">
        <f t="shared" si="47"/>
        <v>-678403458.14805555</v>
      </c>
      <c r="U257" s="68">
        <f>T257+AE257*(1+Assumptions!$D$17)</f>
        <v>-678403458.14805555</v>
      </c>
      <c r="V257" s="68">
        <f>(M257+N257-O257)*(1+Assumptions!$D$17)-(P257+Q257)*(1+Assumptions!$D$17)^0.5-R257-T257</f>
        <v>698610097.42783988</v>
      </c>
      <c r="W257" s="68"/>
      <c r="X257" s="68">
        <f>IF(AND(H257=1,D257&lt;15),Assumptions!$D$10*N257+Assumptions!$D$11*(1+Assumptions!$D$16)^(B257-1)*$I$7,0)</f>
        <v>0</v>
      </c>
      <c r="Y257" s="66">
        <f>Assumptions!$C$13*N257</f>
        <v>0</v>
      </c>
      <c r="Z257" s="66">
        <f>NPV(Assumptions!$D$19,N257:$N$259)*(1+Assumptions!$D$19)</f>
        <v>0</v>
      </c>
      <c r="AA257" s="69">
        <f t="shared" si="48"/>
        <v>0</v>
      </c>
      <c r="AC257" s="68">
        <f t="shared" si="49"/>
        <v>698610097.42783988</v>
      </c>
      <c r="AD257" s="68"/>
      <c r="AE257" s="68"/>
      <c r="AF257" s="68"/>
      <c r="AG257" s="68"/>
      <c r="AH257" s="68"/>
      <c r="AI257" s="68"/>
      <c r="AK257" s="68"/>
      <c r="AL257" s="71">
        <f t="shared" si="43"/>
        <v>0</v>
      </c>
    </row>
    <row r="258" spans="2:38" x14ac:dyDescent="0.2">
      <c r="B258" s="5">
        <f t="shared" si="39"/>
        <v>251</v>
      </c>
      <c r="C258" s="5">
        <f t="shared" si="40"/>
        <v>251</v>
      </c>
      <c r="D258" s="5">
        <f t="shared" si="41"/>
        <v>20</v>
      </c>
      <c r="E258" s="5">
        <f t="shared" si="42"/>
        <v>66</v>
      </c>
      <c r="F258" s="65">
        <f>1-(1-VLOOKUP($E258,'Annual Mortality Rates'!$B$5:$C$105,2,FALSE))^(1/12)</f>
        <v>6.120561724122231E-4</v>
      </c>
      <c r="G258" s="76">
        <f>IF(D258+1&gt;Assumptions!$H$9,100%,1-(1-IF(D258&gt;=7,2%,VLOOKUP($D258,'Annual Lapse Rates'!$B$4:$C$14,2,FALSE)))^(1/12))</f>
        <v>1</v>
      </c>
      <c r="H258" s="82">
        <f t="shared" si="50"/>
        <v>11</v>
      </c>
      <c r="I258" s="66">
        <f t="shared" si="44"/>
        <v>0</v>
      </c>
      <c r="J258" s="67">
        <f t="shared" si="45"/>
        <v>0</v>
      </c>
      <c r="K258" s="67">
        <f t="shared" si="46"/>
        <v>0</v>
      </c>
      <c r="M258" s="68">
        <f t="shared" si="51"/>
        <v>698610097.42783988</v>
      </c>
      <c r="N258" s="68">
        <f>IF(AND(H258=1,D258&lt;15),Assumptions!$H$4*I257,0)</f>
        <v>0</v>
      </c>
      <c r="O258" s="68"/>
      <c r="P258" s="91">
        <f>$M258*(1+VLOOKUP($H258,Assumptions!$C$22:$D$33,2,FALSE))*F258</f>
        <v>442286.98112972127</v>
      </c>
      <c r="Q258" s="91">
        <f>$M258*(1+VLOOKUP($H258,Assumptions!$C$22:$D$33,2,FALSE))*G258</f>
        <v>722624819.52692187</v>
      </c>
      <c r="R258" s="68">
        <f>IF(AND(H258=12,D258&lt;15),Assumptions!$C$7*M258,0)</f>
        <v>0</v>
      </c>
      <c r="S258" s="69">
        <f>M258*Assumptions!$D$17</f>
        <v>2846224.0134276557</v>
      </c>
      <c r="T258" s="69">
        <f t="shared" si="47"/>
        <v>701456321.44126749</v>
      </c>
      <c r="U258" s="68">
        <f>T258+AE258*(1+Assumptions!$D$17)</f>
        <v>701456321.44126749</v>
      </c>
      <c r="V258" s="68">
        <f>(M258+N258-O258)*(1+Assumptions!$D$17)-(P258+Q258)*(1+Assumptions!$D$17)^0.5-R258-T258</f>
        <v>-724538541.77696764</v>
      </c>
      <c r="W258" s="68"/>
      <c r="X258" s="68">
        <f>IF(AND(H258=1,D258&lt;15),Assumptions!$D$10*N258+Assumptions!$D$11*(1+Assumptions!$D$16)^(B258-1)*$I$7,0)</f>
        <v>0</v>
      </c>
      <c r="Y258" s="66">
        <f>Assumptions!$C$13*N258</f>
        <v>0</v>
      </c>
      <c r="Z258" s="66">
        <f>NPV(Assumptions!$D$19,N258:$N$259)*(1+Assumptions!$D$19)</f>
        <v>0</v>
      </c>
      <c r="AA258" s="69">
        <f t="shared" si="48"/>
        <v>0</v>
      </c>
      <c r="AC258" s="68">
        <f t="shared" si="49"/>
        <v>-724538541.77696764</v>
      </c>
      <c r="AD258" s="68"/>
      <c r="AE258" s="68"/>
      <c r="AF258" s="68"/>
      <c r="AG258" s="68"/>
      <c r="AH258" s="68"/>
      <c r="AI258" s="68"/>
      <c r="AK258" s="68"/>
      <c r="AL258" s="71">
        <f t="shared" si="43"/>
        <v>0</v>
      </c>
    </row>
    <row r="259" spans="2:38" x14ac:dyDescent="0.2">
      <c r="B259" s="5">
        <f t="shared" si="39"/>
        <v>252</v>
      </c>
      <c r="C259" s="5">
        <f t="shared" si="40"/>
        <v>252</v>
      </c>
      <c r="D259" s="5">
        <f t="shared" si="41"/>
        <v>20</v>
      </c>
      <c r="E259" s="5">
        <f t="shared" si="42"/>
        <v>66</v>
      </c>
      <c r="F259" s="65">
        <f>1-(1-VLOOKUP($E259,'Annual Mortality Rates'!$B$5:$C$105,2,FALSE))^(1/12)</f>
        <v>6.120561724122231E-4</v>
      </c>
      <c r="G259" s="76">
        <f>IF(D259+1&gt;Assumptions!$H$9,100%,1-(1-IF(D259&gt;=7,2%,VLOOKUP($D259,'Annual Lapse Rates'!$B$4:$C$14,2,FALSE)))^(1/12))</f>
        <v>1</v>
      </c>
      <c r="H259" s="82">
        <f t="shared" si="50"/>
        <v>12</v>
      </c>
      <c r="I259" s="66">
        <f t="shared" si="44"/>
        <v>0</v>
      </c>
      <c r="J259" s="67">
        <f t="shared" si="45"/>
        <v>0</v>
      </c>
      <c r="K259" s="67">
        <f t="shared" si="46"/>
        <v>0</v>
      </c>
      <c r="M259" s="68">
        <f t="shared" si="51"/>
        <v>-724538541.77696764</v>
      </c>
      <c r="N259" s="68">
        <f>IF(AND(H259=1,D259&lt;15),Assumptions!$H$4*I258,0)</f>
        <v>0</v>
      </c>
      <c r="O259" s="68"/>
      <c r="P259" s="91">
        <f>$M259*(1+VLOOKUP($H259,Assumptions!$C$22:$D$33,2,FALSE))*F259</f>
        <v>-460087.97239433735</v>
      </c>
      <c r="Q259" s="91">
        <f>$M259*(1+VLOOKUP($H259,Assumptions!$C$22:$D$33,2,FALSE))*G259</f>
        <v>-751708737.09360397</v>
      </c>
      <c r="R259" s="68">
        <f>IF(AND(H259=12,D259&lt;15),Assumptions!$C$7*M259,0)</f>
        <v>0</v>
      </c>
      <c r="S259" s="69">
        <f>M259*Assumptions!$D$17</f>
        <v>-2951859.7052234402</v>
      </c>
      <c r="T259" s="69">
        <f t="shared" si="47"/>
        <v>-727490401.48219109</v>
      </c>
      <c r="U259" s="68">
        <f>T259+AE259*(1+Assumptions!$D$17)</f>
        <v>-727490401.48219109</v>
      </c>
      <c r="V259" s="68">
        <f>(M259+N259-O259)*(1+Assumptions!$D$17)-(P259+Q259)*(1+Assumptions!$D$17)^0.5-R259-T259</f>
        <v>753699482.07890844</v>
      </c>
      <c r="W259" s="68"/>
      <c r="X259" s="68">
        <f>IF(AND(H259=1,D259&lt;15),Assumptions!$D$10*N259+Assumptions!$D$11*(1+Assumptions!$D$16)^(B259-1)*$I$7,0)</f>
        <v>0</v>
      </c>
      <c r="Y259" s="66">
        <f>Assumptions!$C$13*N259</f>
        <v>0</v>
      </c>
      <c r="Z259" s="66">
        <f>NPV(Assumptions!$D$19,N259:$N$259)*(1+Assumptions!$D$19)</f>
        <v>0</v>
      </c>
      <c r="AA259" s="69">
        <f t="shared" si="48"/>
        <v>0</v>
      </c>
      <c r="AC259" s="68">
        <f t="shared" si="49"/>
        <v>753699482.07890844</v>
      </c>
      <c r="AD259" s="68"/>
      <c r="AE259" s="68"/>
      <c r="AF259" s="68"/>
      <c r="AG259" s="68"/>
      <c r="AH259" s="68"/>
      <c r="AI259" s="68"/>
      <c r="AK259" s="68"/>
      <c r="AL259" s="71">
        <f t="shared" si="43"/>
        <v>0</v>
      </c>
    </row>
  </sheetData>
  <mergeCells count="1">
    <mergeCell ref="I5:K5"/>
  </mergeCells>
  <phoneticPr fontId="8" type="noConversion"/>
  <pageMargins left="0.7" right="0.7" top="0.75" bottom="0.75" header="0.3" footer="0.3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E2D4DAB13DC748895FB35A953747A4" ma:contentTypeVersion="0" ma:contentTypeDescription="Create a new document." ma:contentTypeScope="" ma:versionID="49c4bbb53d235dbe1ce3bb1900d2be3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3A53B6-96CA-4E50-B03C-DF856EF04425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A77C2E4-D330-474F-A72C-F0CE63ABDA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596182B-258A-4B12-B87F-3BDCF991F2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Assumptions</vt:lpstr>
      <vt:lpstr>Annual Mortality Rates</vt:lpstr>
      <vt:lpstr>Annual Lapse Rates</vt:lpstr>
      <vt:lpstr>(a)</vt:lpstr>
      <vt:lpstr>(c)</vt:lpstr>
    </vt:vector>
  </TitlesOfParts>
  <Company>MacroView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Book.xltm</dc:title>
  <dc:creator>Bennett, Raymond (AU - Sydney)</dc:creator>
  <cp:lastModifiedBy>Zhu, Vincent-JF</cp:lastModifiedBy>
  <cp:lastPrinted>2019-02-20T22:45:00Z</cp:lastPrinted>
  <dcterms:created xsi:type="dcterms:W3CDTF">2009-10-13T04:21:25Z</dcterms:created>
  <dcterms:modified xsi:type="dcterms:W3CDTF">2019-08-15T14:29:38Z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0x01010013E2D4DAB13DC748895FB35A953747A4</vt:lpwstr>
  </property>
  <property fmtid="{D5CDD505-2E9C-101B-9397-08002B2CF9AE}" pid="3" name="Order">
    <vt:r8>1400</vt:r8>
  </property>
  <property fmtid="{D5CDD505-2E9C-101B-9397-08002B2CF9AE}" pid="4" name="TemplateUrl">
    <vt:lpwstr/>
  </property>
  <property fmtid="{D5CDD505-2E9C-101B-9397-08002B2CF9AE}" pid="5" name="_SourceUrl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</Properties>
</file>