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0730" windowHeight="11760" tabRatio="782" activeTab="4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10" i="38" l="1"/>
  <c r="AQ9" i="38"/>
  <c r="AU8" i="38"/>
  <c r="AW8" i="38" s="1"/>
  <c r="AT9" i="38"/>
  <c r="AT8" i="38"/>
  <c r="AS8" i="38"/>
  <c r="AS9" i="38"/>
  <c r="AQ8" i="38"/>
  <c r="V8" i="38"/>
  <c r="V187" i="38"/>
  <c r="V188" i="38"/>
  <c r="V189" i="38"/>
  <c r="V190" i="38"/>
  <c r="V191" i="38"/>
  <c r="V192" i="38"/>
  <c r="V193" i="38"/>
  <c r="V194" i="38"/>
  <c r="V195" i="38"/>
  <c r="V196" i="38"/>
  <c r="V197" i="38"/>
  <c r="V198" i="38"/>
  <c r="V199" i="38"/>
  <c r="V200" i="38"/>
  <c r="V201" i="38"/>
  <c r="V202" i="38"/>
  <c r="V203" i="38"/>
  <c r="V204" i="38"/>
  <c r="V205" i="38"/>
  <c r="V206" i="38"/>
  <c r="V207" i="38"/>
  <c r="V208" i="38"/>
  <c r="V209" i="38"/>
  <c r="V210" i="38"/>
  <c r="V211" i="38"/>
  <c r="V212" i="38"/>
  <c r="V213" i="38"/>
  <c r="V214" i="38"/>
  <c r="V215" i="38"/>
  <c r="V216" i="38"/>
  <c r="V217" i="38"/>
  <c r="V218" i="38"/>
  <c r="V219" i="38"/>
  <c r="V220" i="38"/>
  <c r="V221" i="38"/>
  <c r="V222" i="38"/>
  <c r="V223" i="38"/>
  <c r="V224" i="38"/>
  <c r="V225" i="38"/>
  <c r="V226" i="38"/>
  <c r="V227" i="38"/>
  <c r="V228" i="38"/>
  <c r="V229" i="38"/>
  <c r="V230" i="38"/>
  <c r="V231" i="38"/>
  <c r="V232" i="38"/>
  <c r="V233" i="38"/>
  <c r="V234" i="38"/>
  <c r="V235" i="38"/>
  <c r="V236" i="38"/>
  <c r="V237" i="38"/>
  <c r="V238" i="38"/>
  <c r="V239" i="38"/>
  <c r="V240" i="38"/>
  <c r="V241" i="38"/>
  <c r="V242" i="38"/>
  <c r="V243" i="38"/>
  <c r="V244" i="38"/>
  <c r="V245" i="38"/>
  <c r="V246" i="38"/>
  <c r="V247" i="38"/>
  <c r="V248" i="38"/>
  <c r="V249" i="38"/>
  <c r="V250" i="38"/>
  <c r="V251" i="38"/>
  <c r="V252" i="38"/>
  <c r="V253" i="38"/>
  <c r="V254" i="38"/>
  <c r="V255" i="38"/>
  <c r="V256" i="38"/>
  <c r="V257" i="38"/>
  <c r="V258" i="38"/>
  <c r="V259" i="38"/>
  <c r="AJ8" i="38"/>
  <c r="D17" i="1" l="1"/>
  <c r="D23" i="1" l="1"/>
  <c r="D24" i="1"/>
  <c r="D25" i="1"/>
  <c r="D26" i="1"/>
  <c r="D27" i="1"/>
  <c r="D28" i="1"/>
  <c r="D29" i="1"/>
  <c r="D30" i="1"/>
  <c r="D31" i="1"/>
  <c r="D32" i="1"/>
  <c r="D33" i="1"/>
  <c r="D22" i="1"/>
  <c r="C10" i="35" l="1"/>
  <c r="D13" i="35" a="1"/>
  <c r="D13" i="35" s="1"/>
  <c r="E14" i="35" a="1"/>
  <c r="G14" i="35" s="1"/>
  <c r="F15" i="35" a="1"/>
  <c r="F15" i="35" s="1"/>
  <c r="G15" i="35"/>
  <c r="G16" i="35"/>
  <c r="F14" i="35" l="1"/>
  <c r="F13" i="35"/>
  <c r="E14" i="35"/>
  <c r="E13" i="35"/>
  <c r="D9" i="35" s="1" a="1"/>
  <c r="D9" i="35" s="1"/>
  <c r="G13" i="35"/>
  <c r="F8" i="35" l="1"/>
  <c r="F7" i="35"/>
  <c r="F6" i="35"/>
  <c r="F5" i="35"/>
  <c r="F4" i="35"/>
  <c r="E9" i="35"/>
  <c r="C9" i="35"/>
  <c r="I7" i="38" l="1"/>
  <c r="I8" i="38" s="1"/>
  <c r="E4" i="38"/>
  <c r="B8" i="38"/>
  <c r="B9" i="38" s="1"/>
  <c r="C23" i="1"/>
  <c r="C24" i="1" s="1"/>
  <c r="C25" i="1" s="1"/>
  <c r="C12" i="35" a="1"/>
  <c r="C12" i="35" s="1"/>
  <c r="H5" i="1"/>
  <c r="C19" i="1"/>
  <c r="D19" i="1" s="1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AL8" i="38" l="1"/>
  <c r="C26" i="1"/>
  <c r="C4" i="38"/>
  <c r="B10" i="38"/>
  <c r="E8" i="38"/>
  <c r="F8" i="38" s="1"/>
  <c r="J8" i="38" s="1"/>
  <c r="E9" i="38"/>
  <c r="F9" i="38" s="1"/>
  <c r="E10" i="38"/>
  <c r="F10" i="38" s="1"/>
  <c r="B11" i="38" l="1"/>
  <c r="C8" i="38"/>
  <c r="C11" i="38"/>
  <c r="C9" i="38"/>
  <c r="C10" i="38"/>
  <c r="C27" i="1"/>
  <c r="D11" i="38" l="1"/>
  <c r="G11" i="38" s="1"/>
  <c r="G8" i="38"/>
  <c r="K8" i="38" s="1"/>
  <c r="D10" i="38"/>
  <c r="G10" i="38" s="1"/>
  <c r="D9" i="38"/>
  <c r="G9" i="38"/>
  <c r="K9" i="38" s="1"/>
  <c r="D8" i="38"/>
  <c r="H8" i="38"/>
  <c r="C28" i="1"/>
  <c r="B12" i="38"/>
  <c r="E11" i="38"/>
  <c r="F11" i="38" s="1"/>
  <c r="P8" i="38" l="1"/>
  <c r="AD8" i="38" s="1"/>
  <c r="Q8" i="38"/>
  <c r="AE8" i="38" s="1"/>
  <c r="R8" i="38"/>
  <c r="AF8" i="38" s="1"/>
  <c r="N8" i="38"/>
  <c r="H9" i="38"/>
  <c r="I9" i="38"/>
  <c r="C29" i="1"/>
  <c r="B13" i="38"/>
  <c r="E12" i="38"/>
  <c r="F12" i="38" s="1"/>
  <c r="C12" i="38"/>
  <c r="D12" i="38" l="1"/>
  <c r="G12" i="38" s="1"/>
  <c r="J9" i="38"/>
  <c r="AK9" i="38"/>
  <c r="AL9" i="38"/>
  <c r="R9" i="38"/>
  <c r="N9" i="38"/>
  <c r="S8" i="38"/>
  <c r="AB8" i="38"/>
  <c r="O8" i="38"/>
  <c r="W8" i="38"/>
  <c r="Y8" i="38"/>
  <c r="AM8" i="38" s="1"/>
  <c r="K10" i="38"/>
  <c r="H10" i="38"/>
  <c r="I10" i="38"/>
  <c r="B14" i="38"/>
  <c r="E13" i="38"/>
  <c r="F13" i="38" s="1"/>
  <c r="C13" i="38"/>
  <c r="C30" i="1"/>
  <c r="AL10" i="38" l="1"/>
  <c r="AK10" i="38"/>
  <c r="AG8" i="38"/>
  <c r="T8" i="38"/>
  <c r="R10" i="38"/>
  <c r="N10" i="38"/>
  <c r="AB9" i="38"/>
  <c r="Y9" i="38"/>
  <c r="AM9" i="38" s="1"/>
  <c r="AC8" i="38"/>
  <c r="O3" i="38"/>
  <c r="AF9" i="38"/>
  <c r="D13" i="38"/>
  <c r="G13" i="38"/>
  <c r="AK8" i="38"/>
  <c r="W3" i="38"/>
  <c r="J10" i="38"/>
  <c r="K11" i="38"/>
  <c r="H11" i="38"/>
  <c r="C31" i="1"/>
  <c r="B15" i="38"/>
  <c r="E14" i="38"/>
  <c r="F14" i="38" s="1"/>
  <c r="C14" i="38"/>
  <c r="R11" i="38" l="1"/>
  <c r="N11" i="38"/>
  <c r="AH8" i="38"/>
  <c r="D14" i="38"/>
  <c r="G14" i="38" s="1"/>
  <c r="AB10" i="38"/>
  <c r="Y10" i="38"/>
  <c r="AM10" i="38" s="1"/>
  <c r="H12" i="38"/>
  <c r="B16" i="38"/>
  <c r="E15" i="38"/>
  <c r="F15" i="38" s="1"/>
  <c r="C15" i="38"/>
  <c r="C32" i="1"/>
  <c r="D15" i="38" l="1"/>
  <c r="G15" i="38" s="1"/>
  <c r="Y11" i="38"/>
  <c r="R12" i="38"/>
  <c r="N12" i="38"/>
  <c r="I11" i="38"/>
  <c r="H13" i="38"/>
  <c r="C33" i="1"/>
  <c r="B17" i="38"/>
  <c r="E16" i="38"/>
  <c r="F16" i="38" s="1"/>
  <c r="C16" i="38"/>
  <c r="D16" i="38" l="1"/>
  <c r="G16" i="38" s="1"/>
  <c r="R13" i="38"/>
  <c r="N13" i="38"/>
  <c r="AK11" i="38"/>
  <c r="AL11" i="38"/>
  <c r="AF10" i="38"/>
  <c r="AM11" i="38"/>
  <c r="Y12" i="38"/>
  <c r="AB11" i="38"/>
  <c r="J11" i="38"/>
  <c r="K12" i="38"/>
  <c r="I12" i="38"/>
  <c r="AB12" i="38" s="1"/>
  <c r="H14" i="38"/>
  <c r="B18" i="38"/>
  <c r="E17" i="38"/>
  <c r="F17" i="38" s="1"/>
  <c r="C17" i="38"/>
  <c r="R14" i="38" l="1"/>
  <c r="N14" i="38"/>
  <c r="D17" i="38"/>
  <c r="G17" i="38"/>
  <c r="Y13" i="38"/>
  <c r="AK12" i="38"/>
  <c r="AL12" i="38"/>
  <c r="AF11" i="38"/>
  <c r="AM12" i="38"/>
  <c r="J12" i="38"/>
  <c r="I13" i="38" s="1"/>
  <c r="K13" i="38"/>
  <c r="H15" i="38"/>
  <c r="B19" i="38"/>
  <c r="E18" i="38"/>
  <c r="F18" i="38" s="1"/>
  <c r="C18" i="38"/>
  <c r="AK13" i="38" l="1"/>
  <c r="AL13" i="38"/>
  <c r="AF12" i="38"/>
  <c r="AB13" i="38"/>
  <c r="R15" i="38"/>
  <c r="N15" i="38"/>
  <c r="D18" i="38"/>
  <c r="G18" i="38" s="1"/>
  <c r="AM13" i="38"/>
  <c r="Y14" i="38"/>
  <c r="J13" i="38"/>
  <c r="K14" i="38"/>
  <c r="H16" i="38"/>
  <c r="B20" i="38"/>
  <c r="E19" i="38"/>
  <c r="F19" i="38" s="1"/>
  <c r="C19" i="38"/>
  <c r="N16" i="38" l="1"/>
  <c r="R16" i="38"/>
  <c r="D19" i="38"/>
  <c r="G19" i="38" s="1"/>
  <c r="Y15" i="38"/>
  <c r="H17" i="38"/>
  <c r="B21" i="38"/>
  <c r="E20" i="38"/>
  <c r="F20" i="38" s="1"/>
  <c r="C20" i="38"/>
  <c r="R17" i="38" l="1"/>
  <c r="N17" i="38"/>
  <c r="D20" i="38"/>
  <c r="G20" i="38" s="1"/>
  <c r="Y16" i="38"/>
  <c r="I14" i="38"/>
  <c r="H18" i="38"/>
  <c r="B22" i="38"/>
  <c r="E21" i="38"/>
  <c r="F21" i="38" s="1"/>
  <c r="C21" i="38"/>
  <c r="R18" i="38" l="1"/>
  <c r="N18" i="38"/>
  <c r="Y17" i="38"/>
  <c r="D21" i="38"/>
  <c r="G21" i="38"/>
  <c r="AL14" i="38"/>
  <c r="AK14" i="38"/>
  <c r="AF13" i="38"/>
  <c r="AB14" i="38"/>
  <c r="AM14" i="38"/>
  <c r="J14" i="38"/>
  <c r="K15" i="38"/>
  <c r="I15" i="38"/>
  <c r="H19" i="38"/>
  <c r="N19" i="38" s="1"/>
  <c r="B23" i="38"/>
  <c r="E22" i="38"/>
  <c r="F22" i="38" s="1"/>
  <c r="C22" i="38"/>
  <c r="D22" i="38" l="1"/>
  <c r="G22" i="38" s="1"/>
  <c r="AK15" i="38"/>
  <c r="AL15" i="38"/>
  <c r="AF14" i="38"/>
  <c r="AB15" i="38"/>
  <c r="AM15" i="38"/>
  <c r="Y18" i="38"/>
  <c r="Y19" i="38"/>
  <c r="J15" i="38"/>
  <c r="I16" i="38" s="1"/>
  <c r="K16" i="38"/>
  <c r="H20" i="38"/>
  <c r="B24" i="38"/>
  <c r="E23" i="38"/>
  <c r="F23" i="38" s="1"/>
  <c r="C23" i="38"/>
  <c r="AK16" i="38" l="1"/>
  <c r="AL16" i="38"/>
  <c r="AF15" i="38"/>
  <c r="AB16" i="38"/>
  <c r="AM16" i="38"/>
  <c r="R20" i="38"/>
  <c r="N20" i="38"/>
  <c r="D23" i="38"/>
  <c r="G23" i="38" s="1"/>
  <c r="J16" i="38"/>
  <c r="K17" i="38"/>
  <c r="I17" i="38"/>
  <c r="H21" i="38"/>
  <c r="B25" i="38"/>
  <c r="E24" i="38"/>
  <c r="F24" i="38" s="1"/>
  <c r="C24" i="38"/>
  <c r="D24" i="38" l="1"/>
  <c r="G24" i="38" s="1"/>
  <c r="AK17" i="38"/>
  <c r="AL17" i="38"/>
  <c r="AF16" i="38"/>
  <c r="AB17" i="38"/>
  <c r="AM17" i="38"/>
  <c r="Y20" i="38"/>
  <c r="X20" i="38"/>
  <c r="N21" i="38"/>
  <c r="R21" i="38"/>
  <c r="X21" i="38"/>
  <c r="J17" i="38"/>
  <c r="K18" i="38"/>
  <c r="I18" i="38"/>
  <c r="H22" i="38"/>
  <c r="B26" i="38"/>
  <c r="E25" i="38"/>
  <c r="F25" i="38" s="1"/>
  <c r="C25" i="38"/>
  <c r="X22" i="38" l="1"/>
  <c r="R22" i="38"/>
  <c r="N22" i="38"/>
  <c r="AL18" i="38"/>
  <c r="AK18" i="38"/>
  <c r="AF17" i="38"/>
  <c r="AB18" i="38"/>
  <c r="AM18" i="38"/>
  <c r="Y21" i="38"/>
  <c r="D25" i="38"/>
  <c r="G25" i="38" s="1"/>
  <c r="J18" i="38"/>
  <c r="K19" i="38"/>
  <c r="I19" i="38"/>
  <c r="H23" i="38"/>
  <c r="B27" i="38"/>
  <c r="E26" i="38"/>
  <c r="F26" i="38" s="1"/>
  <c r="C26" i="38"/>
  <c r="X23" i="38" l="1"/>
  <c r="R23" i="38"/>
  <c r="N23" i="38"/>
  <c r="D26" i="38"/>
  <c r="G26" i="38"/>
  <c r="AK19" i="38"/>
  <c r="AL19" i="38"/>
  <c r="AB19" i="38"/>
  <c r="AF18" i="38"/>
  <c r="AM19" i="38"/>
  <c r="Y22" i="38"/>
  <c r="J19" i="38"/>
  <c r="I20" i="38" s="1"/>
  <c r="K20" i="38"/>
  <c r="H24" i="38"/>
  <c r="B28" i="38"/>
  <c r="E27" i="38"/>
  <c r="F27" i="38" s="1"/>
  <c r="C27" i="38"/>
  <c r="AK20" i="38" l="1"/>
  <c r="AB20" i="38"/>
  <c r="AM20" i="38"/>
  <c r="AL20" i="38"/>
  <c r="X24" i="38"/>
  <c r="R24" i="38"/>
  <c r="N24" i="38"/>
  <c r="Y23" i="38"/>
  <c r="D27" i="38"/>
  <c r="G27" i="38" s="1"/>
  <c r="J20" i="38"/>
  <c r="K21" i="38"/>
  <c r="I21" i="38"/>
  <c r="H25" i="38"/>
  <c r="B29" i="38"/>
  <c r="E28" i="38"/>
  <c r="F28" i="38" s="1"/>
  <c r="C28" i="38"/>
  <c r="Y24" i="38" l="1"/>
  <c r="D28" i="38"/>
  <c r="G28" i="38"/>
  <c r="N25" i="38"/>
  <c r="R25" i="38"/>
  <c r="X25" i="38"/>
  <c r="AK21" i="38"/>
  <c r="AF20" i="38"/>
  <c r="AB21" i="38"/>
  <c r="AL21" i="38"/>
  <c r="AM21" i="38"/>
  <c r="J21" i="38"/>
  <c r="K22" i="38"/>
  <c r="H26" i="38"/>
  <c r="B30" i="38"/>
  <c r="E29" i="38"/>
  <c r="F29" i="38" s="1"/>
  <c r="C29" i="38"/>
  <c r="X26" i="38" l="1"/>
  <c r="R26" i="38"/>
  <c r="N26" i="38"/>
  <c r="Y25" i="38"/>
  <c r="D29" i="38"/>
  <c r="G29" i="38"/>
  <c r="H27" i="38"/>
  <c r="B31" i="38"/>
  <c r="E30" i="38"/>
  <c r="F30" i="38" s="1"/>
  <c r="C30" i="38"/>
  <c r="X27" i="38" l="1"/>
  <c r="N27" i="38"/>
  <c r="R27" i="38"/>
  <c r="Y26" i="38"/>
  <c r="D30" i="38"/>
  <c r="G30" i="38"/>
  <c r="I22" i="38"/>
  <c r="H28" i="38"/>
  <c r="B32" i="38"/>
  <c r="E31" i="38"/>
  <c r="F31" i="38" s="1"/>
  <c r="C31" i="38"/>
  <c r="D31" i="38" l="1"/>
  <c r="G31" i="38" s="1"/>
  <c r="AK22" i="38"/>
  <c r="AF21" i="38"/>
  <c r="AL22" i="38"/>
  <c r="AB22" i="38"/>
  <c r="AM22" i="38"/>
  <c r="Y27" i="38"/>
  <c r="X28" i="38"/>
  <c r="R28" i="38"/>
  <c r="N28" i="38"/>
  <c r="J22" i="38"/>
  <c r="I23" i="38" s="1"/>
  <c r="K23" i="38"/>
  <c r="H29" i="38"/>
  <c r="B33" i="38"/>
  <c r="E32" i="38"/>
  <c r="F32" i="38" s="1"/>
  <c r="C32" i="38"/>
  <c r="AK23" i="38" l="1"/>
  <c r="AF22" i="38"/>
  <c r="AB23" i="38"/>
  <c r="AL23" i="38"/>
  <c r="AM23" i="38"/>
  <c r="Y28" i="38"/>
  <c r="X29" i="38"/>
  <c r="N29" i="38"/>
  <c r="R29" i="38"/>
  <c r="D32" i="38"/>
  <c r="G32" i="38"/>
  <c r="J23" i="38"/>
  <c r="K24" i="38"/>
  <c r="I24" i="38"/>
  <c r="H30" i="38"/>
  <c r="B34" i="38"/>
  <c r="E33" i="38"/>
  <c r="F33" i="38" s="1"/>
  <c r="C33" i="38"/>
  <c r="R30" i="38" l="1"/>
  <c r="X30" i="38"/>
  <c r="N30" i="38"/>
  <c r="Y29" i="38"/>
  <c r="D33" i="38"/>
  <c r="G33" i="38"/>
  <c r="AK24" i="38"/>
  <c r="AF23" i="38"/>
  <c r="AL24" i="38"/>
  <c r="AB24" i="38"/>
  <c r="AM24" i="38"/>
  <c r="J24" i="38"/>
  <c r="I25" i="38" s="1"/>
  <c r="K25" i="38"/>
  <c r="H31" i="38"/>
  <c r="B35" i="38"/>
  <c r="E34" i="38"/>
  <c r="F34" i="38" s="1"/>
  <c r="C34" i="38"/>
  <c r="AK25" i="38" l="1"/>
  <c r="AF24" i="38"/>
  <c r="AL25" i="38"/>
  <c r="AB25" i="38"/>
  <c r="AM25" i="38"/>
  <c r="Y30" i="38"/>
  <c r="X31" i="38"/>
  <c r="N31" i="38"/>
  <c r="D34" i="38"/>
  <c r="G34" i="38" s="1"/>
  <c r="J25" i="38"/>
  <c r="K26" i="38"/>
  <c r="I26" i="38"/>
  <c r="H32" i="38"/>
  <c r="B36" i="38"/>
  <c r="E35" i="38"/>
  <c r="F35" i="38" s="1"/>
  <c r="C35" i="38"/>
  <c r="D35" i="38" l="1"/>
  <c r="G35" i="38" s="1"/>
  <c r="AK26" i="38"/>
  <c r="AF25" i="38"/>
  <c r="AL26" i="38"/>
  <c r="AB26" i="38"/>
  <c r="AM26" i="38"/>
  <c r="Y31" i="38"/>
  <c r="N32" i="38"/>
  <c r="R32" i="38"/>
  <c r="J26" i="38"/>
  <c r="K27" i="38"/>
  <c r="I27" i="38"/>
  <c r="H33" i="38"/>
  <c r="B37" i="38"/>
  <c r="E36" i="38"/>
  <c r="F36" i="38" s="1"/>
  <c r="C36" i="38"/>
  <c r="AK27" i="38" l="1"/>
  <c r="AF26" i="38"/>
  <c r="AL27" i="38"/>
  <c r="AB27" i="38"/>
  <c r="AM27" i="38"/>
  <c r="X33" i="38"/>
  <c r="N33" i="38"/>
  <c r="R33" i="38"/>
  <c r="D36" i="38"/>
  <c r="G36" i="38"/>
  <c r="Y32" i="38"/>
  <c r="X32" i="38"/>
  <c r="J27" i="38"/>
  <c r="I28" i="38" s="1"/>
  <c r="K28" i="38"/>
  <c r="H34" i="38"/>
  <c r="B38" i="38"/>
  <c r="E37" i="38"/>
  <c r="F37" i="38" s="1"/>
  <c r="C37" i="38"/>
  <c r="AK28" i="38" l="1"/>
  <c r="AF27" i="38"/>
  <c r="AL28" i="38"/>
  <c r="AB28" i="38"/>
  <c r="AM28" i="38"/>
  <c r="R34" i="38"/>
  <c r="X34" i="38"/>
  <c r="N34" i="38"/>
  <c r="Y33" i="38"/>
  <c r="D37" i="38"/>
  <c r="G37" i="38"/>
  <c r="J28" i="38"/>
  <c r="K29" i="38"/>
  <c r="I29" i="38"/>
  <c r="H35" i="38"/>
  <c r="B39" i="38"/>
  <c r="E38" i="38"/>
  <c r="F38" i="38" s="1"/>
  <c r="C38" i="38"/>
  <c r="D38" i="38" l="1"/>
  <c r="G38" i="38" s="1"/>
  <c r="AK29" i="38"/>
  <c r="AF28" i="38"/>
  <c r="AB29" i="38"/>
  <c r="AL29" i="38"/>
  <c r="AM29" i="38"/>
  <c r="Y34" i="38"/>
  <c r="R35" i="38"/>
  <c r="X35" i="38"/>
  <c r="N35" i="38"/>
  <c r="J29" i="38"/>
  <c r="K30" i="38"/>
  <c r="H36" i="38"/>
  <c r="B40" i="38"/>
  <c r="E39" i="38"/>
  <c r="F39" i="38" s="1"/>
  <c r="C39" i="38"/>
  <c r="R36" i="38" l="1"/>
  <c r="X36" i="38"/>
  <c r="N36" i="38"/>
  <c r="D39" i="38"/>
  <c r="G39" i="38" s="1"/>
  <c r="Y35" i="38"/>
  <c r="I30" i="38"/>
  <c r="H37" i="38"/>
  <c r="B41" i="38"/>
  <c r="E40" i="38"/>
  <c r="F40" i="38" s="1"/>
  <c r="C40" i="38"/>
  <c r="AK30" i="38" l="1"/>
  <c r="AF29" i="38"/>
  <c r="AB30" i="38"/>
  <c r="AL30" i="38"/>
  <c r="AM30" i="38"/>
  <c r="Y36" i="38"/>
  <c r="X37" i="38"/>
  <c r="N37" i="38"/>
  <c r="R37" i="38"/>
  <c r="D40" i="38"/>
  <c r="G40" i="38" s="1"/>
  <c r="J30" i="38"/>
  <c r="K31" i="38"/>
  <c r="H38" i="38"/>
  <c r="B42" i="38"/>
  <c r="E41" i="38"/>
  <c r="F41" i="38" s="1"/>
  <c r="C41" i="38"/>
  <c r="X38" i="38" l="1"/>
  <c r="N38" i="38"/>
  <c r="R38" i="38"/>
  <c r="D41" i="38"/>
  <c r="G41" i="38"/>
  <c r="Y37" i="38"/>
  <c r="I31" i="38"/>
  <c r="H39" i="38"/>
  <c r="B43" i="38"/>
  <c r="E42" i="38"/>
  <c r="F42" i="38" s="1"/>
  <c r="C42" i="38"/>
  <c r="D42" i="38" l="1"/>
  <c r="G42" i="38"/>
  <c r="AK31" i="38"/>
  <c r="AF30" i="38"/>
  <c r="AL31" i="38"/>
  <c r="AB31" i="38"/>
  <c r="AM31" i="38"/>
  <c r="Y38" i="38"/>
  <c r="R39" i="38"/>
  <c r="X39" i="38"/>
  <c r="N39" i="38"/>
  <c r="J31" i="38"/>
  <c r="I32" i="38" s="1"/>
  <c r="K32" i="38"/>
  <c r="H40" i="38"/>
  <c r="B44" i="38"/>
  <c r="E43" i="38"/>
  <c r="F43" i="38" s="1"/>
  <c r="C43" i="38"/>
  <c r="AK32" i="38" l="1"/>
  <c r="AB32" i="38"/>
  <c r="AM32" i="38"/>
  <c r="AL32" i="38"/>
  <c r="D43" i="38"/>
  <c r="G43" i="38" s="1"/>
  <c r="X40" i="38"/>
  <c r="N40" i="38"/>
  <c r="R40" i="38"/>
  <c r="Y39" i="38"/>
  <c r="J32" i="38"/>
  <c r="K33" i="38"/>
  <c r="I33" i="38"/>
  <c r="H41" i="38"/>
  <c r="B45" i="38"/>
  <c r="E44" i="38"/>
  <c r="F44" i="38" s="1"/>
  <c r="C44" i="38"/>
  <c r="D44" i="38" l="1"/>
  <c r="G44" i="38"/>
  <c r="X41" i="38"/>
  <c r="N41" i="38"/>
  <c r="R41" i="38"/>
  <c r="AK33" i="38"/>
  <c r="AF32" i="38"/>
  <c r="AB33" i="38"/>
  <c r="AL33" i="38"/>
  <c r="AM33" i="38"/>
  <c r="Y40" i="38"/>
  <c r="J33" i="38"/>
  <c r="K34" i="38"/>
  <c r="I34" i="38"/>
  <c r="H42" i="38"/>
  <c r="B46" i="38"/>
  <c r="E45" i="38"/>
  <c r="F45" i="38" s="1"/>
  <c r="C45" i="38"/>
  <c r="AK34" i="38" l="1"/>
  <c r="AF33" i="38"/>
  <c r="AL34" i="38"/>
  <c r="AB34" i="38"/>
  <c r="AM34" i="38"/>
  <c r="R42" i="38"/>
  <c r="X42" i="38"/>
  <c r="N42" i="38"/>
  <c r="D45" i="38"/>
  <c r="G45" i="38" s="1"/>
  <c r="Y41" i="38"/>
  <c r="J34" i="38"/>
  <c r="I35" i="38" s="1"/>
  <c r="K35" i="38"/>
  <c r="H43" i="38"/>
  <c r="B47" i="38"/>
  <c r="E46" i="38"/>
  <c r="F46" i="38" s="1"/>
  <c r="C46" i="38"/>
  <c r="AK35" i="38" l="1"/>
  <c r="AF34" i="38"/>
  <c r="AL35" i="38"/>
  <c r="AB35" i="38"/>
  <c r="AM35" i="38"/>
  <c r="Y42" i="38"/>
  <c r="X43" i="38"/>
  <c r="N43" i="38"/>
  <c r="D46" i="38"/>
  <c r="G46" i="38"/>
  <c r="J35" i="38"/>
  <c r="I36" i="38" s="1"/>
  <c r="K36" i="38"/>
  <c r="H44" i="38"/>
  <c r="B48" i="38"/>
  <c r="E47" i="38"/>
  <c r="F47" i="38" s="1"/>
  <c r="C47" i="38"/>
  <c r="AK36" i="38" l="1"/>
  <c r="AF35" i="38"/>
  <c r="AB36" i="38"/>
  <c r="AL36" i="38"/>
  <c r="AM36" i="38"/>
  <c r="R44" i="38"/>
  <c r="N44" i="38"/>
  <c r="X44" i="38" s="1"/>
  <c r="D47" i="38"/>
  <c r="G47" i="38" s="1"/>
  <c r="Y43" i="38"/>
  <c r="J36" i="38"/>
  <c r="K37" i="38"/>
  <c r="I37" i="38"/>
  <c r="H45" i="38"/>
  <c r="B49" i="38"/>
  <c r="E48" i="38"/>
  <c r="F48" i="38" s="1"/>
  <c r="C48" i="38"/>
  <c r="X45" i="38" l="1"/>
  <c r="N45" i="38"/>
  <c r="R45" i="38"/>
  <c r="AK37" i="38"/>
  <c r="AF36" i="38"/>
  <c r="AL37" i="38"/>
  <c r="AB37" i="38"/>
  <c r="AM37" i="38"/>
  <c r="D48" i="38"/>
  <c r="G48" i="38" s="1"/>
  <c r="Y44" i="38"/>
  <c r="J37" i="38"/>
  <c r="K38" i="38"/>
  <c r="I38" i="38"/>
  <c r="H46" i="38"/>
  <c r="B50" i="38"/>
  <c r="E49" i="38"/>
  <c r="F49" i="38" s="1"/>
  <c r="C49" i="38"/>
  <c r="D49" i="38" l="1"/>
  <c r="G49" i="38"/>
  <c r="AK38" i="38"/>
  <c r="AF37" i="38"/>
  <c r="AB38" i="38"/>
  <c r="AL38" i="38"/>
  <c r="AM38" i="38"/>
  <c r="Y45" i="38"/>
  <c r="R46" i="38"/>
  <c r="X46" i="38"/>
  <c r="N46" i="38"/>
  <c r="J38" i="38"/>
  <c r="I39" i="38" s="1"/>
  <c r="K39" i="38"/>
  <c r="H47" i="38"/>
  <c r="B51" i="38"/>
  <c r="E50" i="38"/>
  <c r="F50" i="38" s="1"/>
  <c r="C50" i="38"/>
  <c r="AK39" i="38" l="1"/>
  <c r="AF38" i="38"/>
  <c r="AL39" i="38"/>
  <c r="AB39" i="38"/>
  <c r="AM39" i="38"/>
  <c r="Y46" i="38"/>
  <c r="X47" i="38"/>
  <c r="N47" i="38"/>
  <c r="R47" i="38"/>
  <c r="D50" i="38"/>
  <c r="G50" i="38" s="1"/>
  <c r="J39" i="38"/>
  <c r="I40" i="38" s="1"/>
  <c r="K40" i="38"/>
  <c r="H48" i="38"/>
  <c r="B52" i="38"/>
  <c r="E51" i="38"/>
  <c r="F51" i="38" s="1"/>
  <c r="C51" i="38"/>
  <c r="AK40" i="38" l="1"/>
  <c r="AF39" i="38"/>
  <c r="AL40" i="38"/>
  <c r="AB40" i="38"/>
  <c r="AM40" i="38"/>
  <c r="R48" i="38"/>
  <c r="X48" i="38"/>
  <c r="N48" i="38"/>
  <c r="Y47" i="38"/>
  <c r="D51" i="38"/>
  <c r="G51" i="38" s="1"/>
  <c r="J40" i="38"/>
  <c r="K41" i="38"/>
  <c r="H49" i="38"/>
  <c r="B53" i="38"/>
  <c r="E52" i="38"/>
  <c r="F52" i="38" s="1"/>
  <c r="C52" i="38"/>
  <c r="X49" i="38" l="1"/>
  <c r="N49" i="38"/>
  <c r="R49" i="38"/>
  <c r="Y48" i="38"/>
  <c r="D52" i="38"/>
  <c r="G52" i="38" s="1"/>
  <c r="I41" i="38"/>
  <c r="H50" i="38"/>
  <c r="B54" i="38"/>
  <c r="E53" i="38"/>
  <c r="F53" i="38" s="1"/>
  <c r="C53" i="38"/>
  <c r="Y49" i="38" l="1"/>
  <c r="X50" i="38"/>
  <c r="N50" i="38"/>
  <c r="R50" i="38"/>
  <c r="D53" i="38"/>
  <c r="G53" i="38" s="1"/>
  <c r="AK41" i="38"/>
  <c r="AF40" i="38"/>
  <c r="AL41" i="38"/>
  <c r="AB41" i="38"/>
  <c r="AM41" i="38"/>
  <c r="J41" i="38"/>
  <c r="I42" i="38" s="1"/>
  <c r="K42" i="38"/>
  <c r="H51" i="38"/>
  <c r="B55" i="38"/>
  <c r="E54" i="38"/>
  <c r="F54" i="38" s="1"/>
  <c r="C54" i="38"/>
  <c r="AK42" i="38" l="1"/>
  <c r="AF41" i="38"/>
  <c r="AB42" i="38"/>
  <c r="AL42" i="38"/>
  <c r="AM42" i="38"/>
  <c r="R51" i="38"/>
  <c r="X51" i="38"/>
  <c r="N51" i="38"/>
  <c r="D54" i="38"/>
  <c r="G54" i="38"/>
  <c r="Y50" i="38"/>
  <c r="J42" i="38"/>
  <c r="K43" i="38"/>
  <c r="H52" i="38"/>
  <c r="B56" i="38"/>
  <c r="E55" i="38"/>
  <c r="F55" i="38" s="1"/>
  <c r="C55" i="38"/>
  <c r="D55" i="38" l="1"/>
  <c r="G55" i="38"/>
  <c r="Y51" i="38"/>
  <c r="R52" i="38"/>
  <c r="X52" i="38"/>
  <c r="N52" i="38"/>
  <c r="I43" i="38"/>
  <c r="H53" i="38"/>
  <c r="B57" i="38"/>
  <c r="E56" i="38"/>
  <c r="F56" i="38" s="1"/>
  <c r="C56" i="38"/>
  <c r="D56" i="38" l="1"/>
  <c r="G56" i="38" s="1"/>
  <c r="X53" i="38"/>
  <c r="N53" i="38"/>
  <c r="R53" i="38"/>
  <c r="AK43" i="38"/>
  <c r="AF42" i="38"/>
  <c r="AB43" i="38"/>
  <c r="AL43" i="38"/>
  <c r="AM43" i="38"/>
  <c r="Y52" i="38"/>
  <c r="J43" i="38"/>
  <c r="I44" i="38" s="1"/>
  <c r="K44" i="38"/>
  <c r="H54" i="38"/>
  <c r="B58" i="38"/>
  <c r="E57" i="38"/>
  <c r="F57" i="38" s="1"/>
  <c r="C57" i="38"/>
  <c r="AK44" i="38" l="1"/>
  <c r="AB44" i="38"/>
  <c r="AL44" i="38"/>
  <c r="AM44" i="38"/>
  <c r="R54" i="38"/>
  <c r="X54" i="38"/>
  <c r="N54" i="38"/>
  <c r="Y53" i="38"/>
  <c r="D57" i="38"/>
  <c r="G57" i="38"/>
  <c r="J44" i="38"/>
  <c r="K45" i="38"/>
  <c r="I45" i="38"/>
  <c r="H55" i="38"/>
  <c r="B59" i="38"/>
  <c r="E58" i="38"/>
  <c r="F58" i="38" s="1"/>
  <c r="C58" i="38"/>
  <c r="Y54" i="38" l="1"/>
  <c r="D58" i="38"/>
  <c r="G58" i="38"/>
  <c r="AK45" i="38"/>
  <c r="AF44" i="38"/>
  <c r="AL45" i="38"/>
  <c r="AB45" i="38"/>
  <c r="AM45" i="38"/>
  <c r="X55" i="38"/>
  <c r="N55" i="38"/>
  <c r="J45" i="38"/>
  <c r="I46" i="38" s="1"/>
  <c r="K46" i="38"/>
  <c r="H56" i="38"/>
  <c r="B60" i="38"/>
  <c r="E59" i="38"/>
  <c r="F59" i="38" s="1"/>
  <c r="C59" i="38"/>
  <c r="AK46" i="38" l="1"/>
  <c r="AF45" i="38"/>
  <c r="AL46" i="38"/>
  <c r="AB46" i="38"/>
  <c r="AM46" i="38"/>
  <c r="N56" i="38"/>
  <c r="R56" i="38"/>
  <c r="Y55" i="38"/>
  <c r="D59" i="38"/>
  <c r="G59" i="38"/>
  <c r="J46" i="38"/>
  <c r="I47" i="38" s="1"/>
  <c r="K47" i="38"/>
  <c r="H57" i="38"/>
  <c r="B61" i="38"/>
  <c r="E60" i="38"/>
  <c r="F60" i="38" s="1"/>
  <c r="C60" i="38"/>
  <c r="AK47" i="38" l="1"/>
  <c r="AF46" i="38"/>
  <c r="AB47" i="38"/>
  <c r="AL47" i="38"/>
  <c r="AM47" i="38"/>
  <c r="Y56" i="38"/>
  <c r="D60" i="38"/>
  <c r="G60" i="38"/>
  <c r="X56" i="38"/>
  <c r="X57" i="38"/>
  <c r="R57" i="38"/>
  <c r="N57" i="38"/>
  <c r="J47" i="38"/>
  <c r="K48" i="38"/>
  <c r="H58" i="38"/>
  <c r="B62" i="38"/>
  <c r="E61" i="38"/>
  <c r="F61" i="38" s="1"/>
  <c r="C61" i="38"/>
  <c r="X58" i="38" l="1"/>
  <c r="R58" i="38"/>
  <c r="N58" i="38"/>
  <c r="D61" i="38"/>
  <c r="G61" i="38"/>
  <c r="Y57" i="38"/>
  <c r="I48" i="38"/>
  <c r="H59" i="38"/>
  <c r="B63" i="38"/>
  <c r="E62" i="38"/>
  <c r="F62" i="38" s="1"/>
  <c r="C62" i="38"/>
  <c r="Y58" i="38" l="1"/>
  <c r="D62" i="38"/>
  <c r="G62" i="38"/>
  <c r="AK48" i="38"/>
  <c r="AF47" i="38"/>
  <c r="AL48" i="38"/>
  <c r="AB48" i="38"/>
  <c r="AM48" i="38"/>
  <c r="X59" i="38"/>
  <c r="R59" i="38"/>
  <c r="N59" i="38"/>
  <c r="J48" i="38"/>
  <c r="I49" i="38" s="1"/>
  <c r="K49" i="38"/>
  <c r="H60" i="38"/>
  <c r="B64" i="38"/>
  <c r="E63" i="38"/>
  <c r="F63" i="38" s="1"/>
  <c r="C63" i="38"/>
  <c r="AK49" i="38" l="1"/>
  <c r="AF48" i="38"/>
  <c r="AB49" i="38"/>
  <c r="AL49" i="38"/>
  <c r="AM49" i="38"/>
  <c r="R60" i="38"/>
  <c r="X60" i="38"/>
  <c r="N60" i="38"/>
  <c r="D63" i="38"/>
  <c r="G63" i="38" s="1"/>
  <c r="Y59" i="38"/>
  <c r="J49" i="38"/>
  <c r="K50" i="38"/>
  <c r="I50" i="38"/>
  <c r="H61" i="38"/>
  <c r="B65" i="38"/>
  <c r="E64" i="38"/>
  <c r="F64" i="38" s="1"/>
  <c r="C64" i="38"/>
  <c r="D64" i="38" l="1"/>
  <c r="G64" i="38" s="1"/>
  <c r="AK50" i="38"/>
  <c r="AF49" i="38"/>
  <c r="AL50" i="38"/>
  <c r="AB50" i="38"/>
  <c r="AM50" i="38"/>
  <c r="Y60" i="38"/>
  <c r="X61" i="38"/>
  <c r="R61" i="38"/>
  <c r="N61" i="38"/>
  <c r="J50" i="38"/>
  <c r="K51" i="38"/>
  <c r="I51" i="38"/>
  <c r="H62" i="38"/>
  <c r="B66" i="38"/>
  <c r="E65" i="38"/>
  <c r="F65" i="38" s="1"/>
  <c r="C65" i="38"/>
  <c r="AK51" i="38" l="1"/>
  <c r="AF50" i="38"/>
  <c r="AB51" i="38"/>
  <c r="AL51" i="38"/>
  <c r="AM51" i="38"/>
  <c r="D65" i="38"/>
  <c r="G65" i="38" s="1"/>
  <c r="X62" i="38"/>
  <c r="R62" i="38"/>
  <c r="N62" i="38"/>
  <c r="Y61" i="38"/>
  <c r="J51" i="38"/>
  <c r="K52" i="38"/>
  <c r="H63" i="38"/>
  <c r="B67" i="38"/>
  <c r="E66" i="38"/>
  <c r="F66" i="38" s="1"/>
  <c r="C66" i="38"/>
  <c r="X63" i="38" l="1"/>
  <c r="R63" i="38"/>
  <c r="N63" i="38"/>
  <c r="D66" i="38"/>
  <c r="G66" i="38"/>
  <c r="Y62" i="38"/>
  <c r="H64" i="38"/>
  <c r="B68" i="38"/>
  <c r="E67" i="38"/>
  <c r="F67" i="38" s="1"/>
  <c r="C67" i="38"/>
  <c r="Y63" i="38" l="1"/>
  <c r="N64" i="38"/>
  <c r="X64" i="38"/>
  <c r="R64" i="38"/>
  <c r="D67" i="38"/>
  <c r="G67" i="38"/>
  <c r="I52" i="38"/>
  <c r="H65" i="38"/>
  <c r="B69" i="38"/>
  <c r="E68" i="38"/>
  <c r="F68" i="38" s="1"/>
  <c r="C68" i="38"/>
  <c r="Y64" i="38" l="1"/>
  <c r="X65" i="38"/>
  <c r="R65" i="38"/>
  <c r="N65" i="38"/>
  <c r="D68" i="38"/>
  <c r="G68" i="38" s="1"/>
  <c r="AK52" i="38"/>
  <c r="AF51" i="38"/>
  <c r="AB52" i="38"/>
  <c r="AL52" i="38"/>
  <c r="AM52" i="38"/>
  <c r="J52" i="38"/>
  <c r="I53" i="38" s="1"/>
  <c r="K53" i="38"/>
  <c r="H66" i="38"/>
  <c r="B70" i="38"/>
  <c r="E69" i="38"/>
  <c r="F69" i="38" s="1"/>
  <c r="C69" i="38"/>
  <c r="D69" i="38" l="1"/>
  <c r="G69" i="38" s="1"/>
  <c r="AK53" i="38"/>
  <c r="AF52" i="38"/>
  <c r="AB53" i="38"/>
  <c r="AL53" i="38"/>
  <c r="AM53" i="38"/>
  <c r="X66" i="38"/>
  <c r="R66" i="38"/>
  <c r="N66" i="38"/>
  <c r="Y65" i="38"/>
  <c r="J53" i="38"/>
  <c r="I54" i="38" s="1"/>
  <c r="K54" i="38"/>
  <c r="H67" i="38"/>
  <c r="B71" i="38"/>
  <c r="E70" i="38"/>
  <c r="F70" i="38" s="1"/>
  <c r="C70" i="38"/>
  <c r="X67" i="38" l="1"/>
  <c r="N67" i="38"/>
  <c r="AK54" i="38"/>
  <c r="AF53" i="38"/>
  <c r="AB54" i="38"/>
  <c r="AL54" i="38"/>
  <c r="AM54" i="38"/>
  <c r="D70" i="38"/>
  <c r="G70" i="38" s="1"/>
  <c r="Y66" i="38"/>
  <c r="J54" i="38"/>
  <c r="K55" i="38"/>
  <c r="H68" i="38"/>
  <c r="B72" i="38"/>
  <c r="E71" i="38"/>
  <c r="F71" i="38" s="1"/>
  <c r="C71" i="38"/>
  <c r="R68" i="38" l="1"/>
  <c r="N68" i="38"/>
  <c r="Y67" i="38"/>
  <c r="D71" i="38"/>
  <c r="G71" i="38"/>
  <c r="I55" i="38"/>
  <c r="H69" i="38"/>
  <c r="B73" i="38"/>
  <c r="E72" i="38"/>
  <c r="F72" i="38" s="1"/>
  <c r="C72" i="38"/>
  <c r="D72" i="38" l="1"/>
  <c r="G72" i="38" s="1"/>
  <c r="Y68" i="38"/>
  <c r="AK55" i="38"/>
  <c r="AF54" i="38"/>
  <c r="AB55" i="38"/>
  <c r="AL55" i="38"/>
  <c r="AM55" i="38"/>
  <c r="X69" i="38"/>
  <c r="N69" i="38"/>
  <c r="R69" i="38"/>
  <c r="X68" i="38"/>
  <c r="J55" i="38"/>
  <c r="K56" i="38"/>
  <c r="H70" i="38"/>
  <c r="B74" i="38"/>
  <c r="E73" i="38"/>
  <c r="F73" i="38" s="1"/>
  <c r="C73" i="38"/>
  <c r="Y69" i="38" l="1"/>
  <c r="D73" i="38"/>
  <c r="G73" i="38"/>
  <c r="R70" i="38"/>
  <c r="X70" i="38"/>
  <c r="N70" i="38"/>
  <c r="I56" i="38"/>
  <c r="H71" i="38"/>
  <c r="B75" i="38"/>
  <c r="E74" i="38"/>
  <c r="F74" i="38" s="1"/>
  <c r="C74" i="38"/>
  <c r="Y70" i="38" l="1"/>
  <c r="N71" i="38"/>
  <c r="R71" i="38"/>
  <c r="X71" i="38"/>
  <c r="D74" i="38"/>
  <c r="G74" i="38" s="1"/>
  <c r="AK56" i="38"/>
  <c r="AB56" i="38"/>
  <c r="AM56" i="38"/>
  <c r="AL56" i="38"/>
  <c r="J56" i="38"/>
  <c r="I57" i="38" s="1"/>
  <c r="K57" i="38"/>
  <c r="H72" i="38"/>
  <c r="B76" i="38"/>
  <c r="E75" i="38"/>
  <c r="F75" i="38" s="1"/>
  <c r="C75" i="38"/>
  <c r="D75" i="38" l="1"/>
  <c r="G75" i="38" s="1"/>
  <c r="AK57" i="38"/>
  <c r="AF56" i="38"/>
  <c r="AL57" i="38"/>
  <c r="AB57" i="38"/>
  <c r="AM57" i="38"/>
  <c r="R72" i="38"/>
  <c r="X72" i="38"/>
  <c r="N72" i="38"/>
  <c r="Y71" i="38"/>
  <c r="J57" i="38"/>
  <c r="K58" i="38"/>
  <c r="I58" i="38"/>
  <c r="H73" i="38"/>
  <c r="B77" i="38"/>
  <c r="E76" i="38"/>
  <c r="F76" i="38" s="1"/>
  <c r="C76" i="38"/>
  <c r="D76" i="38" l="1"/>
  <c r="G76" i="38" s="1"/>
  <c r="Y72" i="38"/>
  <c r="AK58" i="38"/>
  <c r="AF57" i="38"/>
  <c r="AL58" i="38"/>
  <c r="AB58" i="38"/>
  <c r="AM58" i="38"/>
  <c r="X73" i="38"/>
  <c r="N73" i="38"/>
  <c r="R73" i="38"/>
  <c r="J58" i="38"/>
  <c r="I59" i="38" s="1"/>
  <c r="K59" i="38"/>
  <c r="H74" i="38"/>
  <c r="B78" i="38"/>
  <c r="E77" i="38"/>
  <c r="F77" i="38" s="1"/>
  <c r="C77" i="38"/>
  <c r="R74" i="38" l="1"/>
  <c r="X74" i="38"/>
  <c r="N74" i="38"/>
  <c r="D77" i="38"/>
  <c r="G77" i="38"/>
  <c r="AK59" i="38"/>
  <c r="AF58" i="38"/>
  <c r="AB59" i="38"/>
  <c r="AL59" i="38"/>
  <c r="AM59" i="38"/>
  <c r="Y73" i="38"/>
  <c r="J59" i="38"/>
  <c r="I60" i="38" s="1"/>
  <c r="K60" i="38"/>
  <c r="H75" i="38"/>
  <c r="B79" i="38"/>
  <c r="E78" i="38"/>
  <c r="F78" i="38" s="1"/>
  <c r="C78" i="38"/>
  <c r="AK60" i="38" l="1"/>
  <c r="AF59" i="38"/>
  <c r="AB60" i="38"/>
  <c r="AL60" i="38"/>
  <c r="AM60" i="38"/>
  <c r="Y74" i="38"/>
  <c r="X75" i="38"/>
  <c r="R75" i="38"/>
  <c r="N75" i="38"/>
  <c r="D78" i="38"/>
  <c r="G78" i="38" s="1"/>
  <c r="J60" i="38"/>
  <c r="K61" i="38"/>
  <c r="I61" i="38"/>
  <c r="H76" i="38"/>
  <c r="B80" i="38"/>
  <c r="E79" i="38"/>
  <c r="F79" i="38" s="1"/>
  <c r="C79" i="38"/>
  <c r="R76" i="38" l="1"/>
  <c r="X76" i="38"/>
  <c r="N76" i="38"/>
  <c r="D79" i="38"/>
  <c r="G79" i="38" s="1"/>
  <c r="AK61" i="38"/>
  <c r="AF60" i="38"/>
  <c r="AL61" i="38"/>
  <c r="AB61" i="38"/>
  <c r="AM61" i="38"/>
  <c r="Y75" i="38"/>
  <c r="J61" i="38"/>
  <c r="I62" i="38" s="1"/>
  <c r="K62" i="38"/>
  <c r="H77" i="38"/>
  <c r="B81" i="38"/>
  <c r="E80" i="38"/>
  <c r="F80" i="38" s="1"/>
  <c r="C80" i="38"/>
  <c r="AK62" i="38" l="1"/>
  <c r="AF61" i="38"/>
  <c r="AB62" i="38"/>
  <c r="AL62" i="38"/>
  <c r="AM62" i="38"/>
  <c r="X77" i="38"/>
  <c r="N77" i="38"/>
  <c r="R77" i="38"/>
  <c r="D80" i="38"/>
  <c r="G80" i="38"/>
  <c r="Y76" i="38"/>
  <c r="J62" i="38"/>
  <c r="K63" i="38"/>
  <c r="H78" i="38"/>
  <c r="B82" i="38"/>
  <c r="E81" i="38"/>
  <c r="F81" i="38" s="1"/>
  <c r="C81" i="38"/>
  <c r="D81" i="38" l="1"/>
  <c r="G81" i="38" s="1"/>
  <c r="R78" i="38"/>
  <c r="X78" i="38"/>
  <c r="N78" i="38"/>
  <c r="Y77" i="38"/>
  <c r="I63" i="38"/>
  <c r="H79" i="38"/>
  <c r="B83" i="38"/>
  <c r="E82" i="38"/>
  <c r="F82" i="38" s="1"/>
  <c r="C82" i="38"/>
  <c r="N79" i="38" l="1"/>
  <c r="X79" i="38"/>
  <c r="D82" i="38"/>
  <c r="G82" i="38"/>
  <c r="AK63" i="38"/>
  <c r="AF62" i="38"/>
  <c r="AB63" i="38"/>
  <c r="AL63" i="38"/>
  <c r="AM63" i="38"/>
  <c r="Y78" i="38"/>
  <c r="J63" i="38"/>
  <c r="K64" i="38"/>
  <c r="H80" i="38"/>
  <c r="B84" i="38"/>
  <c r="E83" i="38"/>
  <c r="F83" i="38" s="1"/>
  <c r="C83" i="38"/>
  <c r="D83" i="38" l="1"/>
  <c r="G83" i="38" s="1"/>
  <c r="Y79" i="38"/>
  <c r="R80" i="38"/>
  <c r="N80" i="38"/>
  <c r="X80" i="38" s="1"/>
  <c r="H81" i="38"/>
  <c r="B85" i="38"/>
  <c r="E84" i="38"/>
  <c r="F84" i="38" s="1"/>
  <c r="C84" i="38"/>
  <c r="D84" i="38" l="1"/>
  <c r="G84" i="38"/>
  <c r="Y80" i="38"/>
  <c r="X81" i="38"/>
  <c r="N81" i="38"/>
  <c r="R81" i="38"/>
  <c r="I64" i="38"/>
  <c r="H82" i="38"/>
  <c r="B86" i="38"/>
  <c r="E85" i="38"/>
  <c r="F85" i="38" s="1"/>
  <c r="C85" i="38"/>
  <c r="X82" i="38" l="1"/>
  <c r="N82" i="38"/>
  <c r="R82" i="38"/>
  <c r="D85" i="38"/>
  <c r="G85" i="38"/>
  <c r="AK64" i="38"/>
  <c r="AF63" i="38"/>
  <c r="AB64" i="38"/>
  <c r="AL64" i="38"/>
  <c r="AM64" i="38"/>
  <c r="Y81" i="38"/>
  <c r="J64" i="38"/>
  <c r="I65" i="38" s="1"/>
  <c r="K65" i="38"/>
  <c r="H83" i="38"/>
  <c r="B87" i="38"/>
  <c r="E86" i="38"/>
  <c r="F86" i="38" s="1"/>
  <c r="C86" i="38"/>
  <c r="AK65" i="38" l="1"/>
  <c r="AF64" i="38"/>
  <c r="AL65" i="38"/>
  <c r="AB65" i="38"/>
  <c r="AM65" i="38"/>
  <c r="R83" i="38"/>
  <c r="X83" i="38"/>
  <c r="N83" i="38"/>
  <c r="D86" i="38"/>
  <c r="G86" i="38"/>
  <c r="Y82" i="38"/>
  <c r="J65" i="38"/>
  <c r="K66" i="38"/>
  <c r="I66" i="38"/>
  <c r="H84" i="38"/>
  <c r="B88" i="38"/>
  <c r="E87" i="38"/>
  <c r="F87" i="38" s="1"/>
  <c r="C87" i="38"/>
  <c r="R84" i="38" l="1"/>
  <c r="X84" i="38"/>
  <c r="N84" i="38"/>
  <c r="D87" i="38"/>
  <c r="G87" i="38"/>
  <c r="AK66" i="38"/>
  <c r="AF65" i="38"/>
  <c r="AL66" i="38"/>
  <c r="AB66" i="38"/>
  <c r="AM66" i="38"/>
  <c r="Y83" i="38"/>
  <c r="J66" i="38"/>
  <c r="K67" i="38"/>
  <c r="I67" i="38"/>
  <c r="H85" i="38"/>
  <c r="B89" i="38"/>
  <c r="E88" i="38"/>
  <c r="F88" i="38" s="1"/>
  <c r="C88" i="38"/>
  <c r="Y84" i="38" l="1"/>
  <c r="X85" i="38"/>
  <c r="N85" i="38"/>
  <c r="R85" i="38"/>
  <c r="D88" i="38"/>
  <c r="G88" i="38" s="1"/>
  <c r="AK67" i="38"/>
  <c r="AF66" i="38"/>
  <c r="AL67" i="38"/>
  <c r="AB67" i="38"/>
  <c r="AM67" i="38"/>
  <c r="J67" i="38"/>
  <c r="I68" i="38" s="1"/>
  <c r="K68" i="38"/>
  <c r="H86" i="38"/>
  <c r="B90" i="38"/>
  <c r="E89" i="38"/>
  <c r="F89" i="38" s="1"/>
  <c r="C89" i="38"/>
  <c r="AK68" i="38" l="1"/>
  <c r="AB68" i="38"/>
  <c r="AL68" i="38"/>
  <c r="AM68" i="38"/>
  <c r="D89" i="38"/>
  <c r="G89" i="38"/>
  <c r="Y85" i="38"/>
  <c r="R86" i="38"/>
  <c r="X86" i="38"/>
  <c r="N86" i="38"/>
  <c r="J68" i="38"/>
  <c r="K69" i="38"/>
  <c r="I69" i="38"/>
  <c r="H87" i="38"/>
  <c r="B91" i="38"/>
  <c r="E90" i="38"/>
  <c r="F90" i="38" s="1"/>
  <c r="C90" i="38"/>
  <c r="R87" i="38" l="1"/>
  <c r="X87" i="38"/>
  <c r="N87" i="38"/>
  <c r="D90" i="38"/>
  <c r="G90" i="38" s="1"/>
  <c r="AK69" i="38"/>
  <c r="AF68" i="38"/>
  <c r="AB69" i="38"/>
  <c r="AL69" i="38"/>
  <c r="AM69" i="38"/>
  <c r="Y86" i="38"/>
  <c r="J69" i="38"/>
  <c r="K70" i="38"/>
  <c r="H88" i="38"/>
  <c r="B92" i="38"/>
  <c r="E91" i="38"/>
  <c r="F91" i="38" s="1"/>
  <c r="C91" i="38"/>
  <c r="Y87" i="38" l="1"/>
  <c r="X88" i="38"/>
  <c r="R88" i="38"/>
  <c r="N88" i="38"/>
  <c r="D91" i="38"/>
  <c r="G91" i="38" s="1"/>
  <c r="I70" i="38"/>
  <c r="H89" i="38"/>
  <c r="B93" i="38"/>
  <c r="E92" i="38"/>
  <c r="F92" i="38" s="1"/>
  <c r="C92" i="38"/>
  <c r="D92" i="38" l="1"/>
  <c r="G92" i="38" s="1"/>
  <c r="AK70" i="38"/>
  <c r="AF69" i="38"/>
  <c r="AB70" i="38"/>
  <c r="AL70" i="38"/>
  <c r="AM70" i="38"/>
  <c r="Y88" i="38"/>
  <c r="X89" i="38"/>
  <c r="N89" i="38"/>
  <c r="R89" i="38"/>
  <c r="J70" i="38"/>
  <c r="I71" i="38" s="1"/>
  <c r="K71" i="38"/>
  <c r="H90" i="38"/>
  <c r="B94" i="38"/>
  <c r="E93" i="38"/>
  <c r="F93" i="38" s="1"/>
  <c r="C93" i="38"/>
  <c r="X90" i="38" l="1"/>
  <c r="N90" i="38"/>
  <c r="R90" i="38"/>
  <c r="AK71" i="38"/>
  <c r="AF70" i="38"/>
  <c r="AL71" i="38"/>
  <c r="AB71" i="38"/>
  <c r="AM71" i="38"/>
  <c r="D93" i="38"/>
  <c r="G93" i="38" s="1"/>
  <c r="Y89" i="38"/>
  <c r="J71" i="38"/>
  <c r="K72" i="38"/>
  <c r="H91" i="38"/>
  <c r="B95" i="38"/>
  <c r="E94" i="38"/>
  <c r="F94" i="38" s="1"/>
  <c r="C94" i="38"/>
  <c r="D94" i="38" l="1"/>
  <c r="G94" i="38" s="1"/>
  <c r="X91" i="38"/>
  <c r="N91" i="38"/>
  <c r="Y90" i="38"/>
  <c r="I72" i="38"/>
  <c r="H92" i="38"/>
  <c r="B96" i="38"/>
  <c r="E95" i="38"/>
  <c r="F95" i="38" s="1"/>
  <c r="C95" i="38"/>
  <c r="R92" i="38" l="1"/>
  <c r="N92" i="38"/>
  <c r="D95" i="38"/>
  <c r="G95" i="38" s="1"/>
  <c r="AK72" i="38"/>
  <c r="AF71" i="38"/>
  <c r="AL72" i="38"/>
  <c r="AB72" i="38"/>
  <c r="AM72" i="38"/>
  <c r="Y91" i="38"/>
  <c r="J72" i="38"/>
  <c r="K73" i="38"/>
  <c r="H93" i="38"/>
  <c r="B97" i="38"/>
  <c r="E96" i="38"/>
  <c r="F96" i="38" s="1"/>
  <c r="C96" i="38"/>
  <c r="D96" i="38" l="1"/>
  <c r="G96" i="38" s="1"/>
  <c r="Y92" i="38"/>
  <c r="X92" i="38"/>
  <c r="X93" i="38"/>
  <c r="N93" i="38"/>
  <c r="R93" i="38"/>
  <c r="I73" i="38"/>
  <c r="H94" i="38"/>
  <c r="B98" i="38"/>
  <c r="E97" i="38"/>
  <c r="F97" i="38" s="1"/>
  <c r="C97" i="38"/>
  <c r="X94" i="38" l="1"/>
  <c r="N94" i="38"/>
  <c r="R94" i="38"/>
  <c r="Y93" i="38"/>
  <c r="D97" i="38"/>
  <c r="G97" i="38"/>
  <c r="AK73" i="38"/>
  <c r="AF72" i="38"/>
  <c r="AL73" i="38"/>
  <c r="AB73" i="38"/>
  <c r="AM73" i="38"/>
  <c r="J73" i="38"/>
  <c r="I74" i="38" s="1"/>
  <c r="K74" i="38"/>
  <c r="H95" i="38"/>
  <c r="B99" i="38"/>
  <c r="E98" i="38"/>
  <c r="F98" i="38" s="1"/>
  <c r="C98" i="38"/>
  <c r="X95" i="38" l="1"/>
  <c r="N95" i="38"/>
  <c r="R95" i="38"/>
  <c r="D98" i="38"/>
  <c r="G98" i="38" s="1"/>
  <c r="Y94" i="38"/>
  <c r="AK74" i="38"/>
  <c r="AF73" i="38"/>
  <c r="AL74" i="38"/>
  <c r="AB74" i="38"/>
  <c r="AM74" i="38"/>
  <c r="J74" i="38"/>
  <c r="I75" i="38" s="1"/>
  <c r="K75" i="38"/>
  <c r="H96" i="38"/>
  <c r="B100" i="38"/>
  <c r="E99" i="38"/>
  <c r="F99" i="38" s="1"/>
  <c r="C99" i="38"/>
  <c r="AK75" i="38" l="1"/>
  <c r="AF74" i="38"/>
  <c r="AB75" i="38"/>
  <c r="AL75" i="38"/>
  <c r="AM75" i="38"/>
  <c r="R96" i="38"/>
  <c r="X96" i="38"/>
  <c r="N96" i="38"/>
  <c r="D99" i="38"/>
  <c r="G99" i="38" s="1"/>
  <c r="Y95" i="38"/>
  <c r="J75" i="38"/>
  <c r="K76" i="38"/>
  <c r="H97" i="38"/>
  <c r="B101" i="38"/>
  <c r="E100" i="38"/>
  <c r="F100" i="38" s="1"/>
  <c r="C100" i="38"/>
  <c r="X97" i="38" l="1"/>
  <c r="N97" i="38"/>
  <c r="R97" i="38"/>
  <c r="D100" i="38"/>
  <c r="G100" i="38"/>
  <c r="Y96" i="38"/>
  <c r="I76" i="38"/>
  <c r="H98" i="38"/>
  <c r="B102" i="38"/>
  <c r="E101" i="38"/>
  <c r="F101" i="38" s="1"/>
  <c r="C101" i="38"/>
  <c r="R98" i="38" l="1"/>
  <c r="X98" i="38"/>
  <c r="N98" i="38"/>
  <c r="D101" i="38"/>
  <c r="G101" i="38"/>
  <c r="AK76" i="38"/>
  <c r="AF75" i="38"/>
  <c r="AB76" i="38"/>
  <c r="AL76" i="38"/>
  <c r="AM76" i="38"/>
  <c r="Y97" i="38"/>
  <c r="J76" i="38"/>
  <c r="I77" i="38" s="1"/>
  <c r="K77" i="38"/>
  <c r="H99" i="38"/>
  <c r="B103" i="38"/>
  <c r="E102" i="38"/>
  <c r="F102" i="38" s="1"/>
  <c r="C102" i="38"/>
  <c r="AK77" i="38" l="1"/>
  <c r="AF76" i="38"/>
  <c r="AL77" i="38"/>
  <c r="AB77" i="38"/>
  <c r="AM77" i="38"/>
  <c r="Y98" i="38"/>
  <c r="X99" i="38"/>
  <c r="N99" i="38"/>
  <c r="R99" i="38"/>
  <c r="D102" i="38"/>
  <c r="G102" i="38" s="1"/>
  <c r="J77" i="38"/>
  <c r="K78" i="38"/>
  <c r="I78" i="38"/>
  <c r="H100" i="38"/>
  <c r="B104" i="38"/>
  <c r="E103" i="38"/>
  <c r="F103" i="38" s="1"/>
  <c r="C103" i="38"/>
  <c r="R100" i="38" l="1"/>
  <c r="X100" i="38"/>
  <c r="N100" i="38"/>
  <c r="D103" i="38"/>
  <c r="G103" i="38" s="1"/>
  <c r="Y99" i="38"/>
  <c r="AK78" i="38"/>
  <c r="AF77" i="38"/>
  <c r="AL78" i="38"/>
  <c r="AB78" i="38"/>
  <c r="AM78" i="38"/>
  <c r="J78" i="38"/>
  <c r="K79" i="38"/>
  <c r="H101" i="38"/>
  <c r="B105" i="38"/>
  <c r="E104" i="38"/>
  <c r="F104" i="38" s="1"/>
  <c r="C104" i="38"/>
  <c r="Y100" i="38" l="1"/>
  <c r="D104" i="38"/>
  <c r="G104" i="38" s="1"/>
  <c r="X101" i="38"/>
  <c r="N101" i="38"/>
  <c r="R101" i="38"/>
  <c r="I79" i="38"/>
  <c r="H102" i="38"/>
  <c r="B106" i="38"/>
  <c r="E105" i="38"/>
  <c r="F105" i="38" s="1"/>
  <c r="C105" i="38"/>
  <c r="Y101" i="38" l="1"/>
  <c r="X102" i="38"/>
  <c r="N102" i="38"/>
  <c r="R102" i="38"/>
  <c r="D105" i="38"/>
  <c r="G105" i="38"/>
  <c r="AK79" i="38"/>
  <c r="AF78" i="38"/>
  <c r="AL79" i="38"/>
  <c r="AB79" i="38"/>
  <c r="AM79" i="38"/>
  <c r="J79" i="38"/>
  <c r="I80" i="38" s="1"/>
  <c r="K80" i="38"/>
  <c r="H103" i="38"/>
  <c r="B107" i="38"/>
  <c r="E106" i="38"/>
  <c r="F106" i="38" s="1"/>
  <c r="C106" i="38"/>
  <c r="AK80" i="38" l="1"/>
  <c r="AL80" i="38"/>
  <c r="AB80" i="38"/>
  <c r="AM80" i="38"/>
  <c r="X103" i="38"/>
  <c r="N103" i="38"/>
  <c r="D106" i="38"/>
  <c r="G106" i="38"/>
  <c r="Y102" i="38"/>
  <c r="J80" i="38"/>
  <c r="I81" i="38" s="1"/>
  <c r="K81" i="38"/>
  <c r="H104" i="38"/>
  <c r="B108" i="38"/>
  <c r="E107" i="38"/>
  <c r="F107" i="38" s="1"/>
  <c r="C107" i="38"/>
  <c r="AK81" i="38" l="1"/>
  <c r="AF80" i="38"/>
  <c r="AL81" i="38"/>
  <c r="AB81" i="38"/>
  <c r="AM81" i="38"/>
  <c r="D107" i="38"/>
  <c r="G107" i="38" s="1"/>
  <c r="X104" i="38"/>
  <c r="R104" i="38"/>
  <c r="N104" i="38"/>
  <c r="Y103" i="38"/>
  <c r="J81" i="38"/>
  <c r="I82" i="38" s="1"/>
  <c r="K82" i="38"/>
  <c r="H105" i="38"/>
  <c r="B109" i="38"/>
  <c r="E108" i="38"/>
  <c r="F108" i="38" s="1"/>
  <c r="C108" i="38"/>
  <c r="AK82" i="38" l="1"/>
  <c r="AF81" i="38"/>
  <c r="AB82" i="38"/>
  <c r="AL82" i="38"/>
  <c r="AM82" i="38"/>
  <c r="X105" i="38"/>
  <c r="R105" i="38"/>
  <c r="N105" i="38"/>
  <c r="D108" i="38"/>
  <c r="G108" i="38"/>
  <c r="Y104" i="38"/>
  <c r="J82" i="38"/>
  <c r="K83" i="38"/>
  <c r="H106" i="38"/>
  <c r="B110" i="38"/>
  <c r="E109" i="38"/>
  <c r="F109" i="38" s="1"/>
  <c r="C109" i="38"/>
  <c r="D109" i="38" l="1"/>
  <c r="G109" i="38" s="1"/>
  <c r="Y105" i="38"/>
  <c r="X106" i="38"/>
  <c r="R106" i="38"/>
  <c r="N106" i="38"/>
  <c r="I83" i="38"/>
  <c r="H107" i="38"/>
  <c r="B111" i="38"/>
  <c r="E110" i="38"/>
  <c r="F110" i="38" s="1"/>
  <c r="C110" i="38"/>
  <c r="X107" i="38" l="1"/>
  <c r="R107" i="38"/>
  <c r="N107" i="38"/>
  <c r="AK83" i="38"/>
  <c r="AF82" i="38"/>
  <c r="AL83" i="38"/>
  <c r="AB83" i="38"/>
  <c r="AM83" i="38"/>
  <c r="D110" i="38"/>
  <c r="G110" i="38"/>
  <c r="Y106" i="38"/>
  <c r="J83" i="38"/>
  <c r="I84" i="38" s="1"/>
  <c r="K84" i="38"/>
  <c r="H108" i="38"/>
  <c r="B112" i="38"/>
  <c r="E111" i="38"/>
  <c r="F111" i="38" s="1"/>
  <c r="C111" i="38"/>
  <c r="AK84" i="38" l="1"/>
  <c r="AF83" i="38"/>
  <c r="AB84" i="38"/>
  <c r="AL84" i="38"/>
  <c r="AM84" i="38"/>
  <c r="X108" i="38"/>
  <c r="R108" i="38"/>
  <c r="N108" i="38"/>
  <c r="Y107" i="38"/>
  <c r="D111" i="38"/>
  <c r="G111" i="38" s="1"/>
  <c r="J84" i="38"/>
  <c r="K85" i="38"/>
  <c r="I85" i="38"/>
  <c r="H109" i="38"/>
  <c r="B113" i="38"/>
  <c r="E112" i="38"/>
  <c r="F112" i="38" s="1"/>
  <c r="C112" i="38"/>
  <c r="X109" i="38" l="1"/>
  <c r="R109" i="38"/>
  <c r="N109" i="38"/>
  <c r="Y108" i="38"/>
  <c r="D112" i="38"/>
  <c r="G112" i="38" s="1"/>
  <c r="AK85" i="38"/>
  <c r="AF84" i="38"/>
  <c r="AB85" i="38"/>
  <c r="AL85" i="38"/>
  <c r="AM85" i="38"/>
  <c r="J85" i="38"/>
  <c r="I86" i="38" s="1"/>
  <c r="K86" i="38"/>
  <c r="H110" i="38"/>
  <c r="B114" i="38"/>
  <c r="E113" i="38"/>
  <c r="F113" i="38" s="1"/>
  <c r="C113" i="38"/>
  <c r="X110" i="38" l="1"/>
  <c r="R110" i="38"/>
  <c r="N110" i="38"/>
  <c r="D113" i="38"/>
  <c r="G113" i="38"/>
  <c r="Y109" i="38"/>
  <c r="AK86" i="38"/>
  <c r="AF85" i="38"/>
  <c r="AB86" i="38"/>
  <c r="AL86" i="38"/>
  <c r="AM86" i="38"/>
  <c r="J86" i="38"/>
  <c r="I87" i="38" s="1"/>
  <c r="K87" i="38"/>
  <c r="H111" i="38"/>
  <c r="B115" i="38"/>
  <c r="E114" i="38"/>
  <c r="F114" i="38" s="1"/>
  <c r="C114" i="38"/>
  <c r="AK87" i="38" l="1"/>
  <c r="AF86" i="38"/>
  <c r="AL87" i="38"/>
  <c r="AB87" i="38"/>
  <c r="AM87" i="38"/>
  <c r="Y110" i="38"/>
  <c r="X111" i="38"/>
  <c r="R111" i="38"/>
  <c r="N111" i="38"/>
  <c r="D114" i="38"/>
  <c r="G114" i="38" s="1"/>
  <c r="J87" i="38"/>
  <c r="I88" i="38" s="1"/>
  <c r="K88" i="38"/>
  <c r="H112" i="38"/>
  <c r="B116" i="38"/>
  <c r="E115" i="38"/>
  <c r="F115" i="38" s="1"/>
  <c r="C115" i="38"/>
  <c r="AK88" i="38" l="1"/>
  <c r="AF87" i="38"/>
  <c r="AB88" i="38"/>
  <c r="AL88" i="38"/>
  <c r="AM88" i="38"/>
  <c r="Y111" i="38"/>
  <c r="D115" i="38"/>
  <c r="G115" i="38"/>
  <c r="X112" i="38"/>
  <c r="R112" i="38"/>
  <c r="N112" i="38"/>
  <c r="J88" i="38"/>
  <c r="K89" i="38"/>
  <c r="H113" i="38"/>
  <c r="B117" i="38"/>
  <c r="E116" i="38"/>
  <c r="F116" i="38" s="1"/>
  <c r="C116" i="38"/>
  <c r="D116" i="38" l="1"/>
  <c r="G116" i="38"/>
  <c r="X113" i="38"/>
  <c r="R113" i="38"/>
  <c r="N113" i="38"/>
  <c r="Y112" i="38"/>
  <c r="I89" i="38"/>
  <c r="H114" i="38"/>
  <c r="B118" i="38"/>
  <c r="E117" i="38"/>
  <c r="F117" i="38" s="1"/>
  <c r="C117" i="38"/>
  <c r="X114" i="38" l="1"/>
  <c r="R114" i="38"/>
  <c r="N114" i="38"/>
  <c r="Y113" i="38"/>
  <c r="D117" i="38"/>
  <c r="G117" i="38" s="1"/>
  <c r="AK89" i="38"/>
  <c r="AF88" i="38"/>
  <c r="AL89" i="38"/>
  <c r="AB89" i="38"/>
  <c r="AM89" i="38"/>
  <c r="J89" i="38"/>
  <c r="I90" i="38" s="1"/>
  <c r="K90" i="38"/>
  <c r="H115" i="38"/>
  <c r="B119" i="38"/>
  <c r="E118" i="38"/>
  <c r="F118" i="38" s="1"/>
  <c r="C118" i="38"/>
  <c r="AK90" i="38" l="1"/>
  <c r="AF89" i="38"/>
  <c r="AL90" i="38"/>
  <c r="AB90" i="38"/>
  <c r="AM90" i="38"/>
  <c r="X115" i="38"/>
  <c r="N115" i="38"/>
  <c r="Y114" i="38"/>
  <c r="D118" i="38"/>
  <c r="G118" i="38" s="1"/>
  <c r="J90" i="38"/>
  <c r="I91" i="38" s="1"/>
  <c r="K91" i="38"/>
  <c r="H116" i="38"/>
  <c r="B120" i="38"/>
  <c r="E119" i="38"/>
  <c r="F119" i="38" s="1"/>
  <c r="C119" i="38"/>
  <c r="R116" i="38" l="1"/>
  <c r="X116" i="38"/>
  <c r="N116" i="38"/>
  <c r="Y115" i="38"/>
  <c r="AK91" i="38"/>
  <c r="AF90" i="38"/>
  <c r="AB91" i="38"/>
  <c r="AL91" i="38"/>
  <c r="AM91" i="38"/>
  <c r="D119" i="38"/>
  <c r="G119" i="38" s="1"/>
  <c r="J91" i="38"/>
  <c r="K92" i="38"/>
  <c r="I92" i="38"/>
  <c r="H117" i="38"/>
  <c r="B121" i="38"/>
  <c r="E120" i="38"/>
  <c r="F120" i="38" s="1"/>
  <c r="C120" i="38"/>
  <c r="D120" i="38" l="1"/>
  <c r="G120" i="38" s="1"/>
  <c r="AK92" i="38"/>
  <c r="AB92" i="38"/>
  <c r="AL92" i="38"/>
  <c r="AM92" i="38"/>
  <c r="X117" i="38"/>
  <c r="N117" i="38"/>
  <c r="R117" i="38"/>
  <c r="Y116" i="38"/>
  <c r="J92" i="38"/>
  <c r="K93" i="38"/>
  <c r="H118" i="38"/>
  <c r="B122" i="38"/>
  <c r="E121" i="38"/>
  <c r="F121" i="38" s="1"/>
  <c r="C121" i="38"/>
  <c r="R118" i="38" l="1"/>
  <c r="X118" i="38"/>
  <c r="N118" i="38"/>
  <c r="Y117" i="38"/>
  <c r="D121" i="38"/>
  <c r="G121" i="38"/>
  <c r="I93" i="38"/>
  <c r="H119" i="38"/>
  <c r="B123" i="38"/>
  <c r="E122" i="38"/>
  <c r="F122" i="38" s="1"/>
  <c r="C122" i="38"/>
  <c r="D122" i="38" l="1"/>
  <c r="G122" i="38"/>
  <c r="AK93" i="38"/>
  <c r="AF92" i="38"/>
  <c r="AL93" i="38"/>
  <c r="AB93" i="38"/>
  <c r="AM93" i="38"/>
  <c r="Y118" i="38"/>
  <c r="N119" i="38"/>
  <c r="R119" i="38"/>
  <c r="X119" i="38"/>
  <c r="J93" i="38"/>
  <c r="K94" i="38"/>
  <c r="H120" i="38"/>
  <c r="B124" i="38"/>
  <c r="E123" i="38"/>
  <c r="F123" i="38" s="1"/>
  <c r="C123" i="38"/>
  <c r="R120" i="38" l="1"/>
  <c r="X120" i="38"/>
  <c r="N120" i="38"/>
  <c r="Y119" i="38"/>
  <c r="D123" i="38"/>
  <c r="G123" i="38"/>
  <c r="I94" i="38"/>
  <c r="H121" i="38"/>
  <c r="B125" i="38"/>
  <c r="E124" i="38"/>
  <c r="F124" i="38" s="1"/>
  <c r="C124" i="38"/>
  <c r="X121" i="38" l="1"/>
  <c r="N121" i="38"/>
  <c r="R121" i="38"/>
  <c r="D124" i="38"/>
  <c r="G124" i="38"/>
  <c r="AK94" i="38"/>
  <c r="AF93" i="38"/>
  <c r="AB94" i="38"/>
  <c r="AL94" i="38"/>
  <c r="AM94" i="38"/>
  <c r="Y120" i="38"/>
  <c r="J94" i="38"/>
  <c r="I95" i="38" s="1"/>
  <c r="K95" i="38"/>
  <c r="H122" i="38"/>
  <c r="B126" i="38"/>
  <c r="E125" i="38"/>
  <c r="F125" i="38" s="1"/>
  <c r="C125" i="38"/>
  <c r="AK95" i="38" l="1"/>
  <c r="AF94" i="38"/>
  <c r="AB95" i="38"/>
  <c r="AL95" i="38"/>
  <c r="AM95" i="38"/>
  <c r="Y121" i="38"/>
  <c r="R122" i="38"/>
  <c r="X122" i="38"/>
  <c r="N122" i="38"/>
  <c r="D125" i="38"/>
  <c r="G125" i="38" s="1"/>
  <c r="J95" i="38"/>
  <c r="I96" i="38" s="1"/>
  <c r="K96" i="38"/>
  <c r="H123" i="38"/>
  <c r="B127" i="38"/>
  <c r="E126" i="38"/>
  <c r="F126" i="38" s="1"/>
  <c r="C126" i="38"/>
  <c r="AK96" i="38" l="1"/>
  <c r="AF95" i="38"/>
  <c r="AL96" i="38"/>
  <c r="AB96" i="38"/>
  <c r="AM96" i="38"/>
  <c r="Y122" i="38"/>
  <c r="X123" i="38"/>
  <c r="R123" i="38"/>
  <c r="N123" i="38"/>
  <c r="D126" i="38"/>
  <c r="G126" i="38" s="1"/>
  <c r="J96" i="38"/>
  <c r="K97" i="38"/>
  <c r="H124" i="38"/>
  <c r="B128" i="38"/>
  <c r="E127" i="38"/>
  <c r="F127" i="38" s="1"/>
  <c r="C127" i="38"/>
  <c r="R124" i="38" l="1"/>
  <c r="X124" i="38"/>
  <c r="N124" i="38"/>
  <c r="Y123" i="38"/>
  <c r="D127" i="38"/>
  <c r="G127" i="38"/>
  <c r="I97" i="38"/>
  <c r="H125" i="38"/>
  <c r="B129" i="38"/>
  <c r="E128" i="38"/>
  <c r="F128" i="38" s="1"/>
  <c r="C128" i="38"/>
  <c r="X125" i="38" l="1"/>
  <c r="N125" i="38"/>
  <c r="R125" i="38"/>
  <c r="D128" i="38"/>
  <c r="G128" i="38"/>
  <c r="Y124" i="38"/>
  <c r="AK97" i="38"/>
  <c r="AF96" i="38"/>
  <c r="AL97" i="38"/>
  <c r="AB97" i="38"/>
  <c r="AM97" i="38"/>
  <c r="J97" i="38"/>
  <c r="I98" i="38" s="1"/>
  <c r="K98" i="38"/>
  <c r="H126" i="38"/>
  <c r="B130" i="38"/>
  <c r="E129" i="38"/>
  <c r="F129" i="38" s="1"/>
  <c r="C129" i="38"/>
  <c r="AK98" i="38" l="1"/>
  <c r="AF97" i="38"/>
  <c r="AB98" i="38"/>
  <c r="AL98" i="38"/>
  <c r="AM98" i="38"/>
  <c r="R126" i="38"/>
  <c r="X126" i="38"/>
  <c r="N126" i="38"/>
  <c r="D129" i="38"/>
  <c r="G129" i="38" s="1"/>
  <c r="Y125" i="38"/>
  <c r="J98" i="38"/>
  <c r="I99" i="38" s="1"/>
  <c r="K99" i="38"/>
  <c r="H127" i="38"/>
  <c r="B131" i="38"/>
  <c r="E130" i="38"/>
  <c r="F130" i="38" s="1"/>
  <c r="C130" i="38"/>
  <c r="N127" i="38" l="1"/>
  <c r="X127" i="38"/>
  <c r="D130" i="38"/>
  <c r="G130" i="38" s="1"/>
  <c r="AK99" i="38"/>
  <c r="AF98" i="38"/>
  <c r="AL99" i="38"/>
  <c r="AB99" i="38"/>
  <c r="AM99" i="38"/>
  <c r="Y126" i="38"/>
  <c r="J99" i="38"/>
  <c r="I100" i="38" s="1"/>
  <c r="K100" i="38"/>
  <c r="H128" i="38"/>
  <c r="B132" i="38"/>
  <c r="E131" i="38"/>
  <c r="F131" i="38" s="1"/>
  <c r="C131" i="38"/>
  <c r="D131" i="38" l="1"/>
  <c r="G131" i="38" s="1"/>
  <c r="X128" i="38"/>
  <c r="R128" i="38"/>
  <c r="N128" i="38"/>
  <c r="AK100" i="38"/>
  <c r="AF99" i="38"/>
  <c r="AB100" i="38"/>
  <c r="AL100" i="38"/>
  <c r="AM100" i="38"/>
  <c r="Y127" i="38"/>
  <c r="J100" i="38"/>
  <c r="K101" i="38"/>
  <c r="H129" i="38"/>
  <c r="B133" i="38"/>
  <c r="E132" i="38"/>
  <c r="F132" i="38" s="1"/>
  <c r="C132" i="38"/>
  <c r="D132" i="38" l="1"/>
  <c r="G132" i="38" s="1"/>
  <c r="Y128" i="38"/>
  <c r="X129" i="38"/>
  <c r="N129" i="38"/>
  <c r="R129" i="38"/>
  <c r="H130" i="38"/>
  <c r="B134" i="38"/>
  <c r="E133" i="38"/>
  <c r="F133" i="38" s="1"/>
  <c r="C133" i="38"/>
  <c r="R130" i="38" l="1"/>
  <c r="X130" i="38"/>
  <c r="N130" i="38"/>
  <c r="Y129" i="38"/>
  <c r="D133" i="38"/>
  <c r="G133" i="38" s="1"/>
  <c r="I101" i="38"/>
  <c r="H131" i="38"/>
  <c r="B135" i="38"/>
  <c r="E134" i="38"/>
  <c r="F134" i="38" s="1"/>
  <c r="C134" i="38"/>
  <c r="D134" i="38" l="1"/>
  <c r="G134" i="38" s="1"/>
  <c r="R131" i="38"/>
  <c r="X131" i="38"/>
  <c r="N131" i="38"/>
  <c r="Y130" i="38"/>
  <c r="AK101" i="38"/>
  <c r="AF100" i="38"/>
  <c r="AB101" i="38"/>
  <c r="AL101" i="38"/>
  <c r="AM101" i="38"/>
  <c r="J101" i="38"/>
  <c r="K102" i="38"/>
  <c r="H132" i="38"/>
  <c r="B136" i="38"/>
  <c r="E135" i="38"/>
  <c r="F135" i="38" s="1"/>
  <c r="C135" i="38"/>
  <c r="Y131" i="38" l="1"/>
  <c r="R132" i="38"/>
  <c r="X132" i="38"/>
  <c r="N132" i="38"/>
  <c r="D135" i="38"/>
  <c r="G135" i="38"/>
  <c r="I102" i="38"/>
  <c r="H133" i="38"/>
  <c r="B137" i="38"/>
  <c r="E136" i="38"/>
  <c r="F136" i="38" s="1"/>
  <c r="C136" i="38"/>
  <c r="Y132" i="38" l="1"/>
  <c r="X133" i="38"/>
  <c r="N133" i="38"/>
  <c r="R133" i="38"/>
  <c r="D136" i="38"/>
  <c r="G136" i="38"/>
  <c r="AK102" i="38"/>
  <c r="AF101" i="38"/>
  <c r="AB102" i="38"/>
  <c r="AL102" i="38"/>
  <c r="AM102" i="38"/>
  <c r="J102" i="38"/>
  <c r="I103" i="38" s="1"/>
  <c r="K103" i="38"/>
  <c r="H134" i="38"/>
  <c r="B138" i="38"/>
  <c r="E137" i="38"/>
  <c r="F137" i="38" s="1"/>
  <c r="C137" i="38"/>
  <c r="K104" i="38" l="1"/>
  <c r="AK103" i="38"/>
  <c r="AF102" i="38"/>
  <c r="AB103" i="38"/>
  <c r="AL103" i="38"/>
  <c r="AM103" i="38"/>
  <c r="Y133" i="38"/>
  <c r="R134" i="38"/>
  <c r="X134" i="38"/>
  <c r="N134" i="38"/>
  <c r="D137" i="38"/>
  <c r="G137" i="38"/>
  <c r="J103" i="38"/>
  <c r="I104" i="38" s="1"/>
  <c r="H135" i="38"/>
  <c r="B139" i="38"/>
  <c r="E138" i="38"/>
  <c r="F138" i="38" s="1"/>
  <c r="C138" i="38"/>
  <c r="D138" i="38" l="1"/>
  <c r="G138" i="38"/>
  <c r="R135" i="38"/>
  <c r="N135" i="38"/>
  <c r="X135" i="38"/>
  <c r="AK104" i="38"/>
  <c r="AL104" i="38"/>
  <c r="AB104" i="38"/>
  <c r="AM104" i="38"/>
  <c r="Y134" i="38"/>
  <c r="J104" i="38"/>
  <c r="I105" i="38" s="1"/>
  <c r="K105" i="38"/>
  <c r="H136" i="38"/>
  <c r="B140" i="38"/>
  <c r="E139" i="38"/>
  <c r="F139" i="38" s="1"/>
  <c r="C139" i="38"/>
  <c r="D139" i="38" l="1"/>
  <c r="G139" i="38"/>
  <c r="AK105" i="38"/>
  <c r="AF104" i="38"/>
  <c r="AL105" i="38"/>
  <c r="AB105" i="38"/>
  <c r="AM105" i="38"/>
  <c r="Y135" i="38"/>
  <c r="X136" i="38"/>
  <c r="R136" i="38"/>
  <c r="N136" i="38"/>
  <c r="J105" i="38"/>
  <c r="I106" i="38" s="1"/>
  <c r="K106" i="38"/>
  <c r="H137" i="38"/>
  <c r="B141" i="38"/>
  <c r="E140" i="38"/>
  <c r="F140" i="38" s="1"/>
  <c r="C140" i="38"/>
  <c r="X137" i="38" l="1"/>
  <c r="N137" i="38"/>
  <c r="R137" i="38"/>
  <c r="D140" i="38"/>
  <c r="G140" i="38" s="1"/>
  <c r="Y136" i="38"/>
  <c r="AK106" i="38"/>
  <c r="AF105" i="38"/>
  <c r="AL106" i="38"/>
  <c r="AB106" i="38"/>
  <c r="AM106" i="38"/>
  <c r="J106" i="38"/>
  <c r="K107" i="38"/>
  <c r="H138" i="38"/>
  <c r="E141" i="38"/>
  <c r="F141" i="38" s="1"/>
  <c r="B142" i="38"/>
  <c r="C141" i="38"/>
  <c r="Y137" i="38" l="1"/>
  <c r="X138" i="38"/>
  <c r="N138" i="38"/>
  <c r="R138" i="38"/>
  <c r="D141" i="38"/>
  <c r="G141" i="38" s="1"/>
  <c r="I107" i="38"/>
  <c r="H139" i="38"/>
  <c r="B143" i="38"/>
  <c r="E142" i="38"/>
  <c r="F142" i="38" s="1"/>
  <c r="C142" i="38"/>
  <c r="X139" i="38" l="1"/>
  <c r="N139" i="38"/>
  <c r="D142" i="38"/>
  <c r="G142" i="38"/>
  <c r="AK107" i="38"/>
  <c r="AF106" i="38"/>
  <c r="AB107" i="38"/>
  <c r="AL107" i="38"/>
  <c r="AM107" i="38"/>
  <c r="Y138" i="38"/>
  <c r="J107" i="38"/>
  <c r="I108" i="38" s="1"/>
  <c r="K108" i="38"/>
  <c r="H140" i="38"/>
  <c r="E143" i="38"/>
  <c r="F143" i="38" s="1"/>
  <c r="B144" i="38"/>
  <c r="C143" i="38"/>
  <c r="D143" i="38" l="1"/>
  <c r="G143" i="38" s="1"/>
  <c r="Y139" i="38"/>
  <c r="AK108" i="38"/>
  <c r="AF107" i="38"/>
  <c r="AB108" i="38"/>
  <c r="AL108" i="38"/>
  <c r="AM108" i="38"/>
  <c r="R140" i="38"/>
  <c r="N140" i="38"/>
  <c r="X140" i="38" s="1"/>
  <c r="J108" i="38"/>
  <c r="I109" i="38" s="1"/>
  <c r="K109" i="38"/>
  <c r="H141" i="38"/>
  <c r="B145" i="38"/>
  <c r="E144" i="38"/>
  <c r="F144" i="38" s="1"/>
  <c r="C144" i="38"/>
  <c r="D144" i="38" l="1"/>
  <c r="G144" i="38"/>
  <c r="Y140" i="38"/>
  <c r="X141" i="38"/>
  <c r="N141" i="38"/>
  <c r="R141" i="38"/>
  <c r="AK109" i="38"/>
  <c r="AF108" i="38"/>
  <c r="AB109" i="38"/>
  <c r="AL109" i="38"/>
  <c r="AM109" i="38"/>
  <c r="J109" i="38"/>
  <c r="I110" i="38" s="1"/>
  <c r="K110" i="38"/>
  <c r="H142" i="38"/>
  <c r="E145" i="38"/>
  <c r="F145" i="38" s="1"/>
  <c r="B146" i="38"/>
  <c r="C145" i="38"/>
  <c r="AK110" i="38" l="1"/>
  <c r="AF109" i="38"/>
  <c r="AB110" i="38"/>
  <c r="AL110" i="38"/>
  <c r="AM110" i="38"/>
  <c r="X142" i="38"/>
  <c r="N142" i="38"/>
  <c r="R142" i="38"/>
  <c r="Y141" i="38"/>
  <c r="D145" i="38"/>
  <c r="G145" i="38"/>
  <c r="J110" i="38"/>
  <c r="K111" i="38"/>
  <c r="I111" i="38"/>
  <c r="H143" i="38"/>
  <c r="B147" i="38"/>
  <c r="E146" i="38"/>
  <c r="F146" i="38" s="1"/>
  <c r="C146" i="38"/>
  <c r="X143" i="38" l="1"/>
  <c r="R143" i="38"/>
  <c r="N143" i="38"/>
  <c r="Y142" i="38"/>
  <c r="D146" i="38"/>
  <c r="G146" i="38"/>
  <c r="AK111" i="38"/>
  <c r="AF110" i="38"/>
  <c r="AL111" i="38"/>
  <c r="AB111" i="38"/>
  <c r="AM111" i="38"/>
  <c r="J111" i="38"/>
  <c r="I112" i="38" s="1"/>
  <c r="K112" i="38"/>
  <c r="H144" i="38"/>
  <c r="E147" i="38"/>
  <c r="F147" i="38" s="1"/>
  <c r="B148" i="38"/>
  <c r="C147" i="38"/>
  <c r="AK112" i="38" l="1"/>
  <c r="AF111" i="38"/>
  <c r="AL112" i="38"/>
  <c r="AB112" i="38"/>
  <c r="AM112" i="38"/>
  <c r="Y143" i="38"/>
  <c r="D147" i="38"/>
  <c r="G147" i="38"/>
  <c r="R144" i="38"/>
  <c r="X144" i="38"/>
  <c r="N144" i="38"/>
  <c r="J112" i="38"/>
  <c r="I113" i="38" s="1"/>
  <c r="K113" i="38"/>
  <c r="H145" i="38"/>
  <c r="B149" i="38"/>
  <c r="E148" i="38"/>
  <c r="F148" i="38" s="1"/>
  <c r="C148" i="38"/>
  <c r="AK113" i="38" l="1"/>
  <c r="AF112" i="38"/>
  <c r="AB113" i="38"/>
  <c r="AL113" i="38"/>
  <c r="AM113" i="38"/>
  <c r="X145" i="38"/>
  <c r="N145" i="38"/>
  <c r="R145" i="38"/>
  <c r="D148" i="38"/>
  <c r="G148" i="38"/>
  <c r="Y144" i="38"/>
  <c r="J113" i="38"/>
  <c r="I114" i="38" s="1"/>
  <c r="K114" i="38"/>
  <c r="H146" i="38"/>
  <c r="E149" i="38"/>
  <c r="F149" i="38" s="1"/>
  <c r="B150" i="38"/>
  <c r="C149" i="38"/>
  <c r="D149" i="38" l="1"/>
  <c r="G149" i="38" s="1"/>
  <c r="Y145" i="38"/>
  <c r="AK114" i="38"/>
  <c r="AF113" i="38"/>
  <c r="AB114" i="38"/>
  <c r="AL114" i="38"/>
  <c r="AM114" i="38"/>
  <c r="R146" i="38"/>
  <c r="X146" i="38"/>
  <c r="N146" i="38"/>
  <c r="J114" i="38"/>
  <c r="K115" i="38"/>
  <c r="H147" i="38"/>
  <c r="B151" i="38"/>
  <c r="E150" i="38"/>
  <c r="F150" i="38" s="1"/>
  <c r="C150" i="38"/>
  <c r="Y146" i="38" l="1"/>
  <c r="N147" i="38"/>
  <c r="X147" i="38"/>
  <c r="R147" i="38"/>
  <c r="D150" i="38"/>
  <c r="G150" i="38"/>
  <c r="I115" i="38"/>
  <c r="H148" i="38"/>
  <c r="E151" i="38"/>
  <c r="F151" i="38" s="1"/>
  <c r="B152" i="38"/>
  <c r="C151" i="38"/>
  <c r="Y147" i="38" l="1"/>
  <c r="R148" i="38"/>
  <c r="X148" i="38"/>
  <c r="N148" i="38"/>
  <c r="D151" i="38"/>
  <c r="G151" i="38" s="1"/>
  <c r="AK115" i="38"/>
  <c r="AF114" i="38"/>
  <c r="AL115" i="38"/>
  <c r="AB115" i="38"/>
  <c r="AM115" i="38"/>
  <c r="J115" i="38"/>
  <c r="I116" i="38" s="1"/>
  <c r="K116" i="38"/>
  <c r="H149" i="38"/>
  <c r="E152" i="38"/>
  <c r="F152" i="38" s="1"/>
  <c r="B153" i="38"/>
  <c r="C152" i="38"/>
  <c r="AK116" i="38" l="1"/>
  <c r="AB116" i="38"/>
  <c r="AL116" i="38"/>
  <c r="AM116" i="38"/>
  <c r="X149" i="38"/>
  <c r="N149" i="38"/>
  <c r="R149" i="38"/>
  <c r="D152" i="38"/>
  <c r="G152" i="38"/>
  <c r="Y148" i="38"/>
  <c r="J116" i="38"/>
  <c r="K117" i="38"/>
  <c r="H150" i="38"/>
  <c r="E153" i="38"/>
  <c r="F153" i="38" s="1"/>
  <c r="B154" i="38"/>
  <c r="C153" i="38"/>
  <c r="Y149" i="38" l="1"/>
  <c r="R150" i="38"/>
  <c r="X150" i="38"/>
  <c r="N150" i="38"/>
  <c r="D153" i="38"/>
  <c r="G153" i="38" s="1"/>
  <c r="I117" i="38"/>
  <c r="H151" i="38"/>
  <c r="E154" i="38"/>
  <c r="F154" i="38" s="1"/>
  <c r="B155" i="38"/>
  <c r="C154" i="38"/>
  <c r="K118" i="38" l="1"/>
  <c r="AK117" i="38"/>
  <c r="AF116" i="38"/>
  <c r="AL117" i="38"/>
  <c r="AB117" i="38"/>
  <c r="AM117" i="38"/>
  <c r="D154" i="38"/>
  <c r="G154" i="38" s="1"/>
  <c r="Y150" i="38"/>
  <c r="X151" i="38"/>
  <c r="N151" i="38"/>
  <c r="I118" i="38"/>
  <c r="J117" i="38"/>
  <c r="H152" i="38"/>
  <c r="E155" i="38"/>
  <c r="F155" i="38" s="1"/>
  <c r="B156" i="38"/>
  <c r="C155" i="38"/>
  <c r="R152" i="38" l="1"/>
  <c r="N152" i="38"/>
  <c r="Y151" i="38"/>
  <c r="AK118" i="38"/>
  <c r="AF117" i="38"/>
  <c r="AB118" i="38"/>
  <c r="AL118" i="38"/>
  <c r="AM118" i="38"/>
  <c r="D155" i="38"/>
  <c r="G155" i="38" s="1"/>
  <c r="J118" i="38"/>
  <c r="I119" i="38" s="1"/>
  <c r="K119" i="38"/>
  <c r="H153" i="38"/>
  <c r="E156" i="38"/>
  <c r="F156" i="38" s="1"/>
  <c r="B157" i="38"/>
  <c r="C156" i="38"/>
  <c r="D156" i="38" l="1"/>
  <c r="G156" i="38"/>
  <c r="Y152" i="38"/>
  <c r="AK119" i="38"/>
  <c r="AF118" i="38"/>
  <c r="AB119" i="38"/>
  <c r="AL119" i="38"/>
  <c r="AM119" i="38"/>
  <c r="X153" i="38"/>
  <c r="R153" i="38"/>
  <c r="N153" i="38"/>
  <c r="X152" i="38"/>
  <c r="J119" i="38"/>
  <c r="K120" i="38"/>
  <c r="H154" i="38"/>
  <c r="E157" i="38"/>
  <c r="F157" i="38" s="1"/>
  <c r="B158" i="38"/>
  <c r="C157" i="38"/>
  <c r="X154" i="38" l="1"/>
  <c r="R154" i="38"/>
  <c r="N154" i="38"/>
  <c r="Y153" i="38"/>
  <c r="D157" i="38"/>
  <c r="G157" i="38"/>
  <c r="I120" i="38"/>
  <c r="H155" i="38"/>
  <c r="E158" i="38"/>
  <c r="F158" i="38" s="1"/>
  <c r="B159" i="38"/>
  <c r="C158" i="38"/>
  <c r="Y154" i="38" l="1"/>
  <c r="AK120" i="38"/>
  <c r="AF119" i="38"/>
  <c r="AL120" i="38"/>
  <c r="AB120" i="38"/>
  <c r="AM120" i="38"/>
  <c r="N155" i="38"/>
  <c r="X155" i="38"/>
  <c r="R155" i="38"/>
  <c r="D158" i="38"/>
  <c r="G158" i="38"/>
  <c r="J120" i="38"/>
  <c r="K121" i="38"/>
  <c r="H156" i="38"/>
  <c r="E159" i="38"/>
  <c r="F159" i="38" s="1"/>
  <c r="B160" i="38"/>
  <c r="C159" i="38"/>
  <c r="Y155" i="38" l="1"/>
  <c r="X156" i="38"/>
  <c r="R156" i="38"/>
  <c r="N156" i="38"/>
  <c r="D159" i="38"/>
  <c r="G159" i="38" s="1"/>
  <c r="I121" i="38"/>
  <c r="H157" i="38"/>
  <c r="E160" i="38"/>
  <c r="F160" i="38" s="1"/>
  <c r="B161" i="38"/>
  <c r="C160" i="38"/>
  <c r="D160" i="38" l="1"/>
  <c r="G160" i="38"/>
  <c r="AK121" i="38"/>
  <c r="AF120" i="38"/>
  <c r="AL121" i="38"/>
  <c r="AB121" i="38"/>
  <c r="AM121" i="38"/>
  <c r="X157" i="38"/>
  <c r="R157" i="38"/>
  <c r="N157" i="38"/>
  <c r="Y156" i="38"/>
  <c r="J121" i="38"/>
  <c r="K122" i="38"/>
  <c r="H158" i="38"/>
  <c r="E161" i="38"/>
  <c r="F161" i="38" s="1"/>
  <c r="B162" i="38"/>
  <c r="C161" i="38"/>
  <c r="X158" i="38" l="1"/>
  <c r="R158" i="38"/>
  <c r="N158" i="38"/>
  <c r="D161" i="38"/>
  <c r="G161" i="38" s="1"/>
  <c r="Y157" i="38"/>
  <c r="I122" i="38"/>
  <c r="H159" i="38"/>
  <c r="E162" i="38"/>
  <c r="F162" i="38" s="1"/>
  <c r="B163" i="38"/>
  <c r="C162" i="38"/>
  <c r="Y158" i="38" l="1"/>
  <c r="X159" i="38"/>
  <c r="R159" i="38"/>
  <c r="N159" i="38"/>
  <c r="D162" i="38"/>
  <c r="G162" i="38" s="1"/>
  <c r="AK122" i="38"/>
  <c r="AF121" i="38"/>
  <c r="AB122" i="38"/>
  <c r="AL122" i="38"/>
  <c r="AM122" i="38"/>
  <c r="J122" i="38"/>
  <c r="I123" i="38" s="1"/>
  <c r="K123" i="38"/>
  <c r="H160" i="38"/>
  <c r="E163" i="38"/>
  <c r="F163" i="38" s="1"/>
  <c r="B164" i="38"/>
  <c r="C163" i="38"/>
  <c r="AK123" i="38" l="1"/>
  <c r="AF122" i="38"/>
  <c r="AB123" i="38"/>
  <c r="AL123" i="38"/>
  <c r="AM123" i="38"/>
  <c r="X160" i="38"/>
  <c r="R160" i="38"/>
  <c r="N160" i="38"/>
  <c r="D163" i="38"/>
  <c r="G163" i="38"/>
  <c r="Y159" i="38"/>
  <c r="J123" i="38"/>
  <c r="K124" i="38"/>
  <c r="H161" i="38"/>
  <c r="E164" i="38"/>
  <c r="F164" i="38" s="1"/>
  <c r="B165" i="38"/>
  <c r="C164" i="38"/>
  <c r="X161" i="38" l="1"/>
  <c r="R161" i="38"/>
  <c r="N161" i="38"/>
  <c r="Y160" i="38"/>
  <c r="D164" i="38"/>
  <c r="G164" i="38"/>
  <c r="I124" i="38"/>
  <c r="H162" i="38"/>
  <c r="E165" i="38"/>
  <c r="F165" i="38" s="1"/>
  <c r="B166" i="38"/>
  <c r="C165" i="38"/>
  <c r="Y161" i="38" l="1"/>
  <c r="D165" i="38"/>
  <c r="G165" i="38"/>
  <c r="AK124" i="38"/>
  <c r="AF123" i="38"/>
  <c r="AL124" i="38"/>
  <c r="AB124" i="38"/>
  <c r="AM124" i="38"/>
  <c r="X162" i="38"/>
  <c r="R162" i="38"/>
  <c r="N162" i="38"/>
  <c r="J124" i="38"/>
  <c r="K125" i="38"/>
  <c r="H163" i="38"/>
  <c r="E166" i="38"/>
  <c r="F166" i="38" s="1"/>
  <c r="B167" i="38"/>
  <c r="C166" i="38"/>
  <c r="N163" i="38" l="1"/>
  <c r="X163" i="38"/>
  <c r="Y162" i="38"/>
  <c r="D166" i="38"/>
  <c r="G166" i="38" s="1"/>
  <c r="H164" i="38"/>
  <c r="E167" i="38"/>
  <c r="F167" i="38" s="1"/>
  <c r="B168" i="38"/>
  <c r="C167" i="38"/>
  <c r="Y163" i="38" l="1"/>
  <c r="D167" i="38"/>
  <c r="G167" i="38"/>
  <c r="X164" i="38"/>
  <c r="R164" i="38"/>
  <c r="N164" i="38"/>
  <c r="I125" i="38"/>
  <c r="H165" i="38"/>
  <c r="E168" i="38"/>
  <c r="F168" i="38" s="1"/>
  <c r="B169" i="38"/>
  <c r="C168" i="38"/>
  <c r="D168" i="38" l="1"/>
  <c r="G168" i="38"/>
  <c r="AK125" i="38"/>
  <c r="AF124" i="38"/>
  <c r="AL125" i="38"/>
  <c r="AB125" i="38"/>
  <c r="AM125" i="38"/>
  <c r="X165" i="38"/>
  <c r="N165" i="38"/>
  <c r="R165" i="38"/>
  <c r="Y164" i="38"/>
  <c r="J125" i="38"/>
  <c r="I126" i="38" s="1"/>
  <c r="K126" i="38"/>
  <c r="H166" i="38"/>
  <c r="E169" i="38"/>
  <c r="F169" i="38" s="1"/>
  <c r="B170" i="38"/>
  <c r="C169" i="38"/>
  <c r="R166" i="38" l="1"/>
  <c r="X166" i="38"/>
  <c r="N166" i="38"/>
  <c r="AK126" i="38"/>
  <c r="AF125" i="38"/>
  <c r="AB126" i="38"/>
  <c r="AL126" i="38"/>
  <c r="AM126" i="38"/>
  <c r="Y165" i="38"/>
  <c r="D169" i="38"/>
  <c r="G169" i="38"/>
  <c r="J126" i="38"/>
  <c r="K127" i="38"/>
  <c r="I127" i="38"/>
  <c r="H167" i="38"/>
  <c r="E170" i="38"/>
  <c r="F170" i="38" s="1"/>
  <c r="B171" i="38"/>
  <c r="C170" i="38"/>
  <c r="D170" i="38" l="1"/>
  <c r="G170" i="38" s="1"/>
  <c r="AK127" i="38"/>
  <c r="AF126" i="38"/>
  <c r="AB127" i="38"/>
  <c r="AL127" i="38"/>
  <c r="AM127" i="38"/>
  <c r="X167" i="38"/>
  <c r="N167" i="38"/>
  <c r="R167" i="38"/>
  <c r="Y166" i="38"/>
  <c r="J127" i="38"/>
  <c r="I128" i="38" s="1"/>
  <c r="K128" i="38"/>
  <c r="H168" i="38"/>
  <c r="E171" i="38"/>
  <c r="F171" i="38" s="1"/>
  <c r="B172" i="38"/>
  <c r="C171" i="38"/>
  <c r="AK128" i="38" l="1"/>
  <c r="AL128" i="38"/>
  <c r="AB128" i="38"/>
  <c r="AM128" i="38"/>
  <c r="R168" i="38"/>
  <c r="X168" i="38"/>
  <c r="N168" i="38"/>
  <c r="D171" i="38"/>
  <c r="G171" i="38"/>
  <c r="Y167" i="38"/>
  <c r="J128" i="38"/>
  <c r="K129" i="38"/>
  <c r="H169" i="38"/>
  <c r="E172" i="38"/>
  <c r="F172" i="38" s="1"/>
  <c r="B173" i="38"/>
  <c r="C172" i="38"/>
  <c r="X169" i="38" l="1"/>
  <c r="N169" i="38"/>
  <c r="R169" i="38"/>
  <c r="Y168" i="38"/>
  <c r="D172" i="38"/>
  <c r="G172" i="38" s="1"/>
  <c r="I129" i="38"/>
  <c r="H170" i="38"/>
  <c r="E173" i="38"/>
  <c r="F173" i="38" s="1"/>
  <c r="B174" i="38"/>
  <c r="C173" i="38"/>
  <c r="R170" i="38" l="1"/>
  <c r="X170" i="38"/>
  <c r="N170" i="38"/>
  <c r="D173" i="38"/>
  <c r="G173" i="38" s="1"/>
  <c r="AK129" i="38"/>
  <c r="AF128" i="38"/>
  <c r="AB129" i="38"/>
  <c r="AL129" i="38"/>
  <c r="AM129" i="38"/>
  <c r="Y169" i="38"/>
  <c r="J129" i="38"/>
  <c r="I130" i="38" s="1"/>
  <c r="K130" i="38"/>
  <c r="H171" i="38"/>
  <c r="E174" i="38"/>
  <c r="F174" i="38" s="1"/>
  <c r="B175" i="38"/>
  <c r="C174" i="38"/>
  <c r="AK130" i="38" l="1"/>
  <c r="AF129" i="38"/>
  <c r="AB130" i="38"/>
  <c r="AL130" i="38"/>
  <c r="AM130" i="38"/>
  <c r="R171" i="38"/>
  <c r="X171" i="38"/>
  <c r="N171" i="38"/>
  <c r="Y170" i="38"/>
  <c r="D174" i="38"/>
  <c r="G174" i="38"/>
  <c r="J130" i="38"/>
  <c r="K131" i="38"/>
  <c r="H172" i="38"/>
  <c r="E175" i="38"/>
  <c r="F175" i="38" s="1"/>
  <c r="B176" i="38"/>
  <c r="C175" i="38"/>
  <c r="Y171" i="38" l="1"/>
  <c r="X172" i="38"/>
  <c r="R172" i="38"/>
  <c r="N172" i="38"/>
  <c r="D175" i="38"/>
  <c r="G175" i="38"/>
  <c r="I131" i="38"/>
  <c r="H173" i="38"/>
  <c r="E176" i="38"/>
  <c r="F176" i="38" s="1"/>
  <c r="B177" i="38"/>
  <c r="C176" i="38"/>
  <c r="X173" i="38" l="1"/>
  <c r="N173" i="38"/>
  <c r="R173" i="38"/>
  <c r="D176" i="38"/>
  <c r="G176" i="38" s="1"/>
  <c r="AK131" i="38"/>
  <c r="AF130" i="38"/>
  <c r="AL131" i="38"/>
  <c r="AB131" i="38"/>
  <c r="AM131" i="38"/>
  <c r="Y172" i="38"/>
  <c r="J131" i="38"/>
  <c r="K132" i="38"/>
  <c r="H174" i="38"/>
  <c r="E177" i="38"/>
  <c r="F177" i="38" s="1"/>
  <c r="B178" i="38"/>
  <c r="C177" i="38"/>
  <c r="R174" i="38" l="1"/>
  <c r="X174" i="38"/>
  <c r="N174" i="38"/>
  <c r="Y173" i="38"/>
  <c r="D177" i="38"/>
  <c r="G177" i="38" s="1"/>
  <c r="I132" i="38"/>
  <c r="H175" i="38"/>
  <c r="E178" i="38"/>
  <c r="F178" i="38" s="1"/>
  <c r="B179" i="38"/>
  <c r="C178" i="38"/>
  <c r="X175" i="38" l="1"/>
  <c r="N175" i="38"/>
  <c r="D178" i="38"/>
  <c r="G178" i="38" s="1"/>
  <c r="K133" i="38"/>
  <c r="AK132" i="38"/>
  <c r="AF131" i="38"/>
  <c r="AB132" i="38"/>
  <c r="AL132" i="38"/>
  <c r="AM132" i="38"/>
  <c r="Y174" i="38"/>
  <c r="J132" i="38"/>
  <c r="I133" i="38" s="1"/>
  <c r="H176" i="38"/>
  <c r="E179" i="38"/>
  <c r="F179" i="38" s="1"/>
  <c r="B180" i="38"/>
  <c r="C179" i="38"/>
  <c r="AK133" i="38" l="1"/>
  <c r="AF132" i="38"/>
  <c r="AB133" i="38"/>
  <c r="AL133" i="38"/>
  <c r="AM133" i="38"/>
  <c r="Y175" i="38"/>
  <c r="D179" i="38"/>
  <c r="G179" i="38" s="1"/>
  <c r="R176" i="38"/>
  <c r="X176" i="38"/>
  <c r="N176" i="38"/>
  <c r="J133" i="38"/>
  <c r="I134" i="38" s="1"/>
  <c r="K134" i="38"/>
  <c r="H177" i="38"/>
  <c r="E180" i="38"/>
  <c r="F180" i="38" s="1"/>
  <c r="B181" i="38"/>
  <c r="C180" i="38"/>
  <c r="D180" i="38" l="1"/>
  <c r="G180" i="38" s="1"/>
  <c r="X177" i="38"/>
  <c r="N177" i="38"/>
  <c r="R177" i="38"/>
  <c r="AK134" i="38"/>
  <c r="AF133" i="38"/>
  <c r="AL134" i="38"/>
  <c r="AB134" i="38"/>
  <c r="AM134" i="38"/>
  <c r="Y176" i="38"/>
  <c r="J134" i="38"/>
  <c r="I135" i="38" s="1"/>
  <c r="K135" i="38"/>
  <c r="H178" i="38"/>
  <c r="E181" i="38"/>
  <c r="F181" i="38" s="1"/>
  <c r="B182" i="38"/>
  <c r="C181" i="38"/>
  <c r="AK135" i="38" l="1"/>
  <c r="AF134" i="38"/>
  <c r="AL135" i="38"/>
  <c r="AB135" i="38"/>
  <c r="AM135" i="38"/>
  <c r="R178" i="38"/>
  <c r="X178" i="38"/>
  <c r="N178" i="38"/>
  <c r="Y177" i="38"/>
  <c r="D181" i="38"/>
  <c r="G181" i="38"/>
  <c r="J135" i="38"/>
  <c r="I136" i="38" s="1"/>
  <c r="K136" i="38"/>
  <c r="H179" i="38"/>
  <c r="E182" i="38"/>
  <c r="F182" i="38" s="1"/>
  <c r="B183" i="38"/>
  <c r="C182" i="38"/>
  <c r="AK136" i="38" l="1"/>
  <c r="AF135" i="38"/>
  <c r="AL136" i="38"/>
  <c r="AB136" i="38"/>
  <c r="AM136" i="38"/>
  <c r="D182" i="38"/>
  <c r="G182" i="38"/>
  <c r="Y178" i="38"/>
  <c r="R179" i="38"/>
  <c r="X179" i="38"/>
  <c r="N179" i="38"/>
  <c r="J136" i="38"/>
  <c r="I137" i="38" s="1"/>
  <c r="K137" i="38"/>
  <c r="H180" i="38"/>
  <c r="E183" i="38"/>
  <c r="F183" i="38" s="1"/>
  <c r="B184" i="38"/>
  <c r="C183" i="38"/>
  <c r="Y179" i="38" l="1"/>
  <c r="D183" i="38"/>
  <c r="G183" i="38"/>
  <c r="X180" i="38"/>
  <c r="R180" i="38"/>
  <c r="N180" i="38"/>
  <c r="AK137" i="38"/>
  <c r="AF136" i="38"/>
  <c r="AB137" i="38"/>
  <c r="AL137" i="38"/>
  <c r="AM137" i="38"/>
  <c r="J137" i="38"/>
  <c r="K138" i="38"/>
  <c r="H181" i="38"/>
  <c r="E184" i="38"/>
  <c r="F184" i="38" s="1"/>
  <c r="B185" i="38"/>
  <c r="C184" i="38"/>
  <c r="X181" i="38" l="1"/>
  <c r="N181" i="38"/>
  <c r="R181" i="38"/>
  <c r="D184" i="38"/>
  <c r="G184" i="38"/>
  <c r="Y180" i="38"/>
  <c r="I138" i="38"/>
  <c r="H182" i="38"/>
  <c r="E185" i="38"/>
  <c r="F185" i="38" s="1"/>
  <c r="B186" i="38"/>
  <c r="C185" i="38"/>
  <c r="X182" i="38" l="1"/>
  <c r="N182" i="38"/>
  <c r="R182" i="38"/>
  <c r="D185" i="38"/>
  <c r="G185" i="38"/>
  <c r="AK138" i="38"/>
  <c r="AF137" i="38"/>
  <c r="AL138" i="38"/>
  <c r="AB138" i="38"/>
  <c r="AM138" i="38"/>
  <c r="Y181" i="38"/>
  <c r="J138" i="38"/>
  <c r="I139" i="38" s="1"/>
  <c r="K139" i="38"/>
  <c r="H183" i="38"/>
  <c r="E186" i="38"/>
  <c r="F186" i="38" s="1"/>
  <c r="B187" i="38"/>
  <c r="C187" i="38" s="1"/>
  <c r="C186" i="38"/>
  <c r="AK139" i="38" l="1"/>
  <c r="AF138" i="38"/>
  <c r="AL139" i="38"/>
  <c r="AB139" i="38"/>
  <c r="AM139" i="38"/>
  <c r="R183" i="38"/>
  <c r="X183" i="38"/>
  <c r="N183" i="38"/>
  <c r="D186" i="38"/>
  <c r="G186" i="38" s="1"/>
  <c r="Y182" i="38"/>
  <c r="J139" i="38"/>
  <c r="I140" i="38" s="1"/>
  <c r="K140" i="38"/>
  <c r="H184" i="38"/>
  <c r="E187" i="38"/>
  <c r="F187" i="38" s="1"/>
  <c r="B188" i="38"/>
  <c r="D187" i="38"/>
  <c r="AK140" i="38" l="1"/>
  <c r="AL140" i="38"/>
  <c r="AB140" i="38"/>
  <c r="AM140" i="38"/>
  <c r="R184" i="38"/>
  <c r="X184" i="38"/>
  <c r="N184" i="38"/>
  <c r="Y183" i="38"/>
  <c r="G187" i="38"/>
  <c r="J140" i="38"/>
  <c r="I141" i="38" s="1"/>
  <c r="K141" i="38"/>
  <c r="H185" i="38"/>
  <c r="E188" i="38"/>
  <c r="F188" i="38" s="1"/>
  <c r="B189" i="38"/>
  <c r="C188" i="38"/>
  <c r="AK141" i="38" l="1"/>
  <c r="AF140" i="38"/>
  <c r="AB141" i="38"/>
  <c r="AL141" i="38"/>
  <c r="AM141" i="38"/>
  <c r="X185" i="38"/>
  <c r="N185" i="38"/>
  <c r="R185" i="38"/>
  <c r="D188" i="38"/>
  <c r="G188" i="38"/>
  <c r="Y184" i="38"/>
  <c r="J141" i="38"/>
  <c r="K142" i="38"/>
  <c r="H186" i="38"/>
  <c r="B190" i="38"/>
  <c r="E189" i="38"/>
  <c r="F189" i="38" s="1"/>
  <c r="C189" i="38"/>
  <c r="Y185" i="38" l="1"/>
  <c r="R186" i="38"/>
  <c r="X186" i="38"/>
  <c r="N186" i="38"/>
  <c r="D189" i="38"/>
  <c r="G189" i="38"/>
  <c r="I142" i="38"/>
  <c r="H187" i="38"/>
  <c r="B191" i="38"/>
  <c r="E190" i="38"/>
  <c r="F190" i="38" s="1"/>
  <c r="C190" i="38"/>
  <c r="X187" i="38" l="1"/>
  <c r="N187" i="38"/>
  <c r="D190" i="38"/>
  <c r="G190" i="38"/>
  <c r="AK142" i="38"/>
  <c r="AF141" i="38"/>
  <c r="AB142" i="38"/>
  <c r="AL142" i="38"/>
  <c r="AM142" i="38"/>
  <c r="Y186" i="38"/>
  <c r="J142" i="38"/>
  <c r="I143" i="38" s="1"/>
  <c r="K143" i="38"/>
  <c r="H188" i="38"/>
  <c r="E191" i="38"/>
  <c r="F191" i="38" s="1"/>
  <c r="B192" i="38"/>
  <c r="C191" i="38"/>
  <c r="D191" i="38" l="1"/>
  <c r="G191" i="38"/>
  <c r="R188" i="38"/>
  <c r="X188" i="38"/>
  <c r="N188" i="38"/>
  <c r="Y187" i="38"/>
  <c r="AK143" i="38"/>
  <c r="AF142" i="38"/>
  <c r="AL143" i="38"/>
  <c r="AB143" i="38"/>
  <c r="AM143" i="38"/>
  <c r="J143" i="38"/>
  <c r="I144" i="38" s="1"/>
  <c r="K144" i="38"/>
  <c r="H189" i="38"/>
  <c r="E192" i="38"/>
  <c r="F192" i="38" s="1"/>
  <c r="B193" i="38"/>
  <c r="C192" i="38"/>
  <c r="D192" i="38" l="1"/>
  <c r="G192" i="38"/>
  <c r="K145" i="38"/>
  <c r="AK144" i="38"/>
  <c r="AF143" i="38"/>
  <c r="AL144" i="38"/>
  <c r="AB144" i="38"/>
  <c r="AM144" i="38"/>
  <c r="X189" i="38"/>
  <c r="R189" i="38"/>
  <c r="N189" i="38"/>
  <c r="Y189" i="38" s="1"/>
  <c r="Y188" i="38"/>
  <c r="J144" i="38"/>
  <c r="I145" i="38" s="1"/>
  <c r="H190" i="38"/>
  <c r="B194" i="38"/>
  <c r="E193" i="38"/>
  <c r="F193" i="38" s="1"/>
  <c r="C193" i="38"/>
  <c r="AK145" i="38" l="1"/>
  <c r="AF144" i="38"/>
  <c r="AL145" i="38"/>
  <c r="AB145" i="38"/>
  <c r="AM145" i="38"/>
  <c r="X190" i="38"/>
  <c r="N190" i="38"/>
  <c r="R190" i="38"/>
  <c r="D193" i="38"/>
  <c r="G193" i="38"/>
  <c r="J145" i="38"/>
  <c r="I146" i="38" s="1"/>
  <c r="K146" i="38"/>
  <c r="H191" i="38"/>
  <c r="B195" i="38"/>
  <c r="E194" i="38"/>
  <c r="F194" i="38" s="1"/>
  <c r="C194" i="38"/>
  <c r="AK146" i="38" l="1"/>
  <c r="AF145" i="38"/>
  <c r="AB146" i="38"/>
  <c r="AL146" i="38"/>
  <c r="AM146" i="38"/>
  <c r="X191" i="38"/>
  <c r="N191" i="38"/>
  <c r="Y191" i="38" s="1"/>
  <c r="R191" i="38"/>
  <c r="D194" i="38"/>
  <c r="G194" i="38"/>
  <c r="Y190" i="38"/>
  <c r="J146" i="38"/>
  <c r="K147" i="38"/>
  <c r="H192" i="38"/>
  <c r="E195" i="38"/>
  <c r="F195" i="38" s="1"/>
  <c r="B196" i="38"/>
  <c r="C195" i="38"/>
  <c r="R192" i="38" l="1"/>
  <c r="X192" i="38"/>
  <c r="N192" i="38"/>
  <c r="D195" i="38"/>
  <c r="G195" i="38"/>
  <c r="I147" i="38"/>
  <c r="H193" i="38"/>
  <c r="E196" i="38"/>
  <c r="F196" i="38" s="1"/>
  <c r="B197" i="38"/>
  <c r="C196" i="38"/>
  <c r="D196" i="38" l="1"/>
  <c r="G196" i="38"/>
  <c r="AK147" i="38"/>
  <c r="AF146" i="38"/>
  <c r="AB147" i="38"/>
  <c r="AL147" i="38"/>
  <c r="AM147" i="38"/>
  <c r="R193" i="38"/>
  <c r="X193" i="38"/>
  <c r="N193" i="38"/>
  <c r="Y193" i="38" s="1"/>
  <c r="Y192" i="38"/>
  <c r="J147" i="38"/>
  <c r="I148" i="38" s="1"/>
  <c r="K148" i="38"/>
  <c r="H194" i="38"/>
  <c r="B198" i="38"/>
  <c r="E197" i="38"/>
  <c r="F197" i="38" s="1"/>
  <c r="C197" i="38"/>
  <c r="AK148" i="38" l="1"/>
  <c r="AF147" i="38"/>
  <c r="AL148" i="38"/>
  <c r="AB148" i="38"/>
  <c r="AM148" i="38"/>
  <c r="X194" i="38"/>
  <c r="N194" i="38"/>
  <c r="Y194" i="38" s="1"/>
  <c r="R194" i="38"/>
  <c r="D197" i="38"/>
  <c r="G197" i="38"/>
  <c r="J148" i="38"/>
  <c r="K149" i="38"/>
  <c r="I149" i="38"/>
  <c r="H195" i="38"/>
  <c r="B199" i="38"/>
  <c r="E198" i="38"/>
  <c r="F198" i="38" s="1"/>
  <c r="C198" i="38"/>
  <c r="R195" i="38" l="1"/>
  <c r="X195" i="38"/>
  <c r="N195" i="38"/>
  <c r="Y195" i="38" s="1"/>
  <c r="D198" i="38"/>
  <c r="G198" i="38"/>
  <c r="AK149" i="38"/>
  <c r="AF148" i="38"/>
  <c r="AB149" i="38"/>
  <c r="AL149" i="38"/>
  <c r="AM149" i="38"/>
  <c r="I150" i="38"/>
  <c r="J149" i="38"/>
  <c r="K150" i="38"/>
  <c r="H196" i="38"/>
  <c r="E199" i="38"/>
  <c r="F199" i="38" s="1"/>
  <c r="B200" i="38"/>
  <c r="C199" i="38"/>
  <c r="D199" i="38" l="1"/>
  <c r="G199" i="38"/>
  <c r="AK150" i="38"/>
  <c r="AF149" i="38"/>
  <c r="AL150" i="38"/>
  <c r="AB150" i="38"/>
  <c r="AM150" i="38"/>
  <c r="R196" i="38"/>
  <c r="X196" i="38"/>
  <c r="N196" i="38"/>
  <c r="Y196" i="38" s="1"/>
  <c r="J150" i="38"/>
  <c r="K151" i="38"/>
  <c r="H197" i="38"/>
  <c r="E200" i="38"/>
  <c r="F200" i="38" s="1"/>
  <c r="B201" i="38"/>
  <c r="C200" i="38"/>
  <c r="D200" i="38" l="1"/>
  <c r="G200" i="38"/>
  <c r="X197" i="38"/>
  <c r="R197" i="38"/>
  <c r="N197" i="38"/>
  <c r="Y197" i="38" s="1"/>
  <c r="I151" i="38"/>
  <c r="H198" i="38"/>
  <c r="B202" i="38"/>
  <c r="E201" i="38"/>
  <c r="F201" i="38" s="1"/>
  <c r="C201" i="38"/>
  <c r="D201" i="38" l="1"/>
  <c r="G201" i="38"/>
  <c r="AK151" i="38"/>
  <c r="AF150" i="38"/>
  <c r="AL151" i="38"/>
  <c r="AB151" i="38"/>
  <c r="AM151" i="38"/>
  <c r="X198" i="38"/>
  <c r="N198" i="38"/>
  <c r="Y198" i="38" s="1"/>
  <c r="R198" i="38"/>
  <c r="J151" i="38"/>
  <c r="I152" i="38" s="1"/>
  <c r="K152" i="38"/>
  <c r="H199" i="38"/>
  <c r="B203" i="38"/>
  <c r="E202" i="38"/>
  <c r="F202" i="38" s="1"/>
  <c r="C202" i="38"/>
  <c r="X199" i="38" l="1"/>
  <c r="N199" i="38"/>
  <c r="Y199" i="38" s="1"/>
  <c r="R199" i="38"/>
  <c r="AK152" i="38"/>
  <c r="AB152" i="38"/>
  <c r="AL152" i="38"/>
  <c r="AM152" i="38"/>
  <c r="D202" i="38"/>
  <c r="G202" i="38"/>
  <c r="J152" i="38"/>
  <c r="I153" i="38" s="1"/>
  <c r="K153" i="38"/>
  <c r="H200" i="38"/>
  <c r="E203" i="38"/>
  <c r="F203" i="38" s="1"/>
  <c r="B204" i="38"/>
  <c r="C203" i="38"/>
  <c r="R200" i="38" l="1"/>
  <c r="X200" i="38"/>
  <c r="N200" i="38"/>
  <c r="Y200" i="38" s="1"/>
  <c r="D203" i="38"/>
  <c r="G203" i="38"/>
  <c r="AK153" i="38"/>
  <c r="AF152" i="38"/>
  <c r="AB153" i="38"/>
  <c r="AL153" i="38"/>
  <c r="AM153" i="38"/>
  <c r="J153" i="38"/>
  <c r="I154" i="38" s="1"/>
  <c r="K154" i="38"/>
  <c r="H201" i="38"/>
  <c r="E204" i="38"/>
  <c r="F204" i="38" s="1"/>
  <c r="B205" i="38"/>
  <c r="C204" i="38"/>
  <c r="AK154" i="38" l="1"/>
  <c r="AF153" i="38"/>
  <c r="AB154" i="38"/>
  <c r="AL154" i="38"/>
  <c r="AM154" i="38"/>
  <c r="R201" i="38"/>
  <c r="X201" i="38"/>
  <c r="N201" i="38"/>
  <c r="Y201" i="38" s="1"/>
  <c r="D204" i="38"/>
  <c r="G204" i="38"/>
  <c r="J154" i="38"/>
  <c r="I155" i="38" s="1"/>
  <c r="K155" i="38"/>
  <c r="H202" i="38"/>
  <c r="B206" i="38"/>
  <c r="E205" i="38"/>
  <c r="F205" i="38" s="1"/>
  <c r="C205" i="38"/>
  <c r="AK155" i="38" l="1"/>
  <c r="AF154" i="38"/>
  <c r="AB155" i="38"/>
  <c r="AL155" i="38"/>
  <c r="AM155" i="38"/>
  <c r="D205" i="38"/>
  <c r="G205" i="38"/>
  <c r="X202" i="38"/>
  <c r="N202" i="38"/>
  <c r="Y202" i="38" s="1"/>
  <c r="R202" i="38"/>
  <c r="J155" i="38"/>
  <c r="I156" i="38" s="1"/>
  <c r="K156" i="38"/>
  <c r="H203" i="38"/>
  <c r="B207" i="38"/>
  <c r="E206" i="38"/>
  <c r="F206" i="38" s="1"/>
  <c r="C206" i="38"/>
  <c r="D206" i="38" l="1"/>
  <c r="G206" i="38"/>
  <c r="AK156" i="38"/>
  <c r="AF155" i="38"/>
  <c r="AL156" i="38"/>
  <c r="AB156" i="38"/>
  <c r="AM156" i="38"/>
  <c r="R203" i="38"/>
  <c r="X203" i="38"/>
  <c r="N203" i="38"/>
  <c r="Y203" i="38" s="1"/>
  <c r="J156" i="38"/>
  <c r="K157" i="38"/>
  <c r="H204" i="38"/>
  <c r="E207" i="38"/>
  <c r="F207" i="38" s="1"/>
  <c r="B208" i="38"/>
  <c r="C207" i="38"/>
  <c r="R204" i="38" l="1"/>
  <c r="N204" i="38"/>
  <c r="Y204" i="38" s="1"/>
  <c r="X204" i="38"/>
  <c r="D207" i="38"/>
  <c r="G207" i="38"/>
  <c r="I157" i="38"/>
  <c r="H205" i="38"/>
  <c r="E208" i="38"/>
  <c r="F208" i="38" s="1"/>
  <c r="B209" i="38"/>
  <c r="C208" i="38"/>
  <c r="D208" i="38" l="1"/>
  <c r="G208" i="38"/>
  <c r="AK157" i="38"/>
  <c r="AF156" i="38"/>
  <c r="AB157" i="38"/>
  <c r="AL157" i="38"/>
  <c r="AM157" i="38"/>
  <c r="X205" i="38"/>
  <c r="R205" i="38"/>
  <c r="N205" i="38"/>
  <c r="Y205" i="38" s="1"/>
  <c r="J157" i="38"/>
  <c r="I158" i="38" s="1"/>
  <c r="K158" i="38"/>
  <c r="H206" i="38"/>
  <c r="B210" i="38"/>
  <c r="E209" i="38"/>
  <c r="F209" i="38" s="1"/>
  <c r="C209" i="38"/>
  <c r="AK158" i="38" l="1"/>
  <c r="AF157" i="38"/>
  <c r="AB158" i="38"/>
  <c r="AL158" i="38"/>
  <c r="AM158" i="38"/>
  <c r="X206" i="38"/>
  <c r="N206" i="38"/>
  <c r="Y206" i="38" s="1"/>
  <c r="R206" i="38"/>
  <c r="D209" i="38"/>
  <c r="G209" i="38"/>
  <c r="J158" i="38"/>
  <c r="I159" i="38" s="1"/>
  <c r="K159" i="38"/>
  <c r="H207" i="38"/>
  <c r="B211" i="38"/>
  <c r="E210" i="38"/>
  <c r="F210" i="38" s="1"/>
  <c r="C210" i="38"/>
  <c r="X207" i="38" l="1"/>
  <c r="N207" i="38"/>
  <c r="Y207" i="38" s="1"/>
  <c r="R207" i="38"/>
  <c r="D210" i="38"/>
  <c r="G210" i="38"/>
  <c r="AK159" i="38"/>
  <c r="AF158" i="38"/>
  <c r="AL159" i="38"/>
  <c r="AB159" i="38"/>
  <c r="AM159" i="38"/>
  <c r="J159" i="38"/>
  <c r="I160" i="38" s="1"/>
  <c r="K160" i="38"/>
  <c r="H208" i="38"/>
  <c r="E211" i="38"/>
  <c r="F211" i="38" s="1"/>
  <c r="B212" i="38"/>
  <c r="C211" i="38"/>
  <c r="AK160" i="38" l="1"/>
  <c r="AF159" i="38"/>
  <c r="AB160" i="38"/>
  <c r="AL160" i="38"/>
  <c r="AM160" i="38"/>
  <c r="R208" i="38"/>
  <c r="X208" i="38"/>
  <c r="N208" i="38"/>
  <c r="Y208" i="38" s="1"/>
  <c r="D211" i="38"/>
  <c r="G211" i="38"/>
  <c r="J160" i="38"/>
  <c r="K161" i="38"/>
  <c r="H209" i="38"/>
  <c r="E212" i="38"/>
  <c r="F212" i="38" s="1"/>
  <c r="B213" i="38"/>
  <c r="C212" i="38"/>
  <c r="D212" i="38" l="1"/>
  <c r="G212" i="38"/>
  <c r="R209" i="38"/>
  <c r="X209" i="38"/>
  <c r="N209" i="38"/>
  <c r="Y209" i="38" s="1"/>
  <c r="H210" i="38"/>
  <c r="B214" i="38"/>
  <c r="E213" i="38"/>
  <c r="F213" i="38" s="1"/>
  <c r="C213" i="38"/>
  <c r="X210" i="38" l="1"/>
  <c r="N210" i="38"/>
  <c r="Y210" i="38" s="1"/>
  <c r="R210" i="38"/>
  <c r="D213" i="38"/>
  <c r="G213" i="38"/>
  <c r="I161" i="38"/>
  <c r="H211" i="38"/>
  <c r="B215" i="38"/>
  <c r="E214" i="38"/>
  <c r="F214" i="38" s="1"/>
  <c r="C214" i="38"/>
  <c r="R211" i="38" l="1"/>
  <c r="X211" i="38"/>
  <c r="N211" i="38"/>
  <c r="Y211" i="38" s="1"/>
  <c r="D214" i="38"/>
  <c r="G214" i="38"/>
  <c r="K162" i="38"/>
  <c r="AK161" i="38"/>
  <c r="AF160" i="38"/>
  <c r="AB161" i="38"/>
  <c r="AL161" i="38"/>
  <c r="AM161" i="38"/>
  <c r="J161" i="38"/>
  <c r="I162" i="38" s="1"/>
  <c r="H212" i="38"/>
  <c r="E215" i="38"/>
  <c r="F215" i="38" s="1"/>
  <c r="B216" i="38"/>
  <c r="C215" i="38"/>
  <c r="R212" i="38" l="1"/>
  <c r="X212" i="38"/>
  <c r="N212" i="38"/>
  <c r="Y212" i="38" s="1"/>
  <c r="D215" i="38"/>
  <c r="G215" i="38"/>
  <c r="K163" i="38"/>
  <c r="AK162" i="38"/>
  <c r="AF161" i="38"/>
  <c r="AL162" i="38"/>
  <c r="AB162" i="38"/>
  <c r="AM162" i="38"/>
  <c r="J162" i="38"/>
  <c r="I163" i="38" s="1"/>
  <c r="H213" i="38"/>
  <c r="E216" i="38"/>
  <c r="F216" i="38" s="1"/>
  <c r="B217" i="38"/>
  <c r="C216" i="38"/>
  <c r="D216" i="38" l="1"/>
  <c r="G216" i="38"/>
  <c r="K164" i="38"/>
  <c r="AK163" i="38"/>
  <c r="AF162" i="38"/>
  <c r="AB163" i="38"/>
  <c r="AL163" i="38"/>
  <c r="AM163" i="38"/>
  <c r="X213" i="38"/>
  <c r="R213" i="38"/>
  <c r="N213" i="38"/>
  <c r="Y213" i="38" s="1"/>
  <c r="J163" i="38"/>
  <c r="I164" i="38" s="1"/>
  <c r="H214" i="38"/>
  <c r="B218" i="38"/>
  <c r="E217" i="38"/>
  <c r="F217" i="38" s="1"/>
  <c r="C217" i="38"/>
  <c r="X214" i="38" l="1"/>
  <c r="N214" i="38"/>
  <c r="Y214" i="38" s="1"/>
  <c r="R214" i="38"/>
  <c r="D217" i="38"/>
  <c r="G217" i="38"/>
  <c r="K165" i="38"/>
  <c r="AK164" i="38"/>
  <c r="AL164" i="38"/>
  <c r="AB164" i="38"/>
  <c r="AM164" i="38"/>
  <c r="J164" i="38"/>
  <c r="I165" i="38" s="1"/>
  <c r="H215" i="38"/>
  <c r="B219" i="38"/>
  <c r="E218" i="38"/>
  <c r="F218" i="38" s="1"/>
  <c r="C218" i="38"/>
  <c r="X215" i="38" l="1"/>
  <c r="N215" i="38"/>
  <c r="Y215" i="38" s="1"/>
  <c r="R215" i="38"/>
  <c r="D218" i="38"/>
  <c r="G218" i="38"/>
  <c r="AK165" i="38"/>
  <c r="AF164" i="38"/>
  <c r="AB165" i="38"/>
  <c r="AL165" i="38"/>
  <c r="AM165" i="38"/>
  <c r="J165" i="38"/>
  <c r="K166" i="38"/>
  <c r="H216" i="38"/>
  <c r="E219" i="38"/>
  <c r="F219" i="38" s="1"/>
  <c r="B220" i="38"/>
  <c r="C219" i="38"/>
  <c r="R216" i="38" l="1"/>
  <c r="X216" i="38"/>
  <c r="N216" i="38"/>
  <c r="Y216" i="38" s="1"/>
  <c r="D219" i="38"/>
  <c r="G219" i="38"/>
  <c r="I166" i="38"/>
  <c r="H217" i="38"/>
  <c r="E220" i="38"/>
  <c r="F220" i="38" s="1"/>
  <c r="B221" i="38"/>
  <c r="C220" i="38"/>
  <c r="R217" i="38" l="1"/>
  <c r="X217" i="38"/>
  <c r="N217" i="38"/>
  <c r="Y217" i="38" s="1"/>
  <c r="D220" i="38"/>
  <c r="G220" i="38"/>
  <c r="AK166" i="38"/>
  <c r="AF165" i="38"/>
  <c r="AB166" i="38"/>
  <c r="AL166" i="38"/>
  <c r="AM166" i="38"/>
  <c r="J166" i="38"/>
  <c r="I167" i="38" s="1"/>
  <c r="K167" i="38"/>
  <c r="H218" i="38"/>
  <c r="B222" i="38"/>
  <c r="E221" i="38"/>
  <c r="F221" i="38" s="1"/>
  <c r="C221" i="38"/>
  <c r="D221" i="38" l="1"/>
  <c r="G221" i="38"/>
  <c r="AK167" i="38"/>
  <c r="AF166" i="38"/>
  <c r="AL167" i="38"/>
  <c r="AB167" i="38"/>
  <c r="AM167" i="38"/>
  <c r="X218" i="38"/>
  <c r="N218" i="38"/>
  <c r="Y218" i="38" s="1"/>
  <c r="R218" i="38"/>
  <c r="J167" i="38"/>
  <c r="I168" i="38" s="1"/>
  <c r="K168" i="38"/>
  <c r="H219" i="38"/>
  <c r="B223" i="38"/>
  <c r="E222" i="38"/>
  <c r="F222" i="38" s="1"/>
  <c r="C222" i="38"/>
  <c r="D222" i="38" l="1"/>
  <c r="G222" i="38"/>
  <c r="AK168" i="38"/>
  <c r="AF167" i="38"/>
  <c r="AB168" i="38"/>
  <c r="AL168" i="38"/>
  <c r="AM168" i="38"/>
  <c r="R219" i="38"/>
  <c r="X219" i="38"/>
  <c r="N219" i="38"/>
  <c r="Y219" i="38" s="1"/>
  <c r="J168" i="38"/>
  <c r="I169" i="38" s="1"/>
  <c r="K169" i="38"/>
  <c r="H220" i="38"/>
  <c r="E223" i="38"/>
  <c r="F223" i="38" s="1"/>
  <c r="B224" i="38"/>
  <c r="C223" i="38"/>
  <c r="D223" i="38" l="1"/>
  <c r="G223" i="38"/>
  <c r="AK169" i="38"/>
  <c r="AF168" i="38"/>
  <c r="AB169" i="38"/>
  <c r="AL169" i="38"/>
  <c r="AM169" i="38"/>
  <c r="R220" i="38"/>
  <c r="X220" i="38"/>
  <c r="N220" i="38"/>
  <c r="Y220" i="38" s="1"/>
  <c r="J169" i="38"/>
  <c r="K170" i="38"/>
  <c r="I170" i="38"/>
  <c r="H221" i="38"/>
  <c r="E224" i="38"/>
  <c r="F224" i="38" s="1"/>
  <c r="B225" i="38"/>
  <c r="C224" i="38"/>
  <c r="R221" i="38" l="1"/>
  <c r="X221" i="38"/>
  <c r="N221" i="38"/>
  <c r="Y221" i="38" s="1"/>
  <c r="AK170" i="38"/>
  <c r="AF169" i="38"/>
  <c r="AB170" i="38"/>
  <c r="AL170" i="38"/>
  <c r="AM170" i="38"/>
  <c r="D224" i="38"/>
  <c r="G224" i="38"/>
  <c r="I171" i="38"/>
  <c r="J170" i="38"/>
  <c r="K171" i="38"/>
  <c r="H222" i="38"/>
  <c r="B226" i="38"/>
  <c r="E225" i="38"/>
  <c r="F225" i="38" s="1"/>
  <c r="C225" i="38"/>
  <c r="X222" i="38" l="1"/>
  <c r="N222" i="38"/>
  <c r="Y222" i="38" s="1"/>
  <c r="R222" i="38"/>
  <c r="D225" i="38"/>
  <c r="G225" i="38"/>
  <c r="AK171" i="38"/>
  <c r="AF170" i="38"/>
  <c r="AB171" i="38"/>
  <c r="AL171" i="38"/>
  <c r="AM171" i="38"/>
  <c r="J171" i="38"/>
  <c r="I172" i="38" s="1"/>
  <c r="K172" i="38"/>
  <c r="H223" i="38"/>
  <c r="B227" i="38"/>
  <c r="E226" i="38"/>
  <c r="F226" i="38" s="1"/>
  <c r="C226" i="38"/>
  <c r="D226" i="38" l="1"/>
  <c r="G226" i="38"/>
  <c r="AK172" i="38"/>
  <c r="AF171" i="38"/>
  <c r="AB172" i="38"/>
  <c r="AL172" i="38"/>
  <c r="AM172" i="38"/>
  <c r="X223" i="38"/>
  <c r="N223" i="38"/>
  <c r="Y223" i="38" s="1"/>
  <c r="R223" i="38"/>
  <c r="J172" i="38"/>
  <c r="K173" i="38"/>
  <c r="I173" i="38"/>
  <c r="H224" i="38"/>
  <c r="E227" i="38"/>
  <c r="F227" i="38" s="1"/>
  <c r="B228" i="38"/>
  <c r="C227" i="38"/>
  <c r="D227" i="38" l="1"/>
  <c r="G227" i="38"/>
  <c r="AK173" i="38"/>
  <c r="AF172" i="38"/>
  <c r="AB173" i="38"/>
  <c r="AL173" i="38"/>
  <c r="AM173" i="38"/>
  <c r="R224" i="38"/>
  <c r="X224" i="38"/>
  <c r="N224" i="38"/>
  <c r="Y224" i="38" s="1"/>
  <c r="J173" i="38"/>
  <c r="K174" i="38"/>
  <c r="H225" i="38"/>
  <c r="E228" i="38"/>
  <c r="F228" i="38" s="1"/>
  <c r="B229" i="38"/>
  <c r="C228" i="38"/>
  <c r="D228" i="38" l="1"/>
  <c r="G228" i="38"/>
  <c r="X225" i="38"/>
  <c r="R225" i="38"/>
  <c r="N225" i="38"/>
  <c r="Y225" i="38" s="1"/>
  <c r="I174" i="38"/>
  <c r="H226" i="38"/>
  <c r="B230" i="38"/>
  <c r="E229" i="38"/>
  <c r="F229" i="38" s="1"/>
  <c r="C229" i="38"/>
  <c r="D229" i="38" l="1"/>
  <c r="G229" i="38"/>
  <c r="AK174" i="38"/>
  <c r="AF173" i="38"/>
  <c r="AL174" i="38"/>
  <c r="AB174" i="38"/>
  <c r="AM174" i="38"/>
  <c r="X226" i="38"/>
  <c r="N226" i="38"/>
  <c r="Y226" i="38" s="1"/>
  <c r="R226" i="38"/>
  <c r="J174" i="38"/>
  <c r="I175" i="38" s="1"/>
  <c r="K175" i="38"/>
  <c r="H227" i="38"/>
  <c r="B231" i="38"/>
  <c r="E230" i="38"/>
  <c r="F230" i="38" s="1"/>
  <c r="C230" i="38"/>
  <c r="AK175" i="38" l="1"/>
  <c r="AF174" i="38"/>
  <c r="AB175" i="38"/>
  <c r="AL175" i="38"/>
  <c r="AM175" i="38"/>
  <c r="R227" i="38"/>
  <c r="X227" i="38"/>
  <c r="N227" i="38"/>
  <c r="Y227" i="38" s="1"/>
  <c r="D230" i="38"/>
  <c r="G230" i="38"/>
  <c r="J175" i="38"/>
  <c r="K176" i="38"/>
  <c r="I176" i="38"/>
  <c r="H228" i="38"/>
  <c r="E231" i="38"/>
  <c r="F231" i="38" s="1"/>
  <c r="B232" i="38"/>
  <c r="C231" i="38"/>
  <c r="D231" i="38" l="1"/>
  <c r="G231" i="38"/>
  <c r="AK176" i="38"/>
  <c r="AL176" i="38"/>
  <c r="AB176" i="38"/>
  <c r="AM176" i="38"/>
  <c r="R228" i="38"/>
  <c r="X228" i="38"/>
  <c r="N228" i="38"/>
  <c r="Y228" i="38" s="1"/>
  <c r="J176" i="38"/>
  <c r="I177" i="38" s="1"/>
  <c r="K177" i="38"/>
  <c r="H229" i="38"/>
  <c r="E232" i="38"/>
  <c r="F232" i="38" s="1"/>
  <c r="B233" i="38"/>
  <c r="C232" i="38"/>
  <c r="D232" i="38" l="1"/>
  <c r="G232" i="38"/>
  <c r="AK177" i="38"/>
  <c r="AF176" i="38"/>
  <c r="AB177" i="38"/>
  <c r="AL177" i="38"/>
  <c r="AM177" i="38"/>
  <c r="R229" i="38"/>
  <c r="X229" i="38"/>
  <c r="N229" i="38"/>
  <c r="Y229" i="38" s="1"/>
  <c r="J177" i="38"/>
  <c r="I178" i="38" s="1"/>
  <c r="K178" i="38"/>
  <c r="H230" i="38"/>
  <c r="B234" i="38"/>
  <c r="E233" i="38"/>
  <c r="F233" i="38" s="1"/>
  <c r="C233" i="38"/>
  <c r="X230" i="38" l="1"/>
  <c r="N230" i="38"/>
  <c r="Y230" i="38" s="1"/>
  <c r="R230" i="38"/>
  <c r="AK178" i="38"/>
  <c r="AF177" i="38"/>
  <c r="AL178" i="38"/>
  <c r="AB178" i="38"/>
  <c r="AM178" i="38"/>
  <c r="D233" i="38"/>
  <c r="G233" i="38"/>
  <c r="J178" i="38"/>
  <c r="I179" i="38" s="1"/>
  <c r="K179" i="38"/>
  <c r="H231" i="38"/>
  <c r="B235" i="38"/>
  <c r="E234" i="38"/>
  <c r="F234" i="38" s="1"/>
  <c r="C234" i="38"/>
  <c r="K180" i="38" l="1"/>
  <c r="AK179" i="38"/>
  <c r="AF178" i="38"/>
  <c r="AB179" i="38"/>
  <c r="AL179" i="38"/>
  <c r="AM179" i="38"/>
  <c r="X231" i="38"/>
  <c r="N231" i="38"/>
  <c r="Y231" i="38" s="1"/>
  <c r="R231" i="38"/>
  <c r="D234" i="38"/>
  <c r="G234" i="38"/>
  <c r="J179" i="38"/>
  <c r="I180" i="38" s="1"/>
  <c r="H232" i="38"/>
  <c r="B236" i="38"/>
  <c r="E235" i="38"/>
  <c r="F235" i="38" s="1"/>
  <c r="C235" i="38"/>
  <c r="K181" i="38" l="1"/>
  <c r="AK180" i="38"/>
  <c r="AF179" i="38"/>
  <c r="AL180" i="38"/>
  <c r="AB180" i="38"/>
  <c r="AM180" i="38"/>
  <c r="D235" i="38"/>
  <c r="G235" i="38"/>
  <c r="R232" i="38"/>
  <c r="X232" i="38"/>
  <c r="N232" i="38"/>
  <c r="Y232" i="38" s="1"/>
  <c r="J180" i="38"/>
  <c r="I181" i="38" s="1"/>
  <c r="H233" i="38"/>
  <c r="B237" i="38"/>
  <c r="E236" i="38"/>
  <c r="F236" i="38" s="1"/>
  <c r="C236" i="38"/>
  <c r="X233" i="38" l="1"/>
  <c r="R233" i="38"/>
  <c r="N233" i="38"/>
  <c r="Y233" i="38" s="1"/>
  <c r="D236" i="38"/>
  <c r="G236" i="38"/>
  <c r="AK181" i="38"/>
  <c r="AF180" i="38"/>
  <c r="AB181" i="38"/>
  <c r="AL181" i="38"/>
  <c r="AM181" i="38"/>
  <c r="J181" i="38"/>
  <c r="I182" i="38" s="1"/>
  <c r="K182" i="38"/>
  <c r="H234" i="38"/>
  <c r="E237" i="38"/>
  <c r="F237" i="38" s="1"/>
  <c r="B238" i="38"/>
  <c r="C237" i="38"/>
  <c r="AK182" i="38" l="1"/>
  <c r="AF181" i="38"/>
  <c r="AL182" i="38"/>
  <c r="AB182" i="38"/>
  <c r="AM182" i="38"/>
  <c r="X234" i="38"/>
  <c r="N234" i="38"/>
  <c r="Y234" i="38" s="1"/>
  <c r="R234" i="38"/>
  <c r="D237" i="38"/>
  <c r="G237" i="38"/>
  <c r="J182" i="38"/>
  <c r="I183" i="38" s="1"/>
  <c r="K183" i="38"/>
  <c r="H235" i="38"/>
  <c r="E238" i="38"/>
  <c r="F238" i="38" s="1"/>
  <c r="B239" i="38"/>
  <c r="C238" i="38"/>
  <c r="D238" i="38" l="1"/>
  <c r="G238" i="38"/>
  <c r="AK183" i="38"/>
  <c r="AF182" i="38"/>
  <c r="AL183" i="38"/>
  <c r="AB183" i="38"/>
  <c r="AM183" i="38"/>
  <c r="X235" i="38"/>
  <c r="N235" i="38"/>
  <c r="Y235" i="38" s="1"/>
  <c r="R235" i="38"/>
  <c r="J183" i="38"/>
  <c r="K184" i="38"/>
  <c r="H236" i="38"/>
  <c r="B240" i="38"/>
  <c r="E239" i="38"/>
  <c r="F239" i="38" s="1"/>
  <c r="C239" i="38"/>
  <c r="R236" i="38" l="1"/>
  <c r="N236" i="38"/>
  <c r="Y236" i="38" s="1"/>
  <c r="X236" i="38"/>
  <c r="D239" i="38"/>
  <c r="G239" i="38"/>
  <c r="H237" i="38"/>
  <c r="B241" i="38"/>
  <c r="E240" i="38"/>
  <c r="F240" i="38" s="1"/>
  <c r="C240" i="38"/>
  <c r="D240" i="38" l="1"/>
  <c r="G240" i="38"/>
  <c r="R237" i="38"/>
  <c r="X237" i="38"/>
  <c r="N237" i="38"/>
  <c r="Y237" i="38" s="1"/>
  <c r="I184" i="38"/>
  <c r="H238" i="38"/>
  <c r="E241" i="38"/>
  <c r="F241" i="38" s="1"/>
  <c r="B242" i="38"/>
  <c r="C241" i="38"/>
  <c r="X238" i="38" l="1"/>
  <c r="N238" i="38"/>
  <c r="Y238" i="38" s="1"/>
  <c r="R238" i="38"/>
  <c r="D241" i="38"/>
  <c r="G241" i="38"/>
  <c r="K185" i="38"/>
  <c r="AK184" i="38"/>
  <c r="AF183" i="38"/>
  <c r="AB184" i="38"/>
  <c r="AL184" i="38"/>
  <c r="AM184" i="38"/>
  <c r="J184" i="38"/>
  <c r="I185" i="38" s="1"/>
  <c r="H239" i="38"/>
  <c r="E242" i="38"/>
  <c r="F242" i="38" s="1"/>
  <c r="B243" i="38"/>
  <c r="C242" i="38"/>
  <c r="R239" i="38" l="1"/>
  <c r="X239" i="38"/>
  <c r="N239" i="38"/>
  <c r="Y239" i="38" s="1"/>
  <c r="D242" i="38"/>
  <c r="G242" i="38"/>
  <c r="K186" i="38"/>
  <c r="AK185" i="38"/>
  <c r="AF184" i="38"/>
  <c r="AB185" i="38"/>
  <c r="AL185" i="38"/>
  <c r="AM185" i="38"/>
  <c r="J185" i="38"/>
  <c r="I186" i="38" s="1"/>
  <c r="H240" i="38"/>
  <c r="B244" i="38"/>
  <c r="E243" i="38"/>
  <c r="F243" i="38" s="1"/>
  <c r="C243" i="38"/>
  <c r="R240" i="38" l="1"/>
  <c r="X240" i="38"/>
  <c r="N240" i="38"/>
  <c r="Y240" i="38" s="1"/>
  <c r="D243" i="38"/>
  <c r="G243" i="38"/>
  <c r="J186" i="38"/>
  <c r="I187" i="38" s="1"/>
  <c r="AK186" i="38"/>
  <c r="AF185" i="38"/>
  <c r="AL186" i="38"/>
  <c r="AB186" i="38"/>
  <c r="AM186" i="38"/>
  <c r="H241" i="38"/>
  <c r="B245" i="38"/>
  <c r="E244" i="38"/>
  <c r="F244" i="38" s="1"/>
  <c r="C244" i="38"/>
  <c r="AK187" i="38" l="1"/>
  <c r="AF186" i="38"/>
  <c r="AL187" i="38"/>
  <c r="AB187" i="38"/>
  <c r="AM187" i="38"/>
  <c r="R241" i="38"/>
  <c r="X241" i="38"/>
  <c r="N241" i="38"/>
  <c r="Y241" i="38" s="1"/>
  <c r="D244" i="38"/>
  <c r="G244" i="38"/>
  <c r="J187" i="38"/>
  <c r="K187" i="38" s="1"/>
  <c r="H242" i="38"/>
  <c r="E245" i="38"/>
  <c r="F245" i="38" s="1"/>
  <c r="B246" i="38"/>
  <c r="C245" i="38"/>
  <c r="D245" i="38" l="1"/>
  <c r="G245" i="38"/>
  <c r="X242" i="38"/>
  <c r="N242" i="38"/>
  <c r="Y242" i="38" s="1"/>
  <c r="R242" i="38"/>
  <c r="I188" i="38"/>
  <c r="H243" i="38"/>
  <c r="E246" i="38"/>
  <c r="F246" i="38" s="1"/>
  <c r="B247" i="38"/>
  <c r="C246" i="38"/>
  <c r="X243" i="38" l="1"/>
  <c r="N243" i="38"/>
  <c r="Y243" i="38" s="1"/>
  <c r="R243" i="38"/>
  <c r="D246" i="38"/>
  <c r="G246" i="38"/>
  <c r="AB188" i="38"/>
  <c r="AK188" i="38"/>
  <c r="AL188" i="38"/>
  <c r="AM188" i="38"/>
  <c r="J188" i="38"/>
  <c r="K188" i="38" s="1"/>
  <c r="I189" i="38" s="1"/>
  <c r="H244" i="38"/>
  <c r="B248" i="38"/>
  <c r="E247" i="38"/>
  <c r="F247" i="38" s="1"/>
  <c r="C247" i="38"/>
  <c r="R244" i="38" l="1"/>
  <c r="N244" i="38"/>
  <c r="Y244" i="38" s="1"/>
  <c r="X244" i="38"/>
  <c r="D247" i="38"/>
  <c r="G247" i="38"/>
  <c r="AB189" i="38"/>
  <c r="AK189" i="38"/>
  <c r="AJ188" i="38"/>
  <c r="AF188" i="38"/>
  <c r="AL189" i="38"/>
  <c r="AM189" i="38"/>
  <c r="J189" i="38"/>
  <c r="K189" i="38" s="1"/>
  <c r="I190" i="38" s="1"/>
  <c r="H245" i="38"/>
  <c r="B249" i="38"/>
  <c r="E248" i="38"/>
  <c r="F248" i="38" s="1"/>
  <c r="C248" i="38"/>
  <c r="X245" i="38" l="1"/>
  <c r="R245" i="38"/>
  <c r="N245" i="38"/>
  <c r="Y245" i="38" s="1"/>
  <c r="D248" i="38"/>
  <c r="G248" i="38"/>
  <c r="AB190" i="38"/>
  <c r="AK190" i="38"/>
  <c r="AJ189" i="38"/>
  <c r="AF189" i="38"/>
  <c r="AL190" i="38"/>
  <c r="AM190" i="38"/>
  <c r="J190" i="38"/>
  <c r="K190" i="38" s="1"/>
  <c r="H246" i="38"/>
  <c r="E249" i="38"/>
  <c r="F249" i="38" s="1"/>
  <c r="B250" i="38"/>
  <c r="C249" i="38"/>
  <c r="D249" i="38" l="1"/>
  <c r="G249" i="38"/>
  <c r="X246" i="38"/>
  <c r="N246" i="38"/>
  <c r="Y246" i="38" s="1"/>
  <c r="R246" i="38"/>
  <c r="I191" i="38"/>
  <c r="H247" i="38"/>
  <c r="E250" i="38"/>
  <c r="F250" i="38" s="1"/>
  <c r="B251" i="38"/>
  <c r="C250" i="38"/>
  <c r="R247" i="38" l="1"/>
  <c r="X247" i="38"/>
  <c r="N247" i="38"/>
  <c r="Y247" i="38" s="1"/>
  <c r="D250" i="38"/>
  <c r="G250" i="38"/>
  <c r="AB191" i="38"/>
  <c r="AK191" i="38"/>
  <c r="AJ190" i="38"/>
  <c r="AF190" i="38"/>
  <c r="AM191" i="38"/>
  <c r="AL191" i="38"/>
  <c r="J191" i="38"/>
  <c r="K191" i="38" s="1"/>
  <c r="H248" i="38"/>
  <c r="B252" i="38"/>
  <c r="E251" i="38"/>
  <c r="F251" i="38" s="1"/>
  <c r="C251" i="38"/>
  <c r="R248" i="38" l="1"/>
  <c r="X248" i="38"/>
  <c r="N248" i="38"/>
  <c r="Y248" i="38" s="1"/>
  <c r="D251" i="38"/>
  <c r="G251" i="38"/>
  <c r="I192" i="38"/>
  <c r="H249" i="38"/>
  <c r="B253" i="38"/>
  <c r="E252" i="38"/>
  <c r="F252" i="38" s="1"/>
  <c r="C252" i="38"/>
  <c r="D252" i="38" l="1"/>
  <c r="G252" i="38"/>
  <c r="AB192" i="38"/>
  <c r="AK192" i="38"/>
  <c r="AJ191" i="38"/>
  <c r="AF191" i="38"/>
  <c r="AL192" i="38"/>
  <c r="AM192" i="38"/>
  <c r="R249" i="38"/>
  <c r="X249" i="38"/>
  <c r="N249" i="38"/>
  <c r="Y249" i="38" s="1"/>
  <c r="J192" i="38"/>
  <c r="K192" i="38" s="1"/>
  <c r="H250" i="38"/>
  <c r="E253" i="38"/>
  <c r="F253" i="38" s="1"/>
  <c r="B254" i="38"/>
  <c r="C253" i="38"/>
  <c r="X250" i="38" l="1"/>
  <c r="N250" i="38"/>
  <c r="Y250" i="38" s="1"/>
  <c r="R250" i="38"/>
  <c r="D253" i="38"/>
  <c r="G253" i="38"/>
  <c r="I193" i="38"/>
  <c r="H251" i="38"/>
  <c r="E254" i="38"/>
  <c r="F254" i="38" s="1"/>
  <c r="B255" i="38"/>
  <c r="C254" i="38"/>
  <c r="R251" i="38" l="1"/>
  <c r="X251" i="38"/>
  <c r="N251" i="38"/>
  <c r="Y251" i="38" s="1"/>
  <c r="D254" i="38"/>
  <c r="G254" i="38"/>
  <c r="AB193" i="38"/>
  <c r="AK193" i="38"/>
  <c r="AJ192" i="38"/>
  <c r="AF192" i="38"/>
  <c r="AM193" i="38"/>
  <c r="AL193" i="38"/>
  <c r="J193" i="38"/>
  <c r="K193" i="38" s="1"/>
  <c r="H252" i="38"/>
  <c r="B256" i="38"/>
  <c r="E255" i="38"/>
  <c r="F255" i="38" s="1"/>
  <c r="C255" i="38"/>
  <c r="R252" i="38" l="1"/>
  <c r="N252" i="38"/>
  <c r="Y252" i="38" s="1"/>
  <c r="X252" i="38"/>
  <c r="D255" i="38"/>
  <c r="G255" i="38"/>
  <c r="I194" i="38"/>
  <c r="H253" i="38"/>
  <c r="B257" i="38"/>
  <c r="E256" i="38"/>
  <c r="F256" i="38" s="1"/>
  <c r="C256" i="38"/>
  <c r="X253" i="38" l="1"/>
  <c r="R253" i="38"/>
  <c r="N253" i="38"/>
  <c r="Y253" i="38" s="1"/>
  <c r="D256" i="38"/>
  <c r="G256" i="38"/>
  <c r="AB194" i="38"/>
  <c r="AK194" i="38"/>
  <c r="AJ193" i="38"/>
  <c r="AF193" i="38"/>
  <c r="AM194" i="38"/>
  <c r="AL194" i="38"/>
  <c r="J194" i="38"/>
  <c r="H254" i="38"/>
  <c r="E257" i="38"/>
  <c r="F257" i="38" s="1"/>
  <c r="B258" i="38"/>
  <c r="C257" i="38"/>
  <c r="X254" i="38" l="1"/>
  <c r="N254" i="38"/>
  <c r="Y254" i="38" s="1"/>
  <c r="R254" i="38"/>
  <c r="D257" i="38"/>
  <c r="G257" i="38"/>
  <c r="K194" i="38"/>
  <c r="I195" i="38" s="1"/>
  <c r="H255" i="38"/>
  <c r="E258" i="38"/>
  <c r="F258" i="38" s="1"/>
  <c r="B259" i="38"/>
  <c r="C258" i="38"/>
  <c r="D258" i="38" l="1"/>
  <c r="G258" i="38"/>
  <c r="AK195" i="38"/>
  <c r="AJ194" i="38"/>
  <c r="AF194" i="38"/>
  <c r="AM195" i="38"/>
  <c r="AL195" i="38"/>
  <c r="X255" i="38"/>
  <c r="N255" i="38"/>
  <c r="Y255" i="38" s="1"/>
  <c r="R255" i="38"/>
  <c r="AB195" i="38"/>
  <c r="J195" i="38"/>
  <c r="K195" i="38" s="1"/>
  <c r="I196" i="38" s="1"/>
  <c r="H256" i="38"/>
  <c r="E259" i="38"/>
  <c r="F259" i="38" s="1"/>
  <c r="C259" i="38"/>
  <c r="R256" i="38" l="1"/>
  <c r="X256" i="38"/>
  <c r="N256" i="38"/>
  <c r="Y256" i="38" s="1"/>
  <c r="D259" i="38"/>
  <c r="AJ259" i="38"/>
  <c r="G259" i="38"/>
  <c r="AB196" i="38"/>
  <c r="AK196" i="38"/>
  <c r="AJ195" i="38"/>
  <c r="AF195" i="38"/>
  <c r="AM196" i="38"/>
  <c r="AL196" i="38"/>
  <c r="J196" i="38"/>
  <c r="K196" i="38" s="1"/>
  <c r="H257" i="38"/>
  <c r="R257" i="38" l="1"/>
  <c r="X257" i="38"/>
  <c r="N257" i="38"/>
  <c r="Y257" i="38" s="1"/>
  <c r="I197" i="38"/>
  <c r="H258" i="38"/>
  <c r="AC3" i="38"/>
  <c r="X258" i="38" l="1"/>
  <c r="N258" i="38"/>
  <c r="Y258" i="38" s="1"/>
  <c r="R258" i="38"/>
  <c r="AK197" i="38"/>
  <c r="AJ196" i="38"/>
  <c r="AF196" i="38"/>
  <c r="AL197" i="38"/>
  <c r="AM197" i="38"/>
  <c r="J197" i="38"/>
  <c r="K197" i="38" s="1"/>
  <c r="I198" i="38" s="1"/>
  <c r="AB197" i="38"/>
  <c r="H259" i="38"/>
  <c r="AZ69" i="38"/>
  <c r="AZ57" i="38"/>
  <c r="AZ81" i="38"/>
  <c r="AZ93" i="38"/>
  <c r="AZ21" i="38"/>
  <c r="AZ33" i="38"/>
  <c r="AZ8" i="38"/>
  <c r="AZ105" i="38"/>
  <c r="AZ117" i="38"/>
  <c r="AZ45" i="38"/>
  <c r="R259" i="38" l="1"/>
  <c r="AF259" i="38" s="1"/>
  <c r="X259" i="38"/>
  <c r="N259" i="38"/>
  <c r="AB198" i="38"/>
  <c r="AK198" i="38"/>
  <c r="AJ197" i="38"/>
  <c r="AF197" i="38"/>
  <c r="AM198" i="38"/>
  <c r="AL198" i="38"/>
  <c r="J198" i="38"/>
  <c r="K198" i="38" s="1"/>
  <c r="I199" i="38" s="1"/>
  <c r="AZ118" i="38"/>
  <c r="AZ94" i="38"/>
  <c r="AZ9" i="38"/>
  <c r="AZ82" i="38"/>
  <c r="AZ70" i="38"/>
  <c r="AZ34" i="38"/>
  <c r="AZ22" i="38"/>
  <c r="AZ46" i="38"/>
  <c r="AZ106" i="38"/>
  <c r="AZ58" i="38"/>
  <c r="Y259" i="38" l="1"/>
  <c r="N3" i="38"/>
  <c r="AB199" i="38"/>
  <c r="AK199" i="38"/>
  <c r="AJ198" i="38"/>
  <c r="AF198" i="38"/>
  <c r="AM199" i="38"/>
  <c r="AL199" i="38"/>
  <c r="X3" i="38"/>
  <c r="J199" i="38"/>
  <c r="K199" i="38" s="1"/>
  <c r="I200" i="38" s="1"/>
  <c r="AZ71" i="38"/>
  <c r="AZ47" i="38"/>
  <c r="AZ83" i="38"/>
  <c r="AZ107" i="38"/>
  <c r="AZ35" i="38"/>
  <c r="AZ119" i="38"/>
  <c r="AZ95" i="38"/>
  <c r="AZ59" i="38"/>
  <c r="AZ23" i="38"/>
  <c r="AZ10" i="38"/>
  <c r="AB200" i="38" l="1"/>
  <c r="AK200" i="38"/>
  <c r="AJ199" i="38"/>
  <c r="AF199" i="38"/>
  <c r="AM200" i="38"/>
  <c r="AL200" i="38"/>
  <c r="Y3" i="38"/>
  <c r="J200" i="38"/>
  <c r="K200" i="38" s="1"/>
  <c r="AZ72" i="38"/>
  <c r="AZ60" i="38"/>
  <c r="AZ36" i="38"/>
  <c r="AZ84" i="38"/>
  <c r="AZ48" i="38"/>
  <c r="AZ11" i="38"/>
  <c r="AZ96" i="38"/>
  <c r="AZ120" i="38"/>
  <c r="AZ108" i="38"/>
  <c r="AZ24" i="38"/>
  <c r="I201" i="38" l="1"/>
  <c r="AZ25" i="38"/>
  <c r="AZ12" i="38"/>
  <c r="AZ61" i="38"/>
  <c r="AZ109" i="38"/>
  <c r="AZ73" i="38"/>
  <c r="AZ49" i="38"/>
  <c r="AZ97" i="38"/>
  <c r="AZ121" i="38"/>
  <c r="AZ85" i="38"/>
  <c r="AZ37" i="38"/>
  <c r="AK201" i="38" l="1"/>
  <c r="AJ200" i="38"/>
  <c r="AF200" i="38"/>
  <c r="AL201" i="38"/>
  <c r="AM201" i="38"/>
  <c r="J201" i="38"/>
  <c r="AB201" i="38"/>
  <c r="K201" i="38"/>
  <c r="I202" i="38" s="1"/>
  <c r="AZ110" i="38"/>
  <c r="AZ74" i="38"/>
  <c r="AZ26" i="38"/>
  <c r="AZ13" i="38"/>
  <c r="AZ86" i="38"/>
  <c r="AZ50" i="38"/>
  <c r="AZ98" i="38"/>
  <c r="AZ62" i="38"/>
  <c r="AZ38" i="38"/>
  <c r="AZ122" i="38"/>
  <c r="AB202" i="38" l="1"/>
  <c r="AK202" i="38"/>
  <c r="AJ201" i="38"/>
  <c r="AF201" i="38"/>
  <c r="AM202" i="38"/>
  <c r="AL202" i="38"/>
  <c r="J202" i="38"/>
  <c r="K202" i="38" s="1"/>
  <c r="I203" i="38" s="1"/>
  <c r="AZ63" i="38"/>
  <c r="AZ27" i="38"/>
  <c r="AZ51" i="38"/>
  <c r="AZ75" i="38"/>
  <c r="AZ39" i="38"/>
  <c r="AZ87" i="38"/>
  <c r="AZ111" i="38"/>
  <c r="AZ123" i="38"/>
  <c r="AZ99" i="38"/>
  <c r="AZ14" i="38"/>
  <c r="AB203" i="38" l="1"/>
  <c r="AK203" i="38"/>
  <c r="AJ202" i="38"/>
  <c r="AF202" i="38"/>
  <c r="AM203" i="38"/>
  <c r="AL203" i="38"/>
  <c r="J203" i="38"/>
  <c r="K203" i="38" s="1"/>
  <c r="I204" i="38" s="1"/>
  <c r="AZ100" i="38"/>
  <c r="AZ88" i="38"/>
  <c r="AZ28" i="38"/>
  <c r="AZ112" i="38"/>
  <c r="AZ52" i="38"/>
  <c r="AZ15" i="38"/>
  <c r="AZ76" i="38"/>
  <c r="AZ40" i="38"/>
  <c r="AZ124" i="38"/>
  <c r="AZ64" i="38"/>
  <c r="AB204" i="38" l="1"/>
  <c r="AK204" i="38"/>
  <c r="AJ203" i="38"/>
  <c r="AF203" i="38"/>
  <c r="AL204" i="38"/>
  <c r="AM204" i="38"/>
  <c r="J204" i="38"/>
  <c r="K204" i="38" s="1"/>
  <c r="AZ41" i="38"/>
  <c r="AZ16" i="38"/>
  <c r="AZ89" i="38"/>
  <c r="AZ65" i="38"/>
  <c r="AZ125" i="38"/>
  <c r="AZ129" i="38"/>
  <c r="AZ101" i="38"/>
  <c r="AZ77" i="38"/>
  <c r="AZ113" i="38"/>
  <c r="AZ53" i="38"/>
  <c r="AZ29" i="38"/>
  <c r="I205" i="38" l="1"/>
  <c r="AZ30" i="38"/>
  <c r="AZ126" i="38"/>
  <c r="AZ90" i="38"/>
  <c r="AZ130" i="38"/>
  <c r="AZ42" i="38"/>
  <c r="AZ102" i="38"/>
  <c r="AZ17" i="38"/>
  <c r="AZ114" i="38"/>
  <c r="AZ66" i="38"/>
  <c r="AZ78" i="38"/>
  <c r="AZ54" i="38"/>
  <c r="AB205" i="38" l="1"/>
  <c r="AK205" i="38"/>
  <c r="AJ204" i="38"/>
  <c r="AF204" i="38"/>
  <c r="AL205" i="38"/>
  <c r="AM205" i="38"/>
  <c r="J205" i="38"/>
  <c r="K205" i="38" s="1"/>
  <c r="AZ103" i="38"/>
  <c r="AZ104" i="38"/>
  <c r="AZ67" i="38"/>
  <c r="AZ68" i="38"/>
  <c r="AZ79" i="38"/>
  <c r="AZ80" i="38"/>
  <c r="AZ31" i="38"/>
  <c r="AZ32" i="38"/>
  <c r="AZ55" i="38"/>
  <c r="AZ115" i="38"/>
  <c r="AZ116" i="38"/>
  <c r="AZ18" i="38"/>
  <c r="AZ128" i="38"/>
  <c r="AZ43" i="38"/>
  <c r="AZ91" i="38"/>
  <c r="I206" i="38" l="1"/>
  <c r="AZ19" i="38"/>
  <c r="AZ44" i="38"/>
  <c r="AZ127" i="38"/>
  <c r="AZ92" i="38"/>
  <c r="AZ56" i="38"/>
  <c r="AZ131" i="38"/>
  <c r="AB206" i="38" l="1"/>
  <c r="AK206" i="38"/>
  <c r="AJ205" i="38"/>
  <c r="AF205" i="38"/>
  <c r="AM206" i="38"/>
  <c r="AL206" i="38"/>
  <c r="J206" i="38"/>
  <c r="K206" i="38" s="1"/>
  <c r="AZ20" i="38"/>
  <c r="I207" i="38" l="1"/>
  <c r="AZ132" i="38"/>
  <c r="AB207" i="38" l="1"/>
  <c r="AK207" i="38"/>
  <c r="AJ206" i="38"/>
  <c r="AF206" i="38"/>
  <c r="AL207" i="38"/>
  <c r="AM207" i="38"/>
  <c r="J207" i="38"/>
  <c r="K207" i="38" s="1"/>
  <c r="I208" i="38" s="1"/>
  <c r="AZ133" i="38"/>
  <c r="AB208" i="38" l="1"/>
  <c r="AK208" i="38"/>
  <c r="AJ207" i="38"/>
  <c r="AF207" i="38"/>
  <c r="AM208" i="38"/>
  <c r="AL208" i="38"/>
  <c r="J208" i="38"/>
  <c r="K208" i="38" s="1"/>
  <c r="I209" i="38" s="1"/>
  <c r="AZ134" i="38"/>
  <c r="AK209" i="38" l="1"/>
  <c r="AJ208" i="38"/>
  <c r="AF208" i="38"/>
  <c r="AM209" i="38"/>
  <c r="AL209" i="38"/>
  <c r="AB209" i="38"/>
  <c r="J209" i="38"/>
  <c r="K209" i="38" s="1"/>
  <c r="I210" i="38" s="1"/>
  <c r="AZ135" i="38"/>
  <c r="AB210" i="38" l="1"/>
  <c r="AK210" i="38"/>
  <c r="AJ209" i="38"/>
  <c r="AF209" i="38"/>
  <c r="AL210" i="38"/>
  <c r="AM210" i="38"/>
  <c r="J210" i="38"/>
  <c r="K210" i="38" s="1"/>
  <c r="I211" i="38" s="1"/>
  <c r="AZ136" i="38"/>
  <c r="AB211" i="38" l="1"/>
  <c r="AK211" i="38"/>
  <c r="AJ210" i="38"/>
  <c r="AF210" i="38"/>
  <c r="AM211" i="38"/>
  <c r="AL211" i="38"/>
  <c r="J211" i="38"/>
  <c r="K211" i="38" s="1"/>
  <c r="I212" i="38" s="1"/>
  <c r="AZ137" i="38"/>
  <c r="AB212" i="38" l="1"/>
  <c r="AK212" i="38"/>
  <c r="AJ211" i="38"/>
  <c r="AF211" i="38"/>
  <c r="AM212" i="38"/>
  <c r="AL212" i="38"/>
  <c r="J212" i="38"/>
  <c r="K212" i="38" s="1"/>
  <c r="I213" i="38" s="1"/>
  <c r="AZ138" i="38"/>
  <c r="AB213" i="38" l="1"/>
  <c r="AK213" i="38"/>
  <c r="AJ212" i="38"/>
  <c r="AF212" i="38"/>
  <c r="AM213" i="38"/>
  <c r="AL213" i="38"/>
  <c r="J213" i="38"/>
  <c r="K213" i="38" s="1"/>
  <c r="AZ139" i="38"/>
  <c r="I214" i="38" l="1"/>
  <c r="AZ140" i="38"/>
  <c r="AB214" i="38" l="1"/>
  <c r="AK214" i="38"/>
  <c r="AJ213" i="38"/>
  <c r="AF213" i="38"/>
  <c r="AL214" i="38"/>
  <c r="AM214" i="38"/>
  <c r="J214" i="38"/>
  <c r="K214" i="38" s="1"/>
  <c r="I215" i="38" s="1"/>
  <c r="AZ141" i="38"/>
  <c r="AB215" i="38" l="1"/>
  <c r="AK215" i="38"/>
  <c r="AJ214" i="38"/>
  <c r="AF214" i="38"/>
  <c r="AL215" i="38"/>
  <c r="AM215" i="38"/>
  <c r="J215" i="38"/>
  <c r="K215" i="38" s="1"/>
  <c r="AZ142" i="38"/>
  <c r="I216" i="38" l="1"/>
  <c r="AZ143" i="38"/>
  <c r="AZ144" i="38"/>
  <c r="AB216" i="38" l="1"/>
  <c r="AK216" i="38"/>
  <c r="AJ215" i="38"/>
  <c r="AF215" i="38"/>
  <c r="AL216" i="38"/>
  <c r="AM216" i="38"/>
  <c r="J216" i="38"/>
  <c r="K216" i="38"/>
  <c r="I217" i="38" s="1"/>
  <c r="AZ145" i="38"/>
  <c r="AB217" i="38" l="1"/>
  <c r="AK217" i="38"/>
  <c r="AJ216" i="38"/>
  <c r="AF216" i="38"/>
  <c r="AL217" i="38"/>
  <c r="AM217" i="38"/>
  <c r="J217" i="38"/>
  <c r="K217" i="38" s="1"/>
  <c r="I218" i="38" s="1"/>
  <c r="AZ146" i="38"/>
  <c r="AB218" i="38" l="1"/>
  <c r="AK218" i="38"/>
  <c r="AJ217" i="38"/>
  <c r="AF217" i="38"/>
  <c r="AL218" i="38"/>
  <c r="AM218" i="38"/>
  <c r="J218" i="38"/>
  <c r="K218" i="38" s="1"/>
  <c r="I219" i="38" s="1"/>
  <c r="AZ147" i="38"/>
  <c r="AB219" i="38" l="1"/>
  <c r="AK219" i="38"/>
  <c r="AJ218" i="38"/>
  <c r="AF218" i="38"/>
  <c r="AM219" i="38"/>
  <c r="AL219" i="38"/>
  <c r="J219" i="38"/>
  <c r="K219" i="38" s="1"/>
  <c r="I220" i="38" s="1"/>
  <c r="AZ148" i="38"/>
  <c r="AB220" i="38" l="1"/>
  <c r="AK220" i="38"/>
  <c r="AJ219" i="38"/>
  <c r="AF219" i="38"/>
  <c r="AL220" i="38"/>
  <c r="AM220" i="38"/>
  <c r="J220" i="38"/>
  <c r="K220" i="38" s="1"/>
  <c r="AZ149" i="38"/>
  <c r="I221" i="38" l="1"/>
  <c r="AZ150" i="38"/>
  <c r="AB221" i="38" l="1"/>
  <c r="AK221" i="38"/>
  <c r="AJ220" i="38"/>
  <c r="AF220" i="38"/>
  <c r="AM221" i="38"/>
  <c r="AL221" i="38"/>
  <c r="J221" i="38"/>
  <c r="K221" i="38"/>
  <c r="I222" i="38" s="1"/>
  <c r="AZ151" i="38"/>
  <c r="AB222" i="38" l="1"/>
  <c r="AK222" i="38"/>
  <c r="AJ221" i="38"/>
  <c r="AF221" i="38"/>
  <c r="AL222" i="38"/>
  <c r="AM222" i="38"/>
  <c r="J222" i="38"/>
  <c r="K222" i="38" s="1"/>
  <c r="I223" i="38" s="1"/>
  <c r="AZ152" i="38"/>
  <c r="AB223" i="38" l="1"/>
  <c r="AK223" i="38"/>
  <c r="AJ222" i="38"/>
  <c r="AF222" i="38"/>
  <c r="AM223" i="38"/>
  <c r="AL223" i="38"/>
  <c r="J223" i="38"/>
  <c r="AZ153" i="38"/>
  <c r="K223" i="38" l="1"/>
  <c r="I224" i="38" s="1"/>
  <c r="AZ154" i="38"/>
  <c r="AK224" i="38" l="1"/>
  <c r="AJ223" i="38"/>
  <c r="AF223" i="38"/>
  <c r="AL224" i="38"/>
  <c r="AM224" i="38"/>
  <c r="J224" i="38"/>
  <c r="K224" i="38" s="1"/>
  <c r="I225" i="38" s="1"/>
  <c r="AB224" i="38"/>
  <c r="J225" i="38"/>
  <c r="AZ155" i="38"/>
  <c r="AB225" i="38" l="1"/>
  <c r="AK225" i="38"/>
  <c r="AJ224" i="38"/>
  <c r="AF224" i="38"/>
  <c r="AM225" i="38"/>
  <c r="AL225" i="38"/>
  <c r="K225" i="38"/>
  <c r="I226" i="38" s="1"/>
  <c r="AZ156" i="38"/>
  <c r="AZ157" i="38"/>
  <c r="AB226" i="38" l="1"/>
  <c r="AK226" i="38"/>
  <c r="AJ225" i="38"/>
  <c r="AF225" i="38"/>
  <c r="AM226" i="38"/>
  <c r="AL226" i="38"/>
  <c r="J226" i="38"/>
  <c r="K226" i="38" s="1"/>
  <c r="I227" i="38" s="1"/>
  <c r="J227" i="38"/>
  <c r="K227" i="38" s="1"/>
  <c r="I228" i="38" s="1"/>
  <c r="AZ158" i="38"/>
  <c r="AB228" i="38" l="1"/>
  <c r="AK228" i="38"/>
  <c r="AJ227" i="38"/>
  <c r="AF227" i="38"/>
  <c r="AM228" i="38"/>
  <c r="AL228" i="38"/>
  <c r="AB227" i="38"/>
  <c r="AK227" i="38"/>
  <c r="AJ226" i="38"/>
  <c r="AF226" i="38"/>
  <c r="AM227" i="38"/>
  <c r="AL227" i="38"/>
  <c r="J228" i="38"/>
  <c r="K228" i="38" s="1"/>
  <c r="I229" i="38" s="1"/>
  <c r="AZ159" i="38"/>
  <c r="AB229" i="38" l="1"/>
  <c r="AK229" i="38"/>
  <c r="AJ228" i="38"/>
  <c r="AF228" i="38"/>
  <c r="AL229" i="38"/>
  <c r="AM229" i="38"/>
  <c r="J229" i="38"/>
  <c r="K229" i="38" s="1"/>
  <c r="AZ160" i="38"/>
  <c r="I230" i="38" l="1"/>
  <c r="AZ161" i="38"/>
  <c r="AB230" i="38" l="1"/>
  <c r="AK230" i="38"/>
  <c r="AJ229" i="38"/>
  <c r="AF229" i="38"/>
  <c r="AM230" i="38"/>
  <c r="AL230" i="38"/>
  <c r="J230" i="38"/>
  <c r="K230" i="38" s="1"/>
  <c r="AZ162" i="38"/>
  <c r="I231" i="38" l="1"/>
  <c r="AZ163" i="38"/>
  <c r="AB231" i="38" l="1"/>
  <c r="AK231" i="38"/>
  <c r="AJ230" i="38"/>
  <c r="AF230" i="38"/>
  <c r="AM231" i="38"/>
  <c r="AL231" i="38"/>
  <c r="J231" i="38"/>
  <c r="K231" i="38" s="1"/>
  <c r="I232" i="38" s="1"/>
  <c r="AZ164" i="38"/>
  <c r="AB232" i="38" l="1"/>
  <c r="AK232" i="38"/>
  <c r="AJ231" i="38"/>
  <c r="AF231" i="38"/>
  <c r="AL232" i="38"/>
  <c r="AM232" i="38"/>
  <c r="J232" i="38"/>
  <c r="K232" i="38" s="1"/>
  <c r="I233" i="38" s="1"/>
  <c r="AZ165" i="38"/>
  <c r="AK233" i="38" l="1"/>
  <c r="AJ232" i="38"/>
  <c r="AF232" i="38"/>
  <c r="AL233" i="38"/>
  <c r="AM233" i="38"/>
  <c r="AB233" i="38"/>
  <c r="J233" i="38"/>
  <c r="K233" i="38" s="1"/>
  <c r="I234" i="38"/>
  <c r="AZ166" i="38"/>
  <c r="AB234" i="38" l="1"/>
  <c r="AK234" i="38"/>
  <c r="AJ233" i="38"/>
  <c r="AF233" i="38"/>
  <c r="AM234" i="38"/>
  <c r="AL234" i="38"/>
  <c r="J234" i="38"/>
  <c r="K234" i="38" s="1"/>
  <c r="AZ167" i="38"/>
  <c r="AZ168" i="38"/>
  <c r="I235" i="38" l="1"/>
  <c r="AZ169" i="38"/>
  <c r="AB235" i="38" l="1"/>
  <c r="AK235" i="38"/>
  <c r="AJ234" i="38"/>
  <c r="AF234" i="38"/>
  <c r="AL235" i="38"/>
  <c r="AM235" i="38"/>
  <c r="J235" i="38"/>
  <c r="K235" i="38" s="1"/>
  <c r="AZ170" i="38"/>
  <c r="I236" i="38" l="1"/>
  <c r="AZ171" i="38"/>
  <c r="AB236" i="38" l="1"/>
  <c r="AK236" i="38"/>
  <c r="AJ235" i="38"/>
  <c r="AF235" i="38"/>
  <c r="AL236" i="38"/>
  <c r="AM236" i="38"/>
  <c r="J236" i="38"/>
  <c r="K236" i="38" s="1"/>
  <c r="I237" i="38" s="1"/>
  <c r="AZ172" i="38"/>
  <c r="AB237" i="38" l="1"/>
  <c r="AK237" i="38"/>
  <c r="AJ236" i="38"/>
  <c r="AF236" i="38"/>
  <c r="AM237" i="38"/>
  <c r="AL237" i="38"/>
  <c r="J237" i="38"/>
  <c r="K237" i="38" s="1"/>
  <c r="AZ173" i="38"/>
  <c r="I238" i="38" l="1"/>
  <c r="AZ174" i="38"/>
  <c r="AB238" i="38" l="1"/>
  <c r="AK238" i="38"/>
  <c r="AJ237" i="38"/>
  <c r="AF237" i="38"/>
  <c r="AL238" i="38"/>
  <c r="AM238" i="38"/>
  <c r="J238" i="38"/>
  <c r="K238" i="38" s="1"/>
  <c r="AZ175" i="38"/>
  <c r="I239" i="38" l="1"/>
  <c r="AZ176" i="38"/>
  <c r="AB239" i="38" l="1"/>
  <c r="AK239" i="38"/>
  <c r="AJ238" i="38"/>
  <c r="AF238" i="38"/>
  <c r="AM239" i="38"/>
  <c r="AL239" i="38"/>
  <c r="J239" i="38"/>
  <c r="AZ177" i="38"/>
  <c r="K239" i="38" l="1"/>
  <c r="I240" i="38" s="1"/>
  <c r="AZ178" i="38"/>
  <c r="AB240" i="38" l="1"/>
  <c r="AK240" i="38"/>
  <c r="AJ239" i="38"/>
  <c r="AF239" i="38"/>
  <c r="AL240" i="38"/>
  <c r="AM240" i="38"/>
  <c r="J240" i="38"/>
  <c r="K240" i="38" s="1"/>
  <c r="I241" i="38" s="1"/>
  <c r="AZ179" i="38"/>
  <c r="AB241" i="38" l="1"/>
  <c r="AK241" i="38"/>
  <c r="AJ240" i="38"/>
  <c r="AF240" i="38"/>
  <c r="AL241" i="38"/>
  <c r="AM241" i="38"/>
  <c r="J241" i="38"/>
  <c r="K241" i="38" s="1"/>
  <c r="I242" i="38" s="1"/>
  <c r="AZ180" i="38"/>
  <c r="AB242" i="38" l="1"/>
  <c r="AK242" i="38"/>
  <c r="AJ241" i="38"/>
  <c r="AF241" i="38"/>
  <c r="AM242" i="38"/>
  <c r="AL242" i="38"/>
  <c r="J242" i="38"/>
  <c r="K242" i="38" s="1"/>
  <c r="I243" i="38" s="1"/>
  <c r="AZ181" i="38"/>
  <c r="AB243" i="38" l="1"/>
  <c r="AK243" i="38"/>
  <c r="AJ242" i="38"/>
  <c r="AF242" i="38"/>
  <c r="AM243" i="38"/>
  <c r="AL243" i="38"/>
  <c r="J243" i="38"/>
  <c r="K243" i="38" s="1"/>
  <c r="I244" i="38" s="1"/>
  <c r="AZ182" i="38"/>
  <c r="AB244" i="38" l="1"/>
  <c r="AK244" i="38"/>
  <c r="AJ243" i="38"/>
  <c r="AF243" i="38"/>
  <c r="AM244" i="38"/>
  <c r="AL244" i="38"/>
  <c r="J244" i="38"/>
  <c r="K244" i="38" s="1"/>
  <c r="I245" i="38" s="1"/>
  <c r="AZ183" i="38"/>
  <c r="AB245" i="38" l="1"/>
  <c r="AK245" i="38"/>
  <c r="AJ244" i="38"/>
  <c r="AF244" i="38"/>
  <c r="AM245" i="38"/>
  <c r="AL245" i="38"/>
  <c r="J245" i="38"/>
  <c r="K245" i="38" s="1"/>
  <c r="I246" i="38" s="1"/>
  <c r="AZ184" i="38"/>
  <c r="AB246" i="38" l="1"/>
  <c r="AK246" i="38"/>
  <c r="AJ245" i="38"/>
  <c r="AF245" i="38"/>
  <c r="AL246" i="38"/>
  <c r="AM246" i="38"/>
  <c r="J246" i="38"/>
  <c r="K246" i="38" s="1"/>
  <c r="AZ185" i="38"/>
  <c r="I247" i="38" l="1"/>
  <c r="AZ186" i="38"/>
  <c r="AB247" i="38" l="1"/>
  <c r="AK247" i="38"/>
  <c r="AJ246" i="38"/>
  <c r="AF246" i="38"/>
  <c r="AM247" i="38"/>
  <c r="AL247" i="38"/>
  <c r="J247" i="38"/>
  <c r="K247" i="38" s="1"/>
  <c r="AY3" i="38"/>
  <c r="I248" i="38" l="1"/>
  <c r="AZ187" i="38"/>
  <c r="AB248" i="38" l="1"/>
  <c r="AK248" i="38"/>
  <c r="AJ247" i="38"/>
  <c r="AF247" i="38"/>
  <c r="AL248" i="38"/>
  <c r="AM248" i="38"/>
  <c r="J248" i="38"/>
  <c r="K248" i="38" s="1"/>
  <c r="I249" i="38" s="1"/>
  <c r="AZ188" i="38"/>
  <c r="AB249" i="38" l="1"/>
  <c r="AK249" i="38"/>
  <c r="AJ248" i="38"/>
  <c r="AF248" i="38"/>
  <c r="AM249" i="38"/>
  <c r="AL249" i="38"/>
  <c r="J249" i="38"/>
  <c r="K249" i="38" s="1"/>
  <c r="I250" i="38" s="1"/>
  <c r="AZ189" i="38"/>
  <c r="AB250" i="38" l="1"/>
  <c r="AK250" i="38"/>
  <c r="AJ249" i="38"/>
  <c r="AF249" i="38"/>
  <c r="AL250" i="38"/>
  <c r="AM250" i="38"/>
  <c r="J250" i="38"/>
  <c r="K250" i="38" s="1"/>
  <c r="I251" i="38" s="1"/>
  <c r="AZ190" i="38"/>
  <c r="AB251" i="38" l="1"/>
  <c r="AK251" i="38"/>
  <c r="AJ250" i="38"/>
  <c r="AF250" i="38"/>
  <c r="AM251" i="38"/>
  <c r="AL251" i="38"/>
  <c r="J251" i="38"/>
  <c r="K251" i="38" s="1"/>
  <c r="I252" i="38" s="1"/>
  <c r="AZ191" i="38"/>
  <c r="AB252" i="38" l="1"/>
  <c r="AK252" i="38"/>
  <c r="AJ251" i="38"/>
  <c r="AF251" i="38"/>
  <c r="AL252" i="38"/>
  <c r="AM252" i="38"/>
  <c r="J252" i="38"/>
  <c r="K252" i="38" s="1"/>
  <c r="I253" i="38" s="1"/>
  <c r="AZ192" i="38"/>
  <c r="AB253" i="38" l="1"/>
  <c r="AK253" i="38"/>
  <c r="AJ252" i="38"/>
  <c r="AF252" i="38"/>
  <c r="AM253" i="38"/>
  <c r="AL253" i="38"/>
  <c r="J253" i="38"/>
  <c r="K253" i="38" s="1"/>
  <c r="AZ193" i="38"/>
  <c r="I254" i="38" l="1"/>
  <c r="AZ194" i="38"/>
  <c r="AB254" i="38" l="1"/>
  <c r="AK254" i="38"/>
  <c r="AJ253" i="38"/>
  <c r="AF253" i="38"/>
  <c r="AL254" i="38"/>
  <c r="AM254" i="38"/>
  <c r="J254" i="38"/>
  <c r="K254" i="38" s="1"/>
  <c r="I255" i="38" s="1"/>
  <c r="AZ196" i="38"/>
  <c r="AZ195" i="38"/>
  <c r="AB255" i="38" l="1"/>
  <c r="AK255" i="38"/>
  <c r="AJ254" i="38"/>
  <c r="AF254" i="38"/>
  <c r="AM255" i="38"/>
  <c r="AL255" i="38"/>
  <c r="J255" i="38"/>
  <c r="K255" i="38" s="1"/>
  <c r="I256" i="38" s="1"/>
  <c r="AZ197" i="38"/>
  <c r="AB256" i="38" l="1"/>
  <c r="AK256" i="38"/>
  <c r="AJ255" i="38"/>
  <c r="AF255" i="38"/>
  <c r="AL256" i="38"/>
  <c r="AM256" i="38"/>
  <c r="J256" i="38"/>
  <c r="K256" i="38" s="1"/>
  <c r="AZ198" i="38"/>
  <c r="I257" i="38" l="1"/>
  <c r="AZ199" i="38"/>
  <c r="AB257" i="38" l="1"/>
  <c r="AK257" i="38"/>
  <c r="AJ256" i="38"/>
  <c r="AF256" i="38"/>
  <c r="AM257" i="38"/>
  <c r="AL257" i="38"/>
  <c r="J257" i="38"/>
  <c r="K257" i="38" s="1"/>
  <c r="AZ200" i="38"/>
  <c r="I258" i="38" l="1"/>
  <c r="AZ201" i="38"/>
  <c r="AB258" i="38" l="1"/>
  <c r="AK258" i="38"/>
  <c r="AJ257" i="38"/>
  <c r="AF257" i="38"/>
  <c r="AM258" i="38"/>
  <c r="AL258" i="38"/>
  <c r="J258" i="38"/>
  <c r="K258" i="38"/>
  <c r="AZ202" i="38"/>
  <c r="I259" i="38" l="1"/>
  <c r="AZ203" i="38"/>
  <c r="AB259" i="38" l="1"/>
  <c r="AK259" i="38"/>
  <c r="AK3" i="38" s="1"/>
  <c r="AJ258" i="38"/>
  <c r="AF258" i="38"/>
  <c r="AL259" i="38"/>
  <c r="AL3" i="38" s="1"/>
  <c r="AM259" i="38"/>
  <c r="AM3" i="38" s="1"/>
  <c r="AB3" i="38"/>
  <c r="AO4" i="38" s="1"/>
  <c r="AO259" i="38" s="1"/>
  <c r="J259" i="38"/>
  <c r="K259" i="38" s="1"/>
  <c r="AZ204" i="38"/>
  <c r="AN259" i="38" l="1"/>
  <c r="AO258" i="38" s="1"/>
  <c r="AN8" i="38"/>
  <c r="AN9" i="38"/>
  <c r="AO8" i="38" s="1"/>
  <c r="AN10" i="38"/>
  <c r="AO9" i="38" s="1"/>
  <c r="AN12" i="38"/>
  <c r="AO11" i="38" s="1"/>
  <c r="AN11" i="38"/>
  <c r="AO10" i="38" s="1"/>
  <c r="AN17" i="38"/>
  <c r="AO16" i="38" s="1"/>
  <c r="AN15" i="38"/>
  <c r="AO14" i="38" s="1"/>
  <c r="AN13" i="38"/>
  <c r="AO12" i="38" s="1"/>
  <c r="AN14" i="38"/>
  <c r="AO13" i="38" s="1"/>
  <c r="AN18" i="38"/>
  <c r="AO17" i="38" s="1"/>
  <c r="AN20" i="38"/>
  <c r="AO19" i="38" s="1"/>
  <c r="AN16" i="38"/>
  <c r="AO15" i="38" s="1"/>
  <c r="AN19" i="38"/>
  <c r="AO18" i="38" s="1"/>
  <c r="AN21" i="38"/>
  <c r="AO20" i="38" s="1"/>
  <c r="AN23" i="38"/>
  <c r="AO22" i="38" s="1"/>
  <c r="AN22" i="38"/>
  <c r="AO21" i="38" s="1"/>
  <c r="AN24" i="38"/>
  <c r="AO23" i="38" s="1"/>
  <c r="AN27" i="38"/>
  <c r="AO26" i="38" s="1"/>
  <c r="AN25" i="38"/>
  <c r="AO24" i="38" s="1"/>
  <c r="AN26" i="38"/>
  <c r="AO25" i="38" s="1"/>
  <c r="AN28" i="38"/>
  <c r="AO27" i="38" s="1"/>
  <c r="AN29" i="38"/>
  <c r="AO28" i="38" s="1"/>
  <c r="AN33" i="38"/>
  <c r="AO32" i="38" s="1"/>
  <c r="AN30" i="38"/>
  <c r="AO29" i="38" s="1"/>
  <c r="AN32" i="38"/>
  <c r="AO31" i="38" s="1"/>
  <c r="AN31" i="38"/>
  <c r="AO30" i="38" s="1"/>
  <c r="AN35" i="38"/>
  <c r="AO34" i="38" s="1"/>
  <c r="AN34" i="38"/>
  <c r="AO33" i="38" s="1"/>
  <c r="AN38" i="38"/>
  <c r="AO37" i="38" s="1"/>
  <c r="AN36" i="38"/>
  <c r="AO35" i="38" s="1"/>
  <c r="AN37" i="38"/>
  <c r="AO36" i="38" s="1"/>
  <c r="AN39" i="38"/>
  <c r="AO38" i="38" s="1"/>
  <c r="AN40" i="38"/>
  <c r="AO39" i="38" s="1"/>
  <c r="AN41" i="38"/>
  <c r="AO40" i="38" s="1"/>
  <c r="AN42" i="38"/>
  <c r="AO41" i="38" s="1"/>
  <c r="AN44" i="38"/>
  <c r="AO43" i="38" s="1"/>
  <c r="AN43" i="38"/>
  <c r="AO42" i="38" s="1"/>
  <c r="AN46" i="38"/>
  <c r="AO45" i="38" s="1"/>
  <c r="AN45" i="38"/>
  <c r="AO44" i="38" s="1"/>
  <c r="AN47" i="38"/>
  <c r="AO46" i="38" s="1"/>
  <c r="AN49" i="38"/>
  <c r="AO48" i="38" s="1"/>
  <c r="AN50" i="38"/>
  <c r="AO49" i="38" s="1"/>
  <c r="AN48" i="38"/>
  <c r="AO47" i="38" s="1"/>
  <c r="AN51" i="38"/>
  <c r="AO50" i="38" s="1"/>
  <c r="AN53" i="38"/>
  <c r="AO52" i="38" s="1"/>
  <c r="AN52" i="38"/>
  <c r="AO51" i="38" s="1"/>
  <c r="AN54" i="38"/>
  <c r="AO53" i="38" s="1"/>
  <c r="AN55" i="38"/>
  <c r="AO54" i="38" s="1"/>
  <c r="AN57" i="38"/>
  <c r="AO56" i="38" s="1"/>
  <c r="AN56" i="38"/>
  <c r="AO55" i="38" s="1"/>
  <c r="AN58" i="38"/>
  <c r="AO57" i="38" s="1"/>
  <c r="AN59" i="38"/>
  <c r="AO58" i="38" s="1"/>
  <c r="AN61" i="38"/>
  <c r="AO60" i="38" s="1"/>
  <c r="AN60" i="38"/>
  <c r="AO59" i="38" s="1"/>
  <c r="AN63" i="38"/>
  <c r="AO62" i="38" s="1"/>
  <c r="AN62" i="38"/>
  <c r="AO61" i="38" s="1"/>
  <c r="AN65" i="38"/>
  <c r="AO64" i="38" s="1"/>
  <c r="AN64" i="38"/>
  <c r="AO63" i="38" s="1"/>
  <c r="AN66" i="38"/>
  <c r="AO65" i="38" s="1"/>
  <c r="AN67" i="38"/>
  <c r="AO66" i="38" s="1"/>
  <c r="AN68" i="38"/>
  <c r="AO67" i="38" s="1"/>
  <c r="AN71" i="38"/>
  <c r="AO70" i="38" s="1"/>
  <c r="AN69" i="38"/>
  <c r="AO68" i="38" s="1"/>
  <c r="AN70" i="38"/>
  <c r="AO69" i="38" s="1"/>
  <c r="AN73" i="38"/>
  <c r="AO72" i="38" s="1"/>
  <c r="AN72" i="38"/>
  <c r="AO71" i="38" s="1"/>
  <c r="AN74" i="38"/>
  <c r="AO73" i="38" s="1"/>
  <c r="AN78" i="38"/>
  <c r="AO77" i="38" s="1"/>
  <c r="AN75" i="38"/>
  <c r="AO74" i="38" s="1"/>
  <c r="AN77" i="38"/>
  <c r="AO76" i="38" s="1"/>
  <c r="AN76" i="38"/>
  <c r="AO75" i="38" s="1"/>
  <c r="AN80" i="38"/>
  <c r="AO79" i="38" s="1"/>
  <c r="AN79" i="38"/>
  <c r="AO78" i="38" s="1"/>
  <c r="AN81" i="38"/>
  <c r="AO80" i="38" s="1"/>
  <c r="AN82" i="38"/>
  <c r="AO81" i="38" s="1"/>
  <c r="AN84" i="38"/>
  <c r="AO83" i="38" s="1"/>
  <c r="AN83" i="38"/>
  <c r="AO82" i="38" s="1"/>
  <c r="AN86" i="38"/>
  <c r="AO85" i="38" s="1"/>
  <c r="AN87" i="38"/>
  <c r="AO86" i="38" s="1"/>
  <c r="AN85" i="38"/>
  <c r="AO84" i="38" s="1"/>
  <c r="AN88" i="38"/>
  <c r="AO87" i="38" s="1"/>
  <c r="AN90" i="38"/>
  <c r="AO89" i="38" s="1"/>
  <c r="AN91" i="38"/>
  <c r="AO90" i="38" s="1"/>
  <c r="AN89" i="38"/>
  <c r="AO88" i="38" s="1"/>
  <c r="AN92" i="38"/>
  <c r="AO91" i="38" s="1"/>
  <c r="AN93" i="38"/>
  <c r="AO92" i="38" s="1"/>
  <c r="AN94" i="38"/>
  <c r="AO93" i="38" s="1"/>
  <c r="AN97" i="38"/>
  <c r="AO96" i="38" s="1"/>
  <c r="AN95" i="38"/>
  <c r="AO94" i="38" s="1"/>
  <c r="AN96" i="38"/>
  <c r="AO95" i="38" s="1"/>
  <c r="AN98" i="38"/>
  <c r="AO97" i="38" s="1"/>
  <c r="AN99" i="38"/>
  <c r="AO98" i="38" s="1"/>
  <c r="AN100" i="38"/>
  <c r="AO99" i="38" s="1"/>
  <c r="AN101" i="38"/>
  <c r="AO100" i="38" s="1"/>
  <c r="AN103" i="38"/>
  <c r="AO102" i="38" s="1"/>
  <c r="AN104" i="38"/>
  <c r="AO103" i="38" s="1"/>
  <c r="AN102" i="38"/>
  <c r="AO101" i="38" s="1"/>
  <c r="AN105" i="38"/>
  <c r="AO104" i="38" s="1"/>
  <c r="AN107" i="38"/>
  <c r="AO106" i="38" s="1"/>
  <c r="AN106" i="38"/>
  <c r="AO105" i="38" s="1"/>
  <c r="AN110" i="38"/>
  <c r="AO109" i="38" s="1"/>
  <c r="AN108" i="38"/>
  <c r="AO107" i="38" s="1"/>
  <c r="AN109" i="38"/>
  <c r="AO108" i="38" s="1"/>
  <c r="AN111" i="38"/>
  <c r="AO110" i="38" s="1"/>
  <c r="AN112" i="38"/>
  <c r="AO111" i="38" s="1"/>
  <c r="AN113" i="38"/>
  <c r="AO112" i="38" s="1"/>
  <c r="AN114" i="38"/>
  <c r="AO113" i="38" s="1"/>
  <c r="AN116" i="38"/>
  <c r="AO115" i="38" s="1"/>
  <c r="AN115" i="38"/>
  <c r="AO114" i="38" s="1"/>
  <c r="AN117" i="38"/>
  <c r="AO116" i="38" s="1"/>
  <c r="AN118" i="38"/>
  <c r="AO117" i="38" s="1"/>
  <c r="AN119" i="38"/>
  <c r="AO118" i="38" s="1"/>
  <c r="AN120" i="38"/>
  <c r="AO119" i="38" s="1"/>
  <c r="AN122" i="38"/>
  <c r="AO121" i="38" s="1"/>
  <c r="AN121" i="38"/>
  <c r="AO120" i="38" s="1"/>
  <c r="AN123" i="38"/>
  <c r="AO122" i="38" s="1"/>
  <c r="AN124" i="38"/>
  <c r="AO123" i="38" s="1"/>
  <c r="AN125" i="38"/>
  <c r="AO124" i="38" s="1"/>
  <c r="AN126" i="38"/>
  <c r="AO125" i="38" s="1"/>
  <c r="AN127" i="38"/>
  <c r="AO126" i="38" s="1"/>
  <c r="AN128" i="38"/>
  <c r="AO127" i="38" s="1"/>
  <c r="AN129" i="38"/>
  <c r="AO128" i="38" s="1"/>
  <c r="AN130" i="38"/>
  <c r="AO129" i="38" s="1"/>
  <c r="AN131" i="38"/>
  <c r="AO130" i="38" s="1"/>
  <c r="AN132" i="38"/>
  <c r="AO131" i="38" s="1"/>
  <c r="AN133" i="38"/>
  <c r="AO132" i="38" s="1"/>
  <c r="AN135" i="38"/>
  <c r="AO134" i="38" s="1"/>
  <c r="AN136" i="38"/>
  <c r="AO135" i="38" s="1"/>
  <c r="AN134" i="38"/>
  <c r="AO133" i="38" s="1"/>
  <c r="AN137" i="38"/>
  <c r="AO136" i="38" s="1"/>
  <c r="AN139" i="38"/>
  <c r="AO138" i="38" s="1"/>
  <c r="AN138" i="38"/>
  <c r="AO137" i="38" s="1"/>
  <c r="AN141" i="38"/>
  <c r="AO140" i="38" s="1"/>
  <c r="AN140" i="38"/>
  <c r="AO139" i="38" s="1"/>
  <c r="AN143" i="38"/>
  <c r="AO142" i="38" s="1"/>
  <c r="AN142" i="38"/>
  <c r="AO141" i="38" s="1"/>
  <c r="AN144" i="38"/>
  <c r="AO143" i="38" s="1"/>
  <c r="AN145" i="38"/>
  <c r="AO144" i="38" s="1"/>
  <c r="AN146" i="38"/>
  <c r="AO145" i="38" s="1"/>
  <c r="AN148" i="38"/>
  <c r="AO147" i="38" s="1"/>
  <c r="AN150" i="38"/>
  <c r="AO149" i="38" s="1"/>
  <c r="AN147" i="38"/>
  <c r="AO146" i="38" s="1"/>
  <c r="AN149" i="38"/>
  <c r="AO148" i="38" s="1"/>
  <c r="AN151" i="38"/>
  <c r="AO150" i="38" s="1"/>
  <c r="AN152" i="38"/>
  <c r="AO151" i="38" s="1"/>
  <c r="AN153" i="38"/>
  <c r="AO152" i="38" s="1"/>
  <c r="AN154" i="38"/>
  <c r="AO153" i="38" s="1"/>
  <c r="AN156" i="38"/>
  <c r="AO155" i="38" s="1"/>
  <c r="AN158" i="38"/>
  <c r="AO157" i="38" s="1"/>
  <c r="AN155" i="38"/>
  <c r="AO154" i="38" s="1"/>
  <c r="AN157" i="38"/>
  <c r="AO156" i="38" s="1"/>
  <c r="AN159" i="38"/>
  <c r="AO158" i="38" s="1"/>
  <c r="AN160" i="38"/>
  <c r="AO159" i="38" s="1"/>
  <c r="AN162" i="38"/>
  <c r="AO161" i="38" s="1"/>
  <c r="AN161" i="38"/>
  <c r="AO160" i="38" s="1"/>
  <c r="AN163" i="38"/>
  <c r="AO162" i="38" s="1"/>
  <c r="AN165" i="38"/>
  <c r="AO164" i="38" s="1"/>
  <c r="AN166" i="38"/>
  <c r="AO165" i="38" s="1"/>
  <c r="AN164" i="38"/>
  <c r="AO163" i="38" s="1"/>
  <c r="AN169" i="38"/>
  <c r="AO168" i="38" s="1"/>
  <c r="AN167" i="38"/>
  <c r="AO166" i="38" s="1"/>
  <c r="AN168" i="38"/>
  <c r="AO167" i="38" s="1"/>
  <c r="AN172" i="38"/>
  <c r="AO171" i="38" s="1"/>
  <c r="AN170" i="38"/>
  <c r="AO169" i="38" s="1"/>
  <c r="AN173" i="38"/>
  <c r="AO172" i="38" s="1"/>
  <c r="AN171" i="38"/>
  <c r="AO170" i="38" s="1"/>
  <c r="AN175" i="38"/>
  <c r="AO174" i="38" s="1"/>
  <c r="AN174" i="38"/>
  <c r="AO173" i="38" s="1"/>
  <c r="AN177" i="38"/>
  <c r="AO176" i="38" s="1"/>
  <c r="AN176" i="38"/>
  <c r="AO175" i="38" s="1"/>
  <c r="AN179" i="38"/>
  <c r="AO178" i="38" s="1"/>
  <c r="AN178" i="38"/>
  <c r="AO177" i="38" s="1"/>
  <c r="AN180" i="38"/>
  <c r="AO179" i="38" s="1"/>
  <c r="AN181" i="38"/>
  <c r="AO180" i="38" s="1"/>
  <c r="AN182" i="38"/>
  <c r="AO181" i="38" s="1"/>
  <c r="AN183" i="38"/>
  <c r="AO182" i="38" s="1"/>
  <c r="AN184" i="38"/>
  <c r="AO183" i="38" s="1"/>
  <c r="AN185" i="38"/>
  <c r="AO184" i="38" s="1"/>
  <c r="AN186" i="38"/>
  <c r="AO185" i="38" s="1"/>
  <c r="AN187" i="38"/>
  <c r="AO186" i="38" s="1"/>
  <c r="AN188" i="38"/>
  <c r="AO187" i="38" s="1"/>
  <c r="AN189" i="38"/>
  <c r="AO188" i="38" s="1"/>
  <c r="AN190" i="38"/>
  <c r="AO189" i="38" s="1"/>
  <c r="AN191" i="38"/>
  <c r="AO190" i="38" s="1"/>
  <c r="AN192" i="38"/>
  <c r="AO191" i="38" s="1"/>
  <c r="AN193" i="38"/>
  <c r="AO192" i="38" s="1"/>
  <c r="AN196" i="38"/>
  <c r="AO195" i="38" s="1"/>
  <c r="AN194" i="38"/>
  <c r="AO193" i="38" s="1"/>
  <c r="AN195" i="38"/>
  <c r="AO194" i="38" s="1"/>
  <c r="AN198" i="38"/>
  <c r="AO197" i="38" s="1"/>
  <c r="AN200" i="38"/>
  <c r="AO199" i="38" s="1"/>
  <c r="AN199" i="38"/>
  <c r="AO198" i="38" s="1"/>
  <c r="AN197" i="38"/>
  <c r="AO196" i="38" s="1"/>
  <c r="AN201" i="38"/>
  <c r="AO200" i="38" s="1"/>
  <c r="AN202" i="38"/>
  <c r="AO201" i="38" s="1"/>
  <c r="AN203" i="38"/>
  <c r="AO202" i="38" s="1"/>
  <c r="AN204" i="38"/>
  <c r="AO203" i="38" s="1"/>
  <c r="AN205" i="38"/>
  <c r="AO204" i="38" s="1"/>
  <c r="AN206" i="38"/>
  <c r="AO205" i="38" s="1"/>
  <c r="AN208" i="38"/>
  <c r="AO207" i="38" s="1"/>
  <c r="AN207" i="38"/>
  <c r="AO206" i="38" s="1"/>
  <c r="AN210" i="38"/>
  <c r="AO209" i="38" s="1"/>
  <c r="AN209" i="38"/>
  <c r="AO208" i="38" s="1"/>
  <c r="AN211" i="38"/>
  <c r="AO210" i="38" s="1"/>
  <c r="AN213" i="38"/>
  <c r="AO212" i="38" s="1"/>
  <c r="AN212" i="38"/>
  <c r="AO211" i="38" s="1"/>
  <c r="AN215" i="38"/>
  <c r="AO214" i="38" s="1"/>
  <c r="AN214" i="38"/>
  <c r="AO213" i="38" s="1"/>
  <c r="AN217" i="38"/>
  <c r="AO216" i="38" s="1"/>
  <c r="AN219" i="38"/>
  <c r="AO218" i="38" s="1"/>
  <c r="AN216" i="38"/>
  <c r="AO215" i="38" s="1"/>
  <c r="AN218" i="38"/>
  <c r="AO217" i="38" s="1"/>
  <c r="AN220" i="38"/>
  <c r="AO219" i="38" s="1"/>
  <c r="AN222" i="38"/>
  <c r="AO221" i="38" s="1"/>
  <c r="AN221" i="38"/>
  <c r="AO220" i="38" s="1"/>
  <c r="AN223" i="38"/>
  <c r="AO222" i="38" s="1"/>
  <c r="AN224" i="38"/>
  <c r="AO223" i="38" s="1"/>
  <c r="AN225" i="38"/>
  <c r="AO224" i="38" s="1"/>
  <c r="AN226" i="38"/>
  <c r="AO225" i="38" s="1"/>
  <c r="AN227" i="38"/>
  <c r="AO226" i="38" s="1"/>
  <c r="AN228" i="38"/>
  <c r="AO227" i="38" s="1"/>
  <c r="AN229" i="38"/>
  <c r="AO228" i="38" s="1"/>
  <c r="AN230" i="38"/>
  <c r="AO229" i="38" s="1"/>
  <c r="AN232" i="38"/>
  <c r="AO231" i="38" s="1"/>
  <c r="AN234" i="38"/>
  <c r="AO233" i="38" s="1"/>
  <c r="AN231" i="38"/>
  <c r="AO230" i="38" s="1"/>
  <c r="AN233" i="38"/>
  <c r="AO232" i="38" s="1"/>
  <c r="AN235" i="38"/>
  <c r="AO234" i="38" s="1"/>
  <c r="AN237" i="38"/>
  <c r="AO236" i="38" s="1"/>
  <c r="AN236" i="38"/>
  <c r="AO235" i="38" s="1"/>
  <c r="AN241" i="38"/>
  <c r="AO240" i="38" s="1"/>
  <c r="AN239" i="38"/>
  <c r="AO238" i="38" s="1"/>
  <c r="AN238" i="38"/>
  <c r="AO237" i="38" s="1"/>
  <c r="AN240" i="38"/>
  <c r="AO239" i="38" s="1"/>
  <c r="AN243" i="38"/>
  <c r="AO242" i="38" s="1"/>
  <c r="AN242" i="38"/>
  <c r="AO241" i="38" s="1"/>
  <c r="AN245" i="38"/>
  <c r="AO244" i="38" s="1"/>
  <c r="AN244" i="38"/>
  <c r="AO243" i="38" s="1"/>
  <c r="AN246" i="38"/>
  <c r="AO245" i="38" s="1"/>
  <c r="AN247" i="38"/>
  <c r="AO246" i="38" s="1"/>
  <c r="AN249" i="38"/>
  <c r="AO248" i="38" s="1"/>
  <c r="AN250" i="38"/>
  <c r="AO249" i="38" s="1"/>
  <c r="AN248" i="38"/>
  <c r="AO247" i="38" s="1"/>
  <c r="AN252" i="38"/>
  <c r="AO251" i="38" s="1"/>
  <c r="AN251" i="38"/>
  <c r="AO250" i="38" s="1"/>
  <c r="AN253" i="38"/>
  <c r="AO252" i="38" s="1"/>
  <c r="AN255" i="38"/>
  <c r="AO254" i="38" s="1"/>
  <c r="AN256" i="38"/>
  <c r="AO255" i="38" s="1"/>
  <c r="AN257" i="38"/>
  <c r="AO256" i="38" s="1"/>
  <c r="AN254" i="38"/>
  <c r="AO253" i="38" s="1"/>
  <c r="AN258" i="38"/>
  <c r="AO257" i="38" s="1"/>
  <c r="AZ205" i="38"/>
  <c r="AZ206" i="38" l="1"/>
  <c r="AZ207" i="38" l="1"/>
  <c r="AZ208" i="38" l="1"/>
  <c r="AZ209" i="38" l="1"/>
  <c r="AZ210" i="38" l="1"/>
  <c r="AZ211" i="38" l="1"/>
  <c r="AZ212" i="38" l="1"/>
  <c r="AZ213" i="38" l="1"/>
  <c r="AZ214" i="38" l="1"/>
  <c r="AZ215" i="38" l="1"/>
  <c r="AZ216" i="38" l="1"/>
  <c r="AZ217" i="38" l="1"/>
  <c r="AZ218" i="38" l="1"/>
  <c r="AZ219" i="38" l="1"/>
  <c r="AZ220" i="38" l="1"/>
  <c r="AZ221" i="38" l="1"/>
  <c r="AZ222" i="38" l="1"/>
  <c r="AZ223" i="38" l="1"/>
  <c r="AZ224" i="38" l="1"/>
  <c r="AZ225" i="38" l="1"/>
  <c r="AZ226" i="38" l="1"/>
  <c r="AZ227" i="38" l="1"/>
  <c r="AZ228" i="38" l="1"/>
  <c r="AZ229" i="38" l="1"/>
  <c r="AZ230" i="38" l="1"/>
  <c r="AZ231" i="38" l="1"/>
  <c r="AZ232" i="38" l="1"/>
  <c r="AZ233" i="38" l="1"/>
  <c r="AZ234" i="38" l="1"/>
  <c r="AZ235" i="38" l="1"/>
  <c r="AZ236" i="38" l="1"/>
  <c r="AZ237" i="38" l="1"/>
  <c r="AZ238" i="38" l="1"/>
  <c r="AZ239" i="38" l="1"/>
  <c r="AZ240" i="38" l="1"/>
  <c r="AZ241" i="38" l="1"/>
  <c r="AZ242" i="38" l="1"/>
  <c r="AZ243" i="38" l="1"/>
  <c r="AZ244" i="38" l="1"/>
  <c r="AZ245" i="38" l="1"/>
  <c r="AZ246" i="38" l="1"/>
  <c r="AZ247" i="38" l="1"/>
  <c r="AZ248" i="38" l="1"/>
  <c r="AZ249" i="38" l="1"/>
  <c r="AZ250" i="38" l="1"/>
  <c r="AZ251" i="38" l="1"/>
  <c r="AZ252" i="38" l="1"/>
  <c r="AZ253" i="38" l="1"/>
  <c r="AZ254" i="38" l="1"/>
  <c r="AZ255" i="38" l="1"/>
  <c r="AZ256" i="38" l="1"/>
  <c r="AZ257" i="38" l="1"/>
  <c r="AV3" i="38" l="1"/>
  <c r="AZ258" i="38"/>
  <c r="AU3" i="38"/>
  <c r="AZ259" i="38" l="1"/>
  <c r="AZ3" i="38" s="1"/>
  <c r="AW3" i="38"/>
  <c r="M9" i="38" l="1"/>
  <c r="V9" i="38" l="1"/>
  <c r="S9" i="38"/>
  <c r="AG9" i="38" s="1"/>
  <c r="P9" i="38"/>
  <c r="AD9" i="38" s="1"/>
  <c r="Q9" i="38"/>
  <c r="AE9" i="38" s="1"/>
  <c r="T9" i="38"/>
  <c r="AJ9" i="38" l="1"/>
  <c r="AH9" i="38"/>
  <c r="AA10" i="38" l="1"/>
  <c r="M10" i="38"/>
  <c r="Q10" i="38" s="1"/>
  <c r="AE10" i="38" s="1"/>
  <c r="S10" i="38" l="1"/>
  <c r="AG10" i="38" s="1"/>
  <c r="P10" i="38"/>
  <c r="AD10" i="38" s="1"/>
  <c r="T10" i="38"/>
  <c r="V10" i="38" l="1"/>
  <c r="AI10" i="38"/>
  <c r="AH10" i="38"/>
  <c r="AJ10" i="38" l="1"/>
  <c r="M11" i="38"/>
  <c r="S11" i="38" l="1"/>
  <c r="AG11" i="38" s="1"/>
  <c r="V11" i="38"/>
  <c r="Q11" i="38"/>
  <c r="AE11" i="38" s="1"/>
  <c r="P11" i="38"/>
  <c r="AD11" i="38" s="1"/>
  <c r="T11" i="38"/>
  <c r="AA11" i="38"/>
  <c r="AJ11" i="38" l="1"/>
  <c r="M12" i="38"/>
  <c r="AH11" i="38"/>
  <c r="AI11" i="38"/>
  <c r="S12" i="38" l="1"/>
  <c r="AG12" i="38" s="1"/>
  <c r="V12" i="38"/>
  <c r="M13" i="38" s="1"/>
  <c r="T12" i="38"/>
  <c r="Q12" i="38"/>
  <c r="AE12" i="38" s="1"/>
  <c r="P12" i="38"/>
  <c r="AD12" i="38" s="1"/>
  <c r="AA12" i="38"/>
  <c r="S13" i="38" l="1"/>
  <c r="AG13" i="38" s="1"/>
  <c r="V13" i="38"/>
  <c r="P13" i="38"/>
  <c r="AD13" i="38" s="1"/>
  <c r="AH12" i="38"/>
  <c r="AJ12" i="38"/>
  <c r="AA13" i="38" s="1"/>
  <c r="AI12" i="38"/>
  <c r="Q13" i="38"/>
  <c r="AE13" i="38" s="1"/>
  <c r="T13" i="38"/>
  <c r="M14" i="38" l="1"/>
  <c r="AJ13" i="38"/>
  <c r="AH13" i="38"/>
  <c r="S14" i="38" l="1"/>
  <c r="AG14" i="38" s="1"/>
  <c r="V14" i="38"/>
  <c r="AJ14" i="38" s="1"/>
  <c r="AA14" i="38"/>
  <c r="P14" i="38"/>
  <c r="AD14" i="38" s="1"/>
  <c r="T14" i="38"/>
  <c r="Q14" i="38"/>
  <c r="AE14" i="38" s="1"/>
  <c r="AA15" i="38" l="1"/>
  <c r="M15" i="38"/>
  <c r="AI14" i="38"/>
  <c r="AH14" i="38"/>
  <c r="Q15" i="38"/>
  <c r="AE15" i="38" s="1"/>
  <c r="S15" i="38" l="1"/>
  <c r="AG15" i="38" s="1"/>
  <c r="P15" i="38"/>
  <c r="AD15" i="38" s="1"/>
  <c r="T15" i="38"/>
  <c r="V15" i="38" l="1"/>
  <c r="AI15" i="38"/>
  <c r="AH15" i="38"/>
  <c r="AJ15" i="38" l="1"/>
  <c r="M16" i="38"/>
  <c r="AA16" i="38" l="1"/>
  <c r="S16" i="38"/>
  <c r="AG16" i="38" s="1"/>
  <c r="Q16" i="38"/>
  <c r="AE16" i="38" s="1"/>
  <c r="P16" i="38"/>
  <c r="AD16" i="38" s="1"/>
  <c r="T16" i="38"/>
  <c r="V16" i="38" l="1"/>
  <c r="AI16" i="38"/>
  <c r="AH16" i="38"/>
  <c r="M17" i="38" l="1"/>
  <c r="AJ16" i="38"/>
  <c r="S17" i="38" l="1"/>
  <c r="AG17" i="38" s="1"/>
  <c r="V17" i="38"/>
  <c r="P17" i="38"/>
  <c r="AD17" i="38" s="1"/>
  <c r="Q17" i="38"/>
  <c r="AE17" i="38" s="1"/>
  <c r="T17" i="38"/>
  <c r="AA17" i="38"/>
  <c r="AA18" i="38" l="1"/>
  <c r="AJ17" i="38"/>
  <c r="M18" i="38"/>
  <c r="AI17" i="38"/>
  <c r="AH17" i="38"/>
  <c r="S18" i="38" l="1"/>
  <c r="AG18" i="38" s="1"/>
  <c r="Q18" i="38"/>
  <c r="AE18" i="38" s="1"/>
  <c r="P18" i="38"/>
  <c r="AD18" i="38" s="1"/>
  <c r="T18" i="38" l="1"/>
  <c r="V18" i="38"/>
  <c r="AJ18" i="38" l="1"/>
  <c r="M19" i="38"/>
  <c r="AH18" i="38"/>
  <c r="AI18" i="38"/>
  <c r="S19" i="38" l="1"/>
  <c r="AG19" i="38" s="1"/>
  <c r="T19" i="38"/>
  <c r="Q19" i="38"/>
  <c r="AE19" i="38" s="1"/>
  <c r="P19" i="38"/>
  <c r="AD19" i="38" s="1"/>
  <c r="R19" i="38"/>
  <c r="AF19" i="38" s="1"/>
  <c r="AA19" i="38"/>
  <c r="AH19" i="38" l="1"/>
  <c r="V19" i="38"/>
  <c r="AI19" i="38"/>
  <c r="AJ19" i="38" l="1"/>
  <c r="M20" i="38"/>
  <c r="S20" i="38" l="1"/>
  <c r="AG20" i="38" s="1"/>
  <c r="V20" i="38"/>
  <c r="T20" i="38"/>
  <c r="Q20" i="38"/>
  <c r="AE20" i="38" s="1"/>
  <c r="P20" i="38"/>
  <c r="AD20" i="38" s="1"/>
  <c r="AA20" i="38"/>
  <c r="AI20" i="38" l="1"/>
  <c r="AH20" i="38"/>
  <c r="AJ20" i="38"/>
  <c r="M21" i="38"/>
  <c r="AA21" i="38"/>
  <c r="S21" i="38" l="1"/>
  <c r="AG21" i="38" s="1"/>
  <c r="V21" i="38"/>
  <c r="P21" i="38"/>
  <c r="AD21" i="38" s="1"/>
  <c r="Q21" i="38"/>
  <c r="AE21" i="38" s="1"/>
  <c r="T21" i="38"/>
  <c r="AJ21" i="38" l="1"/>
  <c r="M22" i="38"/>
  <c r="AI21" i="38"/>
  <c r="AH21" i="38"/>
  <c r="S22" i="38" l="1"/>
  <c r="AG22" i="38" s="1"/>
  <c r="P22" i="38"/>
  <c r="AD22" i="38" s="1"/>
  <c r="Q22" i="38"/>
  <c r="AE22" i="38" s="1"/>
  <c r="T22" i="38"/>
  <c r="AA22" i="38"/>
  <c r="V22" i="38" l="1"/>
  <c r="AH22" i="38"/>
  <c r="AI22" i="38"/>
  <c r="AJ22" i="38" l="1"/>
  <c r="M23" i="38"/>
  <c r="S23" i="38" l="1"/>
  <c r="AG23" i="38" s="1"/>
  <c r="V23" i="38"/>
  <c r="T23" i="38"/>
  <c r="Q23" i="38"/>
  <c r="AE23" i="38" s="1"/>
  <c r="P23" i="38"/>
  <c r="AD23" i="38" s="1"/>
  <c r="AA23" i="38"/>
  <c r="AI23" i="38" l="1"/>
  <c r="AH23" i="38"/>
  <c r="AJ23" i="38"/>
  <c r="M24" i="38"/>
  <c r="AA24" i="38" l="1"/>
  <c r="S24" i="38"/>
  <c r="AG24" i="38" s="1"/>
  <c r="Q24" i="38"/>
  <c r="AE24" i="38" s="1"/>
  <c r="P24" i="38"/>
  <c r="AD24" i="38" s="1"/>
  <c r="T24" i="38" l="1"/>
  <c r="V24" i="38"/>
  <c r="M25" i="38" l="1"/>
  <c r="AJ24" i="38"/>
  <c r="AH24" i="38"/>
  <c r="AI24" i="38"/>
  <c r="AA25" i="38" l="1"/>
  <c r="S25" i="38"/>
  <c r="AG25" i="38" s="1"/>
  <c r="P25" i="38"/>
  <c r="AD25" i="38" s="1"/>
  <c r="Q25" i="38"/>
  <c r="AE25" i="38" s="1"/>
  <c r="T25" i="38"/>
  <c r="AI25" i="38" l="1"/>
  <c r="AH25" i="38"/>
  <c r="V25" i="38"/>
  <c r="AJ25" i="38" l="1"/>
  <c r="M26" i="38"/>
  <c r="AA26" i="38" l="1"/>
  <c r="S26" i="38"/>
  <c r="AG26" i="38" s="1"/>
  <c r="V26" i="38"/>
  <c r="P26" i="38"/>
  <c r="AD26" i="38" s="1"/>
  <c r="Q26" i="38"/>
  <c r="AE26" i="38" s="1"/>
  <c r="AJ26" i="38" l="1"/>
  <c r="M27" i="38"/>
  <c r="T26" i="38"/>
  <c r="S27" i="38" l="1"/>
  <c r="AG27" i="38" s="1"/>
  <c r="V27" i="38"/>
  <c r="Q27" i="38"/>
  <c r="AE27" i="38" s="1"/>
  <c r="P27" i="38"/>
  <c r="AD27" i="38" s="1"/>
  <c r="AI26" i="38"/>
  <c r="AH26" i="38"/>
  <c r="AA27" i="38"/>
  <c r="AJ27" i="38" l="1"/>
  <c r="M28" i="38"/>
  <c r="T27" i="38"/>
  <c r="AI27" i="38" l="1"/>
  <c r="AH27" i="38"/>
  <c r="S28" i="38"/>
  <c r="AG28" i="38" s="1"/>
  <c r="Q28" i="38"/>
  <c r="AE28" i="38" s="1"/>
  <c r="P28" i="38"/>
  <c r="AD28" i="38" s="1"/>
  <c r="T28" i="38"/>
  <c r="AA28" i="38"/>
  <c r="AI28" i="38" l="1"/>
  <c r="AH28" i="38"/>
  <c r="V28" i="38"/>
  <c r="AJ28" i="38" l="1"/>
  <c r="M29" i="38"/>
  <c r="S29" i="38" l="1"/>
  <c r="AG29" i="38" s="1"/>
  <c r="V29" i="38"/>
  <c r="Q29" i="38"/>
  <c r="AE29" i="38" s="1"/>
  <c r="P29" i="38"/>
  <c r="AD29" i="38" s="1"/>
  <c r="T29" i="38"/>
  <c r="AA29" i="38"/>
  <c r="AJ29" i="38" l="1"/>
  <c r="M30" i="38"/>
  <c r="AI29" i="38"/>
  <c r="AH29" i="38"/>
  <c r="AA30" i="38"/>
  <c r="S30" i="38" l="1"/>
  <c r="AG30" i="38" s="1"/>
  <c r="V30" i="38"/>
  <c r="P30" i="38"/>
  <c r="AD30" i="38" s="1"/>
  <c r="Q30" i="38"/>
  <c r="AE30" i="38" s="1"/>
  <c r="AJ30" i="38" l="1"/>
  <c r="M31" i="38"/>
  <c r="T30" i="38"/>
  <c r="S31" i="38" l="1"/>
  <c r="AG31" i="38" s="1"/>
  <c r="V31" i="38"/>
  <c r="Q31" i="38"/>
  <c r="AE31" i="38" s="1"/>
  <c r="P31" i="38"/>
  <c r="AD31" i="38" s="1"/>
  <c r="R31" i="38"/>
  <c r="AF31" i="38" s="1"/>
  <c r="T31" i="38"/>
  <c r="AA31" i="38"/>
  <c r="AI30" i="38"/>
  <c r="AH30" i="38"/>
  <c r="AI31" i="38" l="1"/>
  <c r="AH31" i="38"/>
  <c r="AJ31" i="38"/>
  <c r="M32" i="38"/>
  <c r="S32" i="38" l="1"/>
  <c r="AG32" i="38" s="1"/>
  <c r="P32" i="38"/>
  <c r="AD32" i="38" s="1"/>
  <c r="Q32" i="38"/>
  <c r="AE32" i="38" s="1"/>
  <c r="T32" i="38"/>
  <c r="AA32" i="38"/>
  <c r="AI32" i="38" l="1"/>
  <c r="V32" i="38"/>
  <c r="AH32" i="38"/>
  <c r="AJ32" i="38" l="1"/>
  <c r="M33" i="38"/>
  <c r="AA33" i="38" l="1"/>
  <c r="S33" i="38"/>
  <c r="AG33" i="38" s="1"/>
  <c r="V33" i="38"/>
  <c r="T33" i="38"/>
  <c r="Q33" i="38"/>
  <c r="AE33" i="38" s="1"/>
  <c r="P33" i="38"/>
  <c r="AD33" i="38" s="1"/>
  <c r="AH33" i="38" l="1"/>
  <c r="AJ33" i="38"/>
  <c r="M34" i="38"/>
  <c r="AI33" i="38"/>
  <c r="S34" i="38" l="1"/>
  <c r="AG34" i="38" s="1"/>
  <c r="P34" i="38"/>
  <c r="AD34" i="38" s="1"/>
  <c r="T34" i="38"/>
  <c r="Q34" i="38"/>
  <c r="AE34" i="38" s="1"/>
  <c r="AA34" i="38"/>
  <c r="AI34" i="38" l="1"/>
  <c r="AH34" i="38"/>
  <c r="V34" i="38"/>
  <c r="AJ34" i="38" l="1"/>
  <c r="M35" i="38"/>
  <c r="AA35" i="38" l="1"/>
  <c r="S35" i="38"/>
  <c r="AG35" i="38" s="1"/>
  <c r="V35" i="38"/>
  <c r="Q35" i="38"/>
  <c r="AE35" i="38" s="1"/>
  <c r="P35" i="38"/>
  <c r="AD35" i="38" s="1"/>
  <c r="AJ35" i="38" l="1"/>
  <c r="M36" i="38"/>
  <c r="T35" i="38"/>
  <c r="AI35" i="38" l="1"/>
  <c r="AH35" i="38"/>
  <c r="S36" i="38"/>
  <c r="AG36" i="38" s="1"/>
  <c r="Q36" i="38"/>
  <c r="AE36" i="38" s="1"/>
  <c r="P36" i="38"/>
  <c r="AD36" i="38" s="1"/>
  <c r="T36" i="38"/>
  <c r="AA36" i="38"/>
  <c r="AH36" i="38" l="1"/>
  <c r="AI36" i="38"/>
  <c r="V36" i="38"/>
  <c r="M37" i="38" l="1"/>
  <c r="AJ36" i="38"/>
  <c r="AA37" i="38" l="1"/>
  <c r="S37" i="38"/>
  <c r="AG37" i="38" s="1"/>
  <c r="P37" i="38"/>
  <c r="AD37" i="38" s="1"/>
  <c r="Q37" i="38"/>
  <c r="AE37" i="38" s="1"/>
  <c r="V37" i="38" l="1"/>
  <c r="T37" i="38"/>
  <c r="AI37" i="38" l="1"/>
  <c r="AH37" i="38"/>
  <c r="M38" i="38"/>
  <c r="AJ37" i="38"/>
  <c r="S38" i="38" l="1"/>
  <c r="AG38" i="38" s="1"/>
  <c r="V38" i="38"/>
  <c r="P38" i="38"/>
  <c r="AD38" i="38" s="1"/>
  <c r="Q38" i="38"/>
  <c r="AE38" i="38" s="1"/>
  <c r="AA38" i="38"/>
  <c r="T38" i="38" l="1"/>
  <c r="AJ38" i="38"/>
  <c r="M39" i="38"/>
  <c r="S39" i="38" l="1"/>
  <c r="AG39" i="38" s="1"/>
  <c r="V39" i="38"/>
  <c r="P39" i="38"/>
  <c r="AD39" i="38" s="1"/>
  <c r="Q39" i="38"/>
  <c r="AE39" i="38" s="1"/>
  <c r="T39" i="38"/>
  <c r="AA39" i="38"/>
  <c r="AI38" i="38"/>
  <c r="AH38" i="38"/>
  <c r="AJ39" i="38" l="1"/>
  <c r="M40" i="38"/>
  <c r="AI39" i="38"/>
  <c r="AH39" i="38"/>
  <c r="S40" i="38" l="1"/>
  <c r="AG40" i="38" s="1"/>
  <c r="V40" i="38"/>
  <c r="Q40" i="38"/>
  <c r="AE40" i="38" s="1"/>
  <c r="P40" i="38"/>
  <c r="AD40" i="38" s="1"/>
  <c r="AA40" i="38"/>
  <c r="AJ40" i="38" l="1"/>
  <c r="M41" i="38"/>
  <c r="T40" i="38"/>
  <c r="AI40" i="38" l="1"/>
  <c r="AH40" i="38"/>
  <c r="S41" i="38"/>
  <c r="AG41" i="38" s="1"/>
  <c r="P41" i="38"/>
  <c r="AD41" i="38" s="1"/>
  <c r="Q41" i="38"/>
  <c r="AE41" i="38" s="1"/>
  <c r="T41" i="38"/>
  <c r="AA41" i="38"/>
  <c r="AH41" i="38" l="1"/>
  <c r="AI41" i="38"/>
  <c r="V41" i="38"/>
  <c r="AJ41" i="38" l="1"/>
  <c r="M42" i="38"/>
  <c r="S42" i="38" l="1"/>
  <c r="AG42" i="38" s="1"/>
  <c r="V42" i="38"/>
  <c r="Q42" i="38"/>
  <c r="AE42" i="38" s="1"/>
  <c r="P42" i="38"/>
  <c r="AD42" i="38" s="1"/>
  <c r="AA42" i="38"/>
  <c r="AJ42" i="38" l="1"/>
  <c r="M43" i="38"/>
  <c r="T42" i="38"/>
  <c r="S43" i="38" l="1"/>
  <c r="AG43" i="38" s="1"/>
  <c r="Q43" i="38"/>
  <c r="AE43" i="38" s="1"/>
  <c r="P43" i="38"/>
  <c r="AD43" i="38" s="1"/>
  <c r="R43" i="38"/>
  <c r="AF43" i="38" s="1"/>
  <c r="AA43" i="38"/>
  <c r="AH42" i="38"/>
  <c r="AI42" i="38"/>
  <c r="V43" i="38" l="1"/>
  <c r="T43" i="38"/>
  <c r="AH43" i="38" l="1"/>
  <c r="AI43" i="38"/>
  <c r="M44" i="38"/>
  <c r="AJ43" i="38"/>
  <c r="AA44" i="38" l="1"/>
  <c r="S44" i="38"/>
  <c r="AG44" i="38" s="1"/>
  <c r="P44" i="38"/>
  <c r="AD44" i="38" s="1"/>
  <c r="Q44" i="38"/>
  <c r="AE44" i="38" s="1"/>
  <c r="V44" i="38" l="1"/>
  <c r="T44" i="38"/>
  <c r="AI44" i="38" l="1"/>
  <c r="AH44" i="38"/>
  <c r="M45" i="38"/>
  <c r="AJ44" i="38"/>
  <c r="AA45" i="38" l="1"/>
  <c r="S45" i="38"/>
  <c r="AG45" i="38" s="1"/>
  <c r="V45" i="38"/>
  <c r="P45" i="38"/>
  <c r="AD45" i="38" s="1"/>
  <c r="Q45" i="38"/>
  <c r="AE45" i="38" s="1"/>
  <c r="AJ45" i="38" l="1"/>
  <c r="M46" i="38"/>
  <c r="T45" i="38"/>
  <c r="AH45" i="38" l="1"/>
  <c r="AI45" i="38"/>
  <c r="S46" i="38"/>
  <c r="AG46" i="38" s="1"/>
  <c r="V46" i="38"/>
  <c r="Q46" i="38"/>
  <c r="AE46" i="38" s="1"/>
  <c r="P46" i="38"/>
  <c r="AD46" i="38" s="1"/>
  <c r="AA46" i="38"/>
  <c r="AJ46" i="38" l="1"/>
  <c r="M47" i="38"/>
  <c r="T46" i="38"/>
  <c r="AA47" i="38"/>
  <c r="AI46" i="38" l="1"/>
  <c r="AH46" i="38"/>
  <c r="S47" i="38"/>
  <c r="AG47" i="38" s="1"/>
  <c r="V47" i="38"/>
  <c r="P47" i="38"/>
  <c r="AD47" i="38" s="1"/>
  <c r="Q47" i="38"/>
  <c r="AE47" i="38" s="1"/>
  <c r="T47" i="38"/>
  <c r="AJ47" i="38" l="1"/>
  <c r="M48" i="38"/>
  <c r="AI47" i="38"/>
  <c r="AH47" i="38"/>
  <c r="S48" i="38" l="1"/>
  <c r="AG48" i="38" s="1"/>
  <c r="V48" i="38"/>
  <c r="P48" i="38"/>
  <c r="AD48" i="38" s="1"/>
  <c r="Q48" i="38"/>
  <c r="AE48" i="38" s="1"/>
  <c r="AA48" i="38"/>
  <c r="M49" i="38" l="1"/>
  <c r="AJ48" i="38"/>
  <c r="T48" i="38"/>
  <c r="AH48" i="38" l="1"/>
  <c r="AI48" i="38"/>
  <c r="AA49" i="38"/>
  <c r="S49" i="38"/>
  <c r="AG49" i="38" s="1"/>
  <c r="V49" i="38"/>
  <c r="Q49" i="38"/>
  <c r="AE49" i="38" s="1"/>
  <c r="P49" i="38"/>
  <c r="AD49" i="38" s="1"/>
  <c r="T49" i="38"/>
  <c r="AJ49" i="38" l="1"/>
  <c r="M50" i="38"/>
  <c r="AI49" i="38"/>
  <c r="AH49" i="38"/>
  <c r="S50" i="38" l="1"/>
  <c r="AG50" i="38" s="1"/>
  <c r="V50" i="38"/>
  <c r="T50" i="38"/>
  <c r="Q50" i="38"/>
  <c r="AE50" i="38" s="1"/>
  <c r="P50" i="38"/>
  <c r="AD50" i="38" s="1"/>
  <c r="AA50" i="38"/>
  <c r="AI50" i="38" l="1"/>
  <c r="AH50" i="38"/>
  <c r="AJ50" i="38"/>
  <c r="M51" i="38"/>
  <c r="AA51" i="38" l="1"/>
  <c r="S51" i="38"/>
  <c r="AG51" i="38" s="1"/>
  <c r="Q51" i="38"/>
  <c r="AE51" i="38" s="1"/>
  <c r="P51" i="38"/>
  <c r="AD51" i="38" s="1"/>
  <c r="V51" i="38" l="1"/>
  <c r="T51" i="38"/>
  <c r="AI51" i="38" l="1"/>
  <c r="AH51" i="38"/>
  <c r="M52" i="38"/>
  <c r="AJ51" i="38"/>
  <c r="S52" i="38" l="1"/>
  <c r="AG52" i="38" s="1"/>
  <c r="V52" i="38"/>
  <c r="P52" i="38"/>
  <c r="AD52" i="38" s="1"/>
  <c r="Q52" i="38"/>
  <c r="AE52" i="38" s="1"/>
  <c r="AA52" i="38"/>
  <c r="M53" i="38" l="1"/>
  <c r="AJ52" i="38"/>
  <c r="T52" i="38"/>
  <c r="AI52" i="38" l="1"/>
  <c r="AH52" i="38"/>
  <c r="AA53" i="38"/>
  <c r="S53" i="38"/>
  <c r="AG53" i="38" s="1"/>
  <c r="V53" i="38"/>
  <c r="P53" i="38"/>
  <c r="AD53" i="38" s="1"/>
  <c r="Q53" i="38"/>
  <c r="AE53" i="38" s="1"/>
  <c r="T53" i="38" l="1"/>
  <c r="AJ53" i="38"/>
  <c r="M54" i="38"/>
  <c r="S54" i="38" l="1"/>
  <c r="AG54" i="38" s="1"/>
  <c r="V54" i="38"/>
  <c r="Q54" i="38"/>
  <c r="AE54" i="38" s="1"/>
  <c r="P54" i="38"/>
  <c r="AD54" i="38" s="1"/>
  <c r="T54" i="38"/>
  <c r="AA54" i="38"/>
  <c r="AH53" i="38"/>
  <c r="AI53" i="38"/>
  <c r="AJ54" i="38" l="1"/>
  <c r="M55" i="38"/>
  <c r="AH54" i="38"/>
  <c r="AI54" i="38"/>
  <c r="S55" i="38" l="1"/>
  <c r="AG55" i="38" s="1"/>
  <c r="R55" i="38"/>
  <c r="AF55" i="38" s="1"/>
  <c r="P55" i="38"/>
  <c r="AD55" i="38" s="1"/>
  <c r="Q55" i="38"/>
  <c r="AE55" i="38" s="1"/>
  <c r="AA55" i="38"/>
  <c r="T55" i="38" l="1"/>
  <c r="V55" i="38"/>
  <c r="AJ55" i="38" l="1"/>
  <c r="M56" i="38"/>
  <c r="AI55" i="38"/>
  <c r="AH55" i="38"/>
  <c r="S56" i="38" l="1"/>
  <c r="AG56" i="38" s="1"/>
  <c r="V56" i="38"/>
  <c r="Q56" i="38"/>
  <c r="AE56" i="38" s="1"/>
  <c r="P56" i="38"/>
  <c r="AD56" i="38" s="1"/>
  <c r="AA56" i="38"/>
  <c r="M57" i="38" l="1"/>
  <c r="AJ56" i="38"/>
  <c r="T56" i="38"/>
  <c r="AI56" i="38" l="1"/>
  <c r="AH56" i="38"/>
  <c r="AA57" i="38"/>
  <c r="S57" i="38"/>
  <c r="AG57" i="38" s="1"/>
  <c r="V57" i="38"/>
  <c r="P57" i="38"/>
  <c r="AD57" i="38" s="1"/>
  <c r="T57" i="38"/>
  <c r="Q57" i="38"/>
  <c r="AE57" i="38" s="1"/>
  <c r="AI57" i="38" l="1"/>
  <c r="AH57" i="38"/>
  <c r="AJ57" i="38"/>
  <c r="M58" i="38"/>
  <c r="S58" i="38" l="1"/>
  <c r="AG58" i="38" s="1"/>
  <c r="V58" i="38"/>
  <c r="T58" i="38"/>
  <c r="P58" i="38"/>
  <c r="AD58" i="38" s="1"/>
  <c r="Q58" i="38"/>
  <c r="AE58" i="38" s="1"/>
  <c r="AA58" i="38"/>
  <c r="AI58" i="38" l="1"/>
  <c r="AH58" i="38"/>
  <c r="AJ58" i="38"/>
  <c r="M59" i="38"/>
  <c r="AA59" i="38" l="1"/>
  <c r="S59" i="38"/>
  <c r="AG59" i="38" s="1"/>
  <c r="Q59" i="38"/>
  <c r="AE59" i="38" s="1"/>
  <c r="P59" i="38"/>
  <c r="AD59" i="38" s="1"/>
  <c r="V59" i="38" l="1"/>
  <c r="T59" i="38"/>
  <c r="AI59" i="38" l="1"/>
  <c r="AH59" i="38"/>
  <c r="M60" i="38"/>
  <c r="AJ59" i="38"/>
  <c r="AA60" i="38" l="1"/>
  <c r="S60" i="38"/>
  <c r="AG60" i="38" s="1"/>
  <c r="Q60" i="38"/>
  <c r="AE60" i="38" s="1"/>
  <c r="P60" i="38"/>
  <c r="AD60" i="38" s="1"/>
  <c r="T60" i="38" l="1"/>
  <c r="V60" i="38"/>
  <c r="M61" i="38" l="1"/>
  <c r="AJ60" i="38"/>
  <c r="AH60" i="38"/>
  <c r="AI60" i="38"/>
  <c r="AA61" i="38" l="1"/>
  <c r="S61" i="38"/>
  <c r="AG61" i="38" s="1"/>
  <c r="Q61" i="38"/>
  <c r="AE61" i="38" s="1"/>
  <c r="P61" i="38"/>
  <c r="AD61" i="38" s="1"/>
  <c r="T61" i="38" l="1"/>
  <c r="V61" i="38"/>
  <c r="M62" i="38" l="1"/>
  <c r="AJ61" i="38"/>
  <c r="AI61" i="38"/>
  <c r="AH61" i="38"/>
  <c r="AA62" i="38" l="1"/>
  <c r="S62" i="38"/>
  <c r="AG62" i="38" s="1"/>
  <c r="P62" i="38"/>
  <c r="AD62" i="38" s="1"/>
  <c r="Q62" i="38"/>
  <c r="AE62" i="38" s="1"/>
  <c r="V62" i="38" l="1"/>
  <c r="T62" i="38"/>
  <c r="AJ62" i="38" l="1"/>
  <c r="M63" i="38"/>
  <c r="AI62" i="38"/>
  <c r="AH62" i="38"/>
  <c r="S63" i="38" l="1"/>
  <c r="AG63" i="38" s="1"/>
  <c r="V63" i="38"/>
  <c r="T63" i="38"/>
  <c r="P63" i="38"/>
  <c r="AD63" i="38" s="1"/>
  <c r="Q63" i="38"/>
  <c r="AE63" i="38" s="1"/>
  <c r="AA63" i="38"/>
  <c r="M64" i="38" l="1"/>
  <c r="AJ63" i="38"/>
  <c r="AI63" i="38"/>
  <c r="AH63" i="38"/>
  <c r="AA64" i="38" l="1"/>
  <c r="Q64" i="38"/>
  <c r="AE64" i="38" s="1"/>
  <c r="V64" i="38"/>
  <c r="P64" i="38"/>
  <c r="AD64" i="38" s="1"/>
  <c r="S64" i="38"/>
  <c r="AG64" i="38" s="1"/>
  <c r="T64" i="38"/>
  <c r="AH64" i="38" l="1"/>
  <c r="AJ64" i="38"/>
  <c r="M65" i="38"/>
  <c r="AI64" i="38"/>
  <c r="AA65" i="38" l="1"/>
  <c r="V65" i="38"/>
  <c r="P65" i="38"/>
  <c r="AD65" i="38" s="1"/>
  <c r="Q65" i="38"/>
  <c r="AE65" i="38" s="1"/>
  <c r="S65" i="38"/>
  <c r="AG65" i="38" s="1"/>
  <c r="T65" i="38"/>
  <c r="AH65" i="38" s="1"/>
  <c r="AJ65" i="38" l="1"/>
  <c r="M66" i="38"/>
  <c r="AI65" i="38"/>
  <c r="Q66" i="38" l="1"/>
  <c r="AE66" i="38" s="1"/>
  <c r="S66" i="38"/>
  <c r="AG66" i="38" s="1"/>
  <c r="P66" i="38"/>
  <c r="AD66" i="38" s="1"/>
  <c r="AA66" i="38"/>
  <c r="T66" i="38" l="1"/>
  <c r="V66" i="38"/>
  <c r="M67" i="38" l="1"/>
  <c r="AJ66" i="38"/>
  <c r="AI66" i="38"/>
  <c r="AH66" i="38"/>
  <c r="AA67" i="38" l="1"/>
  <c r="V67" i="38"/>
  <c r="P67" i="38"/>
  <c r="AD67" i="38" s="1"/>
  <c r="R67" i="38"/>
  <c r="AF67" i="38" s="1"/>
  <c r="S67" i="38"/>
  <c r="AG67" i="38" s="1"/>
  <c r="T67" i="38"/>
  <c r="Q67" i="38"/>
  <c r="AE67" i="38" s="1"/>
  <c r="AH67" i="38" l="1"/>
  <c r="AJ67" i="38"/>
  <c r="M68" i="38"/>
  <c r="AI67" i="38"/>
  <c r="V68" i="38" l="1"/>
  <c r="S68" i="38"/>
  <c r="AG68" i="38" s="1"/>
  <c r="P68" i="38"/>
  <c r="AD68" i="38" s="1"/>
  <c r="Q68" i="38"/>
  <c r="AE68" i="38" s="1"/>
  <c r="T68" i="38"/>
  <c r="AA68" i="38"/>
  <c r="AI68" i="38" l="1"/>
  <c r="AH68" i="38"/>
  <c r="AJ68" i="38"/>
  <c r="M69" i="38"/>
  <c r="V69" i="38" l="1"/>
  <c r="P69" i="38"/>
  <c r="AD69" i="38" s="1"/>
  <c r="Q69" i="38"/>
  <c r="AE69" i="38" s="1"/>
  <c r="S69" i="38"/>
  <c r="AG69" i="38" s="1"/>
  <c r="T69" i="38"/>
  <c r="AA69" i="38"/>
  <c r="AI69" i="38" l="1"/>
  <c r="AH69" i="38"/>
  <c r="M70" i="38"/>
  <c r="AJ69" i="38"/>
  <c r="V70" i="38" l="1"/>
  <c r="S70" i="38"/>
  <c r="AG70" i="38" s="1"/>
  <c r="Q70" i="38"/>
  <c r="AE70" i="38" s="1"/>
  <c r="P70" i="38"/>
  <c r="AD70" i="38" s="1"/>
  <c r="AA70" i="38"/>
  <c r="T70" i="38" l="1"/>
  <c r="M71" i="38"/>
  <c r="AJ70" i="38"/>
  <c r="AA71" i="38" l="1"/>
  <c r="V71" i="38"/>
  <c r="S71" i="38"/>
  <c r="AG71" i="38" s="1"/>
  <c r="P71" i="38"/>
  <c r="AD71" i="38" s="1"/>
  <c r="Q71" i="38"/>
  <c r="AE71" i="38" s="1"/>
  <c r="T71" i="38"/>
  <c r="AI70" i="38"/>
  <c r="AH70" i="38"/>
  <c r="AH71" i="38" l="1"/>
  <c r="AI71" i="38"/>
  <c r="M72" i="38"/>
  <c r="AJ71" i="38"/>
  <c r="AA72" i="38" l="1"/>
  <c r="V72" i="38"/>
  <c r="S72" i="38"/>
  <c r="AG72" i="38" s="1"/>
  <c r="P72" i="38"/>
  <c r="AD72" i="38" s="1"/>
  <c r="Q72" i="38"/>
  <c r="AE72" i="38" s="1"/>
  <c r="T72" i="38"/>
  <c r="M73" i="38" l="1"/>
  <c r="AJ72" i="38"/>
  <c r="AI72" i="38"/>
  <c r="AH72" i="38"/>
  <c r="AA73" i="38" l="1"/>
  <c r="S73" i="38"/>
  <c r="AG73" i="38" s="1"/>
  <c r="Q73" i="38"/>
  <c r="AE73" i="38" s="1"/>
  <c r="P73" i="38"/>
  <c r="AD73" i="38" s="1"/>
  <c r="T73" i="38" l="1"/>
  <c r="V73" i="38"/>
  <c r="AJ73" i="38" l="1"/>
  <c r="M74" i="38"/>
  <c r="AI73" i="38"/>
  <c r="AH73" i="38"/>
  <c r="V74" i="38" l="1"/>
  <c r="S74" i="38"/>
  <c r="AG74" i="38" s="1"/>
  <c r="P74" i="38"/>
  <c r="AD74" i="38" s="1"/>
  <c r="Q74" i="38"/>
  <c r="AE74" i="38" s="1"/>
  <c r="AA74" i="38"/>
  <c r="T74" i="38" l="1"/>
  <c r="M75" i="38"/>
  <c r="AJ74" i="38"/>
  <c r="AA75" i="38" l="1"/>
  <c r="V75" i="38"/>
  <c r="S75" i="38"/>
  <c r="AG75" i="38" s="1"/>
  <c r="P75" i="38"/>
  <c r="AD75" i="38" s="1"/>
  <c r="Q75" i="38"/>
  <c r="AE75" i="38" s="1"/>
  <c r="T75" i="38"/>
  <c r="AH74" i="38"/>
  <c r="AI74" i="38"/>
  <c r="M76" i="38" l="1"/>
  <c r="AJ75" i="38"/>
  <c r="AI75" i="38"/>
  <c r="AH75" i="38"/>
  <c r="AA76" i="38" l="1"/>
  <c r="V76" i="38"/>
  <c r="P76" i="38"/>
  <c r="AD76" i="38" s="1"/>
  <c r="Q76" i="38"/>
  <c r="AE76" i="38" s="1"/>
  <c r="S76" i="38"/>
  <c r="AG76" i="38" s="1"/>
  <c r="AJ76" i="38" l="1"/>
  <c r="M77" i="38"/>
  <c r="T76" i="38"/>
  <c r="AH76" i="38" s="1"/>
  <c r="AI76" i="38" l="1"/>
  <c r="S77" i="38"/>
  <c r="AG77" i="38" s="1"/>
  <c r="P77" i="38"/>
  <c r="AD77" i="38" s="1"/>
  <c r="Q77" i="38"/>
  <c r="AE77" i="38" s="1"/>
  <c r="AA77" i="38"/>
  <c r="T77" i="38" l="1"/>
  <c r="AH77" i="38" s="1"/>
  <c r="V77" i="38"/>
  <c r="AI77" i="38"/>
  <c r="M78" i="38" l="1"/>
  <c r="AJ77" i="38"/>
  <c r="AA78" i="38" l="1"/>
  <c r="V78" i="38"/>
  <c r="Q78" i="38"/>
  <c r="AE78" i="38" s="1"/>
  <c r="P78" i="38"/>
  <c r="AD78" i="38" s="1"/>
  <c r="S78" i="38"/>
  <c r="AG78" i="38" s="1"/>
  <c r="T78" i="38"/>
  <c r="AH78" i="38" l="1"/>
  <c r="AJ78" i="38"/>
  <c r="M79" i="38"/>
  <c r="AI78" i="38"/>
  <c r="AA79" i="38" l="1"/>
  <c r="S79" i="38"/>
  <c r="AG79" i="38" s="1"/>
  <c r="T79" i="38"/>
  <c r="R79" i="38"/>
  <c r="AF79" i="38" s="1"/>
  <c r="Q79" i="38"/>
  <c r="AE79" i="38" s="1"/>
  <c r="P79" i="38"/>
  <c r="AD79" i="38" s="1"/>
  <c r="V79" i="38" l="1"/>
  <c r="AH79" i="38"/>
  <c r="AI79" i="38"/>
  <c r="M80" i="38" l="1"/>
  <c r="AJ79" i="38"/>
  <c r="AA80" i="38" l="1"/>
  <c r="V80" i="38"/>
  <c r="Q80" i="38"/>
  <c r="AE80" i="38" s="1"/>
  <c r="S80" i="38"/>
  <c r="AG80" i="38" s="1"/>
  <c r="T80" i="38"/>
  <c r="AH80" i="38" s="1"/>
  <c r="P80" i="38"/>
  <c r="AD80" i="38" s="1"/>
  <c r="M81" i="38" l="1"/>
  <c r="AJ80" i="38"/>
  <c r="AI80" i="38"/>
  <c r="AA81" i="38" l="1"/>
  <c r="V81" i="38"/>
  <c r="Q81" i="38"/>
  <c r="AE81" i="38" s="1"/>
  <c r="S81" i="38"/>
  <c r="AG81" i="38" s="1"/>
  <c r="P81" i="38"/>
  <c r="AD81" i="38" s="1"/>
  <c r="T81" i="38"/>
  <c r="AH81" i="38" l="1"/>
  <c r="AI81" i="38"/>
  <c r="M82" i="38"/>
  <c r="AJ81" i="38"/>
  <c r="Q82" i="38" l="1"/>
  <c r="AE82" i="38" s="1"/>
  <c r="S82" i="38"/>
  <c r="AG82" i="38" s="1"/>
  <c r="P82" i="38"/>
  <c r="AD82" i="38" s="1"/>
  <c r="AA82" i="38"/>
  <c r="T82" i="38" l="1"/>
  <c r="V82" i="38"/>
  <c r="M83" i="38" l="1"/>
  <c r="AJ82" i="38"/>
  <c r="AI82" i="38"/>
  <c r="AH82" i="38"/>
  <c r="AA83" i="38" l="1"/>
  <c r="V83" i="38"/>
  <c r="S83" i="38"/>
  <c r="AG83" i="38" s="1"/>
  <c r="P83" i="38"/>
  <c r="AD83" i="38" s="1"/>
  <c r="Q83" i="38"/>
  <c r="AE83" i="38" s="1"/>
  <c r="T83" i="38"/>
  <c r="AJ83" i="38" l="1"/>
  <c r="M84" i="38"/>
  <c r="AI83" i="38"/>
  <c r="AH83" i="38"/>
  <c r="Q84" i="38" l="1"/>
  <c r="AE84" i="38" s="1"/>
  <c r="S84" i="38"/>
  <c r="AG84" i="38" s="1"/>
  <c r="P84" i="38"/>
  <c r="AD84" i="38" s="1"/>
  <c r="AA84" i="38"/>
  <c r="V84" i="38" l="1"/>
  <c r="T84" i="38"/>
  <c r="AH84" i="38" s="1"/>
  <c r="AI84" i="38" l="1"/>
  <c r="M85" i="38"/>
  <c r="AJ84" i="38"/>
  <c r="AA85" i="38" l="1"/>
  <c r="V85" i="38"/>
  <c r="S85" i="38"/>
  <c r="AG85" i="38" s="1"/>
  <c r="T85" i="38"/>
  <c r="Q85" i="38"/>
  <c r="AE85" i="38" s="1"/>
  <c r="P85" i="38"/>
  <c r="AD85" i="38" s="1"/>
  <c r="AJ85" i="38" l="1"/>
  <c r="M86" i="38"/>
  <c r="AI85" i="38"/>
  <c r="AH85" i="38"/>
  <c r="S86" i="38" l="1"/>
  <c r="AG86" i="38" s="1"/>
  <c r="Q86" i="38"/>
  <c r="AE86" i="38" s="1"/>
  <c r="P86" i="38"/>
  <c r="AD86" i="38" s="1"/>
  <c r="AA86" i="38"/>
  <c r="V86" i="38" l="1"/>
  <c r="T86" i="38"/>
  <c r="AI86" i="38" l="1"/>
  <c r="AH86" i="38"/>
  <c r="M87" i="38"/>
  <c r="AJ86" i="38"/>
  <c r="V87" i="38" l="1"/>
  <c r="Q87" i="38"/>
  <c r="AE87" i="38" s="1"/>
  <c r="P87" i="38"/>
  <c r="AD87" i="38" s="1"/>
  <c r="S87" i="38"/>
  <c r="AG87" i="38" s="1"/>
  <c r="T87" i="38"/>
  <c r="AA87" i="38"/>
  <c r="M88" i="38" l="1"/>
  <c r="AJ87" i="38"/>
  <c r="AI87" i="38"/>
  <c r="AH87" i="38"/>
  <c r="AA88" i="38" l="1"/>
  <c r="S88" i="38"/>
  <c r="AG88" i="38" s="1"/>
  <c r="Q88" i="38"/>
  <c r="AE88" i="38" s="1"/>
  <c r="P88" i="38"/>
  <c r="AD88" i="38" s="1"/>
  <c r="T88" i="38" l="1"/>
  <c r="AH88" i="38" s="1"/>
  <c r="V88" i="38"/>
  <c r="AI88" i="38"/>
  <c r="AJ88" i="38" l="1"/>
  <c r="M89" i="38"/>
  <c r="P89" i="38" l="1"/>
  <c r="AD89" i="38" s="1"/>
  <c r="S89" i="38"/>
  <c r="AG89" i="38" s="1"/>
  <c r="Q89" i="38"/>
  <c r="AE89" i="38" s="1"/>
  <c r="AA89" i="38"/>
  <c r="V89" i="38" l="1"/>
  <c r="T89" i="38"/>
  <c r="AI89" i="38" l="1"/>
  <c r="AH89" i="38"/>
  <c r="M90" i="38"/>
  <c r="AJ89" i="38"/>
  <c r="AA90" i="38" l="1"/>
  <c r="S90" i="38"/>
  <c r="AG90" i="38" s="1"/>
  <c r="P90" i="38"/>
  <c r="AD90" i="38" s="1"/>
  <c r="Q90" i="38"/>
  <c r="AE90" i="38" s="1"/>
  <c r="V90" i="38" l="1"/>
  <c r="T90" i="38"/>
  <c r="AH90" i="38" l="1"/>
  <c r="AI90" i="38"/>
  <c r="M91" i="38"/>
  <c r="AJ90" i="38"/>
  <c r="AA91" i="38" l="1"/>
  <c r="P91" i="38"/>
  <c r="AD91" i="38" s="1"/>
  <c r="R91" i="38"/>
  <c r="AF91" i="38" s="1"/>
  <c r="Q91" i="38"/>
  <c r="AE91" i="38" s="1"/>
  <c r="S91" i="38"/>
  <c r="AG91" i="38" s="1"/>
  <c r="V91" i="38" l="1"/>
  <c r="T91" i="38"/>
  <c r="AI91" i="38" l="1"/>
  <c r="AH91" i="38"/>
  <c r="M92" i="38"/>
  <c r="AJ91" i="38"/>
  <c r="V92" i="38" l="1"/>
  <c r="S92" i="38"/>
  <c r="AG92" i="38" s="1"/>
  <c r="Q92" i="38"/>
  <c r="AE92" i="38" s="1"/>
  <c r="P92" i="38"/>
  <c r="AD92" i="38" s="1"/>
  <c r="AA92" i="38"/>
  <c r="T92" i="38" l="1"/>
  <c r="AJ92" i="38"/>
  <c r="M93" i="38"/>
  <c r="Q93" i="38" l="1"/>
  <c r="AE93" i="38" s="1"/>
  <c r="S93" i="38"/>
  <c r="AG93" i="38" s="1"/>
  <c r="P93" i="38"/>
  <c r="AD93" i="38" s="1"/>
  <c r="AA93" i="38"/>
  <c r="AI92" i="38"/>
  <c r="AH92" i="38"/>
  <c r="T93" i="38" l="1"/>
  <c r="AH93" i="38" s="1"/>
  <c r="AI93" i="38"/>
  <c r="V93" i="38"/>
  <c r="AJ93" i="38" l="1"/>
  <c r="M94" i="38"/>
  <c r="Q94" i="38" l="1"/>
  <c r="AE94" i="38" s="1"/>
  <c r="T94" i="38"/>
  <c r="AH94" i="38" s="1"/>
  <c r="P94" i="38"/>
  <c r="AD94" i="38" s="1"/>
  <c r="S94" i="38"/>
  <c r="AG94" i="38" s="1"/>
  <c r="AA94" i="38"/>
  <c r="V94" i="38" l="1"/>
  <c r="M95" i="38" l="1"/>
  <c r="AJ94" i="38"/>
  <c r="AA95" i="38" l="1"/>
  <c r="V95" i="38"/>
  <c r="Q95" i="38"/>
  <c r="AE95" i="38" s="1"/>
  <c r="S95" i="38"/>
  <c r="AG95" i="38" s="1"/>
  <c r="P95" i="38"/>
  <c r="AD95" i="38" s="1"/>
  <c r="T95" i="38"/>
  <c r="AH95" i="38" l="1"/>
  <c r="AJ95" i="38"/>
  <c r="M96" i="38"/>
  <c r="AI95" i="38"/>
  <c r="AA96" i="38" l="1"/>
  <c r="V96" i="38"/>
  <c r="Q96" i="38"/>
  <c r="AE96" i="38" s="1"/>
  <c r="P96" i="38"/>
  <c r="AD96" i="38" s="1"/>
  <c r="S96" i="38"/>
  <c r="AG96" i="38" s="1"/>
  <c r="T96" i="38"/>
  <c r="M97" i="38" l="1"/>
  <c r="AJ96" i="38"/>
  <c r="AI96" i="38"/>
  <c r="AH96" i="38"/>
  <c r="AA97" i="38" l="1"/>
  <c r="V97" i="38"/>
  <c r="P97" i="38"/>
  <c r="AD97" i="38" s="1"/>
  <c r="Q97" i="38"/>
  <c r="AE97" i="38" s="1"/>
  <c r="S97" i="38"/>
  <c r="AG97" i="38" s="1"/>
  <c r="T97" i="38"/>
  <c r="AH97" i="38" l="1"/>
  <c r="AI97" i="38"/>
  <c r="M98" i="38"/>
  <c r="AJ97" i="38"/>
  <c r="AA98" i="38" l="1"/>
  <c r="T98" i="38"/>
  <c r="AH98" i="38" s="1"/>
  <c r="P98" i="38"/>
  <c r="AD98" i="38" s="1"/>
  <c r="S98" i="38"/>
  <c r="AG98" i="38" s="1"/>
  <c r="Q98" i="38"/>
  <c r="AE98" i="38" s="1"/>
  <c r="V98" i="38" l="1"/>
  <c r="AI98" i="38"/>
  <c r="M99" i="38" l="1"/>
  <c r="AJ98" i="38"/>
  <c r="AA99" i="38" l="1"/>
  <c r="V99" i="38"/>
  <c r="P99" i="38"/>
  <c r="AD99" i="38" s="1"/>
  <c r="S99" i="38"/>
  <c r="AG99" i="38" s="1"/>
  <c r="Q99" i="38"/>
  <c r="AE99" i="38" s="1"/>
  <c r="T99" i="38"/>
  <c r="M100" i="38" l="1"/>
  <c r="AJ99" i="38"/>
  <c r="AH99" i="38"/>
  <c r="AI99" i="38"/>
  <c r="AA100" i="38" l="1"/>
  <c r="V100" i="38"/>
  <c r="S100" i="38"/>
  <c r="AG100" i="38" s="1"/>
  <c r="Q100" i="38"/>
  <c r="AE100" i="38" s="1"/>
  <c r="P100" i="38"/>
  <c r="AD100" i="38" s="1"/>
  <c r="T100" i="38"/>
  <c r="AI100" i="38" l="1"/>
  <c r="AH100" i="38"/>
  <c r="M101" i="38"/>
  <c r="AJ100" i="38"/>
  <c r="AA101" i="38" l="1"/>
  <c r="V101" i="38"/>
  <c r="Q101" i="38"/>
  <c r="AE101" i="38" s="1"/>
  <c r="P101" i="38"/>
  <c r="AD101" i="38" s="1"/>
  <c r="S101" i="38"/>
  <c r="AG101" i="38" s="1"/>
  <c r="T101" i="38"/>
  <c r="AH101" i="38" s="1"/>
  <c r="AJ101" i="38" l="1"/>
  <c r="M102" i="38"/>
  <c r="AI101" i="38"/>
  <c r="S102" i="38" l="1"/>
  <c r="AG102" i="38" s="1"/>
  <c r="P102" i="38"/>
  <c r="AD102" i="38" s="1"/>
  <c r="Q102" i="38"/>
  <c r="AE102" i="38" s="1"/>
  <c r="AA102" i="38"/>
  <c r="T102" i="38" l="1"/>
  <c r="V102" i="38"/>
  <c r="AJ102" i="38" l="1"/>
  <c r="M103" i="38"/>
  <c r="AI102" i="38"/>
  <c r="AH102" i="38"/>
  <c r="S103" i="38" l="1"/>
  <c r="AG103" i="38" s="1"/>
  <c r="P103" i="38"/>
  <c r="AD103" i="38" s="1"/>
  <c r="R103" i="38"/>
  <c r="AF103" i="38" s="1"/>
  <c r="Q103" i="38"/>
  <c r="AE103" i="38" s="1"/>
  <c r="AA103" i="38"/>
  <c r="T103" i="38" l="1"/>
  <c r="AH103" i="38" s="1"/>
  <c r="V103" i="38"/>
  <c r="AJ103" i="38" l="1"/>
  <c r="M104" i="38"/>
  <c r="AI103" i="38"/>
  <c r="S104" i="38" l="1"/>
  <c r="AG104" i="38" s="1"/>
  <c r="P104" i="38"/>
  <c r="AD104" i="38" s="1"/>
  <c r="Q104" i="38"/>
  <c r="AE104" i="38" s="1"/>
  <c r="AA104" i="38"/>
  <c r="T104" i="38" l="1"/>
  <c r="V104" i="38"/>
  <c r="M105" i="38" l="1"/>
  <c r="AJ104" i="38"/>
  <c r="AI104" i="38"/>
  <c r="AH104" i="38"/>
  <c r="AA105" i="38" l="1"/>
  <c r="V105" i="38"/>
  <c r="P105" i="38"/>
  <c r="AD105" i="38" s="1"/>
  <c r="S105" i="38"/>
  <c r="AG105" i="38" s="1"/>
  <c r="Q105" i="38"/>
  <c r="AE105" i="38" s="1"/>
  <c r="T105" i="38"/>
  <c r="M106" i="38" l="1"/>
  <c r="AJ105" i="38"/>
  <c r="AH105" i="38"/>
  <c r="AI105" i="38"/>
  <c r="AA106" i="38" l="1"/>
  <c r="V106" i="38"/>
  <c r="P106" i="38"/>
  <c r="AD106" i="38" s="1"/>
  <c r="S106" i="38"/>
  <c r="AG106" i="38" s="1"/>
  <c r="Q106" i="38"/>
  <c r="AE106" i="38" s="1"/>
  <c r="T106" i="38"/>
  <c r="AJ106" i="38" l="1"/>
  <c r="M107" i="38"/>
  <c r="AI106" i="38"/>
  <c r="AH106" i="38"/>
  <c r="Q107" i="38" l="1"/>
  <c r="AE107" i="38" s="1"/>
  <c r="P107" i="38"/>
  <c r="AD107" i="38" s="1"/>
  <c r="S107" i="38"/>
  <c r="AG107" i="38" s="1"/>
  <c r="AA107" i="38"/>
  <c r="V107" i="38" l="1"/>
  <c r="T107" i="38"/>
  <c r="AH107" i="38" s="1"/>
  <c r="M108" i="38" l="1"/>
  <c r="AJ107" i="38"/>
  <c r="AI107" i="38"/>
  <c r="AA108" i="38" l="1"/>
  <c r="V108" i="38"/>
  <c r="Q108" i="38"/>
  <c r="AE108" i="38" s="1"/>
  <c r="S108" i="38"/>
  <c r="AG108" i="38" s="1"/>
  <c r="P108" i="38"/>
  <c r="AD108" i="38" s="1"/>
  <c r="T108" i="38"/>
  <c r="AI108" i="38" l="1"/>
  <c r="AH108" i="38"/>
  <c r="AJ108" i="38"/>
  <c r="M109" i="38"/>
  <c r="AA109" i="38" l="1"/>
  <c r="V109" i="38"/>
  <c r="S109" i="38"/>
  <c r="AG109" i="38" s="1"/>
  <c r="Q109" i="38"/>
  <c r="AE109" i="38" s="1"/>
  <c r="P109" i="38"/>
  <c r="AD109" i="38" s="1"/>
  <c r="T109" i="38"/>
  <c r="AI109" i="38" l="1"/>
  <c r="AH109" i="38"/>
  <c r="AJ109" i="38"/>
  <c r="M110" i="38"/>
  <c r="S110" i="38" l="1"/>
  <c r="AG110" i="38" s="1"/>
  <c r="Q110" i="38"/>
  <c r="AE110" i="38" s="1"/>
  <c r="P110" i="38"/>
  <c r="AD110" i="38" s="1"/>
  <c r="AA110" i="38"/>
  <c r="T110" i="38" l="1"/>
  <c r="V110" i="38"/>
  <c r="M111" i="38" l="1"/>
  <c r="AJ110" i="38"/>
  <c r="AI110" i="38"/>
  <c r="AH110" i="38"/>
  <c r="AA111" i="38" l="1"/>
  <c r="S111" i="38"/>
  <c r="AG111" i="38" s="1"/>
  <c r="Q111" i="38"/>
  <c r="AE111" i="38" s="1"/>
  <c r="P111" i="38"/>
  <c r="AD111" i="38" s="1"/>
  <c r="T111" i="38" l="1"/>
  <c r="V111" i="38"/>
  <c r="AJ111" i="38" l="1"/>
  <c r="M112" i="38"/>
  <c r="AI111" i="38"/>
  <c r="AH111" i="38"/>
  <c r="S112" i="38" l="1"/>
  <c r="AG112" i="38" s="1"/>
  <c r="Q112" i="38"/>
  <c r="AE112" i="38" s="1"/>
  <c r="P112" i="38"/>
  <c r="AD112" i="38" s="1"/>
  <c r="AA112" i="38"/>
  <c r="T112" i="38" l="1"/>
  <c r="V112" i="38"/>
  <c r="AJ112" i="38" l="1"/>
  <c r="M113" i="38"/>
  <c r="AH112" i="38"/>
  <c r="AI112" i="38"/>
  <c r="Q113" i="38" l="1"/>
  <c r="AE113" i="38" s="1"/>
  <c r="S113" i="38"/>
  <c r="AG113" i="38" s="1"/>
  <c r="T113" i="38"/>
  <c r="P113" i="38"/>
  <c r="AD113" i="38" s="1"/>
  <c r="AA113" i="38"/>
  <c r="AH113" i="38" l="1"/>
  <c r="AI113" i="38"/>
  <c r="V113" i="38"/>
  <c r="M114" i="38" l="1"/>
  <c r="AJ113" i="38"/>
  <c r="AA114" i="38" l="1"/>
  <c r="V114" i="38"/>
  <c r="Q114" i="38"/>
  <c r="AE114" i="38" s="1"/>
  <c r="S114" i="38"/>
  <c r="AG114" i="38" s="1"/>
  <c r="T114" i="38"/>
  <c r="AH114" i="38" s="1"/>
  <c r="P114" i="38"/>
  <c r="AD114" i="38" s="1"/>
  <c r="AJ114" i="38" l="1"/>
  <c r="M115" i="38"/>
  <c r="AI114" i="38"/>
  <c r="Q115" i="38" l="1"/>
  <c r="AE115" i="38" s="1"/>
  <c r="S115" i="38"/>
  <c r="AG115" i="38" s="1"/>
  <c r="T115" i="38"/>
  <c r="AH115" i="38" s="1"/>
  <c r="P115" i="38"/>
  <c r="AD115" i="38" s="1"/>
  <c r="R115" i="38"/>
  <c r="AF115" i="38" s="1"/>
  <c r="AA115" i="38"/>
  <c r="AI115" i="38" l="1"/>
  <c r="V115" i="38"/>
  <c r="AJ115" i="38" l="1"/>
  <c r="M116" i="38"/>
  <c r="S116" i="38" l="1"/>
  <c r="AG116" i="38" s="1"/>
  <c r="P116" i="38"/>
  <c r="AD116" i="38" s="1"/>
  <c r="Q116" i="38"/>
  <c r="AE116" i="38" s="1"/>
  <c r="AA116" i="38"/>
  <c r="T116" i="38" l="1"/>
  <c r="V116" i="38"/>
  <c r="M117" i="38" l="1"/>
  <c r="AJ116" i="38"/>
  <c r="AH116" i="38"/>
  <c r="AI116" i="38"/>
  <c r="AA117" i="38" l="1"/>
  <c r="V117" i="38"/>
  <c r="Q117" i="38"/>
  <c r="AE117" i="38" s="1"/>
  <c r="P117" i="38"/>
  <c r="AD117" i="38" s="1"/>
  <c r="S117" i="38"/>
  <c r="AG117" i="38" s="1"/>
  <c r="T117" i="38"/>
  <c r="AJ117" i="38" l="1"/>
  <c r="M118" i="38"/>
  <c r="AI117" i="38"/>
  <c r="AH117" i="38"/>
  <c r="P118" i="38" l="1"/>
  <c r="AD118" i="38" s="1"/>
  <c r="Q118" i="38"/>
  <c r="AE118" i="38" s="1"/>
  <c r="S118" i="38"/>
  <c r="AA118" i="38"/>
  <c r="T118" i="38" l="1"/>
  <c r="AH118" i="38" s="1"/>
  <c r="AG118" i="38"/>
  <c r="AI118" i="38" s="1"/>
  <c r="V118" i="38"/>
  <c r="M119" i="38" l="1"/>
  <c r="AJ118" i="38"/>
  <c r="AA119" i="38" l="1"/>
  <c r="V119" i="38"/>
  <c r="Q119" i="38"/>
  <c r="AE119" i="38" s="1"/>
  <c r="S119" i="38"/>
  <c r="AG119" i="38" s="1"/>
  <c r="P119" i="38"/>
  <c r="AD119" i="38" s="1"/>
  <c r="T119" i="38"/>
  <c r="AI119" i="38" l="1"/>
  <c r="AH119" i="38"/>
  <c r="M120" i="38"/>
  <c r="AJ119" i="38"/>
  <c r="P120" i="38" l="1"/>
  <c r="AD120" i="38" s="1"/>
  <c r="Q120" i="38"/>
  <c r="AE120" i="38" s="1"/>
  <c r="S120" i="38"/>
  <c r="AG120" i="38" s="1"/>
  <c r="AA120" i="38"/>
  <c r="T120" i="38" l="1"/>
  <c r="V120" i="38"/>
  <c r="M121" i="38" l="1"/>
  <c r="AJ120" i="38"/>
  <c r="AI120" i="38"/>
  <c r="AH120" i="38"/>
  <c r="AA121" i="38" l="1"/>
  <c r="V121" i="38"/>
  <c r="T121" i="38"/>
  <c r="AH121" i="38" s="1"/>
  <c r="P121" i="38"/>
  <c r="AD121" i="38" s="1"/>
  <c r="S121" i="38"/>
  <c r="AG121" i="38" s="1"/>
  <c r="Q121" i="38"/>
  <c r="AE121" i="38" s="1"/>
  <c r="AI121" i="38" l="1"/>
  <c r="M122" i="38"/>
  <c r="AJ121" i="38"/>
  <c r="AA122" i="38" l="1"/>
  <c r="V122" i="38"/>
  <c r="P122" i="38"/>
  <c r="AD122" i="38" s="1"/>
  <c r="Q122" i="38"/>
  <c r="AE122" i="38" s="1"/>
  <c r="S122" i="38"/>
  <c r="AG122" i="38" s="1"/>
  <c r="T122" i="38"/>
  <c r="AH122" i="38" l="1"/>
  <c r="M123" i="38"/>
  <c r="AJ122" i="38"/>
  <c r="AI122" i="38"/>
  <c r="Q123" i="38" l="1"/>
  <c r="AE123" i="38" s="1"/>
  <c r="S123" i="38"/>
  <c r="AG123" i="38" s="1"/>
  <c r="P123" i="38"/>
  <c r="AD123" i="38" s="1"/>
  <c r="AA123" i="38"/>
  <c r="T123" i="38" l="1"/>
  <c r="V123" i="38"/>
  <c r="M124" i="38" l="1"/>
  <c r="AJ123" i="38"/>
  <c r="AI123" i="38"/>
  <c r="AH123" i="38"/>
  <c r="AA124" i="38" l="1"/>
  <c r="P124" i="38"/>
  <c r="AD124" i="38" s="1"/>
  <c r="Q124" i="38"/>
  <c r="AE124" i="38" s="1"/>
  <c r="S124" i="38"/>
  <c r="AG124" i="38" s="1"/>
  <c r="T124" i="38"/>
  <c r="AH124" i="38" l="1"/>
  <c r="V124" i="38"/>
  <c r="AI124" i="38"/>
  <c r="M125" i="38" l="1"/>
  <c r="AJ124" i="38"/>
  <c r="AA125" i="38" l="1"/>
  <c r="V125" i="38"/>
  <c r="T125" i="38"/>
  <c r="AH125" i="38" s="1"/>
  <c r="Q125" i="38"/>
  <c r="AE125" i="38" s="1"/>
  <c r="S125" i="38"/>
  <c r="AG125" i="38" s="1"/>
  <c r="P125" i="38"/>
  <c r="AD125" i="38" s="1"/>
  <c r="AI125" i="38" l="1"/>
  <c r="AJ125" i="38"/>
  <c r="M126" i="38"/>
  <c r="Q126" i="38" l="1"/>
  <c r="AE126" i="38" s="1"/>
  <c r="P126" i="38"/>
  <c r="AD126" i="38" s="1"/>
  <c r="S126" i="38"/>
  <c r="AG126" i="38" s="1"/>
  <c r="AA126" i="38"/>
  <c r="T126" i="38" l="1"/>
  <c r="V126" i="38"/>
  <c r="AJ126" i="38" l="1"/>
  <c r="M127" i="38"/>
  <c r="AI126" i="38"/>
  <c r="AH126" i="38"/>
  <c r="S127" i="38" l="1"/>
  <c r="AG127" i="38" s="1"/>
  <c r="R127" i="38"/>
  <c r="AF127" i="38" s="1"/>
  <c r="P127" i="38"/>
  <c r="AD127" i="38" s="1"/>
  <c r="Q127" i="38"/>
  <c r="AE127" i="38" s="1"/>
  <c r="AA127" i="38"/>
  <c r="T127" i="38" l="1"/>
  <c r="V127" i="38"/>
  <c r="AJ127" i="38" l="1"/>
  <c r="M128" i="38"/>
  <c r="AH127" i="38"/>
  <c r="AI127" i="38"/>
  <c r="P128" i="38" l="1"/>
  <c r="AD128" i="38" s="1"/>
  <c r="S128" i="38"/>
  <c r="AG128" i="38" s="1"/>
  <c r="Q128" i="38"/>
  <c r="AE128" i="38" s="1"/>
  <c r="AA128" i="38"/>
  <c r="T128" i="38" l="1"/>
  <c r="AH128" i="38" s="1"/>
  <c r="V128" i="38"/>
  <c r="AJ128" i="38" l="1"/>
  <c r="M129" i="38"/>
  <c r="AI128" i="38"/>
  <c r="P129" i="38" l="1"/>
  <c r="AD129" i="38" s="1"/>
  <c r="Q129" i="38"/>
  <c r="AE129" i="38" s="1"/>
  <c r="S129" i="38"/>
  <c r="AG129" i="38" s="1"/>
  <c r="AA129" i="38"/>
  <c r="T129" i="38" l="1"/>
  <c r="V129" i="38"/>
  <c r="M130" i="38" l="1"/>
  <c r="AJ129" i="38"/>
  <c r="AI129" i="38"/>
  <c r="AH129" i="38"/>
  <c r="AA130" i="38" l="1"/>
  <c r="V130" i="38"/>
  <c r="P130" i="38"/>
  <c r="AD130" i="38" s="1"/>
  <c r="Q130" i="38"/>
  <c r="AE130" i="38" s="1"/>
  <c r="S130" i="38"/>
  <c r="AG130" i="38" s="1"/>
  <c r="T130" i="38"/>
  <c r="M131" i="38" l="1"/>
  <c r="AJ130" i="38"/>
  <c r="AI130" i="38"/>
  <c r="AH130" i="38"/>
  <c r="AA131" i="38" l="1"/>
  <c r="V131" i="38"/>
  <c r="Q131" i="38"/>
  <c r="AE131" i="38" s="1"/>
  <c r="P131" i="38"/>
  <c r="AD131" i="38" s="1"/>
  <c r="S131" i="38"/>
  <c r="AG131" i="38" s="1"/>
  <c r="T131" i="38"/>
  <c r="AH131" i="38" s="1"/>
  <c r="AJ131" i="38" l="1"/>
  <c r="M132" i="38"/>
  <c r="AI131" i="38"/>
  <c r="AA132" i="38" l="1"/>
  <c r="V132" i="38"/>
  <c r="P132" i="38"/>
  <c r="AD132" i="38" s="1"/>
  <c r="Q132" i="38"/>
  <c r="AE132" i="38" s="1"/>
  <c r="S132" i="38"/>
  <c r="AG132" i="38" s="1"/>
  <c r="T132" i="38"/>
  <c r="AI132" i="38" l="1"/>
  <c r="AH132" i="38"/>
  <c r="M133" i="38"/>
  <c r="AJ132" i="38"/>
  <c r="AA133" i="38" l="1"/>
  <c r="P133" i="38"/>
  <c r="AD133" i="38" s="1"/>
  <c r="Q133" i="38"/>
  <c r="AE133" i="38" s="1"/>
  <c r="S133" i="38"/>
  <c r="AG133" i="38" s="1"/>
  <c r="V133" i="38" l="1"/>
  <c r="T133" i="38"/>
  <c r="AI133" i="38" l="1"/>
  <c r="AH133" i="38"/>
  <c r="AJ133" i="38"/>
  <c r="M134" i="38"/>
  <c r="AA134" i="38" l="1"/>
  <c r="S134" i="38"/>
  <c r="AG134" i="38" s="1"/>
  <c r="P134" i="38"/>
  <c r="AD134" i="38" s="1"/>
  <c r="Q134" i="38"/>
  <c r="AE134" i="38" s="1"/>
  <c r="V134" i="38" l="1"/>
  <c r="T134" i="38"/>
  <c r="AH134" i="38" s="1"/>
  <c r="AJ134" i="38" l="1"/>
  <c r="M135" i="38"/>
  <c r="AI134" i="38"/>
  <c r="S135" i="38" l="1"/>
  <c r="AG135" i="38" s="1"/>
  <c r="Q135" i="38"/>
  <c r="AE135" i="38" s="1"/>
  <c r="P135" i="38"/>
  <c r="AD135" i="38" s="1"/>
  <c r="AA135" i="38"/>
  <c r="T135" i="38" l="1"/>
  <c r="V135" i="38"/>
  <c r="AJ135" i="38" l="1"/>
  <c r="M136" i="38"/>
  <c r="AH135" i="38"/>
  <c r="AI135" i="38"/>
  <c r="S136" i="38" l="1"/>
  <c r="AG136" i="38" s="1"/>
  <c r="P136" i="38"/>
  <c r="AD136" i="38" s="1"/>
  <c r="Q136" i="38"/>
  <c r="AE136" i="38" s="1"/>
  <c r="AA136" i="38"/>
  <c r="V136" i="38" l="1"/>
  <c r="T136" i="38"/>
  <c r="AH136" i="38" l="1"/>
  <c r="AI136" i="38"/>
  <c r="M137" i="38"/>
  <c r="AJ136" i="38"/>
  <c r="AA137" i="38" l="1"/>
  <c r="V137" i="38"/>
  <c r="S137" i="38"/>
  <c r="AG137" i="38" s="1"/>
  <c r="Q137" i="38"/>
  <c r="AE137" i="38" s="1"/>
  <c r="P137" i="38"/>
  <c r="AD137" i="38" s="1"/>
  <c r="T137" i="38"/>
  <c r="AH137" i="38" l="1"/>
  <c r="AI137" i="38"/>
  <c r="M138" i="38"/>
  <c r="AJ137" i="38"/>
  <c r="AA138" i="38" l="1"/>
  <c r="V138" i="38"/>
  <c r="S138" i="38"/>
  <c r="AG138" i="38" s="1"/>
  <c r="P138" i="38"/>
  <c r="AD138" i="38" s="1"/>
  <c r="Q138" i="38"/>
  <c r="AE138" i="38" s="1"/>
  <c r="T138" i="38"/>
  <c r="AI138" i="38" l="1"/>
  <c r="AH138" i="38"/>
  <c r="AJ138" i="38"/>
  <c r="M139" i="38"/>
  <c r="AA139" i="38" l="1"/>
  <c r="S139" i="38"/>
  <c r="AG139" i="38" s="1"/>
  <c r="R139" i="38"/>
  <c r="AF139" i="38" s="1"/>
  <c r="P139" i="38"/>
  <c r="AD139" i="38" s="1"/>
  <c r="Q139" i="38"/>
  <c r="AE139" i="38" s="1"/>
  <c r="V139" i="38" l="1"/>
  <c r="T139" i="38"/>
  <c r="AI139" i="38" l="1"/>
  <c r="AH139" i="38"/>
  <c r="AJ139" i="38"/>
  <c r="M140" i="38"/>
  <c r="V140" i="38" l="1"/>
  <c r="P140" i="38"/>
  <c r="AD140" i="38" s="1"/>
  <c r="Q140" i="38"/>
  <c r="AE140" i="38" s="1"/>
  <c r="S140" i="38"/>
  <c r="AG140" i="38" s="1"/>
  <c r="T140" i="38"/>
  <c r="AA140" i="38"/>
  <c r="AI140" i="38" l="1"/>
  <c r="AH140" i="38"/>
  <c r="M141" i="38"/>
  <c r="AJ140" i="38"/>
  <c r="AA141" i="38" l="1"/>
  <c r="V141" i="38"/>
  <c r="Q141" i="38"/>
  <c r="AE141" i="38" s="1"/>
  <c r="S141" i="38"/>
  <c r="AG141" i="38" s="1"/>
  <c r="P141" i="38"/>
  <c r="AD141" i="38" s="1"/>
  <c r="T141" i="38"/>
  <c r="AI141" i="38" l="1"/>
  <c r="AH141" i="38"/>
  <c r="M142" i="38"/>
  <c r="AJ141" i="38"/>
  <c r="AA142" i="38" l="1"/>
  <c r="V142" i="38"/>
  <c r="Q142" i="38"/>
  <c r="AE142" i="38" s="1"/>
  <c r="S142" i="38"/>
  <c r="AG142" i="38" s="1"/>
  <c r="P142" i="38"/>
  <c r="AD142" i="38" s="1"/>
  <c r="T142" i="38"/>
  <c r="AJ142" i="38" l="1"/>
  <c r="M143" i="38"/>
  <c r="AI142" i="38"/>
  <c r="AH142" i="38"/>
  <c r="V143" i="38" l="1"/>
  <c r="Q143" i="38"/>
  <c r="AE143" i="38" s="1"/>
  <c r="P143" i="38"/>
  <c r="AD143" i="38" s="1"/>
  <c r="S143" i="38"/>
  <c r="AG143" i="38" s="1"/>
  <c r="T143" i="38"/>
  <c r="AA143" i="38"/>
  <c r="AI143" i="38" l="1"/>
  <c r="AH143" i="38"/>
  <c r="M144" i="38"/>
  <c r="AJ143" i="38"/>
  <c r="AA144" i="38" l="1"/>
  <c r="V144" i="38"/>
  <c r="P144" i="38"/>
  <c r="AD144" i="38" s="1"/>
  <c r="Q144" i="38"/>
  <c r="AE144" i="38" s="1"/>
  <c r="S144" i="38"/>
  <c r="AG144" i="38" s="1"/>
  <c r="T144" i="38"/>
  <c r="AH144" i="38" s="1"/>
  <c r="M145" i="38" l="1"/>
  <c r="AJ144" i="38"/>
  <c r="AI144" i="38"/>
  <c r="AJ187" i="38"/>
  <c r="AA145" i="38" l="1"/>
  <c r="V145" i="38"/>
  <c r="P145" i="38"/>
  <c r="AD145" i="38" s="1"/>
  <c r="S145" i="38"/>
  <c r="AG145" i="38" s="1"/>
  <c r="T145" i="38"/>
  <c r="Q145" i="38"/>
  <c r="AE145" i="38" s="1"/>
  <c r="M188" i="38"/>
  <c r="S188" i="38" s="1"/>
  <c r="AG188" i="38" s="1"/>
  <c r="AA188" i="38"/>
  <c r="AH145" i="38" l="1"/>
  <c r="M146" i="38"/>
  <c r="AJ145" i="38"/>
  <c r="AI145" i="38"/>
  <c r="M189" i="38"/>
  <c r="S189" i="38" s="1"/>
  <c r="AG189" i="38" s="1"/>
  <c r="P188" i="38"/>
  <c r="AD188" i="38" s="1"/>
  <c r="Q188" i="38"/>
  <c r="AE188" i="38" s="1"/>
  <c r="T188" i="38"/>
  <c r="AA146" i="38" l="1"/>
  <c r="P146" i="38"/>
  <c r="AD146" i="38" s="1"/>
  <c r="Q146" i="38"/>
  <c r="AE146" i="38" s="1"/>
  <c r="S146" i="38"/>
  <c r="AG146" i="38" s="1"/>
  <c r="AI188" i="38"/>
  <c r="AH188" i="38"/>
  <c r="P189" i="38"/>
  <c r="AD189" i="38" s="1"/>
  <c r="Q189" i="38"/>
  <c r="AE189" i="38" s="1"/>
  <c r="AA189" i="38"/>
  <c r="T146" i="38" l="1"/>
  <c r="AH146" i="38" s="1"/>
  <c r="AI146" i="38"/>
  <c r="V146" i="38"/>
  <c r="M190" i="38"/>
  <c r="S190" i="38" s="1"/>
  <c r="AG190" i="38" s="1"/>
  <c r="T189" i="38"/>
  <c r="AA190" i="38"/>
  <c r="M147" i="38" l="1"/>
  <c r="AJ146" i="38"/>
  <c r="AI189" i="38"/>
  <c r="AH189" i="38"/>
  <c r="Q190" i="38"/>
  <c r="AE190" i="38" s="1"/>
  <c r="P190" i="38"/>
  <c r="AD190" i="38" s="1"/>
  <c r="AA191" i="38" s="1"/>
  <c r="AA147" i="38" l="1"/>
  <c r="V147" i="38"/>
  <c r="Q147" i="38"/>
  <c r="AE147" i="38" s="1"/>
  <c r="P147" i="38"/>
  <c r="AD147" i="38" s="1"/>
  <c r="S147" i="38"/>
  <c r="AG147" i="38" s="1"/>
  <c r="T147" i="38"/>
  <c r="T190" i="38"/>
  <c r="M191" i="38"/>
  <c r="S191" i="38" s="1"/>
  <c r="AG191" i="38" s="1"/>
  <c r="AI147" i="38" l="1"/>
  <c r="AH147" i="38"/>
  <c r="M148" i="38"/>
  <c r="AJ147" i="38"/>
  <c r="AI190" i="38"/>
  <c r="AH190" i="38"/>
  <c r="T191" i="38"/>
  <c r="P191" i="38"/>
  <c r="AD191" i="38" s="1"/>
  <c r="Q191" i="38"/>
  <c r="AE191" i="38" s="1"/>
  <c r="AA148" i="38" l="1"/>
  <c r="V148" i="38"/>
  <c r="P148" i="38"/>
  <c r="AD148" i="38" s="1"/>
  <c r="S148" i="38"/>
  <c r="AG148" i="38" s="1"/>
  <c r="T148" i="38"/>
  <c r="Q148" i="38"/>
  <c r="AE148" i="38" s="1"/>
  <c r="AI191" i="38"/>
  <c r="AH191" i="38"/>
  <c r="AA192" i="38"/>
  <c r="M192" i="38"/>
  <c r="AJ148" i="38" l="1"/>
  <c r="M149" i="38"/>
  <c r="AI148" i="38"/>
  <c r="AH148" i="38"/>
  <c r="Q192" i="38"/>
  <c r="AE192" i="38" s="1"/>
  <c r="S192" i="38"/>
  <c r="AG192" i="38" s="1"/>
  <c r="P192" i="38"/>
  <c r="AD192" i="38" s="1"/>
  <c r="M193" i="38"/>
  <c r="S193" i="38" s="1"/>
  <c r="AG193" i="38" s="1"/>
  <c r="Q149" i="38" l="1"/>
  <c r="AE149" i="38" s="1"/>
  <c r="S149" i="38"/>
  <c r="AG149" i="38" s="1"/>
  <c r="P149" i="38"/>
  <c r="AD149" i="38" s="1"/>
  <c r="AA149" i="38"/>
  <c r="T192" i="38"/>
  <c r="AA193" i="38"/>
  <c r="Q193" i="38"/>
  <c r="AE193" i="38" s="1"/>
  <c r="P193" i="38"/>
  <c r="AD193" i="38" s="1"/>
  <c r="T149" i="38" l="1"/>
  <c r="V149" i="38"/>
  <c r="AI192" i="38"/>
  <c r="AH192" i="38"/>
  <c r="AA194" i="38"/>
  <c r="T193" i="38"/>
  <c r="M194" i="38"/>
  <c r="S194" i="38" s="1"/>
  <c r="AG194" i="38" s="1"/>
  <c r="AJ149" i="38" l="1"/>
  <c r="M150" i="38"/>
  <c r="AI149" i="38"/>
  <c r="AH149" i="38"/>
  <c r="AI193" i="38"/>
  <c r="AH193" i="38"/>
  <c r="P194" i="38"/>
  <c r="AD194" i="38" s="1"/>
  <c r="T194" i="38"/>
  <c r="Q194" i="38"/>
  <c r="AE194" i="38" s="1"/>
  <c r="P150" i="38" l="1"/>
  <c r="AD150" i="38" s="1"/>
  <c r="S150" i="38"/>
  <c r="AG150" i="38" s="1"/>
  <c r="Q150" i="38"/>
  <c r="AE150" i="38" s="1"/>
  <c r="AA150" i="38"/>
  <c r="AI194" i="38"/>
  <c r="AH194" i="38"/>
  <c r="AA195" i="38"/>
  <c r="M195" i="38"/>
  <c r="S195" i="38" s="1"/>
  <c r="AG195" i="38" s="1"/>
  <c r="T150" i="38" l="1"/>
  <c r="V150" i="38"/>
  <c r="P195" i="38"/>
  <c r="AD195" i="38" s="1"/>
  <c r="Q195" i="38"/>
  <c r="AE195" i="38" s="1"/>
  <c r="M151" i="38" l="1"/>
  <c r="AJ150" i="38"/>
  <c r="AH150" i="38"/>
  <c r="AI150" i="38"/>
  <c r="AA196" i="38"/>
  <c r="T195" i="38"/>
  <c r="M196" i="38"/>
  <c r="S196" i="38" s="1"/>
  <c r="AG196" i="38" s="1"/>
  <c r="AA151" i="38" l="1"/>
  <c r="R151" i="38"/>
  <c r="AF151" i="38" s="1"/>
  <c r="S151" i="38"/>
  <c r="AG151" i="38" s="1"/>
  <c r="T151" i="38"/>
  <c r="AH151" i="38" s="1"/>
  <c r="Q151" i="38"/>
  <c r="AE151" i="38" s="1"/>
  <c r="P151" i="38"/>
  <c r="AD151" i="38" s="1"/>
  <c r="AI195" i="38"/>
  <c r="AH195" i="38"/>
  <c r="Q196" i="38"/>
  <c r="AE196" i="38" s="1"/>
  <c r="P196" i="38"/>
  <c r="AD196" i="38" s="1"/>
  <c r="T196" i="38"/>
  <c r="V151" i="38" l="1"/>
  <c r="AI151" i="38"/>
  <c r="AI196" i="38"/>
  <c r="AH196" i="38"/>
  <c r="AA197" i="38"/>
  <c r="M197" i="38"/>
  <c r="S197" i="38" s="1"/>
  <c r="AG197" i="38" s="1"/>
  <c r="M152" i="38" l="1"/>
  <c r="AJ151" i="38"/>
  <c r="P197" i="38"/>
  <c r="AD197" i="38" s="1"/>
  <c r="Q197" i="38"/>
  <c r="AE197" i="38" s="1"/>
  <c r="AA152" i="38" l="1"/>
  <c r="V152" i="38"/>
  <c r="P152" i="38"/>
  <c r="AD152" i="38" s="1"/>
  <c r="Q152" i="38"/>
  <c r="AE152" i="38" s="1"/>
  <c r="S152" i="38"/>
  <c r="AG152" i="38" s="1"/>
  <c r="T152" i="38"/>
  <c r="AH152" i="38" s="1"/>
  <c r="T197" i="38"/>
  <c r="AA198" i="38"/>
  <c r="M198" i="38"/>
  <c r="S198" i="38" s="1"/>
  <c r="AG198" i="38" s="1"/>
  <c r="AI152" i="38" l="1"/>
  <c r="AJ152" i="38"/>
  <c r="M153" i="38"/>
  <c r="AI197" i="38"/>
  <c r="AH197" i="38"/>
  <c r="P198" i="38"/>
  <c r="AD198" i="38" s="1"/>
  <c r="Q198" i="38"/>
  <c r="AE198" i="38" s="1"/>
  <c r="S153" i="38" l="1"/>
  <c r="AG153" i="38" s="1"/>
  <c r="P153" i="38"/>
  <c r="AD153" i="38" s="1"/>
  <c r="Q153" i="38"/>
  <c r="AE153" i="38" s="1"/>
  <c r="AA153" i="38"/>
  <c r="AA199" i="38"/>
  <c r="T198" i="38"/>
  <c r="M199" i="38"/>
  <c r="S199" i="38" s="1"/>
  <c r="AG199" i="38" s="1"/>
  <c r="T153" i="38" l="1"/>
  <c r="V153" i="38"/>
  <c r="AI198" i="38"/>
  <c r="AH198" i="38"/>
  <c r="T199" i="38"/>
  <c r="P199" i="38"/>
  <c r="AD199" i="38" s="1"/>
  <c r="Q199" i="38"/>
  <c r="AE199" i="38" s="1"/>
  <c r="M154" i="38" l="1"/>
  <c r="AJ153" i="38"/>
  <c r="AI153" i="38"/>
  <c r="AH153" i="38"/>
  <c r="AI199" i="38"/>
  <c r="AH199" i="38"/>
  <c r="AA200" i="38"/>
  <c r="M200" i="38"/>
  <c r="AA154" i="38" l="1"/>
  <c r="V154" i="38"/>
  <c r="Q154" i="38"/>
  <c r="AE154" i="38" s="1"/>
  <c r="P154" i="38"/>
  <c r="AD154" i="38" s="1"/>
  <c r="S154" i="38"/>
  <c r="AG154" i="38" s="1"/>
  <c r="T154" i="38"/>
  <c r="Q200" i="38"/>
  <c r="AE200" i="38" s="1"/>
  <c r="S200" i="38"/>
  <c r="AG200" i="38" s="1"/>
  <c r="P200" i="38"/>
  <c r="AD200" i="38" s="1"/>
  <c r="M201" i="38"/>
  <c r="S201" i="38" s="1"/>
  <c r="AG201" i="38" s="1"/>
  <c r="AH154" i="38" l="1"/>
  <c r="AI154" i="38"/>
  <c r="M155" i="38"/>
  <c r="AJ154" i="38"/>
  <c r="T200" i="38"/>
  <c r="AH200" i="38" s="1"/>
  <c r="AI200" i="38"/>
  <c r="AA201" i="38"/>
  <c r="P201" i="38"/>
  <c r="AD201" i="38" s="1"/>
  <c r="Q201" i="38"/>
  <c r="AE201" i="38" s="1"/>
  <c r="S155" i="38" l="1"/>
  <c r="AG155" i="38" s="1"/>
  <c r="P155" i="38"/>
  <c r="AD155" i="38" s="1"/>
  <c r="Q155" i="38"/>
  <c r="AE155" i="38" s="1"/>
  <c r="AA155" i="38"/>
  <c r="T201" i="38"/>
  <c r="M202" i="38"/>
  <c r="S202" i="38" s="1"/>
  <c r="AG202" i="38" s="1"/>
  <c r="AA202" i="38"/>
  <c r="T155" i="38" l="1"/>
  <c r="V155" i="38"/>
  <c r="AI201" i="38"/>
  <c r="AH201" i="38"/>
  <c r="P202" i="38"/>
  <c r="AD202" i="38" s="1"/>
  <c r="T202" i="38"/>
  <c r="Q202" i="38"/>
  <c r="AE202" i="38" s="1"/>
  <c r="AJ155" i="38" l="1"/>
  <c r="M156" i="38"/>
  <c r="AI155" i="38"/>
  <c r="AH155" i="38"/>
  <c r="AI202" i="38"/>
  <c r="AH202" i="38"/>
  <c r="AA203" i="38"/>
  <c r="M203" i="38"/>
  <c r="P203" i="38" s="1"/>
  <c r="AD203" i="38" s="1"/>
  <c r="V156" i="38" l="1"/>
  <c r="Q156" i="38"/>
  <c r="AE156" i="38" s="1"/>
  <c r="T156" i="38"/>
  <c r="S156" i="38"/>
  <c r="AG156" i="38" s="1"/>
  <c r="P156" i="38"/>
  <c r="AD156" i="38" s="1"/>
  <c r="AA156" i="38"/>
  <c r="Q203" i="38"/>
  <c r="AE203" i="38" s="1"/>
  <c r="S203" i="38"/>
  <c r="AG203" i="38" s="1"/>
  <c r="AA204" i="38"/>
  <c r="M204" i="38"/>
  <c r="S204" i="38" s="1"/>
  <c r="AG204" i="38" s="1"/>
  <c r="AH156" i="38" l="1"/>
  <c r="AI156" i="38"/>
  <c r="M157" i="38"/>
  <c r="AJ156" i="38"/>
  <c r="T203" i="38"/>
  <c r="P204" i="38"/>
  <c r="AD204" i="38" s="1"/>
  <c r="Q204" i="38"/>
  <c r="AE204" i="38" s="1"/>
  <c r="AA157" i="38" l="1"/>
  <c r="V157" i="38"/>
  <c r="P157" i="38"/>
  <c r="AD157" i="38" s="1"/>
  <c r="S157" i="38"/>
  <c r="AG157" i="38" s="1"/>
  <c r="Q157" i="38"/>
  <c r="AE157" i="38" s="1"/>
  <c r="T157" i="38"/>
  <c r="AI203" i="38"/>
  <c r="AH203" i="38"/>
  <c r="M205" i="38"/>
  <c r="S205" i="38" s="1"/>
  <c r="AG205" i="38" s="1"/>
  <c r="AA205" i="38"/>
  <c r="T204" i="38"/>
  <c r="AI157" i="38" l="1"/>
  <c r="AH157" i="38"/>
  <c r="AJ157" i="38"/>
  <c r="M158" i="38"/>
  <c r="AI204" i="38"/>
  <c r="AH204" i="38"/>
  <c r="P205" i="38"/>
  <c r="AD205" i="38" s="1"/>
  <c r="Q205" i="38"/>
  <c r="AE205" i="38" s="1"/>
  <c r="P158" i="38" l="1"/>
  <c r="AD158" i="38" s="1"/>
  <c r="S158" i="38"/>
  <c r="AG158" i="38" s="1"/>
  <c r="Q158" i="38"/>
  <c r="AE158" i="38" s="1"/>
  <c r="AA158" i="38"/>
  <c r="AA206" i="38"/>
  <c r="M206" i="38"/>
  <c r="S206" i="38" s="1"/>
  <c r="AG206" i="38" s="1"/>
  <c r="T205" i="38"/>
  <c r="T158" i="38" l="1"/>
  <c r="V158" i="38"/>
  <c r="AI205" i="38"/>
  <c r="AH205" i="38"/>
  <c r="P206" i="38"/>
  <c r="AD206" i="38" s="1"/>
  <c r="Q206" i="38"/>
  <c r="AE206" i="38" s="1"/>
  <c r="M159" i="38" l="1"/>
  <c r="AJ158" i="38"/>
  <c r="AI158" i="38"/>
  <c r="AH158" i="38"/>
  <c r="T206" i="38"/>
  <c r="M207" i="38"/>
  <c r="S207" i="38" s="1"/>
  <c r="AG207" i="38" s="1"/>
  <c r="AA207" i="38"/>
  <c r="AA159" i="38" l="1"/>
  <c r="S159" i="38"/>
  <c r="AG159" i="38" s="1"/>
  <c r="P159" i="38"/>
  <c r="AD159" i="38" s="1"/>
  <c r="Q159" i="38"/>
  <c r="AE159" i="38" s="1"/>
  <c r="AI206" i="38"/>
  <c r="AH206" i="38"/>
  <c r="P207" i="38"/>
  <c r="AD207" i="38" s="1"/>
  <c r="Q207" i="38"/>
  <c r="AE207" i="38" s="1"/>
  <c r="V159" i="38" l="1"/>
  <c r="T159" i="38"/>
  <c r="AA208" i="38"/>
  <c r="T207" i="38"/>
  <c r="M208" i="38"/>
  <c r="S208" i="38" s="1"/>
  <c r="AG208" i="38" s="1"/>
  <c r="AH159" i="38" l="1"/>
  <c r="AI159" i="38"/>
  <c r="M160" i="38"/>
  <c r="AJ159" i="38"/>
  <c r="AI207" i="38"/>
  <c r="AH207" i="38"/>
  <c r="P208" i="38"/>
  <c r="AD208" i="38" s="1"/>
  <c r="Q208" i="38"/>
  <c r="AE208" i="38" s="1"/>
  <c r="AA160" i="38" l="1"/>
  <c r="V160" i="38"/>
  <c r="P160" i="38"/>
  <c r="AD160" i="38" s="1"/>
  <c r="S160" i="38"/>
  <c r="AG160" i="38" s="1"/>
  <c r="Q160" i="38"/>
  <c r="AE160" i="38" s="1"/>
  <c r="T160" i="38"/>
  <c r="AH160" i="38" s="1"/>
  <c r="M209" i="38"/>
  <c r="S209" i="38" s="1"/>
  <c r="AG209" i="38" s="1"/>
  <c r="T208" i="38"/>
  <c r="AA209" i="38"/>
  <c r="AJ160" i="38" l="1"/>
  <c r="M161" i="38"/>
  <c r="AI160" i="38"/>
  <c r="AI208" i="38"/>
  <c r="AH208" i="38"/>
  <c r="Q209" i="38"/>
  <c r="AE209" i="38" s="1"/>
  <c r="P209" i="38"/>
  <c r="AD209" i="38" s="1"/>
  <c r="Q161" i="38" l="1"/>
  <c r="AE161" i="38" s="1"/>
  <c r="P161" i="38"/>
  <c r="AD161" i="38" s="1"/>
  <c r="S161" i="38"/>
  <c r="AG161" i="38" s="1"/>
  <c r="AA161" i="38"/>
  <c r="AA210" i="38"/>
  <c r="T209" i="38"/>
  <c r="M210" i="38"/>
  <c r="S210" i="38" s="1"/>
  <c r="AG210" i="38" s="1"/>
  <c r="T161" i="38" l="1"/>
  <c r="V161" i="38"/>
  <c r="AI209" i="38"/>
  <c r="AH209" i="38"/>
  <c r="Q210" i="38"/>
  <c r="AE210" i="38" s="1"/>
  <c r="P210" i="38"/>
  <c r="AD210" i="38" s="1"/>
  <c r="M211" i="38"/>
  <c r="S211" i="38" s="1"/>
  <c r="AG211" i="38" s="1"/>
  <c r="M162" i="38" l="1"/>
  <c r="AJ161" i="38"/>
  <c r="AI161" i="38"/>
  <c r="AH161" i="38"/>
  <c r="T210" i="38"/>
  <c r="M212" i="38"/>
  <c r="S212" i="38" s="1"/>
  <c r="AG212" i="38" s="1"/>
  <c r="Q211" i="38"/>
  <c r="AE211" i="38" s="1"/>
  <c r="P211" i="38"/>
  <c r="AD211" i="38" s="1"/>
  <c r="AA211" i="38"/>
  <c r="AA162" i="38" l="1"/>
  <c r="V162" i="38"/>
  <c r="S162" i="38"/>
  <c r="AG162" i="38" s="1"/>
  <c r="Q162" i="38"/>
  <c r="AE162" i="38" s="1"/>
  <c r="P162" i="38"/>
  <c r="AD162" i="38" s="1"/>
  <c r="T162" i="38"/>
  <c r="AI210" i="38"/>
  <c r="AH210" i="38"/>
  <c r="T212" i="38"/>
  <c r="Q212" i="38"/>
  <c r="AE212" i="38" s="1"/>
  <c r="P212" i="38"/>
  <c r="AD212" i="38" s="1"/>
  <c r="T211" i="38"/>
  <c r="M163" i="38" l="1"/>
  <c r="AJ162" i="38"/>
  <c r="AI162" i="38"/>
  <c r="AH162" i="38"/>
  <c r="AI212" i="38"/>
  <c r="AH212" i="38"/>
  <c r="AI211" i="38"/>
  <c r="AH211" i="38"/>
  <c r="AA212" i="38"/>
  <c r="M213" i="38"/>
  <c r="S213" i="38" s="1"/>
  <c r="AG213" i="38" s="1"/>
  <c r="AA163" i="38" l="1"/>
  <c r="P163" i="38"/>
  <c r="AD163" i="38" s="1"/>
  <c r="Q163" i="38"/>
  <c r="AE163" i="38" s="1"/>
  <c r="S163" i="38"/>
  <c r="AG163" i="38" s="1"/>
  <c r="T163" i="38"/>
  <c r="AH163" i="38" s="1"/>
  <c r="R163" i="38"/>
  <c r="Q213" i="38"/>
  <c r="AE213" i="38" s="1"/>
  <c r="P213" i="38"/>
  <c r="AD213" i="38" s="1"/>
  <c r="T213" i="38"/>
  <c r="AA213" i="38"/>
  <c r="M214" i="38"/>
  <c r="S214" i="38" s="1"/>
  <c r="AG214" i="38" s="1"/>
  <c r="AI163" i="38" l="1"/>
  <c r="AF163" i="38"/>
  <c r="V163" i="38"/>
  <c r="AI213" i="38"/>
  <c r="AH213" i="38"/>
  <c r="P214" i="38"/>
  <c r="AD214" i="38" s="1"/>
  <c r="Q214" i="38"/>
  <c r="AE214" i="38" s="1"/>
  <c r="M164" i="38" l="1"/>
  <c r="AJ163" i="38"/>
  <c r="AA214" i="38"/>
  <c r="T214" i="38"/>
  <c r="M215" i="38"/>
  <c r="S215" i="38" s="1"/>
  <c r="AG215" i="38" s="1"/>
  <c r="AA164" i="38" l="1"/>
  <c r="V164" i="38"/>
  <c r="P164" i="38"/>
  <c r="AD164" i="38" s="1"/>
  <c r="S164" i="38"/>
  <c r="AG164" i="38" s="1"/>
  <c r="Q164" i="38"/>
  <c r="AE164" i="38" s="1"/>
  <c r="T164" i="38"/>
  <c r="AI214" i="38"/>
  <c r="AH214" i="38"/>
  <c r="AA215" i="38"/>
  <c r="Q215" i="38"/>
  <c r="AE215" i="38" s="1"/>
  <c r="P215" i="38"/>
  <c r="AD215" i="38" s="1"/>
  <c r="M165" i="38" l="1"/>
  <c r="AJ164" i="38"/>
  <c r="AI164" i="38"/>
  <c r="AH164" i="38"/>
  <c r="AA216" i="38"/>
  <c r="T215" i="38"/>
  <c r="M216" i="38"/>
  <c r="S216" i="38" s="1"/>
  <c r="AG216" i="38" s="1"/>
  <c r="AA165" i="38" l="1"/>
  <c r="V165" i="38"/>
  <c r="P165" i="38"/>
  <c r="AD165" i="38" s="1"/>
  <c r="Q165" i="38"/>
  <c r="AE165" i="38" s="1"/>
  <c r="S165" i="38"/>
  <c r="AG165" i="38" s="1"/>
  <c r="T165" i="38"/>
  <c r="AI215" i="38"/>
  <c r="AH215" i="38"/>
  <c r="Q216" i="38"/>
  <c r="AE216" i="38" s="1"/>
  <c r="P216" i="38"/>
  <c r="AD216" i="38" s="1"/>
  <c r="M166" i="38" l="1"/>
  <c r="AJ165" i="38"/>
  <c r="AI165" i="38"/>
  <c r="AH165" i="38"/>
  <c r="AA217" i="38"/>
  <c r="T216" i="38"/>
  <c r="M217" i="38"/>
  <c r="S217" i="38" s="1"/>
  <c r="AG217" i="38" s="1"/>
  <c r="AA166" i="38" l="1"/>
  <c r="V166" i="38"/>
  <c r="Q166" i="38"/>
  <c r="AE166" i="38" s="1"/>
  <c r="P166" i="38"/>
  <c r="AD166" i="38" s="1"/>
  <c r="S166" i="38"/>
  <c r="AG166" i="38" s="1"/>
  <c r="T166" i="38"/>
  <c r="AH166" i="38" s="1"/>
  <c r="AI216" i="38"/>
  <c r="AH216" i="38"/>
  <c r="P217" i="38"/>
  <c r="AD217" i="38" s="1"/>
  <c r="Q217" i="38"/>
  <c r="AE217" i="38" s="1"/>
  <c r="AI166" i="38" l="1"/>
  <c r="M167" i="38"/>
  <c r="AJ166" i="38"/>
  <c r="AA218" i="38"/>
  <c r="T217" i="38"/>
  <c r="M218" i="38"/>
  <c r="S218" i="38" s="1"/>
  <c r="AG218" i="38" s="1"/>
  <c r="AA167" i="38" l="1"/>
  <c r="V167" i="38"/>
  <c r="P167" i="38"/>
  <c r="AD167" i="38" s="1"/>
  <c r="S167" i="38"/>
  <c r="AG167" i="38" s="1"/>
  <c r="Q167" i="38"/>
  <c r="AE167" i="38" s="1"/>
  <c r="AI217" i="38"/>
  <c r="AH217" i="38"/>
  <c r="P218" i="38"/>
  <c r="AD218" i="38" s="1"/>
  <c r="Q218" i="38"/>
  <c r="AE218" i="38" s="1"/>
  <c r="T167" i="38" l="1"/>
  <c r="AH167" i="38" s="1"/>
  <c r="AJ167" i="38"/>
  <c r="M168" i="38"/>
  <c r="AA219" i="38"/>
  <c r="T218" i="38"/>
  <c r="M219" i="38"/>
  <c r="S219" i="38" s="1"/>
  <c r="AG219" i="38" s="1"/>
  <c r="AA168" i="38" l="1"/>
  <c r="AI167" i="38"/>
  <c r="P168" i="38"/>
  <c r="AD168" i="38" s="1"/>
  <c r="T168" i="38"/>
  <c r="Q168" i="38"/>
  <c r="AE168" i="38" s="1"/>
  <c r="S168" i="38"/>
  <c r="AG168" i="38" s="1"/>
  <c r="AI218" i="38"/>
  <c r="AH218" i="38"/>
  <c r="P219" i="38"/>
  <c r="AD219" i="38" s="1"/>
  <c r="Q219" i="38"/>
  <c r="AE219" i="38" s="1"/>
  <c r="V168" i="38" l="1"/>
  <c r="AI168" i="38"/>
  <c r="AH168" i="38"/>
  <c r="AA220" i="38"/>
  <c r="T219" i="38"/>
  <c r="M220" i="38"/>
  <c r="S220" i="38" s="1"/>
  <c r="AG220" i="38" s="1"/>
  <c r="M169" i="38" l="1"/>
  <c r="AJ168" i="38"/>
  <c r="AI219" i="38"/>
  <c r="AH219" i="38"/>
  <c r="P220" i="38"/>
  <c r="AD220" i="38" s="1"/>
  <c r="Q220" i="38"/>
  <c r="AE220" i="38" s="1"/>
  <c r="AA169" i="38" l="1"/>
  <c r="V169" i="38"/>
  <c r="S169" i="38"/>
  <c r="AG169" i="38" s="1"/>
  <c r="Q169" i="38"/>
  <c r="AE169" i="38" s="1"/>
  <c r="P169" i="38"/>
  <c r="AD169" i="38" s="1"/>
  <c r="AA221" i="38"/>
  <c r="M221" i="38"/>
  <c r="S221" i="38" s="1"/>
  <c r="AG221" i="38" s="1"/>
  <c r="T220" i="38"/>
  <c r="M170" i="38" l="1"/>
  <c r="AJ169" i="38"/>
  <c r="T169" i="38"/>
  <c r="AI220" i="38"/>
  <c r="AH220" i="38"/>
  <c r="P221" i="38"/>
  <c r="AD221" i="38" s="1"/>
  <c r="Q221" i="38"/>
  <c r="AE221" i="38" s="1"/>
  <c r="AH169" i="38" l="1"/>
  <c r="AI169" i="38"/>
  <c r="AA170" i="38"/>
  <c r="V170" i="38"/>
  <c r="P170" i="38"/>
  <c r="AD170" i="38" s="1"/>
  <c r="Q170" i="38"/>
  <c r="AE170" i="38" s="1"/>
  <c r="S170" i="38"/>
  <c r="AG170" i="38" s="1"/>
  <c r="T170" i="38"/>
  <c r="AA222" i="38"/>
  <c r="T221" i="38"/>
  <c r="M222" i="38"/>
  <c r="S222" i="38" s="1"/>
  <c r="AG222" i="38" s="1"/>
  <c r="AH170" i="38" l="1"/>
  <c r="AJ170" i="38"/>
  <c r="M171" i="38"/>
  <c r="AI170" i="38"/>
  <c r="AI221" i="38"/>
  <c r="AH221" i="38"/>
  <c r="Q222" i="38"/>
  <c r="AE222" i="38" s="1"/>
  <c r="P222" i="38"/>
  <c r="AD222" i="38" s="1"/>
  <c r="M223" i="38"/>
  <c r="S223" i="38" s="1"/>
  <c r="AG223" i="38" s="1"/>
  <c r="AA171" i="38" l="1"/>
  <c r="V171" i="38"/>
  <c r="S171" i="38"/>
  <c r="AG171" i="38" s="1"/>
  <c r="Q171" i="38"/>
  <c r="AE171" i="38" s="1"/>
  <c r="P171" i="38"/>
  <c r="AD171" i="38" s="1"/>
  <c r="T171" i="38"/>
  <c r="AA223" i="38"/>
  <c r="T222" i="38"/>
  <c r="T223" i="38"/>
  <c r="Q223" i="38"/>
  <c r="AE223" i="38" s="1"/>
  <c r="P223" i="38"/>
  <c r="AD223" i="38" s="1"/>
  <c r="AH171" i="38" l="1"/>
  <c r="AI171" i="38"/>
  <c r="AJ171" i="38"/>
  <c r="M172" i="38"/>
  <c r="AI223" i="38"/>
  <c r="AH223" i="38"/>
  <c r="AI222" i="38"/>
  <c r="AH222" i="38"/>
  <c r="AA224" i="38"/>
  <c r="M224" i="38"/>
  <c r="S224" i="38" s="1"/>
  <c r="AG224" i="38" s="1"/>
  <c r="AA172" i="38" l="1"/>
  <c r="V172" i="38"/>
  <c r="P172" i="38"/>
  <c r="AD172" i="38" s="1"/>
  <c r="S172" i="38"/>
  <c r="AG172" i="38" s="1"/>
  <c r="Q172" i="38"/>
  <c r="AE172" i="38" s="1"/>
  <c r="T172" i="38"/>
  <c r="M225" i="38"/>
  <c r="S225" i="38" s="1"/>
  <c r="AG225" i="38" s="1"/>
  <c r="Q224" i="38"/>
  <c r="AE224" i="38" s="1"/>
  <c r="P224" i="38"/>
  <c r="AD224" i="38" s="1"/>
  <c r="AI172" i="38" l="1"/>
  <c r="AH172" i="38"/>
  <c r="M173" i="38"/>
  <c r="AJ172" i="38"/>
  <c r="T224" i="38"/>
  <c r="T225" i="38"/>
  <c r="P225" i="38"/>
  <c r="AD225" i="38" s="1"/>
  <c r="Q225" i="38"/>
  <c r="AE225" i="38" s="1"/>
  <c r="AA225" i="38"/>
  <c r="P173" i="38" l="1"/>
  <c r="AD173" i="38" s="1"/>
  <c r="S173" i="38"/>
  <c r="AG173" i="38" s="1"/>
  <c r="Q173" i="38"/>
  <c r="AE173" i="38" s="1"/>
  <c r="AA173" i="38"/>
  <c r="AI225" i="38"/>
  <c r="AH225" i="38"/>
  <c r="AI224" i="38"/>
  <c r="AH224" i="38"/>
  <c r="M226" i="38"/>
  <c r="S226" i="38" s="1"/>
  <c r="AG226" i="38" s="1"/>
  <c r="T173" i="38" l="1"/>
  <c r="V173" i="38"/>
  <c r="AA226" i="38"/>
  <c r="P226" i="38"/>
  <c r="AD226" i="38" s="1"/>
  <c r="Q226" i="38"/>
  <c r="AE226" i="38" s="1"/>
  <c r="T226" i="38"/>
  <c r="AI173" i="38" l="1"/>
  <c r="AH173" i="38"/>
  <c r="M174" i="38"/>
  <c r="AJ173" i="38"/>
  <c r="AI226" i="38"/>
  <c r="AH226" i="38"/>
  <c r="AA227" i="38"/>
  <c r="M227" i="38"/>
  <c r="S227" i="38" s="1"/>
  <c r="AG227" i="38" s="1"/>
  <c r="P174" i="38" l="1"/>
  <c r="AD174" i="38" s="1"/>
  <c r="S174" i="38"/>
  <c r="AG174" i="38" s="1"/>
  <c r="Q174" i="38"/>
  <c r="AE174" i="38" s="1"/>
  <c r="AA174" i="38"/>
  <c r="P227" i="38"/>
  <c r="AD227" i="38" s="1"/>
  <c r="Q227" i="38"/>
  <c r="AE227" i="38" s="1"/>
  <c r="T227" i="38"/>
  <c r="T174" i="38" l="1"/>
  <c r="V174" i="38"/>
  <c r="AI227" i="38"/>
  <c r="AH227" i="38"/>
  <c r="AA228" i="38"/>
  <c r="M228" i="38"/>
  <c r="S228" i="38" s="1"/>
  <c r="AG228" i="38" s="1"/>
  <c r="M175" i="38" l="1"/>
  <c r="AJ174" i="38"/>
  <c r="AI174" i="38"/>
  <c r="AH174" i="38"/>
  <c r="P228" i="38"/>
  <c r="AD228" i="38" s="1"/>
  <c r="T228" i="38"/>
  <c r="Q228" i="38"/>
  <c r="AE228" i="38" s="1"/>
  <c r="AA175" i="38" l="1"/>
  <c r="V175" i="38"/>
  <c r="R175" i="38"/>
  <c r="S175" i="38"/>
  <c r="AG175" i="38" s="1"/>
  <c r="P175" i="38"/>
  <c r="AD175" i="38" s="1"/>
  <c r="T175" i="38"/>
  <c r="AH175" i="38" s="1"/>
  <c r="Q175" i="38"/>
  <c r="AE175" i="38" s="1"/>
  <c r="AI228" i="38"/>
  <c r="AH228" i="38"/>
  <c r="M229" i="38"/>
  <c r="S229" i="38" s="1"/>
  <c r="AG229" i="38" s="1"/>
  <c r="AA229" i="38"/>
  <c r="AI175" i="38" l="1"/>
  <c r="AF175" i="38"/>
  <c r="M176" i="38"/>
  <c r="AJ175" i="38"/>
  <c r="P229" i="38"/>
  <c r="AD229" i="38" s="1"/>
  <c r="T229" i="38"/>
  <c r="Q229" i="38"/>
  <c r="AE229" i="38" s="1"/>
  <c r="Q176" i="38" l="1"/>
  <c r="AE176" i="38" s="1"/>
  <c r="S176" i="38"/>
  <c r="AG176" i="38" s="1"/>
  <c r="P176" i="38"/>
  <c r="AD176" i="38" s="1"/>
  <c r="AA176" i="38"/>
  <c r="AI229" i="38"/>
  <c r="AH229" i="38"/>
  <c r="AA230" i="38"/>
  <c r="M230" i="38"/>
  <c r="S230" i="38" s="1"/>
  <c r="AG230" i="38" s="1"/>
  <c r="V176" i="38" l="1"/>
  <c r="T176" i="38"/>
  <c r="P230" i="38"/>
  <c r="AD230" i="38" s="1"/>
  <c r="Q230" i="38"/>
  <c r="AE230" i="38" s="1"/>
  <c r="T230" i="38"/>
  <c r="AI176" i="38" l="1"/>
  <c r="AH176" i="38"/>
  <c r="AJ176" i="38"/>
  <c r="M177" i="38"/>
  <c r="AI230" i="38"/>
  <c r="AH230" i="38"/>
  <c r="M231" i="38"/>
  <c r="AA231" i="38"/>
  <c r="Q177" i="38" l="1"/>
  <c r="AE177" i="38" s="1"/>
  <c r="S177" i="38"/>
  <c r="AG177" i="38" s="1"/>
  <c r="P177" i="38"/>
  <c r="AD177" i="38" s="1"/>
  <c r="AA177" i="38"/>
  <c r="P231" i="38"/>
  <c r="AD231" i="38" s="1"/>
  <c r="S231" i="38"/>
  <c r="AG231" i="38" s="1"/>
  <c r="Q231" i="38"/>
  <c r="AE231" i="38" s="1"/>
  <c r="M232" i="38"/>
  <c r="S232" i="38" s="1"/>
  <c r="AG232" i="38" s="1"/>
  <c r="T177" i="38" l="1"/>
  <c r="V177" i="38"/>
  <c r="T231" i="38"/>
  <c r="AA232" i="38"/>
  <c r="P232" i="38"/>
  <c r="AD232" i="38" s="1"/>
  <c r="T232" i="38"/>
  <c r="Q232" i="38"/>
  <c r="AE232" i="38" s="1"/>
  <c r="M178" i="38" l="1"/>
  <c r="AJ177" i="38"/>
  <c r="AI177" i="38"/>
  <c r="AH177" i="38"/>
  <c r="AI232" i="38"/>
  <c r="AH232" i="38"/>
  <c r="AI231" i="38"/>
  <c r="AH231" i="38"/>
  <c r="M233" i="38"/>
  <c r="AA233" i="38"/>
  <c r="M234" i="38"/>
  <c r="S234" i="38" s="1"/>
  <c r="AG234" i="38" s="1"/>
  <c r="P233" i="38"/>
  <c r="AD233" i="38" s="1"/>
  <c r="AA178" i="38" l="1"/>
  <c r="V178" i="38"/>
  <c r="P178" i="38"/>
  <c r="AD178" i="38" s="1"/>
  <c r="S178" i="38"/>
  <c r="AG178" i="38" s="1"/>
  <c r="Q178" i="38"/>
  <c r="AE178" i="38" s="1"/>
  <c r="T178" i="38"/>
  <c r="Q233" i="38"/>
  <c r="AE233" i="38" s="1"/>
  <c r="S233" i="38"/>
  <c r="AA234" i="38"/>
  <c r="M235" i="38"/>
  <c r="S235" i="38" s="1"/>
  <c r="AG235" i="38" s="1"/>
  <c r="Q234" i="38"/>
  <c r="AE234" i="38" s="1"/>
  <c r="P234" i="38"/>
  <c r="AD234" i="38" s="1"/>
  <c r="T234" i="38"/>
  <c r="AI178" i="38" l="1"/>
  <c r="AH178" i="38"/>
  <c r="M179" i="38"/>
  <c r="AJ178" i="38"/>
  <c r="AI234" i="38"/>
  <c r="AH234" i="38"/>
  <c r="T233" i="38"/>
  <c r="AG233" i="38"/>
  <c r="AA235" i="38"/>
  <c r="M236" i="38"/>
  <c r="S236" i="38" s="1"/>
  <c r="AG236" i="38" s="1"/>
  <c r="P235" i="38"/>
  <c r="AD235" i="38" s="1"/>
  <c r="Q235" i="38"/>
  <c r="AE235" i="38" s="1"/>
  <c r="T235" i="38"/>
  <c r="AA179" i="38" l="1"/>
  <c r="V179" i="38"/>
  <c r="Q179" i="38"/>
  <c r="AE179" i="38" s="1"/>
  <c r="S179" i="38"/>
  <c r="AG179" i="38" s="1"/>
  <c r="P179" i="38"/>
  <c r="AD179" i="38" s="1"/>
  <c r="T179" i="38"/>
  <c r="AI233" i="38"/>
  <c r="AH233" i="38"/>
  <c r="AI235" i="38"/>
  <c r="AH235" i="38"/>
  <c r="AA236" i="38"/>
  <c r="M237" i="38"/>
  <c r="S237" i="38" s="1"/>
  <c r="AG237" i="38" s="1"/>
  <c r="Q236" i="38"/>
  <c r="AE236" i="38" s="1"/>
  <c r="T236" i="38"/>
  <c r="P236" i="38"/>
  <c r="AD236" i="38" s="1"/>
  <c r="AI179" i="38" l="1"/>
  <c r="AH179" i="38"/>
  <c r="M180" i="38"/>
  <c r="AJ179" i="38"/>
  <c r="AI236" i="38"/>
  <c r="AH236" i="38"/>
  <c r="AA237" i="38"/>
  <c r="M238" i="38"/>
  <c r="S238" i="38" s="1"/>
  <c r="AG238" i="38" s="1"/>
  <c r="Q237" i="38"/>
  <c r="AE237" i="38" s="1"/>
  <c r="T237" i="38"/>
  <c r="P237" i="38"/>
  <c r="AD237" i="38" s="1"/>
  <c r="V180" i="38" l="1"/>
  <c r="P180" i="38"/>
  <c r="AD180" i="38" s="1"/>
  <c r="Q180" i="38"/>
  <c r="AE180" i="38" s="1"/>
  <c r="S180" i="38"/>
  <c r="AG180" i="38" s="1"/>
  <c r="T180" i="38"/>
  <c r="AA180" i="38"/>
  <c r="AI237" i="38"/>
  <c r="AH237" i="38"/>
  <c r="AA238" i="38"/>
  <c r="M239" i="38"/>
  <c r="S239" i="38" s="1"/>
  <c r="AG239" i="38" s="1"/>
  <c r="Q238" i="38"/>
  <c r="AE238" i="38" s="1"/>
  <c r="T238" i="38"/>
  <c r="P238" i="38"/>
  <c r="AD238" i="38" s="1"/>
  <c r="AH180" i="38" l="1"/>
  <c r="AI180" i="38"/>
  <c r="AJ180" i="38"/>
  <c r="M181" i="38"/>
  <c r="AI238" i="38"/>
  <c r="AH238" i="38"/>
  <c r="AA239" i="38"/>
  <c r="T239" i="38"/>
  <c r="P239" i="38"/>
  <c r="AD239" i="38" s="1"/>
  <c r="Q239" i="38"/>
  <c r="AE239" i="38" s="1"/>
  <c r="AA181" i="38" l="1"/>
  <c r="V181" i="38"/>
  <c r="Q181" i="38"/>
  <c r="AE181" i="38" s="1"/>
  <c r="P181" i="38"/>
  <c r="AD181" i="38" s="1"/>
  <c r="S181" i="38"/>
  <c r="AG181" i="38" s="1"/>
  <c r="T181" i="38"/>
  <c r="AH181" i="38" s="1"/>
  <c r="AI239" i="38"/>
  <c r="AH239" i="38"/>
  <c r="AA240" i="38"/>
  <c r="M240" i="38"/>
  <c r="M241" i="38"/>
  <c r="S241" i="38" s="1"/>
  <c r="AG241" i="38" s="1"/>
  <c r="AI181" i="38" l="1"/>
  <c r="AJ181" i="38"/>
  <c r="M182" i="38"/>
  <c r="P240" i="38"/>
  <c r="AD240" i="38" s="1"/>
  <c r="AA241" i="38" s="1"/>
  <c r="S240" i="38"/>
  <c r="AG240" i="38" s="1"/>
  <c r="Q240" i="38"/>
  <c r="AE240" i="38" s="1"/>
  <c r="T241" i="38"/>
  <c r="P241" i="38"/>
  <c r="AD241" i="38" s="1"/>
  <c r="Q241" i="38"/>
  <c r="AE241" i="38" s="1"/>
  <c r="P182" i="38" l="1"/>
  <c r="AD182" i="38" s="1"/>
  <c r="S182" i="38"/>
  <c r="AG182" i="38" s="1"/>
  <c r="Q182" i="38"/>
  <c r="AE182" i="38" s="1"/>
  <c r="AA182" i="38"/>
  <c r="T240" i="38"/>
  <c r="AI241" i="38"/>
  <c r="AH241" i="38"/>
  <c r="AA242" i="38"/>
  <c r="M242" i="38"/>
  <c r="S242" i="38" s="1"/>
  <c r="AG242" i="38" s="1"/>
  <c r="V182" i="38" l="1"/>
  <c r="T182" i="38"/>
  <c r="AI240" i="38"/>
  <c r="AH240" i="38"/>
  <c r="T242" i="38"/>
  <c r="P242" i="38"/>
  <c r="AD242" i="38" s="1"/>
  <c r="Q242" i="38"/>
  <c r="AE242" i="38" s="1"/>
  <c r="AH182" i="38" l="1"/>
  <c r="AI182" i="38"/>
  <c r="AJ182" i="38"/>
  <c r="M183" i="38"/>
  <c r="AI242" i="38"/>
  <c r="AH242" i="38"/>
  <c r="M243" i="38"/>
  <c r="P243" i="38" s="1"/>
  <c r="AD243" i="38" s="1"/>
  <c r="AA243" i="38"/>
  <c r="M244" i="38"/>
  <c r="S244" i="38" s="1"/>
  <c r="AG244" i="38" s="1"/>
  <c r="AA183" i="38" l="1"/>
  <c r="V183" i="38"/>
  <c r="P183" i="38"/>
  <c r="AD183" i="38" s="1"/>
  <c r="Q183" i="38"/>
  <c r="AE183" i="38" s="1"/>
  <c r="S183" i="38"/>
  <c r="AG183" i="38" s="1"/>
  <c r="T183" i="38"/>
  <c r="Q243" i="38"/>
  <c r="AE243" i="38" s="1"/>
  <c r="S243" i="38"/>
  <c r="Q244" i="38"/>
  <c r="AE244" i="38" s="1"/>
  <c r="T244" i="38"/>
  <c r="P244" i="38"/>
  <c r="AD244" i="38" s="1"/>
  <c r="AJ183" i="38" l="1"/>
  <c r="M184" i="38"/>
  <c r="AI183" i="38"/>
  <c r="AH183" i="38"/>
  <c r="AI244" i="38"/>
  <c r="AH244" i="38"/>
  <c r="T243" i="38"/>
  <c r="AG243" i="38"/>
  <c r="AA244" i="38"/>
  <c r="M245" i="38"/>
  <c r="S245" i="38" s="1"/>
  <c r="AG245" i="38" s="1"/>
  <c r="P184" i="38" l="1"/>
  <c r="AD184" i="38" s="1"/>
  <c r="Q184" i="38"/>
  <c r="AE184" i="38" s="1"/>
  <c r="S184" i="38"/>
  <c r="AG184" i="38" s="1"/>
  <c r="AA184" i="38"/>
  <c r="AI243" i="38"/>
  <c r="AH243" i="38"/>
  <c r="AA245" i="38"/>
  <c r="T245" i="38"/>
  <c r="P245" i="38"/>
  <c r="AD245" i="38" s="1"/>
  <c r="Q245" i="38"/>
  <c r="AE245" i="38" s="1"/>
  <c r="T184" i="38" l="1"/>
  <c r="V184" i="38"/>
  <c r="AI245" i="38"/>
  <c r="AH245" i="38"/>
  <c r="AA246" i="38"/>
  <c r="M246" i="38"/>
  <c r="Q246" i="38" s="1"/>
  <c r="AE246" i="38" s="1"/>
  <c r="P246" i="38"/>
  <c r="AD246" i="38" s="1"/>
  <c r="AJ184" i="38" l="1"/>
  <c r="M185" i="38"/>
  <c r="AH184" i="38"/>
  <c r="AI184" i="38"/>
  <c r="S246" i="38"/>
  <c r="AA247" i="38"/>
  <c r="M247" i="38"/>
  <c r="S247" i="38" s="1"/>
  <c r="AG247" i="38" s="1"/>
  <c r="Q185" i="38" l="1"/>
  <c r="AE185" i="38" s="1"/>
  <c r="P185" i="38"/>
  <c r="AD185" i="38" s="1"/>
  <c r="S185" i="38"/>
  <c r="AG185" i="38" s="1"/>
  <c r="AA185" i="38"/>
  <c r="T246" i="38"/>
  <c r="AG246" i="38"/>
  <c r="P247" i="38"/>
  <c r="AD247" i="38" s="1"/>
  <c r="Q247" i="38"/>
  <c r="AE247" i="38" s="1"/>
  <c r="T247" i="38"/>
  <c r="T185" i="38" l="1"/>
  <c r="V185" i="38"/>
  <c r="AI246" i="38"/>
  <c r="AH246" i="38"/>
  <c r="AI247" i="38"/>
  <c r="AH247" i="38"/>
  <c r="AA248" i="38"/>
  <c r="M248" i="38"/>
  <c r="S248" i="38" s="1"/>
  <c r="AG248" i="38" s="1"/>
  <c r="AJ185" i="38" l="1"/>
  <c r="M186" i="38"/>
  <c r="AI185" i="38"/>
  <c r="AH185" i="38"/>
  <c r="T248" i="38"/>
  <c r="Q248" i="38"/>
  <c r="AE248" i="38" s="1"/>
  <c r="P248" i="38"/>
  <c r="AD248" i="38" s="1"/>
  <c r="Q186" i="38" l="1"/>
  <c r="AE186" i="38" s="1"/>
  <c r="P186" i="38"/>
  <c r="AD186" i="38" s="1"/>
  <c r="S186" i="38"/>
  <c r="AG186" i="38" s="1"/>
  <c r="AA186" i="38"/>
  <c r="AI248" i="38"/>
  <c r="AH248" i="38"/>
  <c r="AA249" i="38"/>
  <c r="M249" i="38"/>
  <c r="S249" i="38" s="1"/>
  <c r="AG249" i="38" s="1"/>
  <c r="T186" i="38" l="1"/>
  <c r="AH186" i="38" s="1"/>
  <c r="V186" i="38"/>
  <c r="Q249" i="38"/>
  <c r="AE249" i="38" s="1"/>
  <c r="P249" i="38"/>
  <c r="AD249" i="38" s="1"/>
  <c r="T249" i="38"/>
  <c r="M187" i="38" l="1"/>
  <c r="AJ186" i="38"/>
  <c r="AI186" i="38"/>
  <c r="AI249" i="38"/>
  <c r="AH249" i="38"/>
  <c r="AA250" i="38"/>
  <c r="M250" i="38"/>
  <c r="AA187" i="38" l="1"/>
  <c r="T187" i="38"/>
  <c r="P187" i="38"/>
  <c r="AD187" i="38" s="1"/>
  <c r="S187" i="38"/>
  <c r="AG187" i="38" s="1"/>
  <c r="R187" i="38"/>
  <c r="Q187" i="38"/>
  <c r="AE187" i="38" s="1"/>
  <c r="P250" i="38"/>
  <c r="AD250" i="38" s="1"/>
  <c r="S250" i="38"/>
  <c r="AG250" i="38" s="1"/>
  <c r="M251" i="38"/>
  <c r="S251" i="38" s="1"/>
  <c r="AG251" i="38" s="1"/>
  <c r="Q250" i="38"/>
  <c r="AE250" i="38" s="1"/>
  <c r="AF187" i="38" l="1"/>
  <c r="AF3" i="38" s="1"/>
  <c r="R3" i="38"/>
  <c r="T250" i="38"/>
  <c r="AH250" i="38" s="1"/>
  <c r="P251" i="38"/>
  <c r="AD251" i="38" s="1"/>
  <c r="AH187" i="38"/>
  <c r="AI187" i="38"/>
  <c r="T251" i="38"/>
  <c r="AA251" i="38"/>
  <c r="Q251" i="38"/>
  <c r="AE251" i="38" s="1"/>
  <c r="M252" i="38"/>
  <c r="S252" i="38" s="1"/>
  <c r="AG252" i="38" s="1"/>
  <c r="AI250" i="38" l="1"/>
  <c r="AI251" i="38"/>
  <c r="AH251" i="38"/>
  <c r="AA252" i="38"/>
  <c r="Q252" i="38"/>
  <c r="T252" i="38"/>
  <c r="P252" i="38"/>
  <c r="AI252" i="38" l="1"/>
  <c r="AH252" i="38"/>
  <c r="AD252" i="38"/>
  <c r="AE252" i="38"/>
  <c r="M253" i="38"/>
  <c r="S253" i="38" s="1"/>
  <c r="AG253" i="38" s="1"/>
  <c r="P253" i="38" l="1"/>
  <c r="Q253" i="38"/>
  <c r="T253" i="38"/>
  <c r="AA253" i="38"/>
  <c r="AI253" i="38" l="1"/>
  <c r="AH253" i="38"/>
  <c r="AE253" i="38"/>
  <c r="AD253" i="38"/>
  <c r="M254" i="38"/>
  <c r="S254" i="38" s="1"/>
  <c r="AG254" i="38" s="1"/>
  <c r="AA254" i="38" l="1"/>
  <c r="M255" i="38"/>
  <c r="S255" i="38" s="1"/>
  <c r="AG255" i="38" s="1"/>
  <c r="P254" i="38"/>
  <c r="Q254" i="38"/>
  <c r="T254" i="38"/>
  <c r="AI254" i="38" l="1"/>
  <c r="AH254" i="38"/>
  <c r="AE254" i="38"/>
  <c r="AD254" i="38"/>
  <c r="T255" i="38"/>
  <c r="P255" i="38"/>
  <c r="AD255" i="38" s="1"/>
  <c r="Q255" i="38"/>
  <c r="AE255" i="38" s="1"/>
  <c r="AI255" i="38" l="1"/>
  <c r="AH255" i="38"/>
  <c r="AA255" i="38"/>
  <c r="M256" i="38"/>
  <c r="S256" i="38" s="1"/>
  <c r="AG256" i="38" s="1"/>
  <c r="AA256" i="38" l="1"/>
  <c r="T256" i="38"/>
  <c r="Q256" i="38"/>
  <c r="AE256" i="38" s="1"/>
  <c r="P256" i="38"/>
  <c r="AI256" i="38" l="1"/>
  <c r="AH256" i="38"/>
  <c r="M257" i="38"/>
  <c r="S257" i="38" s="1"/>
  <c r="AG257" i="38" s="1"/>
  <c r="AD256" i="38"/>
  <c r="AA257" i="38" s="1"/>
  <c r="Q257" i="38" l="1"/>
  <c r="AE257" i="38" s="1"/>
  <c r="T257" i="38"/>
  <c r="P257" i="38"/>
  <c r="AI257" i="38" l="1"/>
  <c r="AH257" i="38"/>
  <c r="M258" i="38"/>
  <c r="S258" i="38" s="1"/>
  <c r="AG258" i="38" s="1"/>
  <c r="AD257" i="38"/>
  <c r="AA258" i="38" s="1"/>
  <c r="M259" i="38" l="1"/>
  <c r="S259" i="38" s="1"/>
  <c r="AG259" i="38" s="1"/>
  <c r="P258" i="38"/>
  <c r="AD258" i="38" s="1"/>
  <c r="Q258" i="38"/>
  <c r="AE258" i="38" s="1"/>
  <c r="T258" i="38"/>
  <c r="AI258" i="38" l="1"/>
  <c r="AH258" i="38"/>
  <c r="AA259" i="38"/>
  <c r="P259" i="38"/>
  <c r="Q259" i="38"/>
  <c r="T259" i="38"/>
  <c r="AI259" i="38" l="1"/>
  <c r="AH259" i="38"/>
  <c r="AD259" i="38"/>
  <c r="P3" i="38"/>
  <c r="AE259" i="38"/>
  <c r="AE3" i="38" s="1"/>
  <c r="Q3" i="38"/>
  <c r="AD3" i="38" l="1"/>
  <c r="AA9" i="38"/>
  <c r="AR9" i="38"/>
  <c r="AI9" i="38" s="1"/>
  <c r="AR8" i="38"/>
  <c r="AI8" i="38" l="1"/>
  <c r="AI94" i="38"/>
  <c r="AI13" i="38"/>
  <c r="AR10" i="38"/>
  <c r="AS10" i="38" s="1"/>
  <c r="AQ11" i="38" s="1"/>
  <c r="AR11" i="38" s="1"/>
  <c r="AT10" i="38" l="1"/>
  <c r="AS11" i="38"/>
  <c r="AQ12" i="38" s="1"/>
  <c r="AR12" i="38" s="1"/>
  <c r="AT11" i="38" l="1"/>
  <c r="AS12" i="38"/>
  <c r="AQ13" i="38" s="1"/>
  <c r="AR13" i="38" s="1"/>
  <c r="AT12" i="38" l="1"/>
  <c r="AS13" i="38"/>
  <c r="AQ14" i="38" s="1"/>
  <c r="AR14" i="38" s="1"/>
  <c r="AT13" i="38" l="1"/>
  <c r="AS14" i="38"/>
  <c r="AQ15" i="38" s="1"/>
  <c r="AR15" i="38" s="1"/>
  <c r="AT14" i="38" l="1"/>
  <c r="AS15" i="38"/>
  <c r="AQ16" i="38" s="1"/>
  <c r="AR16" i="38" s="1"/>
  <c r="AT15" i="38" l="1"/>
  <c r="AS16" i="38"/>
  <c r="AQ17" i="38" s="1"/>
  <c r="AR17" i="38" s="1"/>
  <c r="AT16" i="38" l="1"/>
  <c r="AS17" i="38"/>
  <c r="AQ18" i="38" s="1"/>
  <c r="AR18" i="38" s="1"/>
  <c r="AT17" i="38" l="1"/>
  <c r="AS18" i="38"/>
  <c r="AQ19" i="38" s="1"/>
  <c r="AR19" i="38" s="1"/>
  <c r="AT18" i="38" l="1"/>
  <c r="AS19" i="38"/>
  <c r="AQ20" i="38" s="1"/>
  <c r="AR20" i="38" s="1"/>
  <c r="AT19" i="38" l="1"/>
  <c r="AS20" i="38"/>
  <c r="AQ21" i="38" s="1"/>
  <c r="AR21" i="38" s="1"/>
  <c r="AT20" i="38" l="1"/>
  <c r="AS21" i="38"/>
  <c r="AQ22" i="38" s="1"/>
  <c r="AR22" i="38" s="1"/>
  <c r="AT21" i="38" l="1"/>
  <c r="AS22" i="38"/>
  <c r="AQ23" i="38" s="1"/>
  <c r="AR23" i="38" s="1"/>
  <c r="AT22" i="38" l="1"/>
  <c r="AS23" i="38"/>
  <c r="AQ24" i="38" s="1"/>
  <c r="AR24" i="38" s="1"/>
  <c r="AT23" i="38" l="1"/>
  <c r="AS24" i="38"/>
  <c r="AQ25" i="38" s="1"/>
  <c r="AR25" i="38" s="1"/>
  <c r="AT24" i="38" l="1"/>
  <c r="AS25" i="38"/>
  <c r="AQ26" i="38" s="1"/>
  <c r="AR26" i="38" s="1"/>
  <c r="AT25" i="38" l="1"/>
  <c r="AS26" i="38"/>
  <c r="AQ27" i="38" s="1"/>
  <c r="AR27" i="38" s="1"/>
  <c r="AT26" i="38" l="1"/>
  <c r="AS27" i="38"/>
  <c r="AQ28" i="38" s="1"/>
  <c r="AR28" i="38" s="1"/>
  <c r="AT27" i="38" l="1"/>
  <c r="AS28" i="38"/>
  <c r="AQ29" i="38" s="1"/>
  <c r="AR29" i="38" s="1"/>
  <c r="AS29" i="38" l="1"/>
  <c r="AQ30" i="38" s="1"/>
  <c r="AR30" i="38" s="1"/>
  <c r="AT28" i="38"/>
  <c r="AT29" i="38" l="1"/>
  <c r="AS30" i="38"/>
  <c r="AQ31" i="38" s="1"/>
  <c r="AR31" i="38" s="1"/>
  <c r="AT30" i="38" l="1"/>
  <c r="AS31" i="38"/>
  <c r="AQ32" i="38" s="1"/>
  <c r="AR32" i="38" s="1"/>
  <c r="AT31" i="38" l="1"/>
  <c r="AS32" i="38"/>
  <c r="AQ33" i="38" s="1"/>
  <c r="AR33" i="38" s="1"/>
  <c r="AT32" i="38" l="1"/>
  <c r="AS33" i="38"/>
  <c r="AQ34" i="38" s="1"/>
  <c r="AR34" i="38" s="1"/>
  <c r="AT33" i="38" l="1"/>
  <c r="AS34" i="38"/>
  <c r="AQ35" i="38" s="1"/>
  <c r="AR35" i="38" s="1"/>
  <c r="AT34" i="38" l="1"/>
  <c r="AS35" i="38"/>
  <c r="AQ36" i="38" s="1"/>
  <c r="AR36" i="38" s="1"/>
  <c r="AT35" i="38" l="1"/>
  <c r="AS36" i="38"/>
  <c r="AQ37" i="38" s="1"/>
  <c r="AR37" i="38" s="1"/>
  <c r="AT36" i="38" l="1"/>
  <c r="AS37" i="38"/>
  <c r="AQ38" i="38" s="1"/>
  <c r="AR38" i="38" s="1"/>
  <c r="AT37" i="38" l="1"/>
  <c r="AS38" i="38"/>
  <c r="AQ39" i="38" s="1"/>
  <c r="AR39" i="38" s="1"/>
  <c r="AS39" i="38" l="1"/>
  <c r="AQ40" i="38" s="1"/>
  <c r="AR40" i="38" s="1"/>
  <c r="AT38" i="38"/>
  <c r="AT39" i="38" l="1"/>
  <c r="AS40" i="38"/>
  <c r="AQ41" i="38" s="1"/>
  <c r="AR41" i="38" s="1"/>
  <c r="AS41" i="38" l="1"/>
  <c r="AQ42" i="38" s="1"/>
  <c r="AR42" i="38" s="1"/>
  <c r="AT40" i="38"/>
  <c r="AT41" i="38" l="1"/>
  <c r="AS42" i="38"/>
  <c r="AQ43" i="38" s="1"/>
  <c r="AR43" i="38" s="1"/>
  <c r="AT42" i="38" l="1"/>
  <c r="AS43" i="38"/>
  <c r="AQ44" i="38" s="1"/>
  <c r="AR44" i="38" s="1"/>
  <c r="AT43" i="38" l="1"/>
  <c r="AS44" i="38"/>
  <c r="AQ45" i="38" s="1"/>
  <c r="AR45" i="38" s="1"/>
  <c r="AT44" i="38" l="1"/>
  <c r="AS45" i="38"/>
  <c r="AQ46" i="38" s="1"/>
  <c r="AR46" i="38" s="1"/>
  <c r="AT45" i="38" l="1"/>
  <c r="AS46" i="38"/>
  <c r="AQ47" i="38" s="1"/>
  <c r="AR47" i="38" s="1"/>
  <c r="AT46" i="38" l="1"/>
  <c r="AS47" i="38"/>
  <c r="AQ48" i="38" s="1"/>
  <c r="AR48" i="38" s="1"/>
  <c r="AT47" i="38" l="1"/>
  <c r="AS48" i="38"/>
  <c r="AQ49" i="38" s="1"/>
  <c r="AR49" i="38" s="1"/>
  <c r="AT48" i="38" l="1"/>
  <c r="AS49" i="38"/>
  <c r="AQ50" i="38" s="1"/>
  <c r="AR50" i="38" s="1"/>
  <c r="AT49" i="38" l="1"/>
  <c r="AS50" i="38"/>
  <c r="AQ51" i="38" s="1"/>
  <c r="AR51" i="38" s="1"/>
  <c r="AT50" i="38" l="1"/>
  <c r="AS51" i="38"/>
  <c r="AQ52" i="38" s="1"/>
  <c r="AR52" i="38" s="1"/>
  <c r="AT51" i="38" l="1"/>
  <c r="AS52" i="38"/>
  <c r="AQ53" i="38" s="1"/>
  <c r="AR53" i="38" s="1"/>
  <c r="AT52" i="38" l="1"/>
  <c r="AS53" i="38"/>
  <c r="AQ54" i="38" s="1"/>
  <c r="AR54" i="38" s="1"/>
  <c r="AT53" i="38" l="1"/>
  <c r="AS54" i="38"/>
  <c r="AQ55" i="38" s="1"/>
  <c r="AR55" i="38" s="1"/>
  <c r="AT54" i="38" l="1"/>
  <c r="AS55" i="38"/>
  <c r="AQ56" i="38" s="1"/>
  <c r="AR56" i="38" s="1"/>
  <c r="AT55" i="38" l="1"/>
  <c r="AS56" i="38"/>
  <c r="AQ57" i="38" s="1"/>
  <c r="AR57" i="38" s="1"/>
  <c r="AT56" i="38" l="1"/>
  <c r="AS57" i="38"/>
  <c r="AQ58" i="38" s="1"/>
  <c r="AR58" i="38" s="1"/>
  <c r="AT57" i="38" l="1"/>
  <c r="AS58" i="38"/>
  <c r="AQ59" i="38" s="1"/>
  <c r="AR59" i="38" s="1"/>
  <c r="AS59" i="38" l="1"/>
  <c r="AQ60" i="38" s="1"/>
  <c r="AR60" i="38" s="1"/>
  <c r="AT58" i="38"/>
  <c r="AT59" i="38" l="1"/>
  <c r="AS60" i="38"/>
  <c r="AQ61" i="38" s="1"/>
  <c r="AR61" i="38" s="1"/>
  <c r="AT60" i="38" l="1"/>
  <c r="AS61" i="38"/>
  <c r="AQ62" i="38" s="1"/>
  <c r="AR62" i="38" s="1"/>
  <c r="AT61" i="38" l="1"/>
  <c r="AS62" i="38"/>
  <c r="AQ63" i="38" s="1"/>
  <c r="AR63" i="38" s="1"/>
  <c r="AT62" i="38" l="1"/>
  <c r="AS63" i="38"/>
  <c r="AQ64" i="38" s="1"/>
  <c r="AR64" i="38" s="1"/>
  <c r="AS64" i="38" l="1"/>
  <c r="AQ65" i="38" s="1"/>
  <c r="AR65" i="38" s="1"/>
  <c r="AT63" i="38"/>
  <c r="AT64" i="38" l="1"/>
  <c r="AS65" i="38"/>
  <c r="AQ66" i="38" s="1"/>
  <c r="AR66" i="38" s="1"/>
  <c r="AT65" i="38" l="1"/>
  <c r="AS66" i="38"/>
  <c r="AQ67" i="38" s="1"/>
  <c r="AR67" i="38" s="1"/>
  <c r="AT66" i="38" l="1"/>
  <c r="AS67" i="38"/>
  <c r="AQ68" i="38" s="1"/>
  <c r="AR68" i="38" s="1"/>
  <c r="AT67" i="38" l="1"/>
  <c r="AS68" i="38"/>
  <c r="AQ69" i="38" s="1"/>
  <c r="AR69" i="38" s="1"/>
  <c r="AT68" i="38" l="1"/>
  <c r="AS69" i="38"/>
  <c r="AQ70" i="38" s="1"/>
  <c r="AR70" i="38" s="1"/>
  <c r="AT69" i="38" l="1"/>
  <c r="AS70" i="38"/>
  <c r="AQ71" i="38" s="1"/>
  <c r="AR71" i="38" s="1"/>
  <c r="AT70" i="38" l="1"/>
  <c r="AS71" i="38"/>
  <c r="AQ72" i="38" s="1"/>
  <c r="AR72" i="38" s="1"/>
  <c r="AT71" i="38" l="1"/>
  <c r="AS72" i="38"/>
  <c r="AQ73" i="38" s="1"/>
  <c r="AR73" i="38" s="1"/>
  <c r="AT72" i="38" l="1"/>
  <c r="AS73" i="38"/>
  <c r="AQ74" i="38" s="1"/>
  <c r="AR74" i="38" s="1"/>
  <c r="AT73" i="38" l="1"/>
  <c r="AS74" i="38"/>
  <c r="AQ75" i="38" s="1"/>
  <c r="AR75" i="38" s="1"/>
  <c r="AT74" i="38" l="1"/>
  <c r="AS75" i="38"/>
  <c r="AQ76" i="38" s="1"/>
  <c r="AR76" i="38" s="1"/>
  <c r="AS76" i="38" l="1"/>
  <c r="AQ77" i="38" s="1"/>
  <c r="AR77" i="38" s="1"/>
  <c r="AT75" i="38"/>
  <c r="AT76" i="38" l="1"/>
  <c r="AS77" i="38"/>
  <c r="AQ78" i="38" s="1"/>
  <c r="AR78" i="38" s="1"/>
  <c r="AT77" i="38" l="1"/>
  <c r="AS78" i="38"/>
  <c r="AQ79" i="38" s="1"/>
  <c r="AR79" i="38" s="1"/>
  <c r="AT78" i="38" l="1"/>
  <c r="AS79" i="38"/>
  <c r="AQ80" i="38" s="1"/>
  <c r="AR80" i="38" s="1"/>
  <c r="AT79" i="38" l="1"/>
  <c r="AS80" i="38"/>
  <c r="AQ81" i="38" s="1"/>
  <c r="AR81" i="38" s="1"/>
  <c r="AT80" i="38" l="1"/>
  <c r="AS81" i="38"/>
  <c r="AQ82" i="38" s="1"/>
  <c r="AR82" i="38" s="1"/>
  <c r="AT81" i="38" l="1"/>
  <c r="AS82" i="38"/>
  <c r="AQ83" i="38" s="1"/>
  <c r="AR83" i="38" s="1"/>
  <c r="AT82" i="38" l="1"/>
  <c r="AS83" i="38"/>
  <c r="AQ84" i="38" s="1"/>
  <c r="AR84" i="38" s="1"/>
  <c r="AT83" i="38" l="1"/>
  <c r="AS84" i="38"/>
  <c r="AQ85" i="38" s="1"/>
  <c r="AR85" i="38" s="1"/>
  <c r="AT84" i="38" l="1"/>
  <c r="AS85" i="38"/>
  <c r="AQ86" i="38" s="1"/>
  <c r="AR86" i="38" s="1"/>
  <c r="AT85" i="38" l="1"/>
  <c r="AS86" i="38"/>
  <c r="AQ87" i="38" s="1"/>
  <c r="AR87" i="38" s="1"/>
  <c r="AT86" i="38" l="1"/>
  <c r="AS87" i="38"/>
  <c r="AQ88" i="38" s="1"/>
  <c r="AR88" i="38" s="1"/>
  <c r="AT87" i="38" l="1"/>
  <c r="AS88" i="38"/>
  <c r="AQ89" i="38" s="1"/>
  <c r="AR89" i="38" s="1"/>
  <c r="AT88" i="38" l="1"/>
  <c r="AS89" i="38"/>
  <c r="AQ90" i="38" s="1"/>
  <c r="AR90" i="38" s="1"/>
  <c r="AT89" i="38" l="1"/>
  <c r="AS90" i="38"/>
  <c r="AQ91" i="38" s="1"/>
  <c r="AR91" i="38" s="1"/>
  <c r="AT90" i="38" l="1"/>
  <c r="AS91" i="38"/>
  <c r="AQ92" i="38" s="1"/>
  <c r="AR92" i="38" s="1"/>
  <c r="AS92" i="38" l="1"/>
  <c r="AQ93" i="38" s="1"/>
  <c r="AR93" i="38" s="1"/>
  <c r="AT91" i="38"/>
  <c r="AT92" i="38" l="1"/>
  <c r="AS93" i="38"/>
  <c r="AQ94" i="38" s="1"/>
  <c r="AR94" i="38" s="1"/>
  <c r="AT93" i="38" l="1"/>
  <c r="AS94" i="38"/>
  <c r="AQ95" i="38" s="1"/>
  <c r="AR95" i="38" s="1"/>
  <c r="AS95" i="38" l="1"/>
  <c r="AQ96" i="38" s="1"/>
  <c r="AR96" i="38" s="1"/>
  <c r="AT94" i="38"/>
  <c r="AT95" i="38" l="1"/>
  <c r="AS96" i="38"/>
  <c r="AQ97" i="38" s="1"/>
  <c r="AR97" i="38" s="1"/>
  <c r="AT96" i="38" l="1"/>
  <c r="AS97" i="38"/>
  <c r="AQ98" i="38" s="1"/>
  <c r="AR98" i="38" s="1"/>
  <c r="AT97" i="38" l="1"/>
  <c r="AS98" i="38"/>
  <c r="AQ99" i="38" s="1"/>
  <c r="AR99" i="38" s="1"/>
  <c r="AT98" i="38" l="1"/>
  <c r="AS99" i="38"/>
  <c r="AQ100" i="38" s="1"/>
  <c r="AR100" i="38" s="1"/>
  <c r="AT99" i="38" l="1"/>
  <c r="AS100" i="38"/>
  <c r="AQ101" i="38" s="1"/>
  <c r="AR101" i="38" s="1"/>
  <c r="AT100" i="38" l="1"/>
  <c r="AS101" i="38"/>
  <c r="AQ102" i="38" s="1"/>
  <c r="AR102" i="38" s="1"/>
  <c r="AT101" i="38" l="1"/>
  <c r="AS102" i="38"/>
  <c r="AQ103" i="38" s="1"/>
  <c r="AR103" i="38" s="1"/>
  <c r="AT102" i="38" l="1"/>
  <c r="AS103" i="38"/>
  <c r="AQ104" i="38" s="1"/>
  <c r="AR104" i="38" s="1"/>
  <c r="AT103" i="38" l="1"/>
  <c r="AS104" i="38"/>
  <c r="AQ105" i="38" s="1"/>
  <c r="AR105" i="38" s="1"/>
  <c r="AT104" i="38" l="1"/>
  <c r="AS105" i="38"/>
  <c r="AQ106" i="38" s="1"/>
  <c r="AR106" i="38" s="1"/>
  <c r="AT105" i="38" l="1"/>
  <c r="AS106" i="38"/>
  <c r="AQ107" i="38" s="1"/>
  <c r="AR107" i="38" s="1"/>
  <c r="AT106" i="38" l="1"/>
  <c r="AS107" i="38"/>
  <c r="AQ108" i="38" s="1"/>
  <c r="AR108" i="38" s="1"/>
  <c r="AT107" i="38" l="1"/>
  <c r="AS108" i="38"/>
  <c r="AQ109" i="38" s="1"/>
  <c r="AR109" i="38" s="1"/>
  <c r="AT108" i="38" l="1"/>
  <c r="AS109" i="38"/>
  <c r="AQ110" i="38" s="1"/>
  <c r="AR110" i="38" s="1"/>
  <c r="AT109" i="38" l="1"/>
  <c r="AS110" i="38"/>
  <c r="AQ111" i="38" s="1"/>
  <c r="AR111" i="38" s="1"/>
  <c r="AT110" i="38" l="1"/>
  <c r="AS111" i="38"/>
  <c r="AQ112" i="38" s="1"/>
  <c r="AR112" i="38" s="1"/>
  <c r="AT111" i="38" l="1"/>
  <c r="AS112" i="38"/>
  <c r="AQ113" i="38" s="1"/>
  <c r="AR113" i="38" s="1"/>
  <c r="AT112" i="38" l="1"/>
  <c r="AS113" i="38"/>
  <c r="AQ114" i="38" s="1"/>
  <c r="AR114" i="38" s="1"/>
  <c r="AT113" i="38" l="1"/>
  <c r="AS114" i="38"/>
  <c r="AQ115" i="38" s="1"/>
  <c r="AR115" i="38" s="1"/>
  <c r="AT114" i="38" l="1"/>
  <c r="AS115" i="38"/>
  <c r="AQ116" i="38" s="1"/>
  <c r="AR116" i="38" s="1"/>
  <c r="AT115" i="38" l="1"/>
  <c r="AS116" i="38"/>
  <c r="AQ117" i="38" s="1"/>
  <c r="AR117" i="38" s="1"/>
  <c r="AT116" i="38" l="1"/>
  <c r="AS117" i="38"/>
  <c r="AQ118" i="38" s="1"/>
  <c r="AR118" i="38" s="1"/>
  <c r="AT117" i="38" l="1"/>
  <c r="AS118" i="38"/>
  <c r="AQ119" i="38" s="1"/>
  <c r="AR119" i="38" s="1"/>
  <c r="AS119" i="38" l="1"/>
  <c r="AQ120" i="38" s="1"/>
  <c r="AR120" i="38" s="1"/>
  <c r="AT118" i="38"/>
  <c r="AT119" i="38" l="1"/>
  <c r="AS120" i="38"/>
  <c r="AQ121" i="38" s="1"/>
  <c r="AR121" i="38" s="1"/>
  <c r="AT120" i="38" l="1"/>
  <c r="AS121" i="38"/>
  <c r="AQ122" i="38" s="1"/>
  <c r="AR122" i="38" s="1"/>
  <c r="AT121" i="38" l="1"/>
  <c r="AS122" i="38"/>
  <c r="AQ123" i="38" s="1"/>
  <c r="AR123" i="38" s="1"/>
  <c r="AS123" i="38" l="1"/>
  <c r="AQ124" i="38" s="1"/>
  <c r="AR124" i="38" s="1"/>
  <c r="AT122" i="38"/>
  <c r="AT123" i="38" l="1"/>
  <c r="AS124" i="38"/>
  <c r="AQ125" i="38" s="1"/>
  <c r="AR125" i="38" s="1"/>
  <c r="AT124" i="38" l="1"/>
  <c r="AS125" i="38"/>
  <c r="AQ126" i="38" s="1"/>
  <c r="AR126" i="38" s="1"/>
  <c r="AT125" i="38" l="1"/>
  <c r="AS126" i="38"/>
  <c r="AQ127" i="38" s="1"/>
  <c r="AR127" i="38" s="1"/>
  <c r="AT126" i="38" l="1"/>
  <c r="AS127" i="38"/>
  <c r="AQ128" i="38" s="1"/>
  <c r="AR128" i="38" s="1"/>
  <c r="AT127" i="38" l="1"/>
  <c r="AS128" i="38"/>
  <c r="AQ129" i="38" s="1"/>
  <c r="AR129" i="38" s="1"/>
  <c r="AS129" i="38" l="1"/>
  <c r="AQ130" i="38" s="1"/>
  <c r="AR130" i="38" s="1"/>
  <c r="AT128" i="38"/>
  <c r="AT129" i="38" l="1"/>
  <c r="AS130" i="38"/>
  <c r="AQ131" i="38" s="1"/>
  <c r="AR131" i="38" s="1"/>
  <c r="AT130" i="38" l="1"/>
  <c r="AS131" i="38"/>
  <c r="AQ132" i="38" s="1"/>
  <c r="AR132" i="38" s="1"/>
  <c r="AT131" i="38" l="1"/>
  <c r="AS132" i="38"/>
  <c r="AQ133" i="38" s="1"/>
  <c r="AR133" i="38" s="1"/>
  <c r="AS133" i="38" l="1"/>
  <c r="AQ134" i="38" s="1"/>
  <c r="AR134" i="38" s="1"/>
  <c r="AT132" i="38"/>
  <c r="AT133" i="38" l="1"/>
  <c r="AS134" i="38"/>
  <c r="AQ135" i="38" s="1"/>
  <c r="AR135" i="38" s="1"/>
  <c r="AT134" i="38" l="1"/>
  <c r="AS135" i="38"/>
  <c r="AQ136" i="38" s="1"/>
  <c r="AR136" i="38" s="1"/>
  <c r="AS136" i="38" l="1"/>
  <c r="AQ137" i="38" s="1"/>
  <c r="AR137" i="38" s="1"/>
  <c r="AT135" i="38"/>
  <c r="AT136" i="38" l="1"/>
  <c r="AS137" i="38"/>
  <c r="AQ138" i="38" s="1"/>
  <c r="AR138" i="38" s="1"/>
  <c r="AS138" i="38" l="1"/>
  <c r="AQ139" i="38" s="1"/>
  <c r="AR139" i="38" s="1"/>
  <c r="AT137" i="38"/>
  <c r="AT138" i="38" l="1"/>
  <c r="AS139" i="38"/>
  <c r="AQ140" i="38" s="1"/>
  <c r="AR140" i="38" s="1"/>
  <c r="AT139" i="38" l="1"/>
  <c r="AS140" i="38"/>
  <c r="AQ141" i="38" s="1"/>
  <c r="AR141" i="38" s="1"/>
  <c r="AT140" i="38" l="1"/>
  <c r="AS141" i="38"/>
  <c r="AQ142" i="38" s="1"/>
  <c r="AR142" i="38" s="1"/>
  <c r="AT141" i="38" l="1"/>
  <c r="AS142" i="38"/>
  <c r="AQ143" i="38" s="1"/>
  <c r="AR143" i="38" s="1"/>
  <c r="AT142" i="38" l="1"/>
  <c r="AS143" i="38"/>
  <c r="AQ144" i="38" s="1"/>
  <c r="AR144" i="38" s="1"/>
  <c r="AT143" i="38" l="1"/>
  <c r="AS144" i="38"/>
  <c r="AQ145" i="38" s="1"/>
  <c r="AR145" i="38" s="1"/>
  <c r="AS145" i="38" l="1"/>
  <c r="AQ146" i="38" s="1"/>
  <c r="AR146" i="38" s="1"/>
  <c r="AT144" i="38"/>
  <c r="AS146" i="38" l="1"/>
  <c r="AQ147" i="38" s="1"/>
  <c r="AR147" i="38" s="1"/>
  <c r="AT145" i="38"/>
  <c r="AT146" i="38" l="1"/>
  <c r="AS147" i="38"/>
  <c r="AQ148" i="38" s="1"/>
  <c r="AR148" i="38" s="1"/>
  <c r="AT147" i="38" l="1"/>
  <c r="AS148" i="38"/>
  <c r="AQ149" i="38" s="1"/>
  <c r="AR149" i="38" s="1"/>
  <c r="AS149" i="38" l="1"/>
  <c r="AQ150" i="38" s="1"/>
  <c r="AR150" i="38" s="1"/>
  <c r="AT148" i="38"/>
  <c r="AS150" i="38" l="1"/>
  <c r="AQ151" i="38" s="1"/>
  <c r="AR151" i="38" s="1"/>
  <c r="AT149" i="38"/>
  <c r="AS151" i="38" l="1"/>
  <c r="AQ152" i="38" s="1"/>
  <c r="AR152" i="38" s="1"/>
  <c r="AT150" i="38"/>
  <c r="AT151" i="38" l="1"/>
  <c r="AS152" i="38"/>
  <c r="AQ153" i="38" s="1"/>
  <c r="AR153" i="38" s="1"/>
  <c r="AT152" i="38" l="1"/>
  <c r="AS153" i="38"/>
  <c r="AQ154" i="38" s="1"/>
  <c r="AR154" i="38" s="1"/>
  <c r="AS154" i="38" l="1"/>
  <c r="AQ155" i="38" s="1"/>
  <c r="AR155" i="38" s="1"/>
  <c r="AT153" i="38"/>
  <c r="AT154" i="38" l="1"/>
  <c r="AS155" i="38"/>
  <c r="AQ156" i="38" s="1"/>
  <c r="AR156" i="38" s="1"/>
  <c r="AT155" i="38" l="1"/>
  <c r="AS156" i="38"/>
  <c r="AQ157" i="38" s="1"/>
  <c r="AR157" i="38" s="1"/>
  <c r="AS157" i="38" l="1"/>
  <c r="AQ158" i="38" s="1"/>
  <c r="AR158" i="38" s="1"/>
  <c r="AT156" i="38"/>
  <c r="AS158" i="38" l="1"/>
  <c r="AQ159" i="38" s="1"/>
  <c r="AR159" i="38" s="1"/>
  <c r="AT157" i="38"/>
  <c r="AS159" i="38" l="1"/>
  <c r="AQ160" i="38" s="1"/>
  <c r="AR160" i="38" s="1"/>
  <c r="AT158" i="38"/>
  <c r="AS160" i="38" l="1"/>
  <c r="AQ161" i="38" s="1"/>
  <c r="AR161" i="38" s="1"/>
  <c r="AT159" i="38"/>
  <c r="AT160" i="38" l="1"/>
  <c r="AS161" i="38"/>
  <c r="AQ162" i="38" s="1"/>
  <c r="AR162" i="38" s="1"/>
  <c r="AT161" i="38" l="1"/>
  <c r="AS162" i="38"/>
  <c r="AQ163" i="38" s="1"/>
  <c r="AR163" i="38" s="1"/>
  <c r="AT162" i="38" l="1"/>
  <c r="AS163" i="38"/>
  <c r="AQ164" i="38" s="1"/>
  <c r="AR164" i="38" s="1"/>
  <c r="AT163" i="38" l="1"/>
  <c r="AS164" i="38"/>
  <c r="AQ165" i="38" s="1"/>
  <c r="AR165" i="38" s="1"/>
  <c r="AS165" i="38" l="1"/>
  <c r="AQ166" i="38" s="1"/>
  <c r="AR166" i="38" s="1"/>
  <c r="AT164" i="38"/>
  <c r="AT165" i="38" l="1"/>
  <c r="AS166" i="38"/>
  <c r="AQ167" i="38" s="1"/>
  <c r="AR167" i="38" s="1"/>
  <c r="AT166" i="38" l="1"/>
  <c r="AS167" i="38"/>
  <c r="AQ168" i="38" s="1"/>
  <c r="AR168" i="38" s="1"/>
  <c r="AT167" i="38" l="1"/>
  <c r="AS168" i="38"/>
  <c r="AQ169" i="38" s="1"/>
  <c r="AR169" i="38" s="1"/>
  <c r="AS169" i="38" l="1"/>
  <c r="AQ170" i="38" s="1"/>
  <c r="AR170" i="38" s="1"/>
  <c r="AT168" i="38"/>
  <c r="AT169" i="38" l="1"/>
  <c r="AS170" i="38"/>
  <c r="AQ171" i="38" s="1"/>
  <c r="AR171" i="38" s="1"/>
  <c r="AT170" i="38" l="1"/>
  <c r="AS171" i="38"/>
  <c r="AQ172" i="38" s="1"/>
  <c r="AR172" i="38" s="1"/>
  <c r="AT171" i="38" l="1"/>
  <c r="AS172" i="38"/>
  <c r="AQ173" i="38" s="1"/>
  <c r="AR173" i="38" s="1"/>
  <c r="AS173" i="38" l="1"/>
  <c r="AQ174" i="38" s="1"/>
  <c r="AR174" i="38" s="1"/>
  <c r="AT172" i="38"/>
  <c r="AS174" i="38" l="1"/>
  <c r="AQ175" i="38" s="1"/>
  <c r="AR175" i="38" s="1"/>
  <c r="AT173" i="38"/>
  <c r="AT174" i="38" l="1"/>
  <c r="AS175" i="38"/>
  <c r="AQ176" i="38" s="1"/>
  <c r="AR176" i="38" s="1"/>
  <c r="AS176" i="38" l="1"/>
  <c r="AQ177" i="38" s="1"/>
  <c r="AR177" i="38" s="1"/>
  <c r="AT175" i="38"/>
  <c r="AS177" i="38" l="1"/>
  <c r="AQ178" i="38" s="1"/>
  <c r="AR178" i="38" s="1"/>
  <c r="AT176" i="38"/>
  <c r="AT177" i="38" l="1"/>
  <c r="AS178" i="38"/>
  <c r="AQ179" i="38" s="1"/>
  <c r="AR179" i="38" s="1"/>
  <c r="AT178" i="38" l="1"/>
  <c r="AS179" i="38"/>
  <c r="AQ180" i="38" s="1"/>
  <c r="AR180" i="38" s="1"/>
  <c r="AT179" i="38" l="1"/>
  <c r="AS180" i="38"/>
  <c r="AQ181" i="38" s="1"/>
  <c r="AR181" i="38" s="1"/>
  <c r="AS181" i="38" l="1"/>
  <c r="AQ182" i="38" s="1"/>
  <c r="AR182" i="38" s="1"/>
  <c r="AT180" i="38"/>
  <c r="AS182" i="38" l="1"/>
  <c r="AQ183" i="38" s="1"/>
  <c r="AR183" i="38" s="1"/>
  <c r="AT181" i="38"/>
  <c r="AT182" i="38" l="1"/>
  <c r="AS183" i="38"/>
  <c r="AQ184" i="38" s="1"/>
  <c r="AR184" i="38" s="1"/>
  <c r="AS184" i="38" l="1"/>
  <c r="AQ185" i="38" s="1"/>
  <c r="AR185" i="38" s="1"/>
  <c r="AT183" i="38"/>
  <c r="AS185" i="38" l="1"/>
  <c r="AQ186" i="38" s="1"/>
  <c r="AR186" i="38" s="1"/>
  <c r="AT184" i="38"/>
  <c r="AT185" i="38" l="1"/>
  <c r="AS186" i="38"/>
  <c r="AQ187" i="38" s="1"/>
  <c r="AR187" i="38" s="1"/>
  <c r="AT186" i="38" l="1"/>
  <c r="AS187" i="38"/>
  <c r="AQ188" i="38" s="1"/>
  <c r="AR188" i="38" s="1"/>
  <c r="AT187" i="38" l="1"/>
  <c r="AS188" i="38"/>
  <c r="AQ189" i="38" s="1"/>
  <c r="AR189" i="38" s="1"/>
  <c r="AS189" i="38" l="1"/>
  <c r="AQ190" i="38" s="1"/>
  <c r="AR190" i="38" s="1"/>
  <c r="AT188" i="38"/>
  <c r="AT189" i="38" l="1"/>
  <c r="AS190" i="38"/>
  <c r="AQ191" i="38" s="1"/>
  <c r="AR191" i="38" s="1"/>
  <c r="AS191" i="38" l="1"/>
  <c r="AQ192" i="38" s="1"/>
  <c r="AR192" i="38" s="1"/>
  <c r="AT190" i="38"/>
  <c r="AS192" i="38" l="1"/>
  <c r="AQ193" i="38" s="1"/>
  <c r="AR193" i="38" s="1"/>
  <c r="AT191" i="38"/>
  <c r="AS193" i="38" l="1"/>
  <c r="AQ194" i="38" s="1"/>
  <c r="AR194" i="38" s="1"/>
  <c r="AT192" i="38"/>
  <c r="AT193" i="38" l="1"/>
  <c r="AS194" i="38"/>
  <c r="AQ195" i="38" s="1"/>
  <c r="AR195" i="38" s="1"/>
  <c r="AT194" i="38" l="1"/>
  <c r="AS195" i="38"/>
  <c r="AQ196" i="38" s="1"/>
  <c r="AR196" i="38" s="1"/>
  <c r="AT195" i="38" l="1"/>
  <c r="AS196" i="38"/>
  <c r="AQ197" i="38" s="1"/>
  <c r="AR197" i="38" s="1"/>
  <c r="AS197" i="38" l="1"/>
  <c r="AQ198" i="38" s="1"/>
  <c r="AR198" i="38" s="1"/>
  <c r="AT196" i="38"/>
  <c r="AT197" i="38" l="1"/>
  <c r="AS198" i="38"/>
  <c r="AQ199" i="38" s="1"/>
  <c r="AR199" i="38" s="1"/>
  <c r="AT198" i="38" l="1"/>
  <c r="AS199" i="38"/>
  <c r="AQ200" i="38" s="1"/>
  <c r="AR200" i="38" s="1"/>
  <c r="AT199" i="38" l="1"/>
  <c r="AS200" i="38"/>
  <c r="AQ201" i="38" s="1"/>
  <c r="AR201" i="38" s="1"/>
  <c r="AS201" i="38" l="1"/>
  <c r="AQ202" i="38" s="1"/>
  <c r="AR202" i="38" s="1"/>
  <c r="AT200" i="38"/>
  <c r="AT201" i="38" l="1"/>
  <c r="AS202" i="38"/>
  <c r="AQ203" i="38" s="1"/>
  <c r="AR203" i="38" s="1"/>
  <c r="AT202" i="38" l="1"/>
  <c r="AS203" i="38"/>
  <c r="AQ204" i="38" s="1"/>
  <c r="AR204" i="38" s="1"/>
  <c r="AS204" i="38" l="1"/>
  <c r="AQ205" i="38" s="1"/>
  <c r="AR205" i="38" s="1"/>
  <c r="AT203" i="38"/>
  <c r="AT204" i="38" l="1"/>
  <c r="AS205" i="38"/>
  <c r="AQ206" i="38" s="1"/>
  <c r="AR206" i="38" s="1"/>
  <c r="AT205" i="38" l="1"/>
  <c r="AS206" i="38"/>
  <c r="AQ207" i="38" s="1"/>
  <c r="AR207" i="38" s="1"/>
  <c r="AT206" i="38" l="1"/>
  <c r="AS207" i="38"/>
  <c r="AQ208" i="38" s="1"/>
  <c r="AR208" i="38" s="1"/>
  <c r="AT207" i="38" l="1"/>
  <c r="AS208" i="38"/>
  <c r="AQ209" i="38" s="1"/>
  <c r="AR209" i="38" s="1"/>
  <c r="AT208" i="38" l="1"/>
  <c r="AS209" i="38"/>
  <c r="AQ210" i="38" s="1"/>
  <c r="AR210" i="38" s="1"/>
  <c r="AT209" i="38" l="1"/>
  <c r="AS210" i="38"/>
  <c r="AQ211" i="38" s="1"/>
  <c r="AR211" i="38" s="1"/>
  <c r="AT210" i="38" l="1"/>
  <c r="AS211" i="38"/>
  <c r="AQ212" i="38" s="1"/>
  <c r="AR212" i="38" s="1"/>
  <c r="AT211" i="38" l="1"/>
  <c r="AS212" i="38"/>
  <c r="AQ213" i="38" s="1"/>
  <c r="AR213" i="38" s="1"/>
  <c r="AT212" i="38" l="1"/>
  <c r="AS213" i="38"/>
  <c r="AQ214" i="38" s="1"/>
  <c r="AR214" i="38" s="1"/>
  <c r="AT213" i="38" l="1"/>
  <c r="AS214" i="38"/>
  <c r="AQ215" i="38" s="1"/>
  <c r="AR215" i="38" s="1"/>
  <c r="AT214" i="38" l="1"/>
  <c r="AS215" i="38"/>
  <c r="AQ216" i="38" s="1"/>
  <c r="AR216" i="38" s="1"/>
  <c r="AT215" i="38" l="1"/>
  <c r="AS216" i="38"/>
  <c r="AQ217" i="38" s="1"/>
  <c r="AR217" i="38" s="1"/>
  <c r="AT216" i="38" l="1"/>
  <c r="AS217" i="38"/>
  <c r="AQ218" i="38" s="1"/>
  <c r="AR218" i="38" s="1"/>
  <c r="AT217" i="38" l="1"/>
  <c r="AS218" i="38"/>
  <c r="AQ219" i="38" s="1"/>
  <c r="AR219" i="38" s="1"/>
  <c r="AT218" i="38" l="1"/>
  <c r="AS219" i="38"/>
  <c r="AQ220" i="38" s="1"/>
  <c r="AR220" i="38" s="1"/>
  <c r="AT219" i="38" l="1"/>
  <c r="AS220" i="38"/>
  <c r="AQ221" i="38" s="1"/>
  <c r="AR221" i="38" s="1"/>
  <c r="AT220" i="38" l="1"/>
  <c r="AS221" i="38"/>
  <c r="AQ222" i="38" s="1"/>
  <c r="AR222" i="38" s="1"/>
  <c r="AT221" i="38" l="1"/>
  <c r="AS222" i="38"/>
  <c r="AQ223" i="38" s="1"/>
  <c r="AR223" i="38" s="1"/>
  <c r="AT222" i="38" l="1"/>
  <c r="AS223" i="38"/>
  <c r="AQ224" i="38" s="1"/>
  <c r="AR224" i="38" s="1"/>
  <c r="AT223" i="38" l="1"/>
  <c r="AS224" i="38"/>
  <c r="AQ225" i="38" s="1"/>
  <c r="AR225" i="38" s="1"/>
  <c r="AT224" i="38" l="1"/>
  <c r="AS225" i="38"/>
  <c r="AQ226" i="38" s="1"/>
  <c r="AR226" i="38" s="1"/>
  <c r="AT225" i="38" l="1"/>
  <c r="AS226" i="38"/>
  <c r="AQ227" i="38" s="1"/>
  <c r="AR227" i="38" s="1"/>
  <c r="AT226" i="38" l="1"/>
  <c r="AS227" i="38"/>
  <c r="AQ228" i="38" s="1"/>
  <c r="AR228" i="38" s="1"/>
  <c r="AS228" i="38" l="1"/>
  <c r="AQ229" i="38" s="1"/>
  <c r="AR229" i="38" s="1"/>
  <c r="AT227" i="38"/>
  <c r="AT228" i="38" l="1"/>
  <c r="AS229" i="38"/>
  <c r="AQ230" i="38" s="1"/>
  <c r="AR230" i="38" s="1"/>
  <c r="AT229" i="38" l="1"/>
  <c r="AS230" i="38"/>
  <c r="AQ231" i="38" s="1"/>
  <c r="AR231" i="38" s="1"/>
  <c r="AT230" i="38" l="1"/>
  <c r="AS231" i="38"/>
  <c r="AQ232" i="38" s="1"/>
  <c r="AR232" i="38" s="1"/>
  <c r="AS232" i="38" l="1"/>
  <c r="AQ233" i="38" s="1"/>
  <c r="AR233" i="38" s="1"/>
  <c r="AT231" i="38"/>
  <c r="AT232" i="38" l="1"/>
  <c r="AS233" i="38"/>
  <c r="AQ234" i="38" s="1"/>
  <c r="AR234" i="38" s="1"/>
  <c r="AT233" i="38" l="1"/>
  <c r="AS234" i="38"/>
  <c r="AQ235" i="38" s="1"/>
  <c r="AR235" i="38" s="1"/>
  <c r="AT234" i="38" l="1"/>
  <c r="AS235" i="38"/>
  <c r="AQ236" i="38" s="1"/>
  <c r="AR236" i="38" s="1"/>
  <c r="AT235" i="38" l="1"/>
  <c r="AS236" i="38"/>
  <c r="AQ237" i="38" s="1"/>
  <c r="AR237" i="38" s="1"/>
  <c r="AT236" i="38" l="1"/>
  <c r="AS237" i="38"/>
  <c r="AQ238" i="38" s="1"/>
  <c r="AR238" i="38" s="1"/>
  <c r="AT237" i="38" l="1"/>
  <c r="AS238" i="38"/>
  <c r="AQ239" i="38" s="1"/>
  <c r="AR239" i="38" s="1"/>
  <c r="AT238" i="38" l="1"/>
  <c r="AS239" i="38"/>
  <c r="AQ240" i="38" s="1"/>
  <c r="AR240" i="38" s="1"/>
  <c r="AT239" i="38" l="1"/>
  <c r="AS240" i="38"/>
  <c r="AQ241" i="38" s="1"/>
  <c r="AR241" i="38" s="1"/>
  <c r="AT240" i="38" l="1"/>
  <c r="AS241" i="38"/>
  <c r="AQ242" i="38" s="1"/>
  <c r="AR242" i="38" s="1"/>
  <c r="AT241" i="38" l="1"/>
  <c r="AS242" i="38"/>
  <c r="AQ243" i="38" s="1"/>
  <c r="AR243" i="38" s="1"/>
  <c r="AT242" i="38" l="1"/>
  <c r="AS243" i="38"/>
  <c r="AQ244" i="38" s="1"/>
  <c r="AR244" i="38" s="1"/>
  <c r="AS244" i="38" l="1"/>
  <c r="AQ245" i="38" s="1"/>
  <c r="AR245" i="38" s="1"/>
  <c r="AT243" i="38"/>
  <c r="AT244" i="38" l="1"/>
  <c r="AS245" i="38"/>
  <c r="AQ246" i="38" s="1"/>
  <c r="AR246" i="38" s="1"/>
  <c r="AT245" i="38" l="1"/>
  <c r="AS246" i="38"/>
  <c r="AQ247" i="38" s="1"/>
  <c r="AR247" i="38" s="1"/>
  <c r="AS247" i="38" l="1"/>
  <c r="AQ248" i="38" s="1"/>
  <c r="AR248" i="38" s="1"/>
  <c r="AT246" i="38"/>
  <c r="AT247" i="38" l="1"/>
  <c r="AS248" i="38"/>
  <c r="AQ249" i="38" s="1"/>
  <c r="AR249" i="38" s="1"/>
  <c r="AT248" i="38" l="1"/>
  <c r="AS249" i="38"/>
  <c r="AQ250" i="38" s="1"/>
  <c r="AR250" i="38" s="1"/>
  <c r="AT249" i="38" l="1"/>
  <c r="AS250" i="38"/>
  <c r="AQ251" i="38" s="1"/>
  <c r="AR251" i="38" s="1"/>
  <c r="AS251" i="38" l="1"/>
  <c r="AQ252" i="38" s="1"/>
  <c r="AR252" i="38" s="1"/>
  <c r="AT250" i="38"/>
  <c r="AT251" i="38" l="1"/>
  <c r="AS252" i="38"/>
  <c r="AQ253" i="38" s="1"/>
  <c r="AR253" i="38" s="1"/>
  <c r="AT252" i="38" l="1"/>
  <c r="AS253" i="38"/>
  <c r="AQ254" i="38" s="1"/>
  <c r="AR254" i="38" s="1"/>
  <c r="AT253" i="38" l="1"/>
  <c r="AS254" i="38"/>
  <c r="AQ255" i="38" s="1"/>
  <c r="AR255" i="38" s="1"/>
  <c r="AS255" i="38" l="1"/>
  <c r="AQ256" i="38" s="1"/>
  <c r="AR256" i="38" s="1"/>
  <c r="AT254" i="38"/>
  <c r="AT255" i="38" l="1"/>
  <c r="AS256" i="38"/>
  <c r="AQ257" i="38" s="1"/>
  <c r="AR257" i="38" s="1"/>
  <c r="AT256" i="38" l="1"/>
  <c r="AS257" i="38"/>
  <c r="AQ258" i="38" s="1"/>
  <c r="AR258" i="38" s="1"/>
  <c r="AS258" i="38" l="1"/>
  <c r="AQ259" i="38" s="1"/>
  <c r="AR259" i="38" s="1"/>
  <c r="AT257" i="38"/>
  <c r="AS259" i="38" l="1"/>
  <c r="AT259" i="38" s="1"/>
  <c r="AT258" i="38"/>
</calcChain>
</file>

<file path=xl/sharedStrings.xml><?xml version="1.0" encoding="utf-8"?>
<sst xmlns="http://schemas.openxmlformats.org/spreadsheetml/2006/main" count="139" uniqueCount="110">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</sst>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000_-;\-* #,##0.00000_-;_-* &quot;-&quot;??_-;_-@_-"/>
    <numFmt numFmtId="167" formatCode="_-&quot;$&quot;* #,##0_-;\-&quot;$&quot;* #,##0_-;_-&quot;$&quot;* &quot;-&quot;??_-;_-@_-"/>
    <numFmt numFmtId="168" formatCode="_-* #,##0.000000_-;\-* #,##0.000000_-;_-* &quot;-&quot;??_-;_-@_-"/>
    <numFmt numFmtId="169" formatCode="_-* #,##0.0_-;\-* #,##0.0_-;_-* &quot;-&quot;??_-;_-@_-"/>
    <numFmt numFmtId="170" formatCode="_-* #,##0_-;\-* #,##0_-;_-* &quot;-&quot;??_-;_-@_-"/>
    <numFmt numFmtId="171" formatCode="0.0%"/>
    <numFmt numFmtId="172" formatCode="_(* #,##0_);_(* \(#,##0\);_(* &quot;-&quot;??_);_(@_)"/>
    <numFmt numFmtId="173" formatCode="0.000%"/>
    <numFmt numFmtId="174" formatCode="#,##0.000000"/>
    <numFmt numFmtId="175" formatCode="0.0000"/>
    <numFmt numFmtId="176" formatCode="0.0000000%"/>
    <numFmt numFmtId="177" formatCode="_(* #,##0.0000_);_(* \(#,##0.0000\);_(* &quot;-&quot;??_);_(@_)"/>
  </numFmts>
  <fonts count="10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71" fontId="1" fillId="0" borderId="1" xfId="3" applyNumberFormat="1" applyFont="1" applyBorder="1"/>
    <xf numFmtId="14" fontId="1" fillId="0" borderId="1" xfId="2" applyNumberFormat="1" applyFont="1" applyBorder="1"/>
    <xf numFmtId="167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171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6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9" fontId="1" fillId="0" borderId="1" xfId="3" applyNumberFormat="1" applyFont="1" applyBorder="1"/>
    <xf numFmtId="171" fontId="7" fillId="0" borderId="1" xfId="0" applyNumberFormat="1" applyFont="1" applyBorder="1" applyAlignment="1">
      <alignment horizontal="right" vertical="center" wrapText="1"/>
    </xf>
    <xf numFmtId="171" fontId="1" fillId="0" borderId="1" xfId="3" applyNumberFormat="1" applyFont="1" applyFill="1" applyBorder="1"/>
    <xf numFmtId="9" fontId="7" fillId="0" borderId="0" xfId="3" applyFont="1" applyFill="1" applyBorder="1"/>
    <xf numFmtId="0" fontId="3" fillId="0" borderId="1" xfId="0" applyFont="1" applyBorder="1" applyAlignment="1">
      <alignment horizontal="center"/>
    </xf>
    <xf numFmtId="171" fontId="1" fillId="3" borderId="1" xfId="3" applyNumberFormat="1" applyFont="1" applyFill="1" applyBorder="1"/>
    <xf numFmtId="174" fontId="5" fillId="0" borderId="0" xfId="0" applyNumberFormat="1" applyFont="1"/>
    <xf numFmtId="175" fontId="5" fillId="0" borderId="0" xfId="0" applyNumberFormat="1" applyFont="1"/>
    <xf numFmtId="2" fontId="5" fillId="0" borderId="0" xfId="0" applyNumberFormat="1" applyFont="1"/>
    <xf numFmtId="170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8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0" fontId="1" fillId="0" borderId="0" xfId="0" applyNumberFormat="1" applyFont="1" applyFill="1"/>
    <xf numFmtId="43" fontId="1" fillId="0" borderId="0" xfId="1" applyFont="1" applyFill="1"/>
    <xf numFmtId="0" fontId="1" fillId="0" borderId="0" xfId="0" applyFont="1" applyAlignment="1">
      <alignment horizontal="right" vertical="center"/>
    </xf>
    <xf numFmtId="170" fontId="1" fillId="0" borderId="1" xfId="1" applyNumberFormat="1" applyFont="1" applyBorder="1" applyAlignment="1">
      <alignment vertical="center"/>
    </xf>
    <xf numFmtId="170" fontId="1" fillId="0" borderId="1" xfId="0" applyNumberFormat="1" applyFont="1" applyFill="1" applyBorder="1" applyAlignment="1">
      <alignment vertical="center"/>
    </xf>
    <xf numFmtId="170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0" fontId="1" fillId="2" borderId="1" xfId="1" applyNumberFormat="1" applyFont="1" applyFill="1" applyBorder="1"/>
    <xf numFmtId="168" fontId="1" fillId="3" borderId="1" xfId="1" applyNumberFormat="1" applyFont="1" applyFill="1" applyBorder="1"/>
    <xf numFmtId="170" fontId="1" fillId="3" borderId="1" xfId="1" applyNumberFormat="1" applyFont="1" applyFill="1" applyBorder="1"/>
    <xf numFmtId="169" fontId="1" fillId="3" borderId="1" xfId="1" applyNumberFormat="1" applyFont="1" applyFill="1" applyBorder="1"/>
    <xf numFmtId="170" fontId="1" fillId="3" borderId="1" xfId="0" applyNumberFormat="1" applyFont="1" applyFill="1" applyBorder="1"/>
    <xf numFmtId="172" fontId="1" fillId="3" borderId="1" xfId="1" applyNumberFormat="1" applyFont="1" applyFill="1" applyBorder="1"/>
    <xf numFmtId="170" fontId="1" fillId="0" borderId="0" xfId="0" applyNumberFormat="1" applyFont="1"/>
    <xf numFmtId="170" fontId="1" fillId="0" borderId="1" xfId="0" applyNumberFormat="1" applyFont="1" applyFill="1" applyBorder="1"/>
    <xf numFmtId="172" fontId="1" fillId="0" borderId="0" xfId="0" applyNumberFormat="1" applyFont="1"/>
    <xf numFmtId="0" fontId="1" fillId="4" borderId="0" xfId="0" applyFont="1" applyFill="1"/>
    <xf numFmtId="10" fontId="7" fillId="0" borderId="0" xfId="3" applyNumberFormat="1" applyFont="1"/>
    <xf numFmtId="176" fontId="7" fillId="0" borderId="0" xfId="0" applyNumberFormat="1" applyFont="1"/>
    <xf numFmtId="177" fontId="1" fillId="3" borderId="1" xfId="1" applyNumberFormat="1" applyFont="1" applyFill="1" applyBorder="1"/>
    <xf numFmtId="10" fontId="9" fillId="0" borderId="1" xfId="3" applyNumberFormat="1" applyFont="1" applyBorder="1"/>
    <xf numFmtId="170" fontId="9" fillId="0" borderId="1" xfId="1" applyNumberFormat="1" applyFont="1" applyBorder="1"/>
    <xf numFmtId="167" fontId="9" fillId="0" borderId="1" xfId="2" applyNumberFormat="1" applyFont="1" applyFill="1" applyBorder="1"/>
    <xf numFmtId="0" fontId="9" fillId="0" borderId="1" xfId="0" applyFont="1" applyBorder="1" applyAlignment="1">
      <alignment horizontal="center"/>
    </xf>
    <xf numFmtId="172" fontId="9" fillId="0" borderId="1" xfId="1" applyNumberFormat="1" applyFont="1" applyBorder="1"/>
    <xf numFmtId="172" fontId="1" fillId="0" borderId="0" xfId="1" applyNumberFormat="1" applyFont="1"/>
    <xf numFmtId="171" fontId="9" fillId="0" borderId="1" xfId="3" applyNumberFormat="1" applyFont="1" applyBorder="1"/>
    <xf numFmtId="167" fontId="9" fillId="0" borderId="1" xfId="2" applyNumberFormat="1" applyFont="1" applyBorder="1"/>
    <xf numFmtId="164" fontId="9" fillId="0" borderId="1" xfId="2" applyNumberFormat="1" applyFont="1" applyBorder="1"/>
    <xf numFmtId="170" fontId="1" fillId="5" borderId="1" xfId="0" applyNumberFormat="1" applyFont="1" applyFill="1" applyBorder="1" applyAlignment="1">
      <alignment vertical="center"/>
    </xf>
    <xf numFmtId="171" fontId="9" fillId="0" borderId="1" xfId="0" applyNumberFormat="1" applyFont="1" applyBorder="1"/>
    <xf numFmtId="173" fontId="9" fillId="0" borderId="1" xfId="3" applyNumberFormat="1" applyFont="1" applyBorder="1"/>
    <xf numFmtId="0" fontId="9" fillId="0" borderId="0" xfId="0" applyFont="1"/>
    <xf numFmtId="171" fontId="1" fillId="5" borderId="1" xfId="3" applyNumberFormat="1" applyFont="1" applyFill="1" applyBorder="1"/>
    <xf numFmtId="172" fontId="7" fillId="3" borderId="1" xfId="1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43" fontId="1" fillId="3" borderId="1" xfId="0" applyNumberFormat="1" applyFont="1" applyFill="1" applyBorder="1"/>
    <xf numFmtId="0" fontId="1" fillId="0" borderId="0" xfId="0" applyFont="1" applyAlignment="1">
      <alignment wrapText="1"/>
    </xf>
    <xf numFmtId="170" fontId="1" fillId="6" borderId="1" xfId="0" applyNumberFormat="1" applyFont="1" applyFill="1" applyBorder="1"/>
    <xf numFmtId="172" fontId="7" fillId="6" borderId="1" xfId="1" applyNumberFormat="1" applyFont="1" applyFill="1" applyBorder="1"/>
    <xf numFmtId="172" fontId="1" fillId="6" borderId="1" xfId="1" applyNumberFormat="1" applyFont="1" applyFill="1" applyBorder="1"/>
    <xf numFmtId="170" fontId="1" fillId="6" borderId="1" xfId="1" applyNumberFormat="1" applyFont="1" applyFill="1" applyBorder="1"/>
    <xf numFmtId="43" fontId="1" fillId="6" borderId="1" xfId="0" applyNumberFormat="1" applyFont="1" applyFill="1" applyBorder="1"/>
    <xf numFmtId="172" fontId="1" fillId="6" borderId="1" xfId="0" applyNumberFormat="1" applyFont="1" applyFill="1" applyBorder="1"/>
    <xf numFmtId="170" fontId="1" fillId="7" borderId="1" xfId="0" applyNumberFormat="1" applyFont="1" applyFill="1" applyBorder="1"/>
    <xf numFmtId="10" fontId="1" fillId="0" borderId="1" xfId="3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showGridLines="0" zoomScale="115" zoomScaleNormal="115" workbookViewId="0">
      <selection activeCell="C6" sqref="C6"/>
    </sheetView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109</v>
      </c>
    </row>
    <row r="2" spans="1:12" x14ac:dyDescent="0.2">
      <c r="K2" s="1" t="s">
        <v>108</v>
      </c>
      <c r="L2" s="72"/>
    </row>
    <row r="3" spans="1:12" x14ac:dyDescent="0.2">
      <c r="B3" s="10" t="s">
        <v>18</v>
      </c>
      <c r="C3" s="8">
        <v>43830</v>
      </c>
      <c r="G3" s="5" t="s">
        <v>41</v>
      </c>
      <c r="H3" s="77">
        <v>5000</v>
      </c>
      <c r="I3" s="5"/>
    </row>
    <row r="4" spans="1:12" x14ac:dyDescent="0.2">
      <c r="G4" s="16" t="s">
        <v>42</v>
      </c>
      <c r="H4" s="78">
        <v>2500</v>
      </c>
      <c r="I4" s="16" t="s">
        <v>106</v>
      </c>
    </row>
    <row r="5" spans="1:12" x14ac:dyDescent="0.2">
      <c r="B5" s="15"/>
      <c r="C5" s="14" t="s">
        <v>54</v>
      </c>
      <c r="G5" s="5" t="s">
        <v>16</v>
      </c>
      <c r="H5" s="17">
        <f>C3</f>
        <v>43830</v>
      </c>
      <c r="I5" s="17"/>
    </row>
    <row r="6" spans="1:12" x14ac:dyDescent="0.2">
      <c r="B6" s="5" t="s">
        <v>55</v>
      </c>
      <c r="C6" s="76">
        <v>0.01</v>
      </c>
      <c r="D6" s="5" t="s">
        <v>62</v>
      </c>
      <c r="G6" s="5" t="s">
        <v>17</v>
      </c>
      <c r="H6" s="17">
        <v>27030</v>
      </c>
      <c r="I6" s="5"/>
    </row>
    <row r="7" spans="1:12" x14ac:dyDescent="0.2">
      <c r="B7" s="5" t="s">
        <v>66</v>
      </c>
      <c r="C7" s="87">
        <v>5.0000000000000001E-4</v>
      </c>
      <c r="D7" s="5" t="s">
        <v>107</v>
      </c>
      <c r="G7" s="5" t="s">
        <v>19</v>
      </c>
      <c r="H7" s="79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79" t="s">
        <v>21</v>
      </c>
      <c r="I8" s="5" t="str">
        <f>IF(H8="N","Non-Smoker","Smoker")</f>
        <v>Non-Smoker</v>
      </c>
    </row>
    <row r="9" spans="1:12" x14ac:dyDescent="0.2">
      <c r="B9" s="15" t="s">
        <v>0</v>
      </c>
      <c r="C9" s="14" t="s">
        <v>4</v>
      </c>
      <c r="D9" s="14" t="s">
        <v>38</v>
      </c>
      <c r="G9" s="5" t="s">
        <v>92</v>
      </c>
      <c r="H9" s="80">
        <v>15</v>
      </c>
      <c r="I9" s="5" t="s">
        <v>58</v>
      </c>
    </row>
    <row r="10" spans="1:12" x14ac:dyDescent="0.2">
      <c r="B10" s="5" t="s">
        <v>101</v>
      </c>
      <c r="C10" s="82">
        <v>0.01</v>
      </c>
      <c r="D10" s="82">
        <v>5.0000000000000001E-3</v>
      </c>
    </row>
    <row r="11" spans="1:12" x14ac:dyDescent="0.2">
      <c r="B11" s="5" t="s">
        <v>1</v>
      </c>
      <c r="C11" s="83">
        <v>150</v>
      </c>
      <c r="D11" s="84">
        <v>6.5</v>
      </c>
    </row>
    <row r="12" spans="1:12" x14ac:dyDescent="0.2">
      <c r="B12" s="3"/>
      <c r="C12" s="9"/>
      <c r="D12" s="9"/>
    </row>
    <row r="13" spans="1:12" x14ac:dyDescent="0.2">
      <c r="B13" s="11" t="s">
        <v>2</v>
      </c>
      <c r="C13" s="86">
        <v>5.0000000000000001E-3</v>
      </c>
      <c r="D13" s="5" t="s">
        <v>63</v>
      </c>
    </row>
    <row r="14" spans="1:12" x14ac:dyDescent="0.2">
      <c r="B14" s="3"/>
      <c r="C14" s="9"/>
      <c r="D14" s="9"/>
    </row>
    <row r="15" spans="1:12" x14ac:dyDescent="0.2">
      <c r="B15" s="5"/>
      <c r="C15" s="44" t="s">
        <v>33</v>
      </c>
      <c r="D15" s="44" t="s">
        <v>34</v>
      </c>
    </row>
    <row r="16" spans="1:12" x14ac:dyDescent="0.2">
      <c r="B16" s="10" t="s">
        <v>5</v>
      </c>
      <c r="C16" s="6">
        <v>0.02</v>
      </c>
      <c r="D16" s="82">
        <f>(1+C16)^(1/12)-1</f>
        <v>1.6515813019202241E-3</v>
      </c>
      <c r="E16" s="88" t="s">
        <v>64</v>
      </c>
    </row>
    <row r="17" spans="2:4" x14ac:dyDescent="0.2">
      <c r="B17" s="10" t="s">
        <v>88</v>
      </c>
      <c r="C17" s="82">
        <v>0.05</v>
      </c>
      <c r="D17" s="89">
        <f>(1+C17)^(1/12)-1</f>
        <v>4.0741237836483535E-3</v>
      </c>
    </row>
    <row r="18" spans="2:4" x14ac:dyDescent="0.2">
      <c r="B18" s="10" t="s">
        <v>61</v>
      </c>
      <c r="C18" s="40">
        <v>0.3</v>
      </c>
      <c r="D18" s="7"/>
    </row>
    <row r="19" spans="2:4" x14ac:dyDescent="0.2">
      <c r="B19" s="10" t="s">
        <v>3</v>
      </c>
      <c r="C19" s="42">
        <f>'(a)'!C9</f>
        <v>5.2750000000000005E-2</v>
      </c>
      <c r="D19" s="7">
        <f>(1+C19)^(1/12)-1</f>
        <v>4.2930043261615314E-3</v>
      </c>
    </row>
    <row r="20" spans="2:4" x14ac:dyDescent="0.2">
      <c r="B20" s="12"/>
      <c r="C20" s="4"/>
      <c r="D20" s="13"/>
    </row>
    <row r="21" spans="2:4" x14ac:dyDescent="0.2">
      <c r="B21" s="10" t="s">
        <v>89</v>
      </c>
      <c r="C21" s="5"/>
      <c r="D21" s="44" t="s">
        <v>33</v>
      </c>
    </row>
    <row r="22" spans="2:4" x14ac:dyDescent="0.2">
      <c r="B22" s="5" t="s">
        <v>73</v>
      </c>
      <c r="C22" s="5">
        <v>1</v>
      </c>
      <c r="D22" s="45">
        <f>75%*C22/12*$C$17</f>
        <v>3.1250000000000002E-3</v>
      </c>
    </row>
    <row r="23" spans="2:4" x14ac:dyDescent="0.2">
      <c r="B23" s="5" t="s">
        <v>74</v>
      </c>
      <c r="C23" s="5">
        <f t="shared" ref="C23:C33" si="0">C22+1</f>
        <v>2</v>
      </c>
      <c r="D23" s="45">
        <f t="shared" ref="D23:D33" si="1">75%*C23/12*$C$17</f>
        <v>6.2500000000000003E-3</v>
      </c>
    </row>
    <row r="24" spans="2:4" x14ac:dyDescent="0.2">
      <c r="B24" s="5" t="s">
        <v>75</v>
      </c>
      <c r="C24" s="5">
        <f t="shared" si="0"/>
        <v>3</v>
      </c>
      <c r="D24" s="45">
        <f t="shared" si="1"/>
        <v>9.3750000000000014E-3</v>
      </c>
    </row>
    <row r="25" spans="2:4" x14ac:dyDescent="0.2">
      <c r="B25" s="5" t="s">
        <v>76</v>
      </c>
      <c r="C25" s="5">
        <f t="shared" si="0"/>
        <v>4</v>
      </c>
      <c r="D25" s="45">
        <f t="shared" si="1"/>
        <v>1.2500000000000001E-2</v>
      </c>
    </row>
    <row r="26" spans="2:4" x14ac:dyDescent="0.2">
      <c r="B26" s="5" t="s">
        <v>77</v>
      </c>
      <c r="C26" s="5">
        <f t="shared" si="0"/>
        <v>5</v>
      </c>
      <c r="D26" s="45">
        <f t="shared" si="1"/>
        <v>1.5625E-2</v>
      </c>
    </row>
    <row r="27" spans="2:4" x14ac:dyDescent="0.2">
      <c r="B27" s="5" t="s">
        <v>78</v>
      </c>
      <c r="C27" s="5">
        <f t="shared" si="0"/>
        <v>6</v>
      </c>
      <c r="D27" s="45">
        <f t="shared" si="1"/>
        <v>1.8750000000000003E-2</v>
      </c>
    </row>
    <row r="28" spans="2:4" x14ac:dyDescent="0.2">
      <c r="B28" s="5" t="s">
        <v>79</v>
      </c>
      <c r="C28" s="5">
        <f t="shared" si="0"/>
        <v>7</v>
      </c>
      <c r="D28" s="45">
        <f t="shared" si="1"/>
        <v>2.1875000000000002E-2</v>
      </c>
    </row>
    <row r="29" spans="2:4" x14ac:dyDescent="0.2">
      <c r="B29" s="5" t="s">
        <v>80</v>
      </c>
      <c r="C29" s="5">
        <f t="shared" si="0"/>
        <v>8</v>
      </c>
      <c r="D29" s="45">
        <f t="shared" si="1"/>
        <v>2.5000000000000001E-2</v>
      </c>
    </row>
    <row r="30" spans="2:4" x14ac:dyDescent="0.2">
      <c r="B30" s="5" t="s">
        <v>81</v>
      </c>
      <c r="C30" s="5">
        <f t="shared" si="0"/>
        <v>9</v>
      </c>
      <c r="D30" s="45">
        <f t="shared" si="1"/>
        <v>2.8125000000000001E-2</v>
      </c>
    </row>
    <row r="31" spans="2:4" x14ac:dyDescent="0.2">
      <c r="B31" s="5" t="s">
        <v>82</v>
      </c>
      <c r="C31" s="5">
        <f t="shared" si="0"/>
        <v>10</v>
      </c>
      <c r="D31" s="45">
        <f t="shared" si="1"/>
        <v>3.125E-2</v>
      </c>
    </row>
    <row r="32" spans="2:4" x14ac:dyDescent="0.2">
      <c r="B32" s="5" t="s">
        <v>83</v>
      </c>
      <c r="C32" s="5">
        <f t="shared" si="0"/>
        <v>11</v>
      </c>
      <c r="D32" s="45">
        <f t="shared" si="1"/>
        <v>3.4375000000000003E-2</v>
      </c>
    </row>
    <row r="33" spans="2:4" x14ac:dyDescent="0.2">
      <c r="B33" s="5" t="s">
        <v>84</v>
      </c>
      <c r="C33" s="5">
        <f t="shared" si="0"/>
        <v>12</v>
      </c>
      <c r="D33" s="45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625" defaultRowHeight="12.75" x14ac:dyDescent="0.2"/>
  <cols>
    <col min="1" max="1" width="2.625" style="19" customWidth="1"/>
    <col min="2" max="2" width="8.625" style="19"/>
    <col min="3" max="8" width="11.125" style="19" customWidth="1"/>
    <col min="9" max="9" width="8.625" style="19"/>
    <col min="10" max="10" width="10.875" style="19" bestFit="1" customWidth="1"/>
    <col min="11" max="16384" width="8.625" style="19"/>
  </cols>
  <sheetData>
    <row r="1" spans="1:8" x14ac:dyDescent="0.2">
      <c r="A1" s="18" t="s">
        <v>40</v>
      </c>
    </row>
    <row r="3" spans="1:8" x14ac:dyDescent="0.2">
      <c r="B3" s="92" t="s">
        <v>37</v>
      </c>
      <c r="C3" s="91" t="s">
        <v>7</v>
      </c>
      <c r="D3" s="91"/>
      <c r="E3" s="91"/>
      <c r="F3" s="91" t="s">
        <v>8</v>
      </c>
      <c r="G3" s="91"/>
      <c r="H3" s="91"/>
    </row>
    <row r="4" spans="1:8" x14ac:dyDescent="0.2">
      <c r="B4" s="93"/>
      <c r="C4" s="22" t="s">
        <v>9</v>
      </c>
      <c r="D4" s="22" t="s">
        <v>10</v>
      </c>
      <c r="E4" s="22" t="s">
        <v>11</v>
      </c>
      <c r="F4" s="22" t="s">
        <v>9</v>
      </c>
      <c r="G4" s="22" t="s">
        <v>10</v>
      </c>
      <c r="H4" s="22" t="s">
        <v>11</v>
      </c>
    </row>
    <row r="5" spans="1:8" x14ac:dyDescent="0.2">
      <c r="B5" s="20">
        <v>0</v>
      </c>
      <c r="C5" s="21">
        <v>5.2300000000000003E-3</v>
      </c>
      <c r="D5" s="21">
        <v>1.0460000000000001E-2</v>
      </c>
      <c r="E5" s="21">
        <v>5.2300000000000003E-3</v>
      </c>
      <c r="F5" s="21">
        <v>4.4000000000000003E-3</v>
      </c>
      <c r="G5" s="21">
        <v>7.4799999999999997E-3</v>
      </c>
      <c r="H5" s="21">
        <v>4.4000000000000003E-3</v>
      </c>
    </row>
    <row r="6" spans="1:8" x14ac:dyDescent="0.2">
      <c r="B6" s="20">
        <v>1</v>
      </c>
      <c r="C6" s="21">
        <v>2.82E-3</v>
      </c>
      <c r="D6" s="21">
        <v>5.64E-3</v>
      </c>
      <c r="E6" s="21">
        <v>2.82E-3</v>
      </c>
      <c r="F6" s="21">
        <v>2.3600000000000001E-3</v>
      </c>
      <c r="G6" s="21">
        <v>4.0099999999999997E-3</v>
      </c>
      <c r="H6" s="21">
        <v>2.3600000000000001E-3</v>
      </c>
    </row>
    <row r="7" spans="1:8" x14ac:dyDescent="0.2">
      <c r="B7" s="20">
        <v>2</v>
      </c>
      <c r="C7" s="21">
        <v>3.4000000000000002E-4</v>
      </c>
      <c r="D7" s="21">
        <v>6.8000000000000005E-4</v>
      </c>
      <c r="E7" s="21">
        <v>3.4000000000000002E-4</v>
      </c>
      <c r="F7" s="21">
        <v>2.5999999999999998E-4</v>
      </c>
      <c r="G7" s="21">
        <v>4.4000000000000002E-4</v>
      </c>
      <c r="H7" s="21">
        <v>2.5999999999999998E-4</v>
      </c>
    </row>
    <row r="8" spans="1:8" x14ac:dyDescent="0.2">
      <c r="B8" s="20">
        <v>3</v>
      </c>
      <c r="C8" s="21">
        <v>2.3000000000000001E-4</v>
      </c>
      <c r="D8" s="21">
        <v>4.6000000000000001E-4</v>
      </c>
      <c r="E8" s="21">
        <v>2.3000000000000001E-4</v>
      </c>
      <c r="F8" s="21">
        <v>1.7000000000000001E-4</v>
      </c>
      <c r="G8" s="21">
        <v>2.9E-4</v>
      </c>
      <c r="H8" s="21">
        <v>1.7000000000000001E-4</v>
      </c>
    </row>
    <row r="9" spans="1:8" x14ac:dyDescent="0.2">
      <c r="B9" s="20">
        <v>4</v>
      </c>
      <c r="C9" s="21">
        <v>1.6000000000000001E-4</v>
      </c>
      <c r="D9" s="21">
        <v>3.2000000000000003E-4</v>
      </c>
      <c r="E9" s="21">
        <v>1.6000000000000001E-4</v>
      </c>
      <c r="F9" s="21">
        <v>1.3999999999999999E-4</v>
      </c>
      <c r="G9" s="21">
        <v>2.4000000000000001E-4</v>
      </c>
      <c r="H9" s="21">
        <v>1.3999999999999999E-4</v>
      </c>
    </row>
    <row r="10" spans="1:8" x14ac:dyDescent="0.2">
      <c r="B10" s="20">
        <v>5</v>
      </c>
      <c r="C10" s="21">
        <v>1.3999999999999999E-4</v>
      </c>
      <c r="D10" s="21">
        <v>2.7999999999999998E-4</v>
      </c>
      <c r="E10" s="21">
        <v>1.3999999999999999E-4</v>
      </c>
      <c r="F10" s="21">
        <v>1.2E-4</v>
      </c>
      <c r="G10" s="21">
        <v>2.0000000000000001E-4</v>
      </c>
      <c r="H10" s="21">
        <v>1.2E-4</v>
      </c>
    </row>
    <row r="11" spans="1:8" x14ac:dyDescent="0.2">
      <c r="B11" s="20">
        <v>6</v>
      </c>
      <c r="C11" s="21">
        <v>1.2999999999999999E-4</v>
      </c>
      <c r="D11" s="21">
        <v>2.5999999999999998E-4</v>
      </c>
      <c r="E11" s="21">
        <v>1.2999999999999999E-4</v>
      </c>
      <c r="F11" s="21">
        <v>1.1E-4</v>
      </c>
      <c r="G11" s="21">
        <v>1.9000000000000001E-4</v>
      </c>
      <c r="H11" s="21">
        <v>1.1E-4</v>
      </c>
    </row>
    <row r="12" spans="1:8" x14ac:dyDescent="0.2">
      <c r="B12" s="20">
        <v>7</v>
      </c>
      <c r="C12" s="21">
        <v>1.2E-4</v>
      </c>
      <c r="D12" s="21">
        <v>2.4000000000000001E-4</v>
      </c>
      <c r="E12" s="21">
        <v>1.2E-4</v>
      </c>
      <c r="F12" s="21">
        <v>1E-4</v>
      </c>
      <c r="G12" s="21">
        <v>1.7000000000000001E-4</v>
      </c>
      <c r="H12" s="21">
        <v>1E-4</v>
      </c>
    </row>
    <row r="13" spans="1:8" x14ac:dyDescent="0.2">
      <c r="B13" s="20">
        <v>8</v>
      </c>
      <c r="C13" s="21">
        <v>1.1E-4</v>
      </c>
      <c r="D13" s="21">
        <v>2.2000000000000001E-4</v>
      </c>
      <c r="E13" s="21">
        <v>1.1E-4</v>
      </c>
      <c r="F13" s="21">
        <v>9.0000000000000006E-5</v>
      </c>
      <c r="G13" s="21">
        <v>1.4999999999999999E-4</v>
      </c>
      <c r="H13" s="21">
        <v>9.0000000000000006E-5</v>
      </c>
    </row>
    <row r="14" spans="1:8" x14ac:dyDescent="0.2">
      <c r="B14" s="20">
        <v>9</v>
      </c>
      <c r="C14" s="21">
        <v>1E-4</v>
      </c>
      <c r="D14" s="21">
        <v>2.0000000000000001E-4</v>
      </c>
      <c r="E14" s="21">
        <v>1E-4</v>
      </c>
      <c r="F14" s="21">
        <v>8.0000000000000007E-5</v>
      </c>
      <c r="G14" s="21">
        <v>1.3999999999999999E-4</v>
      </c>
      <c r="H14" s="21">
        <v>8.0000000000000007E-5</v>
      </c>
    </row>
    <row r="15" spans="1:8" x14ac:dyDescent="0.2">
      <c r="B15" s="20">
        <v>10</v>
      </c>
      <c r="C15" s="21">
        <v>1E-4</v>
      </c>
      <c r="D15" s="21">
        <v>2.0000000000000001E-4</v>
      </c>
      <c r="E15" s="21">
        <v>1E-4</v>
      </c>
      <c r="F15" s="21">
        <v>6.9999999999999994E-5</v>
      </c>
      <c r="G15" s="21">
        <v>1.2E-4</v>
      </c>
      <c r="H15" s="21">
        <v>6.9999999999999994E-5</v>
      </c>
    </row>
    <row r="16" spans="1:8" x14ac:dyDescent="0.2">
      <c r="B16" s="20">
        <v>11</v>
      </c>
      <c r="C16" s="21">
        <v>1.1E-4</v>
      </c>
      <c r="D16" s="21">
        <v>2.2000000000000001E-4</v>
      </c>
      <c r="E16" s="21">
        <v>1.1E-4</v>
      </c>
      <c r="F16" s="21">
        <v>6.9999999999999994E-5</v>
      </c>
      <c r="G16" s="21">
        <v>1.2E-4</v>
      </c>
      <c r="H16" s="21">
        <v>6.9999999999999994E-5</v>
      </c>
    </row>
    <row r="17" spans="2:8" x14ac:dyDescent="0.2">
      <c r="B17" s="20">
        <v>12</v>
      </c>
      <c r="C17" s="21">
        <v>1.2E-4</v>
      </c>
      <c r="D17" s="21">
        <v>2.4000000000000001E-4</v>
      </c>
      <c r="E17" s="21">
        <v>1.2E-4</v>
      </c>
      <c r="F17" s="21">
        <v>8.0000000000000007E-5</v>
      </c>
      <c r="G17" s="21">
        <v>1.3999999999999999E-4</v>
      </c>
      <c r="H17" s="21">
        <v>8.0000000000000007E-5</v>
      </c>
    </row>
    <row r="18" spans="2:8" x14ac:dyDescent="0.2">
      <c r="B18" s="20">
        <v>13</v>
      </c>
      <c r="C18" s="21">
        <v>1.2999999999999999E-4</v>
      </c>
      <c r="D18" s="21">
        <v>2.5999999999999998E-4</v>
      </c>
      <c r="E18" s="21">
        <v>1.2999999999999999E-4</v>
      </c>
      <c r="F18" s="21">
        <v>9.0000000000000006E-5</v>
      </c>
      <c r="G18" s="21">
        <v>1.4999999999999999E-4</v>
      </c>
      <c r="H18" s="21">
        <v>9.0000000000000006E-5</v>
      </c>
    </row>
    <row r="19" spans="2:8" x14ac:dyDescent="0.2">
      <c r="B19" s="20">
        <v>14</v>
      </c>
      <c r="C19" s="21">
        <v>1.4999999999999999E-4</v>
      </c>
      <c r="D19" s="21">
        <v>2.9999999999999997E-4</v>
      </c>
      <c r="E19" s="21">
        <v>1.4999999999999999E-4</v>
      </c>
      <c r="F19" s="21">
        <v>1.2E-4</v>
      </c>
      <c r="G19" s="21">
        <v>2.0000000000000001E-4</v>
      </c>
      <c r="H19" s="21">
        <v>1.2E-4</v>
      </c>
    </row>
    <row r="20" spans="2:8" x14ac:dyDescent="0.2">
      <c r="B20" s="20">
        <v>15</v>
      </c>
      <c r="C20" s="21">
        <v>1.9000000000000001E-4</v>
      </c>
      <c r="D20" s="21">
        <v>3.8000000000000002E-4</v>
      </c>
      <c r="E20" s="21">
        <v>1.9000000000000001E-4</v>
      </c>
      <c r="F20" s="21">
        <v>1.6000000000000001E-4</v>
      </c>
      <c r="G20" s="21">
        <v>2.7E-4</v>
      </c>
      <c r="H20" s="21">
        <v>1.6000000000000001E-4</v>
      </c>
    </row>
    <row r="21" spans="2:8" x14ac:dyDescent="0.2">
      <c r="B21" s="20">
        <v>16</v>
      </c>
      <c r="C21" s="21">
        <v>2.7999999999999998E-4</v>
      </c>
      <c r="D21" s="21">
        <v>5.5999999999999995E-4</v>
      </c>
      <c r="E21" s="21">
        <v>2.9E-4</v>
      </c>
      <c r="F21" s="21">
        <v>2.0000000000000001E-4</v>
      </c>
      <c r="G21" s="21">
        <v>3.4000000000000002E-4</v>
      </c>
      <c r="H21" s="21">
        <v>2.0000000000000001E-4</v>
      </c>
    </row>
    <row r="22" spans="2:8" x14ac:dyDescent="0.2">
      <c r="B22" s="20">
        <v>17</v>
      </c>
      <c r="C22" s="21">
        <v>4.0999999999999999E-4</v>
      </c>
      <c r="D22" s="21">
        <v>8.1999999999999998E-4</v>
      </c>
      <c r="E22" s="21">
        <v>4.2999999999999999E-4</v>
      </c>
      <c r="F22" s="21">
        <v>2.3000000000000001E-4</v>
      </c>
      <c r="G22" s="21">
        <v>3.8999999999999999E-4</v>
      </c>
      <c r="H22" s="21">
        <v>2.4000000000000001E-4</v>
      </c>
    </row>
    <row r="23" spans="2:8" x14ac:dyDescent="0.2">
      <c r="B23" s="20">
        <v>18</v>
      </c>
      <c r="C23" s="21">
        <v>4.4999999999999999E-4</v>
      </c>
      <c r="D23" s="21">
        <v>8.9999999999999998E-4</v>
      </c>
      <c r="E23" s="21">
        <v>4.8000000000000001E-4</v>
      </c>
      <c r="F23" s="21">
        <v>2.5000000000000001E-4</v>
      </c>
      <c r="G23" s="21">
        <v>4.2999999999999999E-4</v>
      </c>
      <c r="H23" s="21">
        <v>2.7E-4</v>
      </c>
    </row>
    <row r="24" spans="2:8" x14ac:dyDescent="0.2">
      <c r="B24" s="20">
        <v>19</v>
      </c>
      <c r="C24" s="21">
        <v>5.2999999999999998E-4</v>
      </c>
      <c r="D24" s="21">
        <v>1.06E-3</v>
      </c>
      <c r="E24" s="21">
        <v>5.8E-4</v>
      </c>
      <c r="F24" s="21">
        <v>2.5000000000000001E-4</v>
      </c>
      <c r="G24" s="21">
        <v>4.2999999999999999E-4</v>
      </c>
      <c r="H24" s="21">
        <v>2.7999999999999998E-4</v>
      </c>
    </row>
    <row r="25" spans="2:8" x14ac:dyDescent="0.2">
      <c r="B25" s="20">
        <v>20</v>
      </c>
      <c r="C25" s="21">
        <v>5.9999999999999995E-4</v>
      </c>
      <c r="D25" s="21">
        <v>1.1999999999999999E-3</v>
      </c>
      <c r="E25" s="21">
        <v>6.7000000000000002E-4</v>
      </c>
      <c r="F25" s="21">
        <v>2.4000000000000001E-4</v>
      </c>
      <c r="G25" s="21">
        <v>4.0999999999999999E-4</v>
      </c>
      <c r="H25" s="21">
        <v>2.7999999999999998E-4</v>
      </c>
    </row>
    <row r="26" spans="2:8" x14ac:dyDescent="0.2">
      <c r="B26" s="20">
        <v>21</v>
      </c>
      <c r="C26" s="21">
        <v>6.0999999999999997E-4</v>
      </c>
      <c r="D26" s="21">
        <v>1.2199999999999999E-3</v>
      </c>
      <c r="E26" s="21">
        <v>6.9999999999999999E-4</v>
      </c>
      <c r="F26" s="21">
        <v>2.4000000000000001E-4</v>
      </c>
      <c r="G26" s="21">
        <v>4.0999999999999999E-4</v>
      </c>
      <c r="H26" s="21">
        <v>2.7999999999999998E-4</v>
      </c>
    </row>
    <row r="27" spans="2:8" x14ac:dyDescent="0.2">
      <c r="B27" s="20">
        <v>22</v>
      </c>
      <c r="C27" s="21">
        <v>5.9999999999999995E-4</v>
      </c>
      <c r="D27" s="21">
        <v>1.1999999999999999E-3</v>
      </c>
      <c r="E27" s="21">
        <v>6.9999999999999999E-4</v>
      </c>
      <c r="F27" s="21">
        <v>2.2000000000000001E-4</v>
      </c>
      <c r="G27" s="21">
        <v>3.6999999999999999E-4</v>
      </c>
      <c r="H27" s="21">
        <v>2.7E-4</v>
      </c>
    </row>
    <row r="28" spans="2:8" x14ac:dyDescent="0.2">
      <c r="B28" s="20">
        <v>23</v>
      </c>
      <c r="C28" s="21">
        <v>5.6999999999999998E-4</v>
      </c>
      <c r="D28" s="21">
        <v>1.14E-3</v>
      </c>
      <c r="E28" s="21">
        <v>6.8999999999999997E-4</v>
      </c>
      <c r="F28" s="21">
        <v>2.1000000000000001E-4</v>
      </c>
      <c r="G28" s="21">
        <v>3.6000000000000002E-4</v>
      </c>
      <c r="H28" s="21">
        <v>2.5999999999999998E-4</v>
      </c>
    </row>
    <row r="29" spans="2:8" x14ac:dyDescent="0.2">
      <c r="B29" s="20">
        <v>24</v>
      </c>
      <c r="C29" s="21">
        <v>5.5000000000000003E-4</v>
      </c>
      <c r="D29" s="21">
        <v>1.1000000000000001E-3</v>
      </c>
      <c r="E29" s="21">
        <v>6.8000000000000005E-4</v>
      </c>
      <c r="F29" s="21">
        <v>1.9000000000000001E-4</v>
      </c>
      <c r="G29" s="21">
        <v>3.2000000000000003E-4</v>
      </c>
      <c r="H29" s="21">
        <v>2.4000000000000001E-4</v>
      </c>
    </row>
    <row r="30" spans="2:8" x14ac:dyDescent="0.2">
      <c r="B30" s="20">
        <v>25</v>
      </c>
      <c r="C30" s="21">
        <v>5.2999999999999998E-4</v>
      </c>
      <c r="D30" s="21">
        <v>1.06E-3</v>
      </c>
      <c r="E30" s="21">
        <v>6.6E-4</v>
      </c>
      <c r="F30" s="21">
        <v>1.7000000000000001E-4</v>
      </c>
      <c r="G30" s="21">
        <v>2.9E-4</v>
      </c>
      <c r="H30" s="21">
        <v>2.2000000000000001E-4</v>
      </c>
    </row>
    <row r="31" spans="2:8" x14ac:dyDescent="0.2">
      <c r="B31" s="20">
        <v>26</v>
      </c>
      <c r="C31" s="21">
        <v>5.0000000000000001E-4</v>
      </c>
      <c r="D31" s="21">
        <v>1E-3</v>
      </c>
      <c r="E31" s="21">
        <v>6.4000000000000005E-4</v>
      </c>
      <c r="F31" s="21">
        <v>1.6000000000000001E-4</v>
      </c>
      <c r="G31" s="21">
        <v>2.7E-4</v>
      </c>
      <c r="H31" s="21">
        <v>2.1000000000000001E-4</v>
      </c>
    </row>
    <row r="32" spans="2:8" x14ac:dyDescent="0.2">
      <c r="B32" s="20">
        <v>27</v>
      </c>
      <c r="C32" s="21">
        <v>4.8000000000000001E-4</v>
      </c>
      <c r="D32" s="21">
        <v>9.6000000000000002E-4</v>
      </c>
      <c r="E32" s="21">
        <v>6.2E-4</v>
      </c>
      <c r="F32" s="21">
        <v>1.6000000000000001E-4</v>
      </c>
      <c r="G32" s="21">
        <v>2.7E-4</v>
      </c>
      <c r="H32" s="21">
        <v>2.1000000000000001E-4</v>
      </c>
    </row>
    <row r="33" spans="2:8" x14ac:dyDescent="0.2">
      <c r="B33" s="20">
        <v>28</v>
      </c>
      <c r="C33" s="21">
        <v>4.6000000000000001E-4</v>
      </c>
      <c r="D33" s="21">
        <v>9.2000000000000003E-4</v>
      </c>
      <c r="E33" s="21">
        <v>5.9999999999999995E-4</v>
      </c>
      <c r="F33" s="21">
        <v>1.7000000000000001E-4</v>
      </c>
      <c r="G33" s="21">
        <v>2.9E-4</v>
      </c>
      <c r="H33" s="21">
        <v>2.2000000000000001E-4</v>
      </c>
    </row>
    <row r="34" spans="2:8" x14ac:dyDescent="0.2">
      <c r="B34" s="20">
        <v>29</v>
      </c>
      <c r="C34" s="21">
        <v>4.4999999999999999E-4</v>
      </c>
      <c r="D34" s="21">
        <v>8.9999999999999998E-4</v>
      </c>
      <c r="E34" s="21">
        <v>5.8E-4</v>
      </c>
      <c r="F34" s="21">
        <v>1.9000000000000001E-4</v>
      </c>
      <c r="G34" s="21">
        <v>3.2000000000000003E-4</v>
      </c>
      <c r="H34" s="21">
        <v>2.4000000000000001E-4</v>
      </c>
    </row>
    <row r="35" spans="2:8" x14ac:dyDescent="0.2">
      <c r="B35" s="20">
        <v>30</v>
      </c>
      <c r="C35" s="21">
        <v>4.2999999999999999E-4</v>
      </c>
      <c r="D35" s="21">
        <v>8.5999999999999998E-4</v>
      </c>
      <c r="E35" s="21">
        <v>5.5999999999999995E-4</v>
      </c>
      <c r="F35" s="21">
        <v>2.1000000000000001E-4</v>
      </c>
      <c r="G35" s="21">
        <v>3.6000000000000002E-4</v>
      </c>
      <c r="H35" s="21">
        <v>2.5999999999999998E-4</v>
      </c>
    </row>
    <row r="36" spans="2:8" x14ac:dyDescent="0.2">
      <c r="B36" s="20">
        <v>31</v>
      </c>
      <c r="C36" s="21">
        <v>4.2000000000000002E-4</v>
      </c>
      <c r="D36" s="21">
        <v>8.4000000000000003E-4</v>
      </c>
      <c r="E36" s="21">
        <v>5.5000000000000003E-4</v>
      </c>
      <c r="F36" s="21">
        <v>2.3000000000000001E-4</v>
      </c>
      <c r="G36" s="21">
        <v>3.8999999999999999E-4</v>
      </c>
      <c r="H36" s="21">
        <v>2.9E-4</v>
      </c>
    </row>
    <row r="37" spans="2:8" x14ac:dyDescent="0.2">
      <c r="B37" s="20">
        <v>32</v>
      </c>
      <c r="C37" s="21">
        <v>4.0999999999999999E-4</v>
      </c>
      <c r="D37" s="21">
        <v>8.1999999999999998E-4</v>
      </c>
      <c r="E37" s="21">
        <v>5.4000000000000001E-4</v>
      </c>
      <c r="F37" s="21">
        <v>2.5000000000000001E-4</v>
      </c>
      <c r="G37" s="21">
        <v>4.2999999999999999E-4</v>
      </c>
      <c r="H37" s="21">
        <v>3.1E-4</v>
      </c>
    </row>
    <row r="38" spans="2:8" x14ac:dyDescent="0.2">
      <c r="B38" s="20">
        <v>33</v>
      </c>
      <c r="C38" s="21">
        <v>4.0000000000000002E-4</v>
      </c>
      <c r="D38" s="21">
        <v>8.0000000000000004E-4</v>
      </c>
      <c r="E38" s="21">
        <v>5.2999999999999998E-4</v>
      </c>
      <c r="F38" s="21">
        <v>2.7E-4</v>
      </c>
      <c r="G38" s="21">
        <v>4.6000000000000001E-4</v>
      </c>
      <c r="H38" s="21">
        <v>3.3E-4</v>
      </c>
    </row>
    <row r="39" spans="2:8" x14ac:dyDescent="0.2">
      <c r="B39" s="20">
        <v>34</v>
      </c>
      <c r="C39" s="21">
        <v>4.0999999999999999E-4</v>
      </c>
      <c r="D39" s="21">
        <v>8.1999999999999998E-4</v>
      </c>
      <c r="E39" s="21">
        <v>5.2999999999999998E-4</v>
      </c>
      <c r="F39" s="21">
        <v>2.9999999999999997E-4</v>
      </c>
      <c r="G39" s="21">
        <v>5.1000000000000004E-4</v>
      </c>
      <c r="H39" s="21">
        <v>3.6000000000000002E-4</v>
      </c>
    </row>
    <row r="40" spans="2:8" x14ac:dyDescent="0.2">
      <c r="B40" s="20">
        <v>35</v>
      </c>
      <c r="C40" s="21">
        <v>4.2000000000000002E-4</v>
      </c>
      <c r="D40" s="21">
        <v>8.4000000000000003E-4</v>
      </c>
      <c r="E40" s="21">
        <v>5.4000000000000001E-4</v>
      </c>
      <c r="F40" s="21">
        <v>3.2000000000000003E-4</v>
      </c>
      <c r="G40" s="21">
        <v>5.4000000000000001E-4</v>
      </c>
      <c r="H40" s="21">
        <v>3.8000000000000002E-4</v>
      </c>
    </row>
    <row r="41" spans="2:8" x14ac:dyDescent="0.2">
      <c r="B41" s="20">
        <v>36</v>
      </c>
      <c r="C41" s="21">
        <v>4.2999999999999999E-4</v>
      </c>
      <c r="D41" s="21">
        <v>8.5999999999999998E-4</v>
      </c>
      <c r="E41" s="21">
        <v>5.5000000000000003E-4</v>
      </c>
      <c r="F41" s="21">
        <v>3.4000000000000002E-4</v>
      </c>
      <c r="G41" s="21">
        <v>5.8E-4</v>
      </c>
      <c r="H41" s="21">
        <v>4.0000000000000002E-4</v>
      </c>
    </row>
    <row r="42" spans="2:8" x14ac:dyDescent="0.2">
      <c r="B42" s="20">
        <v>37</v>
      </c>
      <c r="C42" s="21">
        <v>4.4999999999999999E-4</v>
      </c>
      <c r="D42" s="21">
        <v>8.9999999999999998E-4</v>
      </c>
      <c r="E42" s="21">
        <v>5.8E-4</v>
      </c>
      <c r="F42" s="21">
        <v>3.6999999999999999E-4</v>
      </c>
      <c r="G42" s="21">
        <v>6.3000000000000003E-4</v>
      </c>
      <c r="H42" s="21">
        <v>4.2000000000000002E-4</v>
      </c>
    </row>
    <row r="43" spans="2:8" x14ac:dyDescent="0.2">
      <c r="B43" s="20">
        <v>38</v>
      </c>
      <c r="C43" s="21">
        <v>4.8999999999999998E-4</v>
      </c>
      <c r="D43" s="21">
        <v>9.7999999999999997E-4</v>
      </c>
      <c r="E43" s="21">
        <v>6.2E-4</v>
      </c>
      <c r="F43" s="21">
        <v>4.0000000000000002E-4</v>
      </c>
      <c r="G43" s="21">
        <v>6.8000000000000005E-4</v>
      </c>
      <c r="H43" s="21">
        <v>4.4999999999999999E-4</v>
      </c>
    </row>
    <row r="44" spans="2:8" x14ac:dyDescent="0.2">
      <c r="B44" s="20">
        <v>39</v>
      </c>
      <c r="C44" s="21">
        <v>5.2999999999999998E-4</v>
      </c>
      <c r="D44" s="21">
        <v>1.06E-3</v>
      </c>
      <c r="E44" s="21">
        <v>6.7000000000000002E-4</v>
      </c>
      <c r="F44" s="21">
        <v>4.2999999999999999E-4</v>
      </c>
      <c r="G44" s="21">
        <v>7.2999999999999996E-4</v>
      </c>
      <c r="H44" s="21">
        <v>4.8999999999999998E-4</v>
      </c>
    </row>
    <row r="45" spans="2:8" x14ac:dyDescent="0.2">
      <c r="B45" s="20">
        <v>40</v>
      </c>
      <c r="C45" s="21">
        <v>5.8E-4</v>
      </c>
      <c r="D45" s="21">
        <v>1.16E-3</v>
      </c>
      <c r="E45" s="21">
        <v>7.2999999999999996E-4</v>
      </c>
      <c r="F45" s="21">
        <v>4.6999999999999999E-4</v>
      </c>
      <c r="G45" s="21">
        <v>8.0000000000000004E-4</v>
      </c>
      <c r="H45" s="21">
        <v>5.2999999999999998E-4</v>
      </c>
    </row>
    <row r="46" spans="2:8" x14ac:dyDescent="0.2">
      <c r="B46" s="20">
        <v>41</v>
      </c>
      <c r="C46" s="21">
        <v>6.3000000000000003E-4</v>
      </c>
      <c r="D46" s="21">
        <v>1.2600000000000001E-3</v>
      </c>
      <c r="E46" s="21">
        <v>7.7999999999999999E-4</v>
      </c>
      <c r="F46" s="21">
        <v>5.1000000000000004E-4</v>
      </c>
      <c r="G46" s="21">
        <v>8.7000000000000001E-4</v>
      </c>
      <c r="H46" s="21">
        <v>5.6999999999999998E-4</v>
      </c>
    </row>
    <row r="47" spans="2:8" x14ac:dyDescent="0.2">
      <c r="B47" s="20">
        <v>42</v>
      </c>
      <c r="C47" s="21">
        <v>6.8000000000000005E-4</v>
      </c>
      <c r="D47" s="21">
        <v>1.3600000000000001E-3</v>
      </c>
      <c r="E47" s="21">
        <v>8.4000000000000003E-4</v>
      </c>
      <c r="F47" s="21">
        <v>5.5000000000000003E-4</v>
      </c>
      <c r="G47" s="21">
        <v>9.3999999999999997E-4</v>
      </c>
      <c r="H47" s="21">
        <v>6.0999999999999997E-4</v>
      </c>
    </row>
    <row r="48" spans="2:8" x14ac:dyDescent="0.2">
      <c r="B48" s="20">
        <v>43</v>
      </c>
      <c r="C48" s="21">
        <v>7.3999999999999999E-4</v>
      </c>
      <c r="D48" s="21">
        <v>1.48E-3</v>
      </c>
      <c r="E48" s="21">
        <v>8.9999999999999998E-4</v>
      </c>
      <c r="F48" s="21">
        <v>5.9000000000000003E-4</v>
      </c>
      <c r="G48" s="21">
        <v>1E-3</v>
      </c>
      <c r="H48" s="21">
        <v>6.4999999999999997E-4</v>
      </c>
    </row>
    <row r="49" spans="2:13" x14ac:dyDescent="0.2">
      <c r="B49" s="20">
        <v>44</v>
      </c>
      <c r="C49" s="21">
        <v>7.9000000000000001E-4</v>
      </c>
      <c r="D49" s="21">
        <v>1.58E-3</v>
      </c>
      <c r="E49" s="21">
        <v>9.6000000000000002E-4</v>
      </c>
      <c r="F49" s="21">
        <v>6.3000000000000003E-4</v>
      </c>
      <c r="G49" s="21">
        <v>1.07E-3</v>
      </c>
      <c r="H49" s="21">
        <v>6.9999999999999999E-4</v>
      </c>
    </row>
    <row r="50" spans="2:13" x14ac:dyDescent="0.2">
      <c r="B50" s="20">
        <v>45</v>
      </c>
      <c r="C50" s="21">
        <v>8.5999999999999998E-4</v>
      </c>
      <c r="D50" s="21">
        <v>1.72E-3</v>
      </c>
      <c r="E50" s="21">
        <v>1.0300000000000001E-3</v>
      </c>
      <c r="F50" s="21">
        <v>6.8999999999999997E-4</v>
      </c>
      <c r="G50" s="21">
        <v>1.17E-3</v>
      </c>
      <c r="H50" s="21">
        <v>7.6000000000000004E-4</v>
      </c>
      <c r="M50" s="48"/>
    </row>
    <row r="51" spans="2:13" x14ac:dyDescent="0.2">
      <c r="B51" s="20">
        <v>46</v>
      </c>
      <c r="C51" s="21">
        <v>9.3000000000000005E-4</v>
      </c>
      <c r="D51" s="21">
        <v>1.8600000000000001E-3</v>
      </c>
      <c r="E51" s="21">
        <v>1.1100000000000001E-3</v>
      </c>
      <c r="F51" s="21">
        <v>7.5000000000000002E-4</v>
      </c>
      <c r="G51" s="21">
        <v>1.2800000000000001E-3</v>
      </c>
      <c r="H51" s="21">
        <v>8.3000000000000001E-4</v>
      </c>
      <c r="J51" s="46"/>
      <c r="M51" s="47"/>
    </row>
    <row r="52" spans="2:13" x14ac:dyDescent="0.2">
      <c r="B52" s="20">
        <v>47</v>
      </c>
      <c r="C52" s="21">
        <v>1.0300000000000001E-3</v>
      </c>
      <c r="D52" s="21">
        <v>2.0600000000000002E-3</v>
      </c>
      <c r="E52" s="21">
        <v>1.2199999999999999E-3</v>
      </c>
      <c r="F52" s="21">
        <v>8.4000000000000003E-4</v>
      </c>
      <c r="G52" s="21">
        <v>1.4300000000000001E-3</v>
      </c>
      <c r="H52" s="21">
        <v>9.2000000000000003E-4</v>
      </c>
      <c r="L52" s="48"/>
      <c r="M52" s="47"/>
    </row>
    <row r="53" spans="2:13" x14ac:dyDescent="0.2">
      <c r="B53" s="20">
        <v>48</v>
      </c>
      <c r="C53" s="21">
        <v>1.15E-3</v>
      </c>
      <c r="D53" s="21">
        <v>2.3E-3</v>
      </c>
      <c r="E53" s="21">
        <v>1.3500000000000001E-3</v>
      </c>
      <c r="F53" s="21">
        <v>9.3000000000000005E-4</v>
      </c>
      <c r="G53" s="21">
        <v>1.58E-3</v>
      </c>
      <c r="H53" s="21">
        <v>1.0200000000000001E-3</v>
      </c>
      <c r="L53" s="48"/>
      <c r="M53" s="47"/>
    </row>
    <row r="54" spans="2:13" x14ac:dyDescent="0.2">
      <c r="B54" s="20">
        <v>49</v>
      </c>
      <c r="C54" s="21">
        <v>1.2800000000000001E-3</v>
      </c>
      <c r="D54" s="21">
        <v>2.5600000000000002E-3</v>
      </c>
      <c r="E54" s="21">
        <v>1.5E-3</v>
      </c>
      <c r="F54" s="21">
        <v>1.0499999999999999E-3</v>
      </c>
      <c r="G54" s="21">
        <v>1.7899999999999999E-3</v>
      </c>
      <c r="H54" s="21">
        <v>1.15E-3</v>
      </c>
      <c r="L54" s="48"/>
      <c r="M54" s="47"/>
    </row>
    <row r="55" spans="2:13" x14ac:dyDescent="0.2">
      <c r="B55" s="20">
        <v>50</v>
      </c>
      <c r="C55" s="21">
        <v>1.42E-3</v>
      </c>
      <c r="D55" s="21">
        <v>2.8400000000000001E-3</v>
      </c>
      <c r="E55" s="21">
        <v>1.66E-3</v>
      </c>
      <c r="F55" s="21">
        <v>1.17E-3</v>
      </c>
      <c r="G55" s="21">
        <v>1.99E-3</v>
      </c>
      <c r="H55" s="21">
        <v>1.2800000000000001E-3</v>
      </c>
      <c r="L55" s="48"/>
      <c r="M55" s="47"/>
    </row>
    <row r="56" spans="2:13" x14ac:dyDescent="0.2">
      <c r="B56" s="20">
        <v>51</v>
      </c>
      <c r="C56" s="21">
        <v>1.56E-3</v>
      </c>
      <c r="D56" s="21">
        <v>3.1199999999999999E-3</v>
      </c>
      <c r="E56" s="21">
        <v>1.82E-3</v>
      </c>
      <c r="F56" s="21">
        <v>1.2899999999999999E-3</v>
      </c>
      <c r="G56" s="21">
        <v>2.1900000000000001E-3</v>
      </c>
      <c r="H56" s="21">
        <v>1.41E-3</v>
      </c>
      <c r="L56" s="48"/>
      <c r="M56" s="47"/>
    </row>
    <row r="57" spans="2:13" x14ac:dyDescent="0.2">
      <c r="B57" s="20">
        <v>52</v>
      </c>
      <c r="C57" s="21">
        <v>1.72E-3</v>
      </c>
      <c r="D57" s="21">
        <v>3.4399999999999999E-3</v>
      </c>
      <c r="E57" s="21">
        <v>2E-3</v>
      </c>
      <c r="F57" s="21">
        <v>1.39E-3</v>
      </c>
      <c r="G57" s="21">
        <v>2.3600000000000001E-3</v>
      </c>
      <c r="H57" s="21">
        <v>1.5200000000000001E-3</v>
      </c>
      <c r="L57" s="48"/>
      <c r="M57" s="47"/>
    </row>
    <row r="58" spans="2:13" x14ac:dyDescent="0.2">
      <c r="B58" s="20">
        <v>53</v>
      </c>
      <c r="C58" s="21">
        <v>1.89E-3</v>
      </c>
      <c r="D58" s="21">
        <v>3.7799999999999999E-3</v>
      </c>
      <c r="E58" s="21">
        <v>2.1900000000000001E-3</v>
      </c>
      <c r="F58" s="21">
        <v>1.49E-3</v>
      </c>
      <c r="G58" s="21">
        <v>2.5300000000000001E-3</v>
      </c>
      <c r="H58" s="21">
        <v>1.6299999999999999E-3</v>
      </c>
      <c r="L58" s="48"/>
      <c r="M58" s="47"/>
    </row>
    <row r="59" spans="2:13" x14ac:dyDescent="0.2">
      <c r="B59" s="20">
        <v>54</v>
      </c>
      <c r="C59" s="21">
        <v>2.0799999999999998E-3</v>
      </c>
      <c r="D59" s="21">
        <v>4.1599999999999996E-3</v>
      </c>
      <c r="E59" s="21">
        <v>2.3999999999999998E-3</v>
      </c>
      <c r="F59" s="21">
        <v>1.57E-3</v>
      </c>
      <c r="G59" s="21">
        <v>2.6700000000000001E-3</v>
      </c>
      <c r="H59" s="21">
        <v>1.72E-3</v>
      </c>
      <c r="L59" s="48"/>
      <c r="M59" s="47"/>
    </row>
    <row r="60" spans="2:13" x14ac:dyDescent="0.2">
      <c r="B60" s="20">
        <v>55</v>
      </c>
      <c r="C60" s="21">
        <v>2.3E-3</v>
      </c>
      <c r="D60" s="21">
        <v>4.5999999999999999E-3</v>
      </c>
      <c r="E60" s="21">
        <v>2.64E-3</v>
      </c>
      <c r="F60" s="21">
        <v>1.66E-3</v>
      </c>
      <c r="G60" s="21">
        <v>2.82E-3</v>
      </c>
      <c r="H60" s="21">
        <v>1.81E-3</v>
      </c>
      <c r="L60" s="48"/>
      <c r="M60" s="47"/>
    </row>
    <row r="61" spans="2:13" x14ac:dyDescent="0.2">
      <c r="B61" s="20">
        <v>56</v>
      </c>
      <c r="C61" s="21">
        <v>2.5500000000000002E-3</v>
      </c>
      <c r="D61" s="21">
        <v>5.1000000000000004E-3</v>
      </c>
      <c r="E61" s="21">
        <v>2.9199999999999999E-3</v>
      </c>
      <c r="F61" s="21">
        <v>1.7899999999999999E-3</v>
      </c>
      <c r="G61" s="21">
        <v>3.0400000000000002E-3</v>
      </c>
      <c r="H61" s="21">
        <v>1.9499999999999999E-3</v>
      </c>
      <c r="L61" s="48"/>
      <c r="M61" s="47"/>
    </row>
    <row r="62" spans="2:13" x14ac:dyDescent="0.2">
      <c r="B62" s="20">
        <v>57</v>
      </c>
      <c r="C62" s="21">
        <v>2.8600000000000001E-3</v>
      </c>
      <c r="D62" s="21">
        <v>5.7200000000000003E-3</v>
      </c>
      <c r="E62" s="21">
        <v>3.2599999999999999E-3</v>
      </c>
      <c r="F62" s="21">
        <v>1.9599999999999999E-3</v>
      </c>
      <c r="G62" s="21">
        <v>3.3300000000000001E-3</v>
      </c>
      <c r="H62" s="21">
        <v>2.1299999999999999E-3</v>
      </c>
      <c r="L62" s="48"/>
      <c r="M62" s="47"/>
    </row>
    <row r="63" spans="2:13" x14ac:dyDescent="0.2">
      <c r="B63" s="20">
        <v>58</v>
      </c>
      <c r="C63" s="21">
        <v>3.2000000000000002E-3</v>
      </c>
      <c r="D63" s="21">
        <v>6.4000000000000003E-3</v>
      </c>
      <c r="E63" s="21">
        <v>3.64E-3</v>
      </c>
      <c r="F63" s="21">
        <v>2.1900000000000001E-3</v>
      </c>
      <c r="G63" s="21">
        <v>3.7200000000000002E-3</v>
      </c>
      <c r="H63" s="21">
        <v>2.3800000000000002E-3</v>
      </c>
      <c r="L63" s="48"/>
    </row>
    <row r="64" spans="2:13" x14ac:dyDescent="0.2">
      <c r="B64" s="20">
        <v>59</v>
      </c>
      <c r="C64" s="21">
        <v>3.5799999999999998E-3</v>
      </c>
      <c r="D64" s="21">
        <v>7.1599999999999997E-3</v>
      </c>
      <c r="E64" s="21">
        <v>4.0499999999999998E-3</v>
      </c>
      <c r="F64" s="21">
        <v>2.48E-3</v>
      </c>
      <c r="G64" s="21">
        <v>4.2199999999999998E-3</v>
      </c>
      <c r="H64" s="21">
        <v>2.6900000000000001E-3</v>
      </c>
    </row>
    <row r="65" spans="2:8" x14ac:dyDescent="0.2">
      <c r="B65" s="20">
        <v>60</v>
      </c>
      <c r="C65" s="21">
        <v>3.9699999999999996E-3</v>
      </c>
      <c r="D65" s="21">
        <v>7.9399999999999991E-3</v>
      </c>
      <c r="E65" s="21">
        <v>4.47E-3</v>
      </c>
      <c r="F65" s="21">
        <v>2.8400000000000001E-3</v>
      </c>
      <c r="G65" s="21">
        <v>4.8300000000000001E-3</v>
      </c>
      <c r="H65" s="21">
        <v>3.0799999999999998E-3</v>
      </c>
    </row>
    <row r="66" spans="2:8" x14ac:dyDescent="0.2">
      <c r="B66" s="20">
        <v>61</v>
      </c>
      <c r="C66" s="21">
        <v>4.3800000000000002E-3</v>
      </c>
      <c r="D66" s="21">
        <v>8.7600000000000004E-3</v>
      </c>
      <c r="E66" s="21">
        <v>4.9100000000000003E-3</v>
      </c>
      <c r="F66" s="21">
        <v>3.2699999999999999E-3</v>
      </c>
      <c r="G66" s="21">
        <v>5.5599999999999998E-3</v>
      </c>
      <c r="H66" s="21">
        <v>3.5300000000000002E-3</v>
      </c>
    </row>
    <row r="67" spans="2:8" x14ac:dyDescent="0.2">
      <c r="B67" s="20">
        <v>62</v>
      </c>
      <c r="C67" s="21">
        <v>4.79E-3</v>
      </c>
      <c r="D67" s="21">
        <v>9.58E-3</v>
      </c>
      <c r="E67" s="21">
        <v>5.3499999999999997E-3</v>
      </c>
      <c r="F67" s="21">
        <v>3.7499999999999999E-3</v>
      </c>
      <c r="G67" s="21">
        <v>6.3800000000000003E-3</v>
      </c>
      <c r="H67" s="21">
        <v>4.0400000000000002E-3</v>
      </c>
    </row>
    <row r="68" spans="2:8" x14ac:dyDescent="0.2">
      <c r="B68" s="20">
        <v>63</v>
      </c>
      <c r="C68" s="21">
        <v>5.2500000000000003E-3</v>
      </c>
      <c r="D68" s="21">
        <v>1.0500000000000001E-2</v>
      </c>
      <c r="E68" s="21">
        <v>5.8300000000000001E-3</v>
      </c>
      <c r="F68" s="21">
        <v>4.28E-3</v>
      </c>
      <c r="G68" s="21">
        <v>7.28E-3</v>
      </c>
      <c r="H68" s="21">
        <v>4.5999999999999999E-3</v>
      </c>
    </row>
    <row r="69" spans="2:8" x14ac:dyDescent="0.2">
      <c r="B69" s="20">
        <v>64</v>
      </c>
      <c r="C69" s="21">
        <v>5.79E-3</v>
      </c>
      <c r="D69" s="21">
        <v>1.158E-2</v>
      </c>
      <c r="E69" s="21">
        <v>6.4000000000000003E-3</v>
      </c>
      <c r="F69" s="21">
        <v>4.8599999999999997E-3</v>
      </c>
      <c r="G69" s="21">
        <v>8.26E-3</v>
      </c>
      <c r="H69" s="21">
        <v>5.2100000000000002E-3</v>
      </c>
    </row>
    <row r="70" spans="2:8" x14ac:dyDescent="0.2">
      <c r="B70" s="20">
        <v>65</v>
      </c>
      <c r="C70" s="21">
        <v>6.4599999999999996E-3</v>
      </c>
      <c r="D70" s="21">
        <v>1.2919999999999999E-2</v>
      </c>
      <c r="E70" s="21">
        <v>7.11E-3</v>
      </c>
      <c r="F70" s="21">
        <v>5.4900000000000001E-3</v>
      </c>
      <c r="G70" s="21">
        <v>9.3299999999999998E-3</v>
      </c>
      <c r="H70" s="21">
        <v>5.8700000000000002E-3</v>
      </c>
    </row>
    <row r="71" spans="2:8" x14ac:dyDescent="0.2">
      <c r="B71" s="20">
        <v>66</v>
      </c>
      <c r="C71" s="21">
        <v>7.3200000000000001E-3</v>
      </c>
      <c r="D71" s="21">
        <v>1.464E-2</v>
      </c>
      <c r="E71" s="21">
        <v>8.0099999999999998E-3</v>
      </c>
      <c r="F71" s="21">
        <v>6.1599999999999997E-3</v>
      </c>
      <c r="G71" s="21">
        <v>1.047E-2</v>
      </c>
      <c r="H71" s="21">
        <v>6.5700000000000003E-3</v>
      </c>
    </row>
    <row r="72" spans="2:8" x14ac:dyDescent="0.2">
      <c r="B72" s="20">
        <v>67</v>
      </c>
      <c r="C72" s="21">
        <v>8.4200000000000004E-3</v>
      </c>
      <c r="D72" s="21">
        <v>1.6840000000000001E-2</v>
      </c>
      <c r="E72" s="21">
        <v>9.1699999999999993E-3</v>
      </c>
      <c r="F72" s="21">
        <v>6.9100000000000003E-3</v>
      </c>
      <c r="G72" s="21">
        <v>1.175E-2</v>
      </c>
      <c r="H72" s="21">
        <v>7.3499999999999998E-3</v>
      </c>
    </row>
    <row r="73" spans="2:8" x14ac:dyDescent="0.2">
      <c r="B73" s="20">
        <v>68</v>
      </c>
      <c r="C73" s="21">
        <v>9.7699999999999992E-3</v>
      </c>
      <c r="D73" s="21">
        <v>1.9539999999999998E-2</v>
      </c>
      <c r="E73" s="21">
        <v>1.0580000000000001E-2</v>
      </c>
      <c r="F73" s="21">
        <v>7.7299999999999999E-3</v>
      </c>
      <c r="G73" s="21">
        <v>1.3140000000000001E-2</v>
      </c>
      <c r="H73" s="21">
        <v>8.1899999999999994E-3</v>
      </c>
    </row>
    <row r="74" spans="2:8" x14ac:dyDescent="0.2">
      <c r="B74" s="20">
        <v>69</v>
      </c>
      <c r="C74" s="21">
        <v>1.136E-2</v>
      </c>
      <c r="D74" s="21">
        <v>2.2720000000000001E-2</v>
      </c>
      <c r="E74" s="21">
        <v>1.2239999999999999E-2</v>
      </c>
      <c r="F74" s="21">
        <v>8.6499999999999997E-3</v>
      </c>
      <c r="G74" s="21">
        <v>1.4710000000000001E-2</v>
      </c>
      <c r="H74" s="21">
        <v>9.1299999999999992E-3</v>
      </c>
    </row>
    <row r="75" spans="2:8" x14ac:dyDescent="0.2">
      <c r="B75" s="20">
        <v>70</v>
      </c>
      <c r="C75" s="21">
        <v>1.321E-2</v>
      </c>
      <c r="D75" s="21">
        <v>2.6419999999999999E-2</v>
      </c>
      <c r="E75" s="21">
        <v>1.4160000000000001E-2</v>
      </c>
      <c r="F75" s="21">
        <v>9.6699999999999998E-3</v>
      </c>
      <c r="G75" s="21">
        <v>1.644E-2</v>
      </c>
      <c r="H75" s="21">
        <v>1.017E-2</v>
      </c>
    </row>
    <row r="76" spans="2:8" x14ac:dyDescent="0.2">
      <c r="B76" s="20">
        <v>71</v>
      </c>
      <c r="C76" s="21">
        <v>1.5350000000000001E-2</v>
      </c>
      <c r="D76" s="21">
        <v>3.0700000000000002E-2</v>
      </c>
      <c r="E76" s="21">
        <v>1.6379999999999999E-2</v>
      </c>
      <c r="F76" s="21">
        <v>1.0829999999999999E-2</v>
      </c>
      <c r="G76" s="21">
        <v>1.8409999999999999E-2</v>
      </c>
      <c r="H76" s="21">
        <v>1.1350000000000001E-2</v>
      </c>
    </row>
    <row r="77" spans="2:8" x14ac:dyDescent="0.2">
      <c r="B77" s="20">
        <v>72</v>
      </c>
      <c r="C77" s="21">
        <v>1.78E-2</v>
      </c>
      <c r="D77" s="21">
        <v>3.56E-2</v>
      </c>
      <c r="E77" s="21">
        <v>1.891E-2</v>
      </c>
      <c r="F77" s="21">
        <v>1.2160000000000001E-2</v>
      </c>
      <c r="G77" s="21">
        <v>2.0670000000000001E-2</v>
      </c>
      <c r="H77" s="21">
        <v>1.2699999999999999E-2</v>
      </c>
    </row>
    <row r="78" spans="2:8" x14ac:dyDescent="0.2">
      <c r="B78" s="20">
        <v>73</v>
      </c>
      <c r="C78" s="21">
        <v>2.0480000000000002E-2</v>
      </c>
      <c r="D78" s="21">
        <v>4.0960000000000003E-2</v>
      </c>
      <c r="E78" s="21">
        <v>2.1659999999999999E-2</v>
      </c>
      <c r="F78" s="21">
        <v>1.3690000000000001E-2</v>
      </c>
      <c r="G78" s="21">
        <v>2.3269999999999999E-2</v>
      </c>
      <c r="H78" s="21">
        <v>1.4250000000000001E-2</v>
      </c>
    </row>
    <row r="79" spans="2:8" x14ac:dyDescent="0.2">
      <c r="B79" s="20">
        <v>74</v>
      </c>
      <c r="C79" s="21">
        <v>2.341E-2</v>
      </c>
      <c r="D79" s="21">
        <v>4.6820000000000001E-2</v>
      </c>
      <c r="E79" s="21">
        <v>2.4670000000000001E-2</v>
      </c>
      <c r="F79" s="21">
        <v>1.5469999999999999E-2</v>
      </c>
      <c r="G79" s="21">
        <v>2.63E-2</v>
      </c>
      <c r="H79" s="21">
        <v>1.6049999999999998E-2</v>
      </c>
    </row>
    <row r="80" spans="2:8" x14ac:dyDescent="0.2">
      <c r="B80" s="20">
        <v>75</v>
      </c>
      <c r="C80" s="21">
        <v>2.674E-2</v>
      </c>
      <c r="D80" s="21">
        <v>5.348E-2</v>
      </c>
      <c r="E80" s="21">
        <v>2.8080000000000001E-2</v>
      </c>
      <c r="F80" s="21">
        <v>1.7510000000000001E-2</v>
      </c>
      <c r="G80" s="21">
        <v>2.9770000000000001E-2</v>
      </c>
      <c r="H80" s="21">
        <v>1.8120000000000001E-2</v>
      </c>
    </row>
    <row r="81" spans="2:8" x14ac:dyDescent="0.2">
      <c r="B81" s="20">
        <v>76</v>
      </c>
      <c r="C81" s="21">
        <v>3.0630000000000001E-2</v>
      </c>
      <c r="D81" s="21">
        <v>6.0339999999999998E-2</v>
      </c>
      <c r="E81" s="21">
        <v>3.202E-2</v>
      </c>
      <c r="F81" s="21">
        <v>1.985E-2</v>
      </c>
      <c r="G81" s="21">
        <v>3.3390000000000003E-2</v>
      </c>
      <c r="H81" s="21">
        <v>2.0480000000000002E-2</v>
      </c>
    </row>
    <row r="82" spans="2:8" x14ac:dyDescent="0.2">
      <c r="B82" s="20">
        <v>77</v>
      </c>
      <c r="C82" s="21">
        <v>3.5069999999999997E-2</v>
      </c>
      <c r="D82" s="21">
        <v>6.8040000000000003E-2</v>
      </c>
      <c r="E82" s="21">
        <v>3.6519999999999997E-2</v>
      </c>
      <c r="F82" s="21">
        <v>2.256E-2</v>
      </c>
      <c r="G82" s="21">
        <v>3.7539999999999997E-2</v>
      </c>
      <c r="H82" s="21">
        <v>2.3210000000000001E-2</v>
      </c>
    </row>
    <row r="83" spans="2:8" x14ac:dyDescent="0.2">
      <c r="B83" s="20">
        <v>78</v>
      </c>
      <c r="C83" s="21">
        <v>4.0099999999999997E-2</v>
      </c>
      <c r="D83" s="21">
        <v>7.6590000000000005E-2</v>
      </c>
      <c r="E83" s="21">
        <v>4.1619999999999997E-2</v>
      </c>
      <c r="F83" s="21">
        <v>2.5680000000000001E-2</v>
      </c>
      <c r="G83" s="21">
        <v>4.2270000000000002E-2</v>
      </c>
      <c r="H83" s="21">
        <v>2.6360000000000001E-2</v>
      </c>
    </row>
    <row r="84" spans="2:8" x14ac:dyDescent="0.2">
      <c r="B84" s="20">
        <v>79</v>
      </c>
      <c r="C84" s="21">
        <v>4.5749999999999999E-2</v>
      </c>
      <c r="D84" s="21">
        <v>8.6010000000000003E-2</v>
      </c>
      <c r="E84" s="21">
        <v>4.734E-2</v>
      </c>
      <c r="F84" s="21">
        <v>2.93E-2</v>
      </c>
      <c r="G84" s="21">
        <v>4.7699999999999999E-2</v>
      </c>
      <c r="H84" s="21">
        <v>3.0020000000000002E-2</v>
      </c>
    </row>
    <row r="85" spans="2:8" x14ac:dyDescent="0.2">
      <c r="B85" s="20">
        <v>80</v>
      </c>
      <c r="C85" s="21">
        <v>5.2060000000000002E-2</v>
      </c>
      <c r="D85" s="21">
        <v>9.6310000000000007E-2</v>
      </c>
      <c r="E85" s="21">
        <v>5.373E-2</v>
      </c>
      <c r="F85" s="21">
        <v>3.347E-2</v>
      </c>
      <c r="G85" s="21">
        <v>5.389E-2</v>
      </c>
      <c r="H85" s="21">
        <v>3.4229999999999997E-2</v>
      </c>
    </row>
    <row r="86" spans="2:8" x14ac:dyDescent="0.2">
      <c r="B86" s="20">
        <v>81</v>
      </c>
      <c r="C86" s="21">
        <v>5.9020000000000003E-2</v>
      </c>
      <c r="D86" s="21">
        <v>0.10742</v>
      </c>
      <c r="E86" s="21">
        <v>6.0769999999999998E-2</v>
      </c>
      <c r="F86" s="21">
        <v>3.8370000000000001E-2</v>
      </c>
      <c r="G86" s="21">
        <v>6.1089999999999998E-2</v>
      </c>
      <c r="H86" s="21">
        <v>3.918E-2</v>
      </c>
    </row>
    <row r="87" spans="2:8" x14ac:dyDescent="0.2">
      <c r="B87" s="20">
        <v>82</v>
      </c>
      <c r="C87" s="21">
        <v>6.6110000000000002E-2</v>
      </c>
      <c r="D87" s="21">
        <v>0.11834</v>
      </c>
      <c r="E87" s="21">
        <v>6.7909999999999998E-2</v>
      </c>
      <c r="F87" s="21">
        <v>4.385E-2</v>
      </c>
      <c r="G87" s="21">
        <v>6.9019999999999998E-2</v>
      </c>
      <c r="H87" s="21">
        <v>4.471E-2</v>
      </c>
    </row>
    <row r="88" spans="2:8" x14ac:dyDescent="0.2">
      <c r="B88" s="20">
        <v>83</v>
      </c>
      <c r="C88" s="21">
        <v>7.3859999999999995E-2</v>
      </c>
      <c r="D88" s="21">
        <v>0.12998999999999999</v>
      </c>
      <c r="E88" s="21">
        <v>7.5719999999999996E-2</v>
      </c>
      <c r="F88" s="21">
        <v>5.0139999999999997E-2</v>
      </c>
      <c r="G88" s="21">
        <v>7.8020000000000006E-2</v>
      </c>
      <c r="H88" s="21">
        <v>5.1060000000000001E-2</v>
      </c>
    </row>
    <row r="89" spans="2:8" x14ac:dyDescent="0.2">
      <c r="B89" s="20">
        <v>84</v>
      </c>
      <c r="C89" s="21">
        <v>8.2500000000000004E-2</v>
      </c>
      <c r="D89" s="21">
        <v>0.14273</v>
      </c>
      <c r="E89" s="21">
        <v>8.4400000000000003E-2</v>
      </c>
      <c r="F89" s="21">
        <v>5.7340000000000002E-2</v>
      </c>
      <c r="G89" s="21">
        <v>8.8190000000000004E-2</v>
      </c>
      <c r="H89" s="21">
        <v>5.8310000000000001E-2</v>
      </c>
    </row>
    <row r="90" spans="2:8" x14ac:dyDescent="0.2">
      <c r="B90" s="20">
        <v>85</v>
      </c>
      <c r="C90" s="21">
        <v>9.2090000000000005E-2</v>
      </c>
      <c r="D90" s="21">
        <v>0.15654999999999999</v>
      </c>
      <c r="E90" s="21">
        <v>9.4020000000000006E-2</v>
      </c>
      <c r="F90" s="21">
        <v>6.5500000000000003E-2</v>
      </c>
      <c r="G90" s="21">
        <v>9.9559999999999996E-2</v>
      </c>
      <c r="H90" s="21">
        <v>6.6519999999999996E-2</v>
      </c>
    </row>
    <row r="91" spans="2:8" x14ac:dyDescent="0.2">
      <c r="B91" s="20">
        <v>86</v>
      </c>
      <c r="C91" s="21">
        <v>0.10269</v>
      </c>
      <c r="D91" s="21">
        <v>0.17149</v>
      </c>
      <c r="E91" s="21">
        <v>0.10464</v>
      </c>
      <c r="F91" s="21">
        <v>7.4709999999999999E-2</v>
      </c>
      <c r="G91" s="21">
        <v>0.11221</v>
      </c>
      <c r="H91" s="21">
        <v>7.5770000000000004E-2</v>
      </c>
    </row>
    <row r="92" spans="2:8" x14ac:dyDescent="0.2">
      <c r="B92" s="20">
        <v>87</v>
      </c>
      <c r="C92" s="21">
        <v>0.11434</v>
      </c>
      <c r="D92" s="21">
        <v>0.18751999999999999</v>
      </c>
      <c r="E92" s="21">
        <v>0.11627999999999999</v>
      </c>
      <c r="F92" s="21">
        <v>8.5010000000000002E-2</v>
      </c>
      <c r="G92" s="21">
        <v>0.12615000000000001</v>
      </c>
      <c r="H92" s="21">
        <v>8.6099999999999996E-2</v>
      </c>
    </row>
    <row r="93" spans="2:8" x14ac:dyDescent="0.2">
      <c r="B93" s="20">
        <v>88</v>
      </c>
      <c r="C93" s="21">
        <v>0.12695000000000001</v>
      </c>
      <c r="D93" s="21">
        <v>0.20438999999999999</v>
      </c>
      <c r="E93" s="21">
        <v>0.12884999999999999</v>
      </c>
      <c r="F93" s="21">
        <v>9.6449999999999994E-2</v>
      </c>
      <c r="G93" s="21">
        <v>0.1414</v>
      </c>
      <c r="H93" s="21">
        <v>9.7559999999999994E-2</v>
      </c>
    </row>
    <row r="94" spans="2:8" x14ac:dyDescent="0.2">
      <c r="B94" s="20">
        <v>89</v>
      </c>
      <c r="C94" s="21">
        <v>0.14029</v>
      </c>
      <c r="D94" s="21">
        <v>0.22166</v>
      </c>
      <c r="E94" s="21">
        <v>0.14213000000000001</v>
      </c>
      <c r="F94" s="21">
        <v>0.10907</v>
      </c>
      <c r="G94" s="21">
        <v>0.15792999999999999</v>
      </c>
      <c r="H94" s="21">
        <v>0.11018</v>
      </c>
    </row>
    <row r="95" spans="2:8" x14ac:dyDescent="0.2">
      <c r="B95" s="20">
        <v>90</v>
      </c>
      <c r="C95" s="21">
        <v>0.15415000000000001</v>
      </c>
      <c r="D95" s="21">
        <v>0.23893</v>
      </c>
      <c r="E95" s="21">
        <v>0.15589</v>
      </c>
      <c r="F95" s="21">
        <v>0.12277</v>
      </c>
      <c r="G95" s="21">
        <v>0.17555999999999999</v>
      </c>
      <c r="H95" s="21">
        <v>0.12386</v>
      </c>
    </row>
    <row r="96" spans="2:8" x14ac:dyDescent="0.2">
      <c r="B96" s="20">
        <v>91</v>
      </c>
      <c r="C96" s="21">
        <v>0.16829</v>
      </c>
      <c r="D96" s="21">
        <v>0.25580000000000003</v>
      </c>
      <c r="E96" s="21">
        <v>0.16991000000000001</v>
      </c>
      <c r="F96" s="21">
        <v>0.13735</v>
      </c>
      <c r="G96" s="21">
        <v>0.19394</v>
      </c>
      <c r="H96" s="21">
        <v>0.1384</v>
      </c>
    </row>
    <row r="97" spans="2:8" x14ac:dyDescent="0.2">
      <c r="B97" s="20">
        <v>92</v>
      </c>
      <c r="C97" s="21">
        <v>0.18253</v>
      </c>
      <c r="D97" s="21">
        <v>0.27196999999999999</v>
      </c>
      <c r="E97" s="21">
        <v>0.18398999999999999</v>
      </c>
      <c r="F97" s="21">
        <v>0.15259</v>
      </c>
      <c r="G97" s="21">
        <v>0.21271000000000001</v>
      </c>
      <c r="H97" s="21">
        <v>0.15357999999999999</v>
      </c>
    </row>
    <row r="98" spans="2:8" x14ac:dyDescent="0.2">
      <c r="B98" s="20">
        <v>93</v>
      </c>
      <c r="C98" s="21">
        <v>0.19664000000000001</v>
      </c>
      <c r="D98" s="21">
        <v>0.28709000000000001</v>
      </c>
      <c r="E98" s="21">
        <v>0.19792999999999999</v>
      </c>
      <c r="F98" s="21">
        <v>0.16830000000000001</v>
      </c>
      <c r="G98" s="21">
        <v>0.23158000000000001</v>
      </c>
      <c r="H98" s="21">
        <v>0.16919999999999999</v>
      </c>
    </row>
    <row r="99" spans="2:8" x14ac:dyDescent="0.2">
      <c r="B99" s="20">
        <v>94</v>
      </c>
      <c r="C99" s="21">
        <v>0.21045</v>
      </c>
      <c r="D99" s="21">
        <v>0.30093999999999999</v>
      </c>
      <c r="E99" s="21">
        <v>0.21154000000000001</v>
      </c>
      <c r="F99" s="21">
        <v>0.18426999999999999</v>
      </c>
      <c r="G99" s="21">
        <v>0.25024000000000002</v>
      </c>
      <c r="H99" s="21">
        <v>0.18507000000000001</v>
      </c>
    </row>
    <row r="100" spans="2:8" x14ac:dyDescent="0.2">
      <c r="B100" s="20">
        <v>95</v>
      </c>
      <c r="C100" s="21">
        <v>0.22375</v>
      </c>
      <c r="D100" s="21">
        <v>0.31324999999999997</v>
      </c>
      <c r="E100" s="21">
        <v>0.22464999999999999</v>
      </c>
      <c r="F100" s="21">
        <v>0.20032</v>
      </c>
      <c r="G100" s="21">
        <v>0.26843</v>
      </c>
      <c r="H100" s="21">
        <v>0.20100000000000001</v>
      </c>
    </row>
    <row r="101" spans="2:8" x14ac:dyDescent="0.2">
      <c r="B101" s="20">
        <v>96</v>
      </c>
      <c r="C101" s="21">
        <v>0.23641000000000001</v>
      </c>
      <c r="D101" s="21">
        <v>0.32388</v>
      </c>
      <c r="E101" s="21">
        <v>0.23710999999999999</v>
      </c>
      <c r="F101" s="21">
        <v>0.21626000000000001</v>
      </c>
      <c r="G101" s="21">
        <v>0.28589999999999999</v>
      </c>
      <c r="H101" s="21">
        <v>0.21681</v>
      </c>
    </row>
    <row r="102" spans="2:8" x14ac:dyDescent="0.2">
      <c r="B102" s="20">
        <v>97</v>
      </c>
      <c r="C102" s="21">
        <v>0.24826000000000001</v>
      </c>
      <c r="D102" s="21">
        <v>0.33267000000000002</v>
      </c>
      <c r="E102" s="21">
        <v>0.24876000000000001</v>
      </c>
      <c r="F102" s="21">
        <v>0.23194000000000001</v>
      </c>
      <c r="G102" s="21">
        <v>0.30245</v>
      </c>
      <c r="H102" s="21">
        <v>0.23236000000000001</v>
      </c>
    </row>
    <row r="103" spans="2:8" x14ac:dyDescent="0.2">
      <c r="B103" s="20">
        <v>98</v>
      </c>
      <c r="C103" s="21">
        <v>0.25916</v>
      </c>
      <c r="D103" s="21">
        <v>0.33950000000000002</v>
      </c>
      <c r="E103" s="21">
        <v>0.25947999999999999</v>
      </c>
      <c r="F103" s="21">
        <v>0.24722</v>
      </c>
      <c r="G103" s="21">
        <v>0.31791999999999998</v>
      </c>
      <c r="H103" s="21">
        <v>0.2475</v>
      </c>
    </row>
    <row r="104" spans="2:8" x14ac:dyDescent="0.2">
      <c r="B104" s="20">
        <v>99</v>
      </c>
      <c r="C104" s="21">
        <v>0.26896999999999999</v>
      </c>
      <c r="D104" s="21">
        <v>0.34427999999999997</v>
      </c>
      <c r="E104" s="21">
        <v>0.26912000000000003</v>
      </c>
      <c r="F104" s="21">
        <v>0.26196000000000003</v>
      </c>
      <c r="G104" s="21">
        <v>0.33217000000000002</v>
      </c>
      <c r="H104" s="21">
        <v>0.2621</v>
      </c>
    </row>
    <row r="105" spans="2:8" x14ac:dyDescent="0.2">
      <c r="B105" s="20">
        <v>100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19" customWidth="1"/>
    <col min="2" max="3" width="10.875" style="19" customWidth="1"/>
    <col min="4" max="16384" width="8.625" style="19"/>
  </cols>
  <sheetData>
    <row r="1" spans="1:3" x14ac:dyDescent="0.2">
      <c r="A1" s="18" t="s">
        <v>12</v>
      </c>
    </row>
    <row r="3" spans="1:3" ht="25.5" x14ac:dyDescent="0.2">
      <c r="B3" s="23" t="s">
        <v>14</v>
      </c>
      <c r="C3" s="23" t="s">
        <v>13</v>
      </c>
    </row>
    <row r="4" spans="1:3" x14ac:dyDescent="0.2">
      <c r="B4" s="24">
        <v>0</v>
      </c>
      <c r="C4" s="25">
        <v>0.1</v>
      </c>
    </row>
    <row r="5" spans="1:3" x14ac:dyDescent="0.2">
      <c r="B5" s="24">
        <f t="shared" ref="B5:B13" si="0">B4+1</f>
        <v>1</v>
      </c>
      <c r="C5" s="25">
        <v>0.08</v>
      </c>
    </row>
    <row r="6" spans="1:3" x14ac:dyDescent="0.2">
      <c r="B6" s="24">
        <f t="shared" si="0"/>
        <v>2</v>
      </c>
      <c r="C6" s="25">
        <v>7.0000000000000007E-2</v>
      </c>
    </row>
    <row r="7" spans="1:3" x14ac:dyDescent="0.2">
      <c r="B7" s="24">
        <f t="shared" si="0"/>
        <v>3</v>
      </c>
      <c r="C7" s="25">
        <v>0.06</v>
      </c>
    </row>
    <row r="8" spans="1:3" x14ac:dyDescent="0.2">
      <c r="B8" s="24">
        <f t="shared" si="0"/>
        <v>4</v>
      </c>
      <c r="C8" s="25">
        <v>0.05</v>
      </c>
    </row>
    <row r="9" spans="1:3" x14ac:dyDescent="0.2">
      <c r="B9" s="24">
        <f t="shared" si="0"/>
        <v>5</v>
      </c>
      <c r="C9" s="25">
        <v>0.04</v>
      </c>
    </row>
    <row r="10" spans="1:3" x14ac:dyDescent="0.2">
      <c r="B10" s="24">
        <f t="shared" si="0"/>
        <v>6</v>
      </c>
      <c r="C10" s="25">
        <v>0.03</v>
      </c>
    </row>
    <row r="11" spans="1:3" x14ac:dyDescent="0.2">
      <c r="B11" s="24">
        <f t="shared" si="0"/>
        <v>7</v>
      </c>
      <c r="C11" s="25">
        <v>0.02</v>
      </c>
    </row>
    <row r="12" spans="1:3" x14ac:dyDescent="0.2">
      <c r="B12" s="24">
        <f t="shared" si="0"/>
        <v>8</v>
      </c>
      <c r="C12" s="25">
        <v>0.02</v>
      </c>
    </row>
    <row r="13" spans="1:3" x14ac:dyDescent="0.2">
      <c r="B13" s="24">
        <f t="shared" si="0"/>
        <v>9</v>
      </c>
      <c r="C13" s="25">
        <v>0.02</v>
      </c>
    </row>
    <row r="14" spans="1:3" x14ac:dyDescent="0.2">
      <c r="B14" s="24" t="s">
        <v>15</v>
      </c>
      <c r="C14" s="25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showGridLines="0" workbookViewId="0"/>
  </sheetViews>
  <sheetFormatPr defaultColWidth="9" defaultRowHeight="12.75" x14ac:dyDescent="0.2"/>
  <cols>
    <col min="1" max="1" width="2.625" style="27" customWidth="1"/>
    <col min="2" max="2" width="11.75" style="27" customWidth="1"/>
    <col min="3" max="3" width="14" style="27" customWidth="1"/>
    <col min="4" max="7" width="13.25" style="27" customWidth="1"/>
    <col min="8" max="9" width="9.25" style="27" customWidth="1"/>
    <col min="10" max="13" width="9" style="27"/>
    <col min="14" max="14" width="10.375" style="27" bestFit="1" customWidth="1"/>
    <col min="15" max="16384" width="9" style="27"/>
  </cols>
  <sheetData>
    <row r="1" spans="1:15" x14ac:dyDescent="0.2">
      <c r="A1" s="26" t="s">
        <v>43</v>
      </c>
      <c r="N1" s="2" t="s">
        <v>109</v>
      </c>
      <c r="O1" s="1"/>
    </row>
    <row r="2" spans="1:15" x14ac:dyDescent="0.2">
      <c r="N2" s="1" t="s">
        <v>108</v>
      </c>
      <c r="O2" s="72"/>
    </row>
    <row r="3" spans="1:15" ht="38.25" x14ac:dyDescent="0.2">
      <c r="B3" s="34" t="s">
        <v>44</v>
      </c>
      <c r="C3" s="35" t="s">
        <v>53</v>
      </c>
      <c r="D3" s="35" t="s">
        <v>71</v>
      </c>
      <c r="E3" s="35" t="s">
        <v>45</v>
      </c>
      <c r="F3" s="35" t="s">
        <v>72</v>
      </c>
    </row>
    <row r="4" spans="1:15" x14ac:dyDescent="0.2">
      <c r="B4" s="28" t="s">
        <v>46</v>
      </c>
      <c r="C4" s="41">
        <v>8.5000000000000006E-2</v>
      </c>
      <c r="D4" s="29">
        <v>0.14000000000000001</v>
      </c>
      <c r="E4" s="29">
        <v>0.15</v>
      </c>
      <c r="F4" s="31">
        <f>D4*E4</f>
        <v>2.1000000000000001E-2</v>
      </c>
      <c r="I4" s="73"/>
    </row>
    <row r="5" spans="1:15" x14ac:dyDescent="0.2">
      <c r="B5" s="28" t="s">
        <v>47</v>
      </c>
      <c r="C5" s="41">
        <v>7.0000000000000007E-2</v>
      </c>
      <c r="D5" s="29">
        <v>0.15</v>
      </c>
      <c r="E5" s="29">
        <v>0.15</v>
      </c>
      <c r="F5" s="31">
        <f t="shared" ref="F5:F8" si="0">D5*E5</f>
        <v>2.2499999999999999E-2</v>
      </c>
      <c r="H5" s="73"/>
      <c r="I5" s="73"/>
    </row>
    <row r="6" spans="1:15" ht="25.5" x14ac:dyDescent="0.2">
      <c r="B6" s="28" t="s">
        <v>48</v>
      </c>
      <c r="C6" s="41">
        <v>6.5000000000000002E-2</v>
      </c>
      <c r="D6" s="29">
        <v>0.1</v>
      </c>
      <c r="E6" s="29">
        <v>0.2</v>
      </c>
      <c r="F6" s="31">
        <f t="shared" si="0"/>
        <v>2.0000000000000004E-2</v>
      </c>
      <c r="H6" s="73"/>
    </row>
    <row r="7" spans="1:15" ht="25.5" x14ac:dyDescent="0.2">
      <c r="B7" s="28" t="s">
        <v>49</v>
      </c>
      <c r="C7" s="41">
        <v>4.4999999999999998E-2</v>
      </c>
      <c r="D7" s="29">
        <v>0.06</v>
      </c>
      <c r="E7" s="29">
        <v>0.2</v>
      </c>
      <c r="F7" s="31">
        <f t="shared" si="0"/>
        <v>1.2E-2</v>
      </c>
      <c r="H7" s="73"/>
      <c r="I7" s="74"/>
    </row>
    <row r="8" spans="1:15" x14ac:dyDescent="0.2">
      <c r="B8" s="28" t="s">
        <v>50</v>
      </c>
      <c r="C8" s="41">
        <v>2.5000000000000001E-2</v>
      </c>
      <c r="D8" s="29">
        <v>0.01</v>
      </c>
      <c r="E8" s="29">
        <v>0.3</v>
      </c>
      <c r="F8" s="31">
        <f t="shared" si="0"/>
        <v>3.0000000000000001E-3</v>
      </c>
    </row>
    <row r="9" spans="1:15" x14ac:dyDescent="0.2">
      <c r="B9" s="30" t="s">
        <v>52</v>
      </c>
      <c r="C9" s="31">
        <f>SUMPRODUCT(C4:C8,E4:E8)</f>
        <v>5.2750000000000005E-2</v>
      </c>
      <c r="D9" s="31">
        <f t="array" ref="D9">SQRT(MMULT(MMULT(TRANSPOSE(F4:F8),C13:G17),F4:F8))</f>
        <v>5.334275958365859E-2</v>
      </c>
      <c r="E9" s="39">
        <f>SUM(E4:E8)</f>
        <v>1</v>
      </c>
      <c r="F9" s="36"/>
    </row>
    <row r="10" spans="1:15" x14ac:dyDescent="0.2">
      <c r="B10" s="30" t="s">
        <v>70</v>
      </c>
      <c r="C10" s="31">
        <f>(1+C9)^(1/12)-1</f>
        <v>4.2930043261615314E-3</v>
      </c>
      <c r="D10" s="43"/>
      <c r="E10" s="43"/>
      <c r="F10" s="43"/>
    </row>
    <row r="12" spans="1:15" ht="25.5" x14ac:dyDescent="0.2">
      <c r="B12" s="37" t="s">
        <v>51</v>
      </c>
      <c r="C12" s="38" t="str">
        <f t="array" ref="C12:G12">TRANSPOSE(B13:B17)</f>
        <v>Equities</v>
      </c>
      <c r="D12" s="38" t="str">
        <v>Property</v>
      </c>
      <c r="E12" s="38" t="str">
        <v>Corporate Bonds</v>
      </c>
      <c r="F12" s="38" t="str">
        <v>Government Bonds</v>
      </c>
      <c r="G12" s="38" t="str">
        <v>Cash</v>
      </c>
    </row>
    <row r="13" spans="1:15" x14ac:dyDescent="0.2">
      <c r="B13" s="32" t="s">
        <v>46</v>
      </c>
      <c r="C13" s="33">
        <v>1</v>
      </c>
      <c r="D13" s="33">
        <f t="array" ref="D13:G13">TRANSPOSE(C14:C17)</f>
        <v>0.6</v>
      </c>
      <c r="E13" s="33">
        <v>-0.25</v>
      </c>
      <c r="F13" s="33">
        <v>-0.2</v>
      </c>
      <c r="G13" s="33">
        <v>0</v>
      </c>
    </row>
    <row r="14" spans="1:15" x14ac:dyDescent="0.2">
      <c r="B14" s="32" t="s">
        <v>47</v>
      </c>
      <c r="C14" s="33">
        <v>0.6</v>
      </c>
      <c r="D14" s="33">
        <v>1</v>
      </c>
      <c r="E14" s="33">
        <f t="array" ref="E14:G14">TRANSPOSE(D15:D17)</f>
        <v>0.5</v>
      </c>
      <c r="F14" s="33">
        <v>0.25</v>
      </c>
      <c r="G14" s="33">
        <v>0</v>
      </c>
    </row>
    <row r="15" spans="1:15" ht="25.5" x14ac:dyDescent="0.2">
      <c r="B15" s="32" t="s">
        <v>48</v>
      </c>
      <c r="C15" s="33">
        <v>-0.25</v>
      </c>
      <c r="D15" s="33">
        <v>0.5</v>
      </c>
      <c r="E15" s="33">
        <v>1</v>
      </c>
      <c r="F15" s="33">
        <f t="array" ref="F15:G15">TRANSPOSE(E16:E17)</f>
        <v>0.75</v>
      </c>
      <c r="G15" s="33">
        <v>0.75</v>
      </c>
    </row>
    <row r="16" spans="1:15" ht="25.5" x14ac:dyDescent="0.2">
      <c r="B16" s="32" t="s">
        <v>49</v>
      </c>
      <c r="C16" s="33">
        <v>-0.2</v>
      </c>
      <c r="D16" s="33">
        <v>0.25</v>
      </c>
      <c r="E16" s="33">
        <v>0.75</v>
      </c>
      <c r="F16" s="33">
        <v>1</v>
      </c>
      <c r="G16" s="33">
        <f>F17</f>
        <v>0.75</v>
      </c>
    </row>
    <row r="17" spans="2:7" x14ac:dyDescent="0.2">
      <c r="B17" s="32" t="s">
        <v>50</v>
      </c>
      <c r="C17" s="33">
        <v>0</v>
      </c>
      <c r="D17" s="33">
        <v>0</v>
      </c>
      <c r="E17" s="33">
        <v>0.75</v>
      </c>
      <c r="F17" s="33">
        <v>0.75</v>
      </c>
      <c r="G17" s="3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259"/>
  <sheetViews>
    <sheetView showGridLines="0" tabSelected="1" zoomScale="85" zoomScaleNormal="85" workbookViewId="0">
      <pane xSplit="2" ySplit="6" topLeftCell="AG7" activePane="bottomRight" state="frozen"/>
      <selection pane="topRight" activeCell="C1" sqref="C1"/>
      <selection pane="bottomLeft" activeCell="A7" sqref="A7"/>
      <selection pane="bottomRight" activeCell="AS9" sqref="AS9"/>
    </sheetView>
  </sheetViews>
  <sheetFormatPr defaultColWidth="8.625" defaultRowHeight="12.75" x14ac:dyDescent="0.2"/>
  <cols>
    <col min="1" max="1" width="2.625" style="1" customWidth="1"/>
    <col min="2" max="2" width="13.125" style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3.87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25" width="17.75" style="1" customWidth="1"/>
    <col min="26" max="26" width="2.625" style="1" customWidth="1"/>
    <col min="27" max="27" width="16" style="1" customWidth="1"/>
    <col min="28" max="28" width="16" style="1" bestFit="1" customWidth="1"/>
    <col min="29" max="34" width="16" style="1" customWidth="1"/>
    <col min="35" max="35" width="14.625" style="1" customWidth="1"/>
    <col min="36" max="37" width="16" style="1" customWidth="1"/>
    <col min="38" max="41" width="12" style="1" customWidth="1"/>
    <col min="42" max="42" width="9.25" style="1" bestFit="1" customWidth="1"/>
    <col min="43" max="43" width="11.125" style="1" bestFit="1" customWidth="1"/>
    <col min="44" max="44" width="10.25" style="1" bestFit="1" customWidth="1"/>
    <col min="45" max="46" width="12.375" style="1" customWidth="1"/>
    <col min="47" max="47" width="13.625" style="1" bestFit="1" customWidth="1"/>
    <col min="48" max="48" width="12.625" style="1" bestFit="1" customWidth="1"/>
    <col min="49" max="49" width="13.625" style="1" bestFit="1" customWidth="1"/>
    <col min="50" max="50" width="2.625" style="1" customWidth="1"/>
    <col min="51" max="51" width="12.625" style="1" customWidth="1"/>
    <col min="52" max="52" width="10.125" style="1" bestFit="1" customWidth="1"/>
    <col min="53" max="16384" width="8.625" style="1"/>
  </cols>
  <sheetData>
    <row r="1" spans="1:52" x14ac:dyDescent="0.2">
      <c r="A1" s="51" t="s">
        <v>39</v>
      </c>
      <c r="C1" s="52"/>
      <c r="D1" s="52"/>
      <c r="E1" s="52"/>
      <c r="F1" s="52"/>
      <c r="G1" s="2" t="s">
        <v>109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spans="1:52" x14ac:dyDescent="0.2">
      <c r="C2" s="53"/>
      <c r="D2" s="53"/>
      <c r="E2" s="53"/>
      <c r="F2" s="53"/>
      <c r="G2" s="1" t="s">
        <v>108</v>
      </c>
      <c r="H2" s="72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4"/>
      <c r="AC2" s="54"/>
      <c r="AD2" s="54"/>
      <c r="AE2" s="53"/>
      <c r="AF2" s="54"/>
      <c r="AG2" s="53"/>
      <c r="AH2" s="53"/>
      <c r="AI2" s="53"/>
      <c r="AJ2" s="53"/>
      <c r="AK2" s="54"/>
      <c r="AL2" s="53"/>
      <c r="AM2" s="54"/>
      <c r="AN2" s="53"/>
      <c r="AO2" s="55"/>
      <c r="AP2" s="53"/>
      <c r="AQ2" s="53"/>
      <c r="AR2" s="53"/>
      <c r="AS2" s="53"/>
      <c r="AT2" s="53"/>
      <c r="AU2" s="54"/>
      <c r="AV2" s="53"/>
      <c r="AW2" s="53"/>
      <c r="AX2" s="53"/>
      <c r="AY2" s="53"/>
      <c r="AZ2" s="53"/>
    </row>
    <row r="3" spans="1:52" ht="25.5" x14ac:dyDescent="0.2">
      <c r="B3" s="5"/>
      <c r="C3" s="14" t="s">
        <v>24</v>
      </c>
      <c r="D3" s="5"/>
      <c r="E3" s="14" t="s">
        <v>29</v>
      </c>
      <c r="L3" s="56" t="s">
        <v>35</v>
      </c>
      <c r="M3" s="57"/>
      <c r="N3" s="58">
        <f>NPV(Assumptions!$D$19,N8:N259)*(1+Assumptions!$D$19)</f>
        <v>26817.178260232544</v>
      </c>
      <c r="O3" s="58">
        <f>NPV(Assumptions!$D$19,O8:O259)*(1+Assumptions!$D$19)</f>
        <v>25</v>
      </c>
      <c r="P3" s="85">
        <f>NPV(Assumptions!$D$19,P8:P259)*(1+Assumptions!$D$19)^0.5</f>
        <v>2800153.4778126148</v>
      </c>
      <c r="Q3" s="85">
        <f>NPV(Assumptions!$D$19,Q8:Q259)*(1+Assumptions!$D$19)^0.5</f>
        <v>2800153.4778126148</v>
      </c>
      <c r="R3" s="58">
        <f>NPV(Assumptions!$D$19,R8:R259)*(1+Assumptions!$D$19)</f>
        <v>117.70158364747178</v>
      </c>
      <c r="S3" s="57"/>
      <c r="T3" s="59"/>
      <c r="U3" s="59"/>
      <c r="V3" s="58"/>
      <c r="W3" s="58">
        <f>NPV(Assumptions!$D$19,W8:W259)*(1+Assumptions!$D$19)</f>
        <v>175</v>
      </c>
      <c r="X3" s="58">
        <f>NPV(Assumptions!$D$19,X8:X259)*(1+Assumptions!$D$19)</f>
        <v>204.19815909743616</v>
      </c>
      <c r="Y3" s="58">
        <f>NPV(Assumptions!$D$19,Y8:Y259)*(1+Assumptions!$D$19)</f>
        <v>134.08589130116272</v>
      </c>
      <c r="Z3" s="56"/>
      <c r="AA3" s="57"/>
      <c r="AB3" s="58">
        <f>NPV(Assumptions!$D$19,AB8:AB259)*(1+Assumptions!$D$19)</f>
        <v>95165524.236628339</v>
      </c>
      <c r="AC3" s="58">
        <f>NPV(Assumptions!$D$19,AC8:AC259)*(1+Assumptions!$D$19)</f>
        <v>125000</v>
      </c>
      <c r="AD3" s="85">
        <f>NPV(Assumptions!$D$19,AD8:AD259)*(1+Assumptions!$D$19)^0.5</f>
        <v>1727298.998931759</v>
      </c>
      <c r="AE3" s="85">
        <f>NPV(Assumptions!$D$19,AE8:AE259)*(1+Assumptions!$D$19)^0.5</f>
        <v>90752555.631054088</v>
      </c>
      <c r="AF3" s="58">
        <f>NPV(Assumptions!$D$19,AF8:AF259)*(1+Assumptions!$D$19)</f>
        <v>320361.96721017652</v>
      </c>
      <c r="AG3" s="57"/>
      <c r="AH3" s="59"/>
      <c r="AI3" s="59"/>
      <c r="AJ3" s="58"/>
      <c r="AK3" s="58">
        <f>NPV(Assumptions!$D$19,AK8:AK259)*(1+Assumptions!$D$19)</f>
        <v>875000</v>
      </c>
      <c r="AL3" s="58">
        <f>NPV(Assumptions!$D$19,AL8:AL259)*(1+Assumptions!$D$19)</f>
        <v>656458.71196447033</v>
      </c>
      <c r="AM3" s="58">
        <f>NPV(Assumptions!$D$19,AM8:AM259)*(1+Assumptions!$D$19)</f>
        <v>475827.62118314177</v>
      </c>
      <c r="AN3" s="57"/>
      <c r="AO3" s="57"/>
      <c r="AQ3" s="57"/>
      <c r="AR3" s="57"/>
      <c r="AS3" s="57"/>
      <c r="AT3" s="57"/>
      <c r="AU3" s="58">
        <f>NPV(Assumptions!$D$19,AU8:AU259)</f>
        <v>60153.323939464695</v>
      </c>
      <c r="AV3" s="58">
        <f>NPV(Assumptions!$D$19,AV8:AV259)</f>
        <v>0</v>
      </c>
      <c r="AW3" s="58">
        <f>NPV(Assumptions!$D$19,AW8:AW259)</f>
        <v>60153.323939464695</v>
      </c>
      <c r="AY3" s="58">
        <f>NPV(Assumptions!$D$19,AY8:AY259)</f>
        <v>0</v>
      </c>
      <c r="AZ3" s="58">
        <f>NPV(Assumptions!$D$19,AZ8:AZ259)</f>
        <v>-60153.323521887542</v>
      </c>
    </row>
    <row r="4" spans="1:52" x14ac:dyDescent="0.2">
      <c r="B4" s="60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AN4" s="5" t="s">
        <v>60</v>
      </c>
      <c r="AO4" s="104">
        <f>AK8/AB3</f>
        <v>9.1945061724697623E-3</v>
      </c>
      <c r="AZ4" s="53"/>
    </row>
    <row r="5" spans="1:52" x14ac:dyDescent="0.2">
      <c r="I5" s="94" t="s">
        <v>41</v>
      </c>
      <c r="J5" s="94"/>
      <c r="K5" s="94"/>
      <c r="AZ5" s="53"/>
    </row>
    <row r="6" spans="1:52" s="96" customFormat="1" ht="53.25" customHeight="1" x14ac:dyDescent="0.2">
      <c r="B6" s="61" t="s">
        <v>23</v>
      </c>
      <c r="C6" s="14" t="s">
        <v>24</v>
      </c>
      <c r="D6" s="14" t="s">
        <v>26</v>
      </c>
      <c r="E6" s="14" t="s">
        <v>37</v>
      </c>
      <c r="F6" s="14" t="s">
        <v>25</v>
      </c>
      <c r="G6" s="14" t="s">
        <v>6</v>
      </c>
      <c r="I6" s="14" t="s">
        <v>31</v>
      </c>
      <c r="J6" s="14" t="s">
        <v>28</v>
      </c>
      <c r="K6" s="14" t="s">
        <v>27</v>
      </c>
      <c r="M6" s="62" t="s">
        <v>85</v>
      </c>
      <c r="N6" s="62" t="s">
        <v>30</v>
      </c>
      <c r="O6" s="62" t="s">
        <v>65</v>
      </c>
      <c r="P6" s="62" t="s">
        <v>95</v>
      </c>
      <c r="Q6" s="62" t="s">
        <v>96</v>
      </c>
      <c r="R6" s="62" t="s">
        <v>104</v>
      </c>
      <c r="S6" s="62" t="s">
        <v>105</v>
      </c>
      <c r="T6" s="62" t="s">
        <v>97</v>
      </c>
      <c r="U6" s="62" t="s">
        <v>98</v>
      </c>
      <c r="V6" s="62" t="s">
        <v>94</v>
      </c>
      <c r="W6" s="62" t="s">
        <v>99</v>
      </c>
      <c r="X6" s="62" t="s">
        <v>100</v>
      </c>
      <c r="Y6" s="62" t="s">
        <v>59</v>
      </c>
      <c r="AA6" s="62" t="s">
        <v>85</v>
      </c>
      <c r="AB6" s="62" t="s">
        <v>30</v>
      </c>
      <c r="AC6" s="62" t="s">
        <v>65</v>
      </c>
      <c r="AD6" s="62" t="s">
        <v>95</v>
      </c>
      <c r="AE6" s="62" t="s">
        <v>96</v>
      </c>
      <c r="AF6" s="62" t="s">
        <v>104</v>
      </c>
      <c r="AG6" s="62" t="s">
        <v>105</v>
      </c>
      <c r="AH6" s="62" t="s">
        <v>97</v>
      </c>
      <c r="AI6" s="62" t="s">
        <v>98</v>
      </c>
      <c r="AJ6" s="62" t="s">
        <v>94</v>
      </c>
      <c r="AK6" s="62" t="s">
        <v>99</v>
      </c>
      <c r="AL6" s="62" t="s">
        <v>100</v>
      </c>
      <c r="AM6" s="62" t="s">
        <v>59</v>
      </c>
      <c r="AN6" s="62" t="s">
        <v>87</v>
      </c>
      <c r="AO6" s="62" t="s">
        <v>103</v>
      </c>
      <c r="AQ6" s="62" t="s">
        <v>56</v>
      </c>
      <c r="AR6" s="62" t="s">
        <v>67</v>
      </c>
      <c r="AS6" s="62" t="s">
        <v>57</v>
      </c>
      <c r="AT6" s="62" t="s">
        <v>102</v>
      </c>
      <c r="AU6" s="62" t="s">
        <v>69</v>
      </c>
      <c r="AV6" s="62" t="s">
        <v>86</v>
      </c>
      <c r="AW6" s="62" t="s">
        <v>68</v>
      </c>
      <c r="AY6" s="62" t="s">
        <v>90</v>
      </c>
      <c r="AZ6" s="62" t="s">
        <v>91</v>
      </c>
    </row>
    <row r="7" spans="1:52" x14ac:dyDescent="0.2">
      <c r="B7" s="5">
        <v>0</v>
      </c>
      <c r="C7" s="14"/>
      <c r="D7" s="14"/>
      <c r="E7" s="14"/>
      <c r="F7" s="14"/>
      <c r="G7" s="14"/>
      <c r="I7" s="63">
        <f>Assumptions!H3</f>
        <v>5000</v>
      </c>
      <c r="J7" s="14"/>
      <c r="K7" s="14"/>
      <c r="M7" s="62"/>
      <c r="N7" s="62"/>
      <c r="O7" s="62"/>
      <c r="P7" s="49"/>
      <c r="Q7" s="62"/>
      <c r="R7" s="50"/>
      <c r="S7" s="62"/>
      <c r="T7" s="62"/>
      <c r="U7" s="62"/>
      <c r="V7" s="50"/>
      <c r="W7" s="62"/>
      <c r="X7" s="62"/>
      <c r="Y7" s="62"/>
      <c r="AA7" s="62"/>
      <c r="AB7" s="62"/>
      <c r="AC7" s="62"/>
      <c r="AD7" s="49"/>
      <c r="AE7" s="62"/>
      <c r="AF7" s="50"/>
      <c r="AG7" s="62"/>
      <c r="AH7" s="62"/>
      <c r="AI7" s="62"/>
      <c r="AJ7" s="50"/>
      <c r="AK7" s="62"/>
      <c r="AL7" s="62"/>
      <c r="AM7" s="62"/>
      <c r="AN7" s="62"/>
      <c r="AO7" s="62"/>
      <c r="AQ7" s="62"/>
      <c r="AR7" s="62"/>
      <c r="AS7" s="62"/>
      <c r="AT7" s="62"/>
      <c r="AU7" s="62"/>
      <c r="AV7" s="62"/>
      <c r="AW7" s="62"/>
      <c r="AY7" s="62"/>
      <c r="AZ7" s="62"/>
    </row>
    <row r="8" spans="1:52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64">
        <f>1-(1-VLOOKUP($E8,'Annual Mortality Rates'!$B$5:$C$105,2,FALSE))^(1/12)</f>
        <v>7.7533054016254432E-5</v>
      </c>
      <c r="G8" s="75">
        <f>IF(C8&gt;=Assumptions!$H$9*12,100%,1-(1-IF(D8&gt;=7,2%,VLOOKUP($D8,'Annual Lapse Rates'!$B$4:$C$14,2,FALSE)))^(1/12))</f>
        <v>8.7416109546967213E-3</v>
      </c>
      <c r="H8" s="81">
        <f>C8</f>
        <v>1</v>
      </c>
      <c r="I8" s="65">
        <f>I7-J7-K7</f>
        <v>5000</v>
      </c>
      <c r="J8" s="66">
        <f>$I8*F8</f>
        <v>0.38766527008127216</v>
      </c>
      <c r="K8" s="66">
        <f>IF(G8=100%,I8-J8,$I7*G8)</f>
        <v>43.70805477348361</v>
      </c>
      <c r="M8" s="63">
        <v>0</v>
      </c>
      <c r="N8" s="97">
        <f>IF(AND(H8=1,D8&lt;15),Assumptions!$H$4,0)</f>
        <v>2500</v>
      </c>
      <c r="O8" s="97">
        <f>Assumptions!$C$6*N8</f>
        <v>25</v>
      </c>
      <c r="P8" s="98">
        <f>$M8*(1+VLOOKUP($H8,Assumptions!$C$22:$D$33,2,FALSE))^(1/12)</f>
        <v>0</v>
      </c>
      <c r="Q8" s="98">
        <f>$M8*(1+VLOOKUP($H8,Assumptions!$C$22:$D$33,2,FALSE))^(1/12)</f>
        <v>0</v>
      </c>
      <c r="R8" s="97">
        <f>IF(AND(H8=12,D8&lt;15),Assumptions!$C$7*M8,0)</f>
        <v>0</v>
      </c>
      <c r="S8" s="99">
        <f>(M8+N8-O8)*Assumptions!$D$17</f>
        <v>10.083456364529674</v>
      </c>
      <c r="T8" s="99">
        <f>(M8+S8)*(G8=100%)</f>
        <v>0</v>
      </c>
      <c r="U8" s="101"/>
      <c r="V8" s="101">
        <f>IF(C8&gt;=Assumptions!$H$9*12,0,M8+N8-O8+S8-R8)</f>
        <v>2485.0834563645299</v>
      </c>
      <c r="W8" s="97">
        <f>Assumptions!$C$10*N8+Assumptions!$C$11</f>
        <v>175</v>
      </c>
      <c r="X8" s="97"/>
      <c r="Y8" s="100">
        <f>Assumptions!$C$13*N8</f>
        <v>12.5</v>
      </c>
      <c r="AA8" s="63">
        <v>0</v>
      </c>
      <c r="AB8" s="67">
        <f>N8*I8</f>
        <v>12500000</v>
      </c>
      <c r="AC8" s="67">
        <f>O8*I8</f>
        <v>125000</v>
      </c>
      <c r="AD8" s="90">
        <f>P8*J8</f>
        <v>0</v>
      </c>
      <c r="AE8" s="90">
        <f>Q8*K8</f>
        <v>0</v>
      </c>
      <c r="AF8" s="67">
        <f>R8*I9</f>
        <v>0</v>
      </c>
      <c r="AG8" s="68">
        <f>S8*I8</f>
        <v>50417.281822648372</v>
      </c>
      <c r="AH8" s="68">
        <f>T8*$I8</f>
        <v>0</v>
      </c>
      <c r="AI8" s="68">
        <f>AH8+AS9</f>
        <v>2708.6467136005813</v>
      </c>
      <c r="AJ8" s="67">
        <f>V8*I9</f>
        <v>12315835.737445904</v>
      </c>
      <c r="AK8" s="67">
        <f>W8*$I8</f>
        <v>875000</v>
      </c>
      <c r="AL8" s="67">
        <f>X8*$I8</f>
        <v>0</v>
      </c>
      <c r="AM8" s="67">
        <f>Y8*$I8</f>
        <v>62500</v>
      </c>
      <c r="AN8" s="65">
        <f>NPV(Assumptions!$D$19,AB8:$AB$259)*(1+Assumptions!$D$19)</f>
        <v>95165524.236628339</v>
      </c>
      <c r="AO8" s="68">
        <f>AN9*$AO$4</f>
        <v>763331.65094482782</v>
      </c>
      <c r="AP8" s="69"/>
      <c r="AQ8" s="67">
        <f>AJ7</f>
        <v>0</v>
      </c>
      <c r="AR8" s="95">
        <f>(AQ8+AB8-AC8)*Assumptions!$D$19</f>
        <v>53125.928536248954</v>
      </c>
      <c r="AS8" s="67">
        <f>AS7+AR7-AG7</f>
        <v>0</v>
      </c>
      <c r="AT8" s="67">
        <f>AJ8+AS8-AO8</f>
        <v>11552504.086501077</v>
      </c>
      <c r="AU8" s="67">
        <f>AT8-AT9+AQ8</f>
        <v>60411.562419369817</v>
      </c>
      <c r="AV8" s="67"/>
      <c r="AW8" s="67">
        <f>AU8-AV8</f>
        <v>60411.562419369817</v>
      </c>
      <c r="AY8" s="67"/>
      <c r="AZ8" s="70">
        <f t="shared" ref="AZ8:AZ71" si="4">ROUND(AY8-AU8,3)</f>
        <v>-60411.561999999998</v>
      </c>
    </row>
    <row r="9" spans="1:52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64">
        <f>1-(1-VLOOKUP($E9,'Annual Mortality Rates'!$B$5:$C$105,2,FALSE))^(1/12)</f>
        <v>7.7533054016254432E-5</v>
      </c>
      <c r="G9" s="75">
        <f>IF(C9&gt;=Assumptions!$H$9*12,100%,1-(1-IF(D9&gt;=7,2%,VLOOKUP($D9,'Annual Lapse Rates'!$B$4:$C$14,2,FALSE)))^(1/12))</f>
        <v>8.7416109546967213E-3</v>
      </c>
      <c r="H9" s="81">
        <f>IF(H8=12,1,H8+1)</f>
        <v>2</v>
      </c>
      <c r="I9" s="65">
        <f t="shared" ref="I9:I72" si="5">I8-J8-K8</f>
        <v>4955.9042799564349</v>
      </c>
      <c r="J9" s="66">
        <f t="shared" ref="J9:J72" si="6">$I9*F9</f>
        <v>0.38424639423724882</v>
      </c>
      <c r="K9" s="66">
        <f t="shared" ref="K9:K72" si="7">IF(G9=100%,I9-J9,$I8*G9)</f>
        <v>43.70805477348361</v>
      </c>
      <c r="M9" s="97">
        <f>V8</f>
        <v>2485.0834563645299</v>
      </c>
      <c r="N9" s="97">
        <f>IF(AND(H9=1,D9&lt;15),Assumptions!$H$4,0)</f>
        <v>0</v>
      </c>
      <c r="O9" s="103"/>
      <c r="P9" s="98">
        <f>$M9*(1+VLOOKUP($H9,Assumptions!$C$22:$D$33,2,FALSE))^(1/12)</f>
        <v>2486.3740777313428</v>
      </c>
      <c r="Q9" s="98">
        <f>$M9*(1+VLOOKUP($H9,Assumptions!$C$22:$D$33,2,FALSE))^(1/12)</f>
        <v>2486.3740777313428</v>
      </c>
      <c r="R9" s="97">
        <f>IF(AND(H9=12,D9&lt;15),Assumptions!$C$7*M9,0)</f>
        <v>0</v>
      </c>
      <c r="S9" s="99">
        <f>(M9+N9-O9)*Assumptions!$D$17</f>
        <v>10.124537613925787</v>
      </c>
      <c r="T9" s="99">
        <f t="shared" ref="T9:T72" si="8">(M9+S9)*(G9=100%)</f>
        <v>0</v>
      </c>
      <c r="U9" s="101"/>
      <c r="V9" s="101">
        <f>IF(C9&gt;=Assumptions!$H$9*12,0,M9+N9-O9+S9-R9)</f>
        <v>2495.2079939784558</v>
      </c>
      <c r="W9" s="103"/>
      <c r="X9" s="97"/>
      <c r="Y9" s="100">
        <f>Assumptions!$C$13*N9</f>
        <v>0</v>
      </c>
      <c r="AA9" s="67">
        <f>AJ8</f>
        <v>12315835.737445904</v>
      </c>
      <c r="AB9" s="67">
        <f>N9*I9</f>
        <v>0</v>
      </c>
      <c r="AC9" s="67"/>
      <c r="AD9" s="90">
        <f>P9*J9</f>
        <v>955.38027409323354</v>
      </c>
      <c r="AE9" s="90">
        <f>Q9*K9</f>
        <v>108674.57437685133</v>
      </c>
      <c r="AF9" s="67">
        <f>R9*I10</f>
        <v>0</v>
      </c>
      <c r="AG9" s="68">
        <f>S9*I9</f>
        <v>50176.239293434715</v>
      </c>
      <c r="AH9" s="68">
        <f>T9*$I9</f>
        <v>0</v>
      </c>
      <c r="AI9" s="68">
        <f>U9*$I9</f>
        <v>0</v>
      </c>
      <c r="AJ9" s="67">
        <f>V9*I10</f>
        <v>12255992.514392735</v>
      </c>
      <c r="AK9" s="67">
        <f>W9*$I9</f>
        <v>0</v>
      </c>
      <c r="AL9" s="67">
        <f>X9*$I9</f>
        <v>0</v>
      </c>
      <c r="AM9" s="67">
        <f>Y9*$I9</f>
        <v>0</v>
      </c>
      <c r="AN9" s="65">
        <f>NPV(Assumptions!$D$19,AB9:$AB$259)*(1+Assumptions!$D$19)</f>
        <v>83020407.689800605</v>
      </c>
      <c r="AO9" s="68">
        <f t="shared" ref="AO9:AO72" si="9">AN10*$AO$4</f>
        <v>766608.63702463021</v>
      </c>
      <c r="AQ9" s="67">
        <f>AJ8+AS8</f>
        <v>12315835.737445904</v>
      </c>
      <c r="AR9" s="95">
        <f>(AQ9+AB9-AC9)*Assumptions!$D$19</f>
        <v>52871.936101150059</v>
      </c>
      <c r="AS9" s="67">
        <f>AS8+AR8-AG8</f>
        <v>2708.6467136005813</v>
      </c>
      <c r="AT9" s="67">
        <f t="shared" ref="AT9:AT72" si="10">AJ9+AS9-AO9</f>
        <v>11492092.524081707</v>
      </c>
      <c r="AU9" s="67"/>
      <c r="AV9" s="67"/>
      <c r="AW9" s="67"/>
      <c r="AY9" s="67"/>
      <c r="AZ9" s="70">
        <f t="shared" si="4"/>
        <v>0</v>
      </c>
    </row>
    <row r="10" spans="1:52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64">
        <f>1-(1-VLOOKUP($E10,'Annual Mortality Rates'!$B$5:$C$105,2,FALSE))^(1/12)</f>
        <v>7.7533054016254432E-5</v>
      </c>
      <c r="G10" s="75">
        <f>IF(C10&gt;=Assumptions!$H$9*12,100%,1-(1-IF(D10&gt;=7,2%,VLOOKUP($D10,'Annual Lapse Rates'!$B$4:$C$14,2,FALSE)))^(1/12))</f>
        <v>8.7416109546967213E-3</v>
      </c>
      <c r="H10" s="81">
        <f t="shared" ref="H10:H73" si="11">IF(H9=12,1,H9+1)</f>
        <v>3</v>
      </c>
      <c r="I10" s="65">
        <f t="shared" si="5"/>
        <v>4911.8119787887135</v>
      </c>
      <c r="J10" s="66">
        <f t="shared" si="6"/>
        <v>0.38082778346911089</v>
      </c>
      <c r="K10" s="66">
        <f t="shared" si="7"/>
        <v>43.322587144095536</v>
      </c>
      <c r="M10" s="97">
        <f t="shared" ref="M10:M73" si="12">V9</f>
        <v>2495.2079939784558</v>
      </c>
      <c r="N10" s="97">
        <f>IF(AND(H10=1,D10&lt;15),Assumptions!$H$4,0)</f>
        <v>0</v>
      </c>
      <c r="O10" s="103"/>
      <c r="P10" s="98">
        <f>$M10*(1+VLOOKUP($H10,Assumptions!$C$22:$D$33,2,FALSE))^(1/12)</f>
        <v>2497.1490488059844</v>
      </c>
      <c r="Q10" s="98">
        <f>$M10*(1+VLOOKUP($H10,Assumptions!$C$22:$D$33,2,FALSE))^(1/12)</f>
        <v>2497.1490488059844</v>
      </c>
      <c r="R10" s="97">
        <f>IF(AND(H10=12,D10&lt;15),Assumptions!$C$7*M10,0)</f>
        <v>0</v>
      </c>
      <c r="S10" s="99">
        <f>(M10+N10-O10)*Assumptions!$D$17</f>
        <v>10.165786233417125</v>
      </c>
      <c r="T10" s="99">
        <f t="shared" si="8"/>
        <v>0</v>
      </c>
      <c r="U10" s="101"/>
      <c r="V10" s="101">
        <f>IF(C10&gt;=Assumptions!$H$9*12,0,M10+N10-O10+S10-R10)</f>
        <v>2505.3737802118731</v>
      </c>
      <c r="W10" s="103"/>
      <c r="X10" s="97"/>
      <c r="Y10" s="100">
        <f>Assumptions!$C$13*N10</f>
        <v>0</v>
      </c>
      <c r="AA10" s="67">
        <f t="shared" ref="AA10:AA73" si="13">AJ9</f>
        <v>12255992.514392735</v>
      </c>
      <c r="AB10" s="67">
        <f>N10*I10</f>
        <v>0</v>
      </c>
      <c r="AC10" s="67"/>
      <c r="AD10" s="90">
        <f>P10*J10</f>
        <v>950.98373724878161</v>
      </c>
      <c r="AE10" s="90">
        <f>Q10*K10</f>
        <v>108182.95727869254</v>
      </c>
      <c r="AF10" s="67">
        <f>R10*I11</f>
        <v>0</v>
      </c>
      <c r="AG10" s="68">
        <f>S10*I10</f>
        <v>49932.430595103629</v>
      </c>
      <c r="AH10" s="68">
        <f>T10*$I10</f>
        <v>0</v>
      </c>
      <c r="AI10" s="68">
        <f>U10*$I10</f>
        <v>0</v>
      </c>
      <c r="AJ10" s="67">
        <f>V10*I11</f>
        <v>12196431.555122601</v>
      </c>
      <c r="AK10" s="67">
        <f>W10*$I10</f>
        <v>0</v>
      </c>
      <c r="AL10" s="67">
        <f>X10*$I10</f>
        <v>0</v>
      </c>
      <c r="AM10" s="67">
        <f>Y10*$I10</f>
        <v>0</v>
      </c>
      <c r="AN10" s="65">
        <f>NPV(Assumptions!$D$19,AB10:$AB$259)*(1+Assumptions!$D$19)</f>
        <v>83376814.659172639</v>
      </c>
      <c r="AO10" s="68">
        <f t="shared" si="9"/>
        <v>769899.69121984963</v>
      </c>
      <c r="AQ10" s="67">
        <f t="shared" ref="AQ10:AQ73" si="14">AJ9+AS9</f>
        <v>12258701.161106337</v>
      </c>
      <c r="AR10" s="95">
        <f>(AQ10+AB10-AC10)*Assumptions!$D$19</f>
        <v>52626.657117750889</v>
      </c>
      <c r="AS10" s="67">
        <f t="shared" ref="AS10:AS73" si="15">AS9+AR10-AG10</f>
        <v>5402.8732362478404</v>
      </c>
      <c r="AT10" s="67">
        <f t="shared" si="10"/>
        <v>11431934.737139</v>
      </c>
      <c r="AU10" s="67"/>
      <c r="AV10" s="67"/>
      <c r="AW10" s="67"/>
      <c r="AY10" s="67"/>
      <c r="AZ10" s="70">
        <f t="shared" si="4"/>
        <v>0</v>
      </c>
    </row>
    <row r="11" spans="1:52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64">
        <f>1-(1-VLOOKUP($E11,'Annual Mortality Rates'!$B$5:$C$105,2,FALSE))^(1/12)</f>
        <v>7.7533054016254432E-5</v>
      </c>
      <c r="G11" s="75">
        <f>IF(C11&gt;=Assumptions!$H$9*12,100%,1-(1-IF(D11&gt;=7,2%,VLOOKUP($D11,'Annual Lapse Rates'!$B$4:$C$14,2,FALSE)))^(1/12))</f>
        <v>8.7416109546967213E-3</v>
      </c>
      <c r="H11" s="81">
        <f t="shared" si="11"/>
        <v>4</v>
      </c>
      <c r="I11" s="65">
        <f t="shared" si="5"/>
        <v>4868.1085638611494</v>
      </c>
      <c r="J11" s="66">
        <f t="shared" si="6"/>
        <v>0.3774393242388373</v>
      </c>
      <c r="K11" s="66">
        <f t="shared" si="7"/>
        <v>42.937149401189998</v>
      </c>
      <c r="M11" s="97">
        <f t="shared" si="12"/>
        <v>2505.3737802118731</v>
      </c>
      <c r="N11" s="97">
        <f>IF(AND(H11=1,D11&lt;15),Assumptions!$H$4,0)</f>
        <v>0</v>
      </c>
      <c r="O11" s="103"/>
      <c r="P11" s="98">
        <f>$M11*(1+VLOOKUP($H11,Assumptions!$C$22:$D$33,2,FALSE))^(1/12)</f>
        <v>2507.9687111200574</v>
      </c>
      <c r="Q11" s="98">
        <f>$M11*(1+VLOOKUP($H11,Assumptions!$C$22:$D$33,2,FALSE))^(1/12)</f>
        <v>2507.9687111200574</v>
      </c>
      <c r="R11" s="97">
        <f>IF(AND(H11=12,D11&lt;15),Assumptions!$C$7*M11,0)</f>
        <v>0</v>
      </c>
      <c r="S11" s="99">
        <f>(M11+N11-O11)*Assumptions!$D$17</f>
        <v>10.207202904890174</v>
      </c>
      <c r="T11" s="99">
        <f t="shared" si="8"/>
        <v>0</v>
      </c>
      <c r="U11" s="101"/>
      <c r="V11" s="101">
        <f>IF(C11&gt;=Assumptions!$H$9*12,0,M11+N11-O11+S11-R11)</f>
        <v>2515.580983116763</v>
      </c>
      <c r="W11" s="103"/>
      <c r="X11" s="97"/>
      <c r="Y11" s="100">
        <f>Assumptions!$C$13*N11</f>
        <v>0</v>
      </c>
      <c r="AA11" s="67">
        <f t="shared" si="13"/>
        <v>12196431.555122601</v>
      </c>
      <c r="AB11" s="67">
        <f>N11*I11</f>
        <v>0</v>
      </c>
      <c r="AC11" s="67"/>
      <c r="AD11" s="90">
        <f>P11*J11</f>
        <v>946.60601553730226</v>
      </c>
      <c r="AE11" s="90">
        <f>Q11*K11</f>
        <v>107685.02724287183</v>
      </c>
      <c r="AF11" s="67">
        <f>R11*I12</f>
        <v>0</v>
      </c>
      <c r="AG11" s="68">
        <f>S11*I11</f>
        <v>49689.771874364254</v>
      </c>
      <c r="AH11" s="68">
        <f>T11*$I11</f>
        <v>0</v>
      </c>
      <c r="AI11" s="68">
        <f>U11*$I11</f>
        <v>0</v>
      </c>
      <c r="AJ11" s="67">
        <f>V11*I12</f>
        <v>12137159.971307749</v>
      </c>
      <c r="AK11" s="67">
        <f>W11*$I11</f>
        <v>0</v>
      </c>
      <c r="AL11" s="67">
        <f>X11*$I11</f>
        <v>0</v>
      </c>
      <c r="AM11" s="67">
        <f>Y11*$I11</f>
        <v>0</v>
      </c>
      <c r="AN11" s="65">
        <f>NPV(Assumptions!$D$19,AB11:$AB$259)*(1+Assumptions!$D$19)</f>
        <v>83734751.685206026</v>
      </c>
      <c r="AO11" s="68">
        <f t="shared" si="9"/>
        <v>773204.87392496667</v>
      </c>
      <c r="AQ11" s="67">
        <f t="shared" si="14"/>
        <v>12201834.428358849</v>
      </c>
      <c r="AR11" s="95">
        <f>(AQ11+AB11-AC11)*Assumptions!$D$19</f>
        <v>52382.527988051253</v>
      </c>
      <c r="AS11" s="67">
        <f t="shared" si="15"/>
        <v>8095.6293499348394</v>
      </c>
      <c r="AT11" s="67">
        <f t="shared" si="10"/>
        <v>11372050.726732716</v>
      </c>
      <c r="AU11" s="67"/>
      <c r="AV11" s="67"/>
      <c r="AW11" s="67"/>
      <c r="AY11" s="67"/>
      <c r="AZ11" s="70">
        <f t="shared" si="4"/>
        <v>0</v>
      </c>
    </row>
    <row r="12" spans="1:52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64">
        <f>1-(1-VLOOKUP($E12,'Annual Mortality Rates'!$B$5:$C$105,2,FALSE))^(1/12)</f>
        <v>7.7533054016254432E-5</v>
      </c>
      <c r="G12" s="75">
        <f>IF(C12&gt;=Assumptions!$H$9*12,100%,1-(1-IF(D12&gt;=7,2%,VLOOKUP($D12,'Annual Lapse Rates'!$B$4:$C$14,2,FALSE)))^(1/12))</f>
        <v>8.7416109546967213E-3</v>
      </c>
      <c r="H12" s="81">
        <f t="shared" si="11"/>
        <v>5</v>
      </c>
      <c r="I12" s="65">
        <f t="shared" si="5"/>
        <v>4824.7939751357198</v>
      </c>
      <c r="J12" s="66">
        <f t="shared" si="6"/>
        <v>0.37408101189149673</v>
      </c>
      <c r="K12" s="66">
        <f t="shared" si="7"/>
        <v>42.555111150501546</v>
      </c>
      <c r="M12" s="97">
        <f t="shared" si="12"/>
        <v>2515.580983116763</v>
      </c>
      <c r="N12" s="97">
        <f>IF(AND(H12=1,D12&lt;15),Assumptions!$H$4,0)</f>
        <v>0</v>
      </c>
      <c r="O12" s="103"/>
      <c r="P12" s="98">
        <f>$M12*(1+VLOOKUP($H12,Assumptions!$C$22:$D$33,2,FALSE))^(1/12)</f>
        <v>2518.8332533902662</v>
      </c>
      <c r="Q12" s="98">
        <f>$M12*(1+VLOOKUP($H12,Assumptions!$C$22:$D$33,2,FALSE))^(1/12)</f>
        <v>2518.8332533902662</v>
      </c>
      <c r="R12" s="97">
        <f>IF(AND(H12=12,D12&lt;15),Assumptions!$C$7*M12,0)</f>
        <v>0</v>
      </c>
      <c r="S12" s="99">
        <f>(M12+N12-O12)*Assumptions!$D$17</f>
        <v>10.248788313009511</v>
      </c>
      <c r="T12" s="99">
        <f t="shared" si="8"/>
        <v>0</v>
      </c>
      <c r="U12" s="101"/>
      <c r="V12" s="101">
        <f>IF(C12&gt;=Assumptions!$H$9*12,0,M12+N12-O12+S12-R12)</f>
        <v>2525.8297714297723</v>
      </c>
      <c r="W12" s="103"/>
      <c r="X12" s="97"/>
      <c r="Y12" s="100">
        <f>Assumptions!$C$13*N12</f>
        <v>0</v>
      </c>
      <c r="AA12" s="67">
        <f t="shared" si="13"/>
        <v>12137159.971307749</v>
      </c>
      <c r="AB12" s="67">
        <f>N12*I12</f>
        <v>0</v>
      </c>
      <c r="AC12" s="67"/>
      <c r="AD12" s="90">
        <f>P12*J12</f>
        <v>942.2476922141816</v>
      </c>
      <c r="AE12" s="90">
        <f>Q12*K12</f>
        <v>107189.22906760221</v>
      </c>
      <c r="AF12" s="67">
        <f>R12*I13</f>
        <v>0</v>
      </c>
      <c r="AG12" s="68">
        <f>S12*I12</f>
        <v>49448.292105049666</v>
      </c>
      <c r="AH12" s="68">
        <f>T12*$I12</f>
        <v>0</v>
      </c>
      <c r="AI12" s="68">
        <f>U12*$I12</f>
        <v>0</v>
      </c>
      <c r="AJ12" s="67">
        <f>V12*I13</f>
        <v>12078176.431785595</v>
      </c>
      <c r="AK12" s="67">
        <f>W12*$I12</f>
        <v>0</v>
      </c>
      <c r="AL12" s="67">
        <f>X12*$I12</f>
        <v>0</v>
      </c>
      <c r="AM12" s="67">
        <f>Y12*$I12</f>
        <v>0</v>
      </c>
      <c r="AN12" s="65">
        <f>NPV(Assumptions!$D$19,AB12:$AB$259)*(1+Assumptions!$D$19)</f>
        <v>84094225.336440653</v>
      </c>
      <c r="AO12" s="68">
        <f t="shared" si="9"/>
        <v>776524.24579373572</v>
      </c>
      <c r="AQ12" s="67">
        <f t="shared" si="14"/>
        <v>12145255.600657683</v>
      </c>
      <c r="AR12" s="95">
        <f>(AQ12+AB12-AC12)*Assumptions!$D$19</f>
        <v>52139.634835960998</v>
      </c>
      <c r="AS12" s="67">
        <f t="shared" si="15"/>
        <v>10786.972080846172</v>
      </c>
      <c r="AT12" s="67">
        <f t="shared" si="10"/>
        <v>11312439.158072704</v>
      </c>
      <c r="AU12" s="67"/>
      <c r="AV12" s="67"/>
      <c r="AW12" s="67"/>
      <c r="AY12" s="67"/>
      <c r="AZ12" s="70">
        <f t="shared" si="4"/>
        <v>0</v>
      </c>
    </row>
    <row r="13" spans="1:52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64">
        <f>1-(1-VLOOKUP($E13,'Annual Mortality Rates'!$B$5:$C$105,2,FALSE))^(1/12)</f>
        <v>7.7533054016254432E-5</v>
      </c>
      <c r="G13" s="75">
        <f>IF(C13&gt;=Assumptions!$H$9*12,100%,1-(1-IF(D13&gt;=7,2%,VLOOKUP($D13,'Annual Lapse Rates'!$B$4:$C$14,2,FALSE)))^(1/12))</f>
        <v>8.7416109546967213E-3</v>
      </c>
      <c r="H13" s="81">
        <f t="shared" si="11"/>
        <v>6</v>
      </c>
      <c r="I13" s="65">
        <f t="shared" si="5"/>
        <v>4781.8647829733263</v>
      </c>
      <c r="J13" s="66">
        <f t="shared" si="6"/>
        <v>0.37075258051669568</v>
      </c>
      <c r="K13" s="66">
        <f t="shared" si="7"/>
        <v>42.176471867201151</v>
      </c>
      <c r="M13" s="97">
        <f t="shared" si="12"/>
        <v>2525.8297714297723</v>
      </c>
      <c r="N13" s="97">
        <f>IF(AND(H13=1,D13&lt;15),Assumptions!$H$4,0)</f>
        <v>0</v>
      </c>
      <c r="O13" s="103"/>
      <c r="P13" s="98">
        <f>$M13*(1+VLOOKUP($H13,Assumptions!$C$22:$D$33,2,FALSE))^(1/12)</f>
        <v>2529.7428650894917</v>
      </c>
      <c r="Q13" s="98">
        <f>$M13*(1+VLOOKUP($H13,Assumptions!$C$22:$D$33,2,FALSE))^(1/12)</f>
        <v>2529.7428650894917</v>
      </c>
      <c r="R13" s="97">
        <f>IF(AND(H13=12,D13&lt;15),Assumptions!$C$7*M13,0)</f>
        <v>0</v>
      </c>
      <c r="S13" s="99">
        <f>(M13+N13-O13)*Assumptions!$D$17</f>
        <v>10.290543145229121</v>
      </c>
      <c r="T13" s="99">
        <f t="shared" si="8"/>
        <v>0</v>
      </c>
      <c r="U13" s="101"/>
      <c r="V13" s="101">
        <f>IF(C13&gt;=Assumptions!$H$9*12,0,M13+N13-O13+S13-R13)</f>
        <v>2536.1203145750014</v>
      </c>
      <c r="W13" s="103"/>
      <c r="X13" s="97"/>
      <c r="Y13" s="100">
        <f>Assumptions!$C$13*N13</f>
        <v>0</v>
      </c>
      <c r="AA13" s="67">
        <f t="shared" si="13"/>
        <v>12078176.431785595</v>
      </c>
      <c r="AB13" s="67">
        <f>N13*I13</f>
        <v>0</v>
      </c>
      <c r="AC13" s="67"/>
      <c r="AD13" s="90">
        <f>P13*J13</f>
        <v>937.90869527562825</v>
      </c>
      <c r="AE13" s="90">
        <f>Q13*K13</f>
        <v>106695.62878069979</v>
      </c>
      <c r="AF13" s="67">
        <f>R13*I14</f>
        <v>0</v>
      </c>
      <c r="AG13" s="68">
        <f>S13*I13</f>
        <v>49207.985863838701</v>
      </c>
      <c r="AH13" s="68">
        <f>T13*$I13</f>
        <v>0</v>
      </c>
      <c r="AI13" s="68">
        <f>U13*$I13</f>
        <v>0</v>
      </c>
      <c r="AJ13" s="67">
        <f>V13*I14</f>
        <v>12019479.537398795</v>
      </c>
      <c r="AK13" s="67">
        <f>W13*$I13</f>
        <v>0</v>
      </c>
      <c r="AL13" s="67">
        <f>X13*$I13</f>
        <v>0</v>
      </c>
      <c r="AM13" s="67">
        <f>Y13*$I13</f>
        <v>0</v>
      </c>
      <c r="AN13" s="65">
        <f>NPV(Assumptions!$D$19,AB13:$AB$259)*(1+Assumptions!$D$19)</f>
        <v>84455242.209615201</v>
      </c>
      <c r="AO13" s="68">
        <f t="shared" si="9"/>
        <v>779857.86774029769</v>
      </c>
      <c r="AQ13" s="67">
        <f t="shared" si="14"/>
        <v>12088963.40386644</v>
      </c>
      <c r="AR13" s="95">
        <f>(AQ13+AB13-AC13)*Assumptions!$D$19</f>
        <v>51897.972191607056</v>
      </c>
      <c r="AS13" s="67">
        <f t="shared" si="15"/>
        <v>13476.958408614526</v>
      </c>
      <c r="AT13" s="67">
        <f t="shared" si="10"/>
        <v>11253098.628067112</v>
      </c>
      <c r="AU13" s="67"/>
      <c r="AV13" s="67"/>
      <c r="AW13" s="67"/>
      <c r="AY13" s="67"/>
      <c r="AZ13" s="70">
        <f t="shared" si="4"/>
        <v>0</v>
      </c>
    </row>
    <row r="14" spans="1:52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64">
        <f>1-(1-VLOOKUP($E14,'Annual Mortality Rates'!$B$5:$C$105,2,FALSE))^(1/12)</f>
        <v>7.7533054016254432E-5</v>
      </c>
      <c r="G14" s="75">
        <f>IF(C14&gt;=Assumptions!$H$9*12,100%,1-(1-IF(D14&gt;=7,2%,VLOOKUP($D14,'Annual Lapse Rates'!$B$4:$C$14,2,FALSE)))^(1/12))</f>
        <v>8.7416109546967213E-3</v>
      </c>
      <c r="H14" s="81">
        <f t="shared" si="11"/>
        <v>7</v>
      </c>
      <c r="I14" s="65">
        <f t="shared" si="5"/>
        <v>4739.3175585256085</v>
      </c>
      <c r="J14" s="66">
        <f t="shared" si="6"/>
        <v>0.36745376426534909</v>
      </c>
      <c r="K14" s="66">
        <f t="shared" si="7"/>
        <v>41.801201570718092</v>
      </c>
      <c r="M14" s="97">
        <f t="shared" si="12"/>
        <v>2536.1203145750014</v>
      </c>
      <c r="N14" s="97">
        <f>IF(AND(H14=1,D14&lt;15),Assumptions!$H$4,0)</f>
        <v>0</v>
      </c>
      <c r="O14" s="103"/>
      <c r="P14" s="98">
        <f>$M14*(1+VLOOKUP($H14,Assumptions!$C$22:$D$33,2,FALSE))^(1/12)</f>
        <v>2540.6977364502209</v>
      </c>
      <c r="Q14" s="98">
        <f>$M14*(1+VLOOKUP($H14,Assumptions!$C$22:$D$33,2,FALSE))^(1/12)</f>
        <v>2540.6977364502209</v>
      </c>
      <c r="R14" s="97">
        <f>IF(AND(H14=12,D14&lt;15),Assumptions!$C$7*M14,0)</f>
        <v>0</v>
      </c>
      <c r="S14" s="99">
        <f>(M14+N14-O14)*Assumptions!$D$17</f>
        <v>10.332468091803758</v>
      </c>
      <c r="T14" s="99">
        <f t="shared" si="8"/>
        <v>0</v>
      </c>
      <c r="U14" s="101"/>
      <c r="V14" s="101">
        <f>IF(C14&gt;=Assumptions!$H$9*12,0,M14+N14-O14+S14-R14)</f>
        <v>2546.452782666805</v>
      </c>
      <c r="W14" s="103"/>
      <c r="X14" s="97"/>
      <c r="Y14" s="100">
        <f>Assumptions!$C$13*N14</f>
        <v>0</v>
      </c>
      <c r="AA14" s="67">
        <f t="shared" si="13"/>
        <v>12019479.537398795</v>
      </c>
      <c r="AB14" s="67">
        <f>N14*I14</f>
        <v>0</v>
      </c>
      <c r="AC14" s="67"/>
      <c r="AD14" s="90">
        <f>P14*J14</f>
        <v>933.58894711908545</v>
      </c>
      <c r="AE14" s="90">
        <f>Q14*K14</f>
        <v>106204.21821162288</v>
      </c>
      <c r="AF14" s="67">
        <f>R14*I15</f>
        <v>0</v>
      </c>
      <c r="AG14" s="68">
        <f>S14*I14</f>
        <v>48968.847450391142</v>
      </c>
      <c r="AH14" s="68">
        <f>T14*$I14</f>
        <v>0</v>
      </c>
      <c r="AI14" s="68">
        <f>U14*$I14</f>
        <v>0</v>
      </c>
      <c r="AJ14" s="67">
        <f>V14*I15</f>
        <v>11961067.895130098</v>
      </c>
      <c r="AK14" s="67">
        <f>W14*$I14</f>
        <v>0</v>
      </c>
      <c r="AL14" s="67">
        <f>X14*$I14</f>
        <v>0</v>
      </c>
      <c r="AM14" s="67">
        <f>Y14*$I14</f>
        <v>0</v>
      </c>
      <c r="AN14" s="65">
        <f>NPV(Assumptions!$D$19,AB14:$AB$259)*(1+Assumptions!$D$19)</f>
        <v>84817808.929788113</v>
      </c>
      <c r="AO14" s="68">
        <f t="shared" si="9"/>
        <v>783205.80094029789</v>
      </c>
      <c r="AQ14" s="67">
        <f t="shared" si="14"/>
        <v>12032956.495807409</v>
      </c>
      <c r="AR14" s="95">
        <f>(AQ14+AB14-AC14)*Assumptions!$D$19</f>
        <v>51657.534293014709</v>
      </c>
      <c r="AS14" s="67">
        <f t="shared" si="15"/>
        <v>16165.645251238093</v>
      </c>
      <c r="AT14" s="67">
        <f t="shared" si="10"/>
        <v>11194027.739441039</v>
      </c>
      <c r="AU14" s="67"/>
      <c r="AV14" s="67"/>
      <c r="AW14" s="67"/>
      <c r="AY14" s="67"/>
      <c r="AZ14" s="70">
        <f t="shared" si="4"/>
        <v>0</v>
      </c>
    </row>
    <row r="15" spans="1:52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64">
        <f>1-(1-VLOOKUP($E15,'Annual Mortality Rates'!$B$5:$C$105,2,FALSE))^(1/12)</f>
        <v>7.7533054016254432E-5</v>
      </c>
      <c r="G15" s="75">
        <f>IF(C15&gt;=Assumptions!$H$9*12,100%,1-(1-IF(D15&gt;=7,2%,VLOOKUP($D15,'Annual Lapse Rates'!$B$4:$C$14,2,FALSE)))^(1/12))</f>
        <v>8.7416109546967213E-3</v>
      </c>
      <c r="H15" s="81">
        <f t="shared" si="11"/>
        <v>8</v>
      </c>
      <c r="I15" s="65">
        <f t="shared" si="5"/>
        <v>4697.1489031906249</v>
      </c>
      <c r="J15" s="66">
        <f t="shared" si="6"/>
        <v>0.36418429963346899</v>
      </c>
      <c r="K15" s="66">
        <f t="shared" si="7"/>
        <v>41.429270287393976</v>
      </c>
      <c r="M15" s="97">
        <f t="shared" si="12"/>
        <v>2546.452782666805</v>
      </c>
      <c r="N15" s="97">
        <f>IF(AND(H15=1,D15&lt;15),Assumptions!$H$4,0)</f>
        <v>0</v>
      </c>
      <c r="O15" s="103"/>
      <c r="P15" s="98">
        <f>$M15*(1+VLOOKUP($H15,Assumptions!$C$22:$D$33,2,FALSE))^(1/12)</f>
        <v>2551.6980584679841</v>
      </c>
      <c r="Q15" s="98">
        <f>$M15*(1+VLOOKUP($H15,Assumptions!$C$22:$D$33,2,FALSE))^(1/12)</f>
        <v>2551.6980584679841</v>
      </c>
      <c r="R15" s="97">
        <f>IF(AND(H15=12,D15&lt;15),Assumptions!$C$7*M15,0)</f>
        <v>0</v>
      </c>
      <c r="S15" s="99">
        <f>(M15+N15-O15)*Assumptions!$D$17</f>
        <v>10.374563845800362</v>
      </c>
      <c r="T15" s="99">
        <f t="shared" si="8"/>
        <v>0</v>
      </c>
      <c r="U15" s="101"/>
      <c r="V15" s="101">
        <f>IF(C15&gt;=Assumptions!$H$9*12,0,M15+N15-O15+S15-R15)</f>
        <v>2556.8273465126053</v>
      </c>
      <c r="W15" s="103"/>
      <c r="X15" s="97"/>
      <c r="Y15" s="100">
        <f>Assumptions!$C$13*N15</f>
        <v>0</v>
      </c>
      <c r="AA15" s="67">
        <f t="shared" si="13"/>
        <v>11961067.895130098</v>
      </c>
      <c r="AB15" s="67">
        <f>N15*I15</f>
        <v>0</v>
      </c>
      <c r="AC15" s="67"/>
      <c r="AD15" s="90">
        <f>P15*J15</f>
        <v>929.28837029924534</v>
      </c>
      <c r="AE15" s="90">
        <f>Q15*K15</f>
        <v>105714.98855608855</v>
      </c>
      <c r="AF15" s="67">
        <f>R15*I16</f>
        <v>0</v>
      </c>
      <c r="AG15" s="68">
        <f>S15*I15</f>
        <v>48730.871189382276</v>
      </c>
      <c r="AH15" s="68">
        <f>T15*$I15</f>
        <v>0</v>
      </c>
      <c r="AI15" s="68">
        <f>U15*$I15</f>
        <v>0</v>
      </c>
      <c r="AJ15" s="67">
        <f>V15*I16</f>
        <v>11902940.118726138</v>
      </c>
      <c r="AK15" s="67">
        <f>W15*$I15</f>
        <v>0</v>
      </c>
      <c r="AL15" s="67">
        <f>X15*$I15</f>
        <v>0</v>
      </c>
      <c r="AM15" s="67">
        <f>Y15*$I15</f>
        <v>0</v>
      </c>
      <c r="AN15" s="65">
        <f>NPV(Assumptions!$D$19,AB15:$AB$259)*(1+Assumptions!$D$19)</f>
        <v>85181932.15045923</v>
      </c>
      <c r="AO15" s="68">
        <f t="shared" si="9"/>
        <v>786568.10683200939</v>
      </c>
      <c r="AQ15" s="67">
        <f t="shared" si="14"/>
        <v>11977233.540381337</v>
      </c>
      <c r="AR15" s="95">
        <f>(AQ15+AB15-AC15)*Assumptions!$D$19</f>
        <v>51418.31540430407</v>
      </c>
      <c r="AS15" s="67">
        <f t="shared" si="15"/>
        <v>18853.089466159887</v>
      </c>
      <c r="AT15" s="67">
        <f t="shared" si="10"/>
        <v>11135225.101360289</v>
      </c>
      <c r="AU15" s="67"/>
      <c r="AV15" s="67"/>
      <c r="AW15" s="67"/>
      <c r="AY15" s="67"/>
      <c r="AZ15" s="70">
        <f t="shared" si="4"/>
        <v>0</v>
      </c>
    </row>
    <row r="16" spans="1:52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64">
        <f>1-(1-VLOOKUP($E16,'Annual Mortality Rates'!$B$5:$C$105,2,FALSE))^(1/12)</f>
        <v>7.7533054016254432E-5</v>
      </c>
      <c r="G16" s="75">
        <f>IF(C16&gt;=Assumptions!$H$9*12,100%,1-(1-IF(D16&gt;=7,2%,VLOOKUP($D16,'Annual Lapse Rates'!$B$4:$C$14,2,FALSE)))^(1/12))</f>
        <v>8.7416109546967213E-3</v>
      </c>
      <c r="H16" s="81">
        <f t="shared" si="11"/>
        <v>9</v>
      </c>
      <c r="I16" s="65">
        <f t="shared" si="5"/>
        <v>4655.3554486035982</v>
      </c>
      <c r="J16" s="66">
        <f t="shared" si="6"/>
        <v>0.36094392546144716</v>
      </c>
      <c r="K16" s="66">
        <f t="shared" si="7"/>
        <v>41.060648307972855</v>
      </c>
      <c r="M16" s="97">
        <f t="shared" si="12"/>
        <v>2556.8273465126053</v>
      </c>
      <c r="N16" s="97">
        <f>IF(AND(H16=1,D16&lt;15),Assumptions!$H$4,0)</f>
        <v>0</v>
      </c>
      <c r="O16" s="103"/>
      <c r="P16" s="98">
        <f>$M16*(1+VLOOKUP($H16,Assumptions!$C$22:$D$33,2,FALSE))^(1/12)</f>
        <v>2562.744022904807</v>
      </c>
      <c r="Q16" s="98">
        <f>$M16*(1+VLOOKUP($H16,Assumptions!$C$22:$D$33,2,FALSE))^(1/12)</f>
        <v>2562.744022904807</v>
      </c>
      <c r="R16" s="97">
        <f>IF(AND(H16=12,D16&lt;15),Assumptions!$C$7*M16,0)</f>
        <v>0</v>
      </c>
      <c r="S16" s="99">
        <f>(M16+N16-O16)*Assumptions!$D$17</f>
        <v>10.416831103109516</v>
      </c>
      <c r="T16" s="99">
        <f t="shared" si="8"/>
        <v>0</v>
      </c>
      <c r="U16" s="101"/>
      <c r="V16" s="101">
        <f>IF(C16&gt;=Assumptions!$H$9*12,0,M16+N16-O16+S16-R16)</f>
        <v>2567.2441776157148</v>
      </c>
      <c r="W16" s="103"/>
      <c r="X16" s="97"/>
      <c r="Y16" s="100">
        <f>Assumptions!$C$13*N16</f>
        <v>0</v>
      </c>
      <c r="AA16" s="67">
        <f t="shared" si="13"/>
        <v>11902940.118726138</v>
      </c>
      <c r="AB16" s="67">
        <f>N16*I16</f>
        <v>0</v>
      </c>
      <c r="AC16" s="67"/>
      <c r="AD16" s="90">
        <f>P16*J16</f>
        <v>925.00688758012188</v>
      </c>
      <c r="AE16" s="90">
        <f>Q16*K16</f>
        <v>105227.93102785382</v>
      </c>
      <c r="AF16" s="67">
        <f>R16*I17</f>
        <v>0</v>
      </c>
      <c r="AG16" s="68">
        <f>S16*I16</f>
        <v>48494.051433044318</v>
      </c>
      <c r="AH16" s="68">
        <f>T16*$I16</f>
        <v>0</v>
      </c>
      <c r="AI16" s="68">
        <f>U16*$I16</f>
        <v>0</v>
      </c>
      <c r="AJ16" s="67">
        <f>V16*I17</f>
        <v>11845094.828670325</v>
      </c>
      <c r="AK16" s="67">
        <f>W16*$I16</f>
        <v>0</v>
      </c>
      <c r="AL16" s="67">
        <f>X16*$I16</f>
        <v>0</v>
      </c>
      <c r="AM16" s="67">
        <f>Y16*$I16</f>
        <v>0</v>
      </c>
      <c r="AN16" s="65">
        <f>NPV(Assumptions!$D$19,AB16:$AB$259)*(1+Assumptions!$D$19)</f>
        <v>85547618.553691953</v>
      </c>
      <c r="AO16" s="68">
        <f t="shared" si="9"/>
        <v>789944.84711745975</v>
      </c>
      <c r="AQ16" s="67">
        <f t="shared" si="14"/>
        <v>11921793.208192298</v>
      </c>
      <c r="AR16" s="95">
        <f>(AQ16+AB16-AC16)*Assumptions!$D$19</f>
        <v>51180.309818372698</v>
      </c>
      <c r="AS16" s="67">
        <f t="shared" si="15"/>
        <v>21539.347851488266</v>
      </c>
      <c r="AT16" s="67">
        <f t="shared" si="10"/>
        <v>11076689.329404354</v>
      </c>
      <c r="AU16" s="67"/>
      <c r="AV16" s="67"/>
      <c r="AW16" s="67"/>
      <c r="AY16" s="67"/>
      <c r="AZ16" s="70">
        <f t="shared" si="4"/>
        <v>0</v>
      </c>
    </row>
    <row r="17" spans="2:52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64">
        <f>1-(1-VLOOKUP($E17,'Annual Mortality Rates'!$B$5:$C$105,2,FALSE))^(1/12)</f>
        <v>7.7533054016254432E-5</v>
      </c>
      <c r="G17" s="75">
        <f>IF(C17&gt;=Assumptions!$H$9*12,100%,1-(1-IF(D17&gt;=7,2%,VLOOKUP($D17,'Annual Lapse Rates'!$B$4:$C$14,2,FALSE)))^(1/12))</f>
        <v>8.7416109546967213E-3</v>
      </c>
      <c r="H17" s="81">
        <f t="shared" si="11"/>
        <v>10</v>
      </c>
      <c r="I17" s="65">
        <f t="shared" si="5"/>
        <v>4613.933856370164</v>
      </c>
      <c r="J17" s="66">
        <f t="shared" si="6"/>
        <v>0.35773238291337306</v>
      </c>
      <c r="K17" s="66">
        <f t="shared" si="7"/>
        <v>40.695306187520281</v>
      </c>
      <c r="M17" s="97">
        <f t="shared" si="12"/>
        <v>2567.2441776157148</v>
      </c>
      <c r="N17" s="97">
        <f>IF(AND(H17=1,D17&lt;15),Assumptions!$H$4,0)</f>
        <v>0</v>
      </c>
      <c r="O17" s="103"/>
      <c r="P17" s="98">
        <f>$M17*(1+VLOOKUP($H17,Assumptions!$C$22:$D$33,2,FALSE))^(1/12)</f>
        <v>2573.8358222926663</v>
      </c>
      <c r="Q17" s="98">
        <f>$M17*(1+VLOOKUP($H17,Assumptions!$C$22:$D$33,2,FALSE))^(1/12)</f>
        <v>2573.8358222926663</v>
      </c>
      <c r="R17" s="97">
        <f>IF(AND(H17=12,D17&lt;15),Assumptions!$C$7*M17,0)</f>
        <v>0</v>
      </c>
      <c r="S17" s="99">
        <f>(M17+N17-O17)*Assumptions!$D$17</f>
        <v>10.459270562456942</v>
      </c>
      <c r="T17" s="99">
        <f t="shared" si="8"/>
        <v>0</v>
      </c>
      <c r="U17" s="101"/>
      <c r="V17" s="101">
        <f>IF(C17&gt;=Assumptions!$H$9*12,0,M17+N17-O17+S17-R17)</f>
        <v>2577.7034481781716</v>
      </c>
      <c r="W17" s="103"/>
      <c r="X17" s="97"/>
      <c r="Y17" s="100">
        <f>Assumptions!$C$13*N17</f>
        <v>0</v>
      </c>
      <c r="AA17" s="67">
        <f t="shared" si="13"/>
        <v>11845094.828670325</v>
      </c>
      <c r="AB17" s="67">
        <f>N17*I17</f>
        <v>0</v>
      </c>
      <c r="AC17" s="67"/>
      <c r="AD17" s="90">
        <f>P17*J17</f>
        <v>920.74442193655648</v>
      </c>
      <c r="AE17" s="90">
        <f>Q17*K17</f>
        <v>104743.03686460809</v>
      </c>
      <c r="AF17" s="67">
        <f>R17*I18</f>
        <v>0</v>
      </c>
      <c r="AG17" s="68">
        <f>S17*I17</f>
        <v>48258.382561055892</v>
      </c>
      <c r="AH17" s="68">
        <f>T17*$I17</f>
        <v>0</v>
      </c>
      <c r="AI17" s="68">
        <f>U17*$I17</f>
        <v>0</v>
      </c>
      <c r="AJ17" s="67">
        <f>V17*I18</f>
        <v>11787530.652150184</v>
      </c>
      <c r="AK17" s="67">
        <f>W17*$I17</f>
        <v>0</v>
      </c>
      <c r="AL17" s="67">
        <f>X17*$I17</f>
        <v>0</v>
      </c>
      <c r="AM17" s="67">
        <f>Y17*$I17</f>
        <v>0</v>
      </c>
      <c r="AN17" s="65">
        <f>NPV(Assumptions!$D$19,AB17:$AB$259)*(1+Assumptions!$D$19)</f>
        <v>85914874.850235745</v>
      </c>
      <c r="AO17" s="68">
        <f t="shared" si="9"/>
        <v>793336.08376356401</v>
      </c>
      <c r="AQ17" s="67">
        <f t="shared" si="14"/>
        <v>11866634.176521813</v>
      </c>
      <c r="AR17" s="95">
        <f>(AQ17+AB17-AC17)*Assumptions!$D$19</f>
        <v>50943.511856784426</v>
      </c>
      <c r="AS17" s="67">
        <f t="shared" si="15"/>
        <v>24224.477147216799</v>
      </c>
      <c r="AT17" s="67">
        <f t="shared" si="10"/>
        <v>11018419.045533836</v>
      </c>
      <c r="AU17" s="67"/>
      <c r="AV17" s="67"/>
      <c r="AW17" s="67"/>
      <c r="AY17" s="67"/>
      <c r="AZ17" s="70">
        <f t="shared" si="4"/>
        <v>0</v>
      </c>
    </row>
    <row r="18" spans="2:52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64">
        <f>1-(1-VLOOKUP($E18,'Annual Mortality Rates'!$B$5:$C$105,2,FALSE))^(1/12)</f>
        <v>7.7533054016254432E-5</v>
      </c>
      <c r="G18" s="75">
        <f>IF(C18&gt;=Assumptions!$H$9*12,100%,1-(1-IF(D18&gt;=7,2%,VLOOKUP($D18,'Annual Lapse Rates'!$B$4:$C$14,2,FALSE)))^(1/12))</f>
        <v>8.7416109546967213E-3</v>
      </c>
      <c r="H18" s="81">
        <f t="shared" si="11"/>
        <v>11</v>
      </c>
      <c r="I18" s="65">
        <f t="shared" si="5"/>
        <v>4572.8808177997307</v>
      </c>
      <c r="J18" s="66">
        <f t="shared" si="6"/>
        <v>0.35454941545636026</v>
      </c>
      <c r="K18" s="66">
        <f t="shared" si="7"/>
        <v>40.333214743091517</v>
      </c>
      <c r="M18" s="97">
        <f t="shared" si="12"/>
        <v>2577.7034481781716</v>
      </c>
      <c r="N18" s="97">
        <f>IF(AND(H18=1,D18&lt;15),Assumptions!$H$4,0)</f>
        <v>0</v>
      </c>
      <c r="O18" s="103"/>
      <c r="P18" s="98">
        <f>$M18*(1+VLOOKUP($H18,Assumptions!$C$22:$D$33,2,FALSE))^(1/12)</f>
        <v>2584.973649936961</v>
      </c>
      <c r="Q18" s="98">
        <f>$M18*(1+VLOOKUP($H18,Assumptions!$C$22:$D$33,2,FALSE))^(1/12)</f>
        <v>2584.973649936961</v>
      </c>
      <c r="R18" s="97">
        <f>IF(AND(H18=12,D18&lt;15),Assumptions!$C$7*M18,0)</f>
        <v>0</v>
      </c>
      <c r="S18" s="99">
        <f>(M18+N18-O18)*Assumptions!$D$17</f>
        <v>10.50188292541506</v>
      </c>
      <c r="T18" s="99">
        <f t="shared" si="8"/>
        <v>0</v>
      </c>
      <c r="U18" s="101"/>
      <c r="V18" s="101">
        <f>IF(C18&gt;=Assumptions!$H$9*12,0,M18+N18-O18+S18-R18)</f>
        <v>2588.2053311035866</v>
      </c>
      <c r="W18" s="103"/>
      <c r="X18" s="97"/>
      <c r="Y18" s="100">
        <f>Assumptions!$C$13*N18</f>
        <v>0</v>
      </c>
      <c r="AA18" s="67">
        <f t="shared" si="13"/>
        <v>11787530.652150184</v>
      </c>
      <c r="AB18" s="67">
        <f>N18*I18</f>
        <v>0</v>
      </c>
      <c r="AC18" s="67"/>
      <c r="AD18" s="90">
        <f>P18*J18</f>
        <v>916.50089655524357</v>
      </c>
      <c r="AE18" s="90">
        <f>Q18*K18</f>
        <v>104260.29732814053</v>
      </c>
      <c r="AF18" s="67">
        <f>R18*I19</f>
        <v>0</v>
      </c>
      <c r="AG18" s="68">
        <f>S18*I18</f>
        <v>48023.858980409052</v>
      </c>
      <c r="AH18" s="68">
        <f>T18*$I18</f>
        <v>0</v>
      </c>
      <c r="AI18" s="68">
        <f>U18*$I18</f>
        <v>0</v>
      </c>
      <c r="AJ18" s="67">
        <f>V18*I19</f>
        <v>11730246.223024752</v>
      </c>
      <c r="AK18" s="67">
        <f>W18*$I18</f>
        <v>0</v>
      </c>
      <c r="AL18" s="67">
        <f>X18*$I18</f>
        <v>0</v>
      </c>
      <c r="AM18" s="67">
        <f>Y18*$I18</f>
        <v>0</v>
      </c>
      <c r="AN18" s="65">
        <f>NPV(Assumptions!$D$19,AB18:$AB$259)*(1+Assumptions!$D$19)</f>
        <v>86283707.779649436</v>
      </c>
      <c r="AO18" s="68">
        <f t="shared" si="9"/>
        <v>796741.8790032611</v>
      </c>
      <c r="AQ18" s="67">
        <f t="shared" si="14"/>
        <v>11811755.1292974</v>
      </c>
      <c r="AR18" s="95">
        <f>(AQ18+AB18-AC18)*Assumptions!$D$19</f>
        <v>50707.915869634395</v>
      </c>
      <c r="AS18" s="67">
        <f t="shared" si="15"/>
        <v>26908.534036442135</v>
      </c>
      <c r="AT18" s="67">
        <f t="shared" si="10"/>
        <v>10960412.878057934</v>
      </c>
      <c r="AU18" s="67"/>
      <c r="AV18" s="67"/>
      <c r="AW18" s="67"/>
      <c r="AY18" s="67"/>
      <c r="AZ18" s="70">
        <f t="shared" si="4"/>
        <v>0</v>
      </c>
    </row>
    <row r="19" spans="2:52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64">
        <f>1-(1-VLOOKUP($E19,'Annual Mortality Rates'!$B$5:$C$105,2,FALSE))^(1/12)</f>
        <v>7.7533054016254432E-5</v>
      </c>
      <c r="G19" s="75">
        <f>IF(C19&gt;=Assumptions!$H$9*12,100%,1-(1-IF(D19&gt;=7,2%,VLOOKUP($D19,'Annual Lapse Rates'!$B$4:$C$14,2,FALSE)))^(1/12))</f>
        <v>8.7416109546967213E-3</v>
      </c>
      <c r="H19" s="81">
        <f t="shared" si="11"/>
        <v>12</v>
      </c>
      <c r="I19" s="65">
        <f t="shared" si="5"/>
        <v>4532.1930536411828</v>
      </c>
      <c r="J19" s="66">
        <f t="shared" si="6"/>
        <v>0.35139476884005494</v>
      </c>
      <c r="K19" s="66">
        <f t="shared" si="7"/>
        <v>39.974345051400626</v>
      </c>
      <c r="M19" s="97">
        <f t="shared" si="12"/>
        <v>2588.2053311035866</v>
      </c>
      <c r="N19" s="97">
        <f>IF(AND(H19=1,D19&lt;15),Assumptions!$H$4,0)</f>
        <v>0</v>
      </c>
      <c r="O19" s="103"/>
      <c r="P19" s="98">
        <f>$M19*(1+VLOOKUP($H19,Assumptions!$C$22:$D$33,2,FALSE))^(1/12)</f>
        <v>2596.1576999199906</v>
      </c>
      <c r="Q19" s="98">
        <f>$M19*(1+VLOOKUP($H19,Assumptions!$C$22:$D$33,2,FALSE))^(1/12)</f>
        <v>2596.1576999199906</v>
      </c>
      <c r="R19" s="97">
        <f>IF(AND(H19=12,D19&lt;15),Assumptions!$C$7*M19,0)</f>
        <v>1.2941026655517933</v>
      </c>
      <c r="S19" s="99">
        <f>(M19+N19-O19)*Assumptions!$D$17</f>
        <v>10.544668896414583</v>
      </c>
      <c r="T19" s="99">
        <f t="shared" si="8"/>
        <v>0</v>
      </c>
      <c r="U19" s="101"/>
      <c r="V19" s="101">
        <f>IF(C19&gt;=Assumptions!$H$9*12,0,M19+N19-O19+S19-R19)</f>
        <v>2597.4558973344497</v>
      </c>
      <c r="W19" s="103"/>
      <c r="X19" s="97"/>
      <c r="Y19" s="100">
        <f>Assumptions!$C$13*N19</f>
        <v>0</v>
      </c>
      <c r="AA19" s="67">
        <f t="shared" si="13"/>
        <v>11730246.223024752</v>
      </c>
      <c r="AB19" s="67">
        <f>N19*I19</f>
        <v>0</v>
      </c>
      <c r="AC19" s="67"/>
      <c r="AD19" s="90">
        <f>P19*J19</f>
        <v>912.27623483571381</v>
      </c>
      <c r="AE19" s="90">
        <f>Q19*K19</f>
        <v>103779.7037044523</v>
      </c>
      <c r="AF19" s="67">
        <f>R19*I20</f>
        <v>5812.937464120655</v>
      </c>
      <c r="AG19" s="68">
        <f>S19*I19</f>
        <v>47790.475125276411</v>
      </c>
      <c r="AH19" s="68">
        <f>T19*$I19</f>
        <v>0</v>
      </c>
      <c r="AI19" s="68">
        <f>U19*$I19</f>
        <v>0</v>
      </c>
      <c r="AJ19" s="67">
        <f>V19*I20</f>
        <v>11667427.244328059</v>
      </c>
      <c r="AK19" s="67">
        <f>W19*$I19</f>
        <v>0</v>
      </c>
      <c r="AL19" s="67">
        <f>X19*$I19</f>
        <v>0</v>
      </c>
      <c r="AM19" s="67">
        <f>Y19*$I19</f>
        <v>0</v>
      </c>
      <c r="AN19" s="65">
        <f>NPV(Assumptions!$D$19,AB19:$AB$259)*(1+Assumptions!$D$19)</f>
        <v>86654124.110424742</v>
      </c>
      <c r="AO19" s="68">
        <f t="shared" si="9"/>
        <v>800162.29533665627</v>
      </c>
      <c r="AQ19" s="67">
        <f t="shared" si="14"/>
        <v>11757154.757061195</v>
      </c>
      <c r="AR19" s="95">
        <f>(AQ19+AB19-AC19)*Assumptions!$D$19</f>
        <v>50473.516235414339</v>
      </c>
      <c r="AS19" s="67">
        <f t="shared" si="15"/>
        <v>29591.575146580071</v>
      </c>
      <c r="AT19" s="67">
        <f t="shared" si="10"/>
        <v>10896856.524137983</v>
      </c>
      <c r="AU19" s="67"/>
      <c r="AV19" s="67"/>
      <c r="AW19" s="67"/>
      <c r="AY19" s="67"/>
      <c r="AZ19" s="70">
        <f t="shared" si="4"/>
        <v>0</v>
      </c>
    </row>
    <row r="20" spans="2:52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64">
        <f>1-(1-VLOOKUP($E20,'Annual Mortality Rates'!$B$5:$C$105,2,FALSE))^(1/12)</f>
        <v>8.5873880504183653E-5</v>
      </c>
      <c r="G20" s="75">
        <f>IF(C20&gt;=Assumptions!$H$9*12,100%,1-(1-IF(D20&gt;=7,2%,VLOOKUP($D20,'Annual Lapse Rates'!$B$4:$C$14,2,FALSE)))^(1/12))</f>
        <v>6.9243826282994192E-3</v>
      </c>
      <c r="H20" s="81">
        <f t="shared" si="11"/>
        <v>1</v>
      </c>
      <c r="I20" s="65">
        <f t="shared" si="5"/>
        <v>4491.8673138209424</v>
      </c>
      <c r="J20" s="66">
        <f t="shared" si="6"/>
        <v>0.385734076947708</v>
      </c>
      <c r="K20" s="66">
        <f t="shared" si="7"/>
        <v>31.382638848732302</v>
      </c>
      <c r="M20" s="97">
        <f t="shared" si="12"/>
        <v>2597.4558973344497</v>
      </c>
      <c r="N20" s="97">
        <f>IF(AND(H20=1,D20&lt;15),Assumptions!$H$4,0)</f>
        <v>2500</v>
      </c>
      <c r="O20" s="103"/>
      <c r="P20" s="98">
        <f>$M20*(1+VLOOKUP($H20,Assumptions!$C$22:$D$33,2,FALSE))^(1/12)</f>
        <v>2598.1313512390661</v>
      </c>
      <c r="Q20" s="98">
        <f>$M20*(1+VLOOKUP($H20,Assumptions!$C$22:$D$33,2,FALSE))^(1/12)</f>
        <v>2598.1313512390661</v>
      </c>
      <c r="R20" s="97">
        <f>IF(AND(H20=12,D20&lt;15),Assumptions!$C$7*M20,0)</f>
        <v>0</v>
      </c>
      <c r="S20" s="99">
        <f>(M20+N20-O20)*Assumptions!$D$17</f>
        <v>20.767666307428843</v>
      </c>
      <c r="T20" s="99">
        <f t="shared" si="8"/>
        <v>0</v>
      </c>
      <c r="U20" s="101"/>
      <c r="V20" s="101">
        <f>IF(C20&gt;=Assumptions!$H$9*12,0,M20+N20-O20+S20-R20)</f>
        <v>5118.2235636418791</v>
      </c>
      <c r="W20" s="103"/>
      <c r="X20" s="97">
        <f>IF(AND(H20=1,D20&lt;15),Assumptions!$D$10*N20+Assumptions!$D$11*(1+Assumptions!$D$16)^(B20-1),0)</f>
        <v>19.130000000000003</v>
      </c>
      <c r="Y20" s="100">
        <f>Assumptions!$C$13*N20</f>
        <v>12.5</v>
      </c>
      <c r="AA20" s="67">
        <f t="shared" si="13"/>
        <v>11667427.244328059</v>
      </c>
      <c r="AB20" s="67">
        <f>N20*I20</f>
        <v>11229668.284552356</v>
      </c>
      <c r="AC20" s="67"/>
      <c r="AD20" s="90">
        <f>P20*J20</f>
        <v>1002.1877985591025</v>
      </c>
      <c r="AE20" s="90">
        <f>Q20*K20</f>
        <v>81536.217877504474</v>
      </c>
      <c r="AF20" s="67">
        <f>R20*I21</f>
        <v>0</v>
      </c>
      <c r="AG20" s="68">
        <f>S20*I20</f>
        <v>93285.601470680092</v>
      </c>
      <c r="AH20" s="68">
        <f>T20*$I20</f>
        <v>0</v>
      </c>
      <c r="AI20" s="68">
        <f>U20*$I20</f>
        <v>0</v>
      </c>
      <c r="AJ20" s="67">
        <f>V20*I21</f>
        <v>22827783.495464321</v>
      </c>
      <c r="AK20" s="67">
        <f>W20*$I20</f>
        <v>0</v>
      </c>
      <c r="AL20" s="67">
        <f>X20*$I20</f>
        <v>85929.421713394637</v>
      </c>
      <c r="AM20" s="67">
        <f>Y20*$I20</f>
        <v>56148.341422761783</v>
      </c>
      <c r="AN20" s="65">
        <f>NPV(Assumptions!$D$19,AB20:$AB$259)*(1+Assumptions!$D$19)</f>
        <v>87026130.640110537</v>
      </c>
      <c r="AO20" s="68">
        <f t="shared" si="9"/>
        <v>699902.88309342659</v>
      </c>
      <c r="AQ20" s="67">
        <f t="shared" si="14"/>
        <v>11697018.819474639</v>
      </c>
      <c r="AR20" s="95">
        <f>(AQ20+AB20-AC20)*Assumptions!$D$19</f>
        <v>98424.366922139685</v>
      </c>
      <c r="AS20" s="67">
        <f t="shared" si="15"/>
        <v>34730.340598039664</v>
      </c>
      <c r="AT20" s="67">
        <f t="shared" si="10"/>
        <v>22162610.952968933</v>
      </c>
      <c r="AU20" s="67"/>
      <c r="AV20" s="67"/>
      <c r="AW20" s="67"/>
      <c r="AY20" s="67"/>
      <c r="AZ20" s="70">
        <f t="shared" si="4"/>
        <v>0</v>
      </c>
    </row>
    <row r="21" spans="2:52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64">
        <f>1-(1-VLOOKUP($E21,'Annual Mortality Rates'!$B$5:$C$105,2,FALSE))^(1/12)</f>
        <v>8.5873880504183653E-5</v>
      </c>
      <c r="G21" s="75">
        <f>IF(C21&gt;=Assumptions!$H$9*12,100%,1-(1-IF(D21&gt;=7,2%,VLOOKUP($D21,'Annual Lapse Rates'!$B$4:$C$14,2,FALSE)))^(1/12))</f>
        <v>6.9243826282994192E-3</v>
      </c>
      <c r="H21" s="81">
        <f t="shared" si="11"/>
        <v>2</v>
      </c>
      <c r="I21" s="65">
        <f t="shared" si="5"/>
        <v>4460.0989408952628</v>
      </c>
      <c r="J21" s="66">
        <f t="shared" si="6"/>
        <v>0.38300600348727587</v>
      </c>
      <c r="K21" s="66">
        <f t="shared" si="7"/>
        <v>31.103407996447711</v>
      </c>
      <c r="M21" s="97">
        <f t="shared" si="12"/>
        <v>5118.2235636418791</v>
      </c>
      <c r="N21" s="97">
        <f>IF(AND(H21=1,D21&lt;15),Assumptions!$H$4,0)</f>
        <v>0</v>
      </c>
      <c r="O21" s="103"/>
      <c r="P21" s="98">
        <f>$M21*(1+VLOOKUP($H21,Assumptions!$C$22:$D$33,2,FALSE))^(1/12)</f>
        <v>5120.8816991964186</v>
      </c>
      <c r="Q21" s="98">
        <f>$M21*(1+VLOOKUP($H21,Assumptions!$C$22:$D$33,2,FALSE))^(1/12)</f>
        <v>5120.8816991964186</v>
      </c>
      <c r="R21" s="97">
        <f>IF(AND(H21=12,D21&lt;15),Assumptions!$C$7*M21,0)</f>
        <v>0</v>
      </c>
      <c r="S21" s="99">
        <f>(M21+N21-O21)*Assumptions!$D$17</f>
        <v>20.852276350662812</v>
      </c>
      <c r="T21" s="99">
        <f t="shared" si="8"/>
        <v>0</v>
      </c>
      <c r="U21" s="101"/>
      <c r="V21" s="101">
        <f>IF(C21&gt;=Assumptions!$H$9*12,0,M21+N21-O21+S21-R21)</f>
        <v>5139.0758399925417</v>
      </c>
      <c r="W21" s="103"/>
      <c r="X21" s="97">
        <f>IF(AND(H21=1,D21&lt;15),Assumptions!$D$10*N21+Assumptions!$D$11*(1+Assumptions!$D$16)^(B21-1),0)</f>
        <v>0</v>
      </c>
      <c r="Y21" s="100">
        <f>Assumptions!$C$13*N21</f>
        <v>0</v>
      </c>
      <c r="AA21" s="67">
        <f t="shared" si="13"/>
        <v>22827783.495464321</v>
      </c>
      <c r="AB21" s="67">
        <f>N21*I21</f>
        <v>0</v>
      </c>
      <c r="AC21" s="67"/>
      <c r="AD21" s="90">
        <f>P21*J21</f>
        <v>1961.3284339403506</v>
      </c>
      <c r="AE21" s="90">
        <f>Q21*K21</f>
        <v>159276.87279164864</v>
      </c>
      <c r="AF21" s="67">
        <f>R21*I22</f>
        <v>0</v>
      </c>
      <c r="AG21" s="68">
        <f>S21*I21</f>
        <v>93003.215666846547</v>
      </c>
      <c r="AH21" s="68">
        <f>T21*$I21</f>
        <v>0</v>
      </c>
      <c r="AI21" s="68">
        <f>U21*$I21</f>
        <v>0</v>
      </c>
      <c r="AJ21" s="67">
        <f>V21*I22</f>
        <v>22758975.641656101</v>
      </c>
      <c r="AK21" s="67">
        <f>W21*$I21</f>
        <v>0</v>
      </c>
      <c r="AL21" s="67">
        <f>X21*$I21</f>
        <v>0</v>
      </c>
      <c r="AM21" s="67">
        <f>Y21*$I21</f>
        <v>0</v>
      </c>
      <c r="AN21" s="65">
        <f>NPV(Assumptions!$D$19,AB21:$AB$259)*(1+Assumptions!$D$19)</f>
        <v>76121856.896358326</v>
      </c>
      <c r="AO21" s="68">
        <f t="shared" si="9"/>
        <v>702907.5691984396</v>
      </c>
      <c r="AQ21" s="67">
        <f t="shared" si="14"/>
        <v>22862513.836062361</v>
      </c>
      <c r="AR21" s="95">
        <f>(AQ21+AB21-AC21)*Assumptions!$D$19</f>
        <v>98148.870805143582</v>
      </c>
      <c r="AS21" s="67">
        <f t="shared" si="15"/>
        <v>39875.995736336685</v>
      </c>
      <c r="AT21" s="67">
        <f t="shared" si="10"/>
        <v>22095944.068193998</v>
      </c>
      <c r="AU21" s="67"/>
      <c r="AV21" s="67"/>
      <c r="AW21" s="67"/>
      <c r="AY21" s="67"/>
      <c r="AZ21" s="70">
        <f t="shared" si="4"/>
        <v>0</v>
      </c>
    </row>
    <row r="22" spans="2:52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64">
        <f>1-(1-VLOOKUP($E22,'Annual Mortality Rates'!$B$5:$C$105,2,FALSE))^(1/12)</f>
        <v>8.5873880504183653E-5</v>
      </c>
      <c r="G22" s="75">
        <f>IF(C22&gt;=Assumptions!$H$9*12,100%,1-(1-IF(D22&gt;=7,2%,VLOOKUP($D22,'Annual Lapse Rates'!$B$4:$C$14,2,FALSE)))^(1/12))</f>
        <v>6.9243826282994192E-3</v>
      </c>
      <c r="H22" s="81">
        <f t="shared" si="11"/>
        <v>3</v>
      </c>
      <c r="I22" s="65">
        <f t="shared" si="5"/>
        <v>4428.6125268953283</v>
      </c>
      <c r="J22" s="66">
        <f t="shared" si="6"/>
        <v>0.38030214293394021</v>
      </c>
      <c r="K22" s="66">
        <f t="shared" si="7"/>
        <v>30.883431626831797</v>
      </c>
      <c r="M22" s="97">
        <f t="shared" si="12"/>
        <v>5139.0758399925417</v>
      </c>
      <c r="N22" s="97">
        <f>IF(AND(H22=1,D22&lt;15),Assumptions!$H$4,0)</f>
        <v>0</v>
      </c>
      <c r="O22" s="103"/>
      <c r="P22" s="98">
        <f>$M22*(1+VLOOKUP($H22,Assumptions!$C$22:$D$33,2,FALSE))^(1/12)</f>
        <v>5143.0735940845152</v>
      </c>
      <c r="Q22" s="98">
        <f>$M22*(1+VLOOKUP($H22,Assumptions!$C$22:$D$33,2,FALSE))^(1/12)</f>
        <v>5143.0735940845152</v>
      </c>
      <c r="R22" s="97">
        <f>IF(AND(H22=12,D22&lt;15),Assumptions!$C$7*M22,0)</f>
        <v>0</v>
      </c>
      <c r="S22" s="99">
        <f>(M22+N22-O22)*Assumptions!$D$17</f>
        <v>20.937231105686255</v>
      </c>
      <c r="T22" s="99">
        <f t="shared" si="8"/>
        <v>0</v>
      </c>
      <c r="U22" s="101"/>
      <c r="V22" s="101">
        <f>IF(C22&gt;=Assumptions!$H$9*12,0,M22+N22-O22+S22-R22)</f>
        <v>5160.0130710982276</v>
      </c>
      <c r="W22" s="103"/>
      <c r="X22" s="97">
        <f>IF(AND(H22=1,D22&lt;15),Assumptions!$D$10*N22+Assumptions!$D$11*(1+Assumptions!$D$16)^(B22-1),0)</f>
        <v>0</v>
      </c>
      <c r="Y22" s="100">
        <f>Assumptions!$C$13*N22</f>
        <v>0</v>
      </c>
      <c r="AA22" s="67">
        <f t="shared" si="13"/>
        <v>22758975.641656101</v>
      </c>
      <c r="AB22" s="67">
        <f>N22*I22</f>
        <v>0</v>
      </c>
      <c r="AC22" s="67"/>
      <c r="AD22" s="90">
        <f>P22*J22</f>
        <v>1955.9219090973029</v>
      </c>
      <c r="AE22" s="90">
        <f>Q22*K22</f>
        <v>158835.76169467319</v>
      </c>
      <c r="AF22" s="67">
        <f>R22*I23</f>
        <v>0</v>
      </c>
      <c r="AG22" s="68">
        <f>S22*I22</f>
        <v>92722.883953144672</v>
      </c>
      <c r="AH22" s="68">
        <f>T22*$I22</f>
        <v>0</v>
      </c>
      <c r="AI22" s="68">
        <f>U22*$I22</f>
        <v>0</v>
      </c>
      <c r="AJ22" s="67">
        <f>V22*I23</f>
        <v>22690377.250705916</v>
      </c>
      <c r="AK22" s="67">
        <f>W22*$I22</f>
        <v>0</v>
      </c>
      <c r="AL22" s="67">
        <f>X22*$I22</f>
        <v>0</v>
      </c>
      <c r="AM22" s="67">
        <f>Y22*$I22</f>
        <v>0</v>
      </c>
      <c r="AN22" s="65">
        <f>NPV(Assumptions!$D$19,AB22:$AB$259)*(1+Assumptions!$D$19)</f>
        <v>76448648.357329845</v>
      </c>
      <c r="AO22" s="68">
        <f t="shared" si="9"/>
        <v>705925.15443390002</v>
      </c>
      <c r="AQ22" s="67">
        <f t="shared" si="14"/>
        <v>22798851.637392439</v>
      </c>
      <c r="AR22" s="95">
        <f>(AQ22+AB22-AC22)*Assumptions!$D$19</f>
        <v>97875.568710840656</v>
      </c>
      <c r="AS22" s="67">
        <f t="shared" si="15"/>
        <v>45028.680494032669</v>
      </c>
      <c r="AT22" s="67">
        <f t="shared" si="10"/>
        <v>22029480.776766051</v>
      </c>
      <c r="AU22" s="67"/>
      <c r="AV22" s="67"/>
      <c r="AW22" s="67"/>
      <c r="AY22" s="67"/>
      <c r="AZ22" s="70">
        <f t="shared" si="4"/>
        <v>0</v>
      </c>
    </row>
    <row r="23" spans="2:52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64">
        <f>1-(1-VLOOKUP($E23,'Annual Mortality Rates'!$B$5:$C$105,2,FALSE))^(1/12)</f>
        <v>8.5873880504183653E-5</v>
      </c>
      <c r="G23" s="75">
        <f>IF(C23&gt;=Assumptions!$H$9*12,100%,1-(1-IF(D23&gt;=7,2%,VLOOKUP($D23,'Annual Lapse Rates'!$B$4:$C$14,2,FALSE)))^(1/12))</f>
        <v>6.9243826282994192E-3</v>
      </c>
      <c r="H23" s="81">
        <f t="shared" si="11"/>
        <v>4</v>
      </c>
      <c r="I23" s="65">
        <f t="shared" si="5"/>
        <v>4397.3487931255622</v>
      </c>
      <c r="J23" s="66">
        <f t="shared" si="6"/>
        <v>0.37761740479608075</v>
      </c>
      <c r="K23" s="66">
        <f t="shared" si="7"/>
        <v>30.665407648703205</v>
      </c>
      <c r="M23" s="97">
        <f t="shared" si="12"/>
        <v>5160.0130710982276</v>
      </c>
      <c r="N23" s="97">
        <f>IF(AND(H23=1,D23&lt;15),Assumptions!$H$4,0)</f>
        <v>0</v>
      </c>
      <c r="O23" s="103"/>
      <c r="P23" s="98">
        <f>$M23*(1+VLOOKUP($H23,Assumptions!$C$22:$D$33,2,FALSE))^(1/12)</f>
        <v>5165.3575340724092</v>
      </c>
      <c r="Q23" s="98">
        <f>$M23*(1+VLOOKUP($H23,Assumptions!$C$22:$D$33,2,FALSE))^(1/12)</f>
        <v>5165.3575340724092</v>
      </c>
      <c r="R23" s="97">
        <f>IF(AND(H23=12,D23&lt;15),Assumptions!$C$7*M23,0)</f>
        <v>0</v>
      </c>
      <c r="S23" s="99">
        <f>(M23+N23-O23)*Assumptions!$D$17</f>
        <v>21.022531976897671</v>
      </c>
      <c r="T23" s="99">
        <f t="shared" si="8"/>
        <v>0</v>
      </c>
      <c r="U23" s="101"/>
      <c r="V23" s="101">
        <f>IF(C23&gt;=Assumptions!$H$9*12,0,M23+N23-O23+S23-R23)</f>
        <v>5181.0356030751254</v>
      </c>
      <c r="W23" s="103"/>
      <c r="X23" s="97">
        <f>IF(AND(H23=1,D23&lt;15),Assumptions!$D$10*N23+Assumptions!$D$11*(1+Assumptions!$D$16)^(B23-1),0)</f>
        <v>0</v>
      </c>
      <c r="Y23" s="100">
        <f>Assumptions!$C$13*N23</f>
        <v>0</v>
      </c>
      <c r="AA23" s="67">
        <f t="shared" si="13"/>
        <v>22690377.250705916</v>
      </c>
      <c r="AB23" s="67">
        <f>N23*I23</f>
        <v>0</v>
      </c>
      <c r="AC23" s="67"/>
      <c r="AD23" s="90">
        <f>P23*J23</f>
        <v>1950.5289068603063</v>
      </c>
      <c r="AE23" s="90">
        <f>Q23*K23</f>
        <v>158397.79443363077</v>
      </c>
      <c r="AF23" s="67">
        <f>R23*I24</f>
        <v>0</v>
      </c>
      <c r="AG23" s="68">
        <f>S23*I23</f>
        <v>92443.405617054508</v>
      </c>
      <c r="AH23" s="68">
        <f>T23*$I23</f>
        <v>0</v>
      </c>
      <c r="AI23" s="68">
        <f>U23*$I23</f>
        <v>0</v>
      </c>
      <c r="AJ23" s="67">
        <f>V23*I24</f>
        <v>22621985.638293639</v>
      </c>
      <c r="AK23" s="67">
        <f>W23*$I23</f>
        <v>0</v>
      </c>
      <c r="AL23" s="67">
        <f>X23*$I23</f>
        <v>0</v>
      </c>
      <c r="AM23" s="67">
        <f>Y23*$I23</f>
        <v>0</v>
      </c>
      <c r="AN23" s="65">
        <f>NPV(Assumptions!$D$19,AB23:$AB$259)*(1+Assumptions!$D$19)</f>
        <v>76776842.735457048</v>
      </c>
      <c r="AO23" s="68">
        <f t="shared" si="9"/>
        <v>708955.69417583116</v>
      </c>
      <c r="AQ23" s="67">
        <f t="shared" si="14"/>
        <v>22735405.931199949</v>
      </c>
      <c r="AR23" s="95">
        <f>(AQ23+AB23-AC23)*Assumptions!$D$19</f>
        <v>97603.196019679919</v>
      </c>
      <c r="AS23" s="67">
        <f t="shared" si="15"/>
        <v>50188.470896658066</v>
      </c>
      <c r="AT23" s="67">
        <f t="shared" si="10"/>
        <v>21963218.415014464</v>
      </c>
      <c r="AU23" s="67"/>
      <c r="AV23" s="67"/>
      <c r="AW23" s="67"/>
      <c r="AY23" s="67"/>
      <c r="AZ23" s="70">
        <f t="shared" si="4"/>
        <v>0</v>
      </c>
    </row>
    <row r="24" spans="2:52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64">
        <f>1-(1-VLOOKUP($E24,'Annual Mortality Rates'!$B$5:$C$105,2,FALSE))^(1/12)</f>
        <v>8.5873880504183653E-5</v>
      </c>
      <c r="G24" s="75">
        <f>IF(C24&gt;=Assumptions!$H$9*12,100%,1-(1-IF(D24&gt;=7,2%,VLOOKUP($D24,'Annual Lapse Rates'!$B$4:$C$14,2,FALSE)))^(1/12))</f>
        <v>6.9243826282994192E-3</v>
      </c>
      <c r="H24" s="81">
        <f t="shared" si="11"/>
        <v>5</v>
      </c>
      <c r="I24" s="65">
        <f t="shared" si="5"/>
        <v>4366.3057680720631</v>
      </c>
      <c r="J24" s="66">
        <f t="shared" si="6"/>
        <v>0.37495161977214819</v>
      </c>
      <c r="K24" s="66">
        <f t="shared" si="7"/>
        <v>30.44892559369206</v>
      </c>
      <c r="M24" s="97">
        <f t="shared" si="12"/>
        <v>5181.0356030751254</v>
      </c>
      <c r="N24" s="97">
        <f>IF(AND(H24=1,D24&lt;15),Assumptions!$H$4,0)</f>
        <v>0</v>
      </c>
      <c r="O24" s="103"/>
      <c r="P24" s="98">
        <f>$M24*(1+VLOOKUP($H24,Assumptions!$C$22:$D$33,2,FALSE))^(1/12)</f>
        <v>5187.7339078369005</v>
      </c>
      <c r="Q24" s="98">
        <f>$M24*(1+VLOOKUP($H24,Assumptions!$C$22:$D$33,2,FALSE))^(1/12)</f>
        <v>5187.7339078369005</v>
      </c>
      <c r="R24" s="97">
        <f>IF(AND(H24=12,D24&lt;15),Assumptions!$C$7*M24,0)</f>
        <v>0</v>
      </c>
      <c r="S24" s="99">
        <f>(M24+N24-O24)*Assumptions!$D$17</f>
        <v>21.108180374417259</v>
      </c>
      <c r="T24" s="99">
        <f t="shared" si="8"/>
        <v>0</v>
      </c>
      <c r="U24" s="101"/>
      <c r="V24" s="101">
        <f>IF(C24&gt;=Assumptions!$H$9*12,0,M24+N24-O24+S24-R24)</f>
        <v>5202.1437834495428</v>
      </c>
      <c r="W24" s="103"/>
      <c r="X24" s="97">
        <f>IF(AND(H24=1,D24&lt;15),Assumptions!$D$10*N24+Assumptions!$D$11*(1+Assumptions!$D$16)^(B24-1),0)</f>
        <v>0</v>
      </c>
      <c r="Y24" s="100">
        <f>Assumptions!$C$13*N24</f>
        <v>0</v>
      </c>
      <c r="AA24" s="67">
        <f t="shared" si="13"/>
        <v>22621985.638293639</v>
      </c>
      <c r="AB24" s="67">
        <f>N24*I24</f>
        <v>0</v>
      </c>
      <c r="AC24" s="67"/>
      <c r="AD24" s="90">
        <f>P24*J24</f>
        <v>1945.149231690342</v>
      </c>
      <c r="AE24" s="90">
        <f>Q24*K24</f>
        <v>157960.92375959913</v>
      </c>
      <c r="AF24" s="67">
        <f>R24*I25</f>
        <v>0</v>
      </c>
      <c r="AG24" s="68">
        <f>S24*I24</f>
        <v>92164.769722323603</v>
      </c>
      <c r="AH24" s="68">
        <f>T24*$I24</f>
        <v>0</v>
      </c>
      <c r="AI24" s="68">
        <f>U24*$I24</f>
        <v>0</v>
      </c>
      <c r="AJ24" s="67">
        <f>V24*I25</f>
        <v>22553800.166788127</v>
      </c>
      <c r="AK24" s="67">
        <f>W24*$I24</f>
        <v>0</v>
      </c>
      <c r="AL24" s="67">
        <f>X24*$I24</f>
        <v>0</v>
      </c>
      <c r="AM24" s="67">
        <f>Y24*$I24</f>
        <v>0</v>
      </c>
      <c r="AN24" s="65">
        <f>NPV(Assumptions!$D$19,AB24:$AB$259)*(1+Assumptions!$D$19)</f>
        <v>77106446.053469405</v>
      </c>
      <c r="AO24" s="68">
        <f t="shared" si="9"/>
        <v>711999.24403798487</v>
      </c>
      <c r="AQ24" s="67">
        <f t="shared" si="14"/>
        <v>22672174.109190296</v>
      </c>
      <c r="AR24" s="95">
        <f>(AQ24+AB24-AC24)*Assumptions!$D$19</f>
        <v>97331.741534241402</v>
      </c>
      <c r="AS24" s="67">
        <f t="shared" si="15"/>
        <v>55355.442708575865</v>
      </c>
      <c r="AT24" s="67">
        <f t="shared" si="10"/>
        <v>21897156.365458716</v>
      </c>
      <c r="AU24" s="67"/>
      <c r="AV24" s="67"/>
      <c r="AW24" s="67"/>
      <c r="AY24" s="67"/>
      <c r="AZ24" s="70">
        <f t="shared" si="4"/>
        <v>0</v>
      </c>
    </row>
    <row r="25" spans="2:52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64">
        <f>1-(1-VLOOKUP($E25,'Annual Mortality Rates'!$B$5:$C$105,2,FALSE))^(1/12)</f>
        <v>8.5873880504183653E-5</v>
      </c>
      <c r="G25" s="75">
        <f>IF(C25&gt;=Assumptions!$H$9*12,100%,1-(1-IF(D25&gt;=7,2%,VLOOKUP($D25,'Annual Lapse Rates'!$B$4:$C$14,2,FALSE)))^(1/12))</f>
        <v>6.9243826282994192E-3</v>
      </c>
      <c r="H25" s="81">
        <f t="shared" si="11"/>
        <v>6</v>
      </c>
      <c r="I25" s="65">
        <f t="shared" si="5"/>
        <v>4335.4818908585985</v>
      </c>
      <c r="J25" s="66">
        <f t="shared" si="6"/>
        <v>0.37230465382364347</v>
      </c>
      <c r="K25" s="66">
        <f t="shared" si="7"/>
        <v>30.233971810281748</v>
      </c>
      <c r="M25" s="97">
        <f t="shared" si="12"/>
        <v>5202.1437834495428</v>
      </c>
      <c r="N25" s="97">
        <f>IF(AND(H25=1,D25&lt;15),Assumptions!$H$4,0)</f>
        <v>0</v>
      </c>
      <c r="O25" s="103"/>
      <c r="P25" s="98">
        <f>$M25*(1+VLOOKUP($H25,Assumptions!$C$22:$D$33,2,FALSE))^(1/12)</f>
        <v>5210.2031056121923</v>
      </c>
      <c r="Q25" s="98">
        <f>$M25*(1+VLOOKUP($H25,Assumptions!$C$22:$D$33,2,FALSE))^(1/12)</f>
        <v>5210.2031056121923</v>
      </c>
      <c r="R25" s="97">
        <f>IF(AND(H25=12,D25&lt;15),Assumptions!$C$7*M25,0)</f>
        <v>0</v>
      </c>
      <c r="S25" s="99">
        <f>(M25+N25-O25)*Assumptions!$D$17</f>
        <v>21.194177714110211</v>
      </c>
      <c r="T25" s="99">
        <f t="shared" si="8"/>
        <v>0</v>
      </c>
      <c r="U25" s="101"/>
      <c r="V25" s="101">
        <f>IF(C25&gt;=Assumptions!$H$9*12,0,M25+N25-O25+S25-R25)</f>
        <v>5223.3379611636528</v>
      </c>
      <c r="W25" s="103"/>
      <c r="X25" s="97">
        <f>IF(AND(H25=1,D25&lt;15),Assumptions!$D$10*N25+Assumptions!$D$11*(1+Assumptions!$D$16)^(B25-1),0)</f>
        <v>0</v>
      </c>
      <c r="Y25" s="100">
        <f>Assumptions!$C$13*N25</f>
        <v>0</v>
      </c>
      <c r="AA25" s="67">
        <f t="shared" si="13"/>
        <v>22553800.166788127</v>
      </c>
      <c r="AB25" s="67">
        <f>N25*I25</f>
        <v>0</v>
      </c>
      <c r="AC25" s="67"/>
      <c r="AD25" s="90">
        <f>P25*J25</f>
        <v>1939.7828635858193</v>
      </c>
      <c r="AE25" s="90">
        <f>Q25*K25</f>
        <v>157525.13382092144</v>
      </c>
      <c r="AF25" s="67">
        <f>R25*I26</f>
        <v>0</v>
      </c>
      <c r="AG25" s="68">
        <f>S25*I25</f>
        <v>91886.973671163709</v>
      </c>
      <c r="AH25" s="68">
        <f>T25*$I25</f>
        <v>0</v>
      </c>
      <c r="AI25" s="68">
        <f>U25*$I25</f>
        <v>0</v>
      </c>
      <c r="AJ25" s="67">
        <f>V25*I26</f>
        <v>22485820.214754459</v>
      </c>
      <c r="AK25" s="67">
        <f>W25*$I25</f>
        <v>0</v>
      </c>
      <c r="AL25" s="67">
        <f>X25*$I25</f>
        <v>0</v>
      </c>
      <c r="AM25" s="67">
        <f>Y25*$I25</f>
        <v>0</v>
      </c>
      <c r="AN25" s="65">
        <f>NPV(Assumptions!$D$19,AB25:$AB$259)*(1+Assumptions!$D$19)</f>
        <v>77437464.359951884</v>
      </c>
      <c r="AO25" s="68">
        <f t="shared" si="9"/>
        <v>715055.85987286351</v>
      </c>
      <c r="AQ25" s="67">
        <f t="shared" si="14"/>
        <v>22609155.609496702</v>
      </c>
      <c r="AR25" s="95">
        <f>(AQ25+AB25-AC25)*Assumptions!$D$19</f>
        <v>97061.202842428596</v>
      </c>
      <c r="AS25" s="67">
        <f t="shared" si="15"/>
        <v>60529.671879840738</v>
      </c>
      <c r="AT25" s="67">
        <f t="shared" si="10"/>
        <v>21831294.026761435</v>
      </c>
      <c r="AU25" s="67"/>
      <c r="AV25" s="67"/>
      <c r="AW25" s="67"/>
      <c r="AY25" s="67"/>
      <c r="AZ25" s="70">
        <f t="shared" si="4"/>
        <v>0</v>
      </c>
    </row>
    <row r="26" spans="2:52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64">
        <f>1-(1-VLOOKUP($E26,'Annual Mortality Rates'!$B$5:$C$105,2,FALSE))^(1/12)</f>
        <v>8.5873880504183653E-5</v>
      </c>
      <c r="G26" s="75">
        <f>IF(C26&gt;=Assumptions!$H$9*12,100%,1-(1-IF(D26&gt;=7,2%,VLOOKUP($D26,'Annual Lapse Rates'!$B$4:$C$14,2,FALSE)))^(1/12))</f>
        <v>6.9243826282994192E-3</v>
      </c>
      <c r="H26" s="81">
        <f t="shared" si="11"/>
        <v>7</v>
      </c>
      <c r="I26" s="65">
        <f t="shared" si="5"/>
        <v>4304.8756143944929</v>
      </c>
      <c r="J26" s="66">
        <f t="shared" si="6"/>
        <v>0.36967637409588688</v>
      </c>
      <c r="K26" s="66">
        <f t="shared" si="7"/>
        <v>30.020535490367998</v>
      </c>
      <c r="M26" s="97">
        <f t="shared" si="12"/>
        <v>5223.3379611636528</v>
      </c>
      <c r="N26" s="97">
        <f>IF(AND(H26=1,D26&lt;15),Assumptions!$H$4,0)</f>
        <v>0</v>
      </c>
      <c r="O26" s="103"/>
      <c r="P26" s="98">
        <f>$M26*(1+VLOOKUP($H26,Assumptions!$C$22:$D$33,2,FALSE))^(1/12)</f>
        <v>5232.7655191969561</v>
      </c>
      <c r="Q26" s="98">
        <f>$M26*(1+VLOOKUP($H26,Assumptions!$C$22:$D$33,2,FALSE))^(1/12)</f>
        <v>5232.7655191969561</v>
      </c>
      <c r="R26" s="97">
        <f>IF(AND(H26=12,D26&lt;15),Assumptions!$C$7*M26,0)</f>
        <v>0</v>
      </c>
      <c r="S26" s="99">
        <f>(M26+N26-O26)*Assumptions!$D$17</f>
        <v>21.280525417610139</v>
      </c>
      <c r="T26" s="99">
        <f t="shared" si="8"/>
        <v>0</v>
      </c>
      <c r="U26" s="101"/>
      <c r="V26" s="101">
        <f>IF(C26&gt;=Assumptions!$H$9*12,0,M26+N26-O26+S26-R26)</f>
        <v>5244.6184865812629</v>
      </c>
      <c r="W26" s="103"/>
      <c r="X26" s="97">
        <f>IF(AND(H26=1,D26&lt;15),Assumptions!$D$10*N26+Assumptions!$D$11*(1+Assumptions!$D$16)^(B26-1),0)</f>
        <v>0</v>
      </c>
      <c r="Y26" s="100">
        <f>Assumptions!$C$13*N26</f>
        <v>0</v>
      </c>
      <c r="AA26" s="67">
        <f t="shared" si="13"/>
        <v>22485820.214754459</v>
      </c>
      <c r="AB26" s="67">
        <f>N26*I26</f>
        <v>0</v>
      </c>
      <c r="AC26" s="67"/>
      <c r="AD26" s="90">
        <f>P26*J26</f>
        <v>1934.4297836307117</v>
      </c>
      <c r="AE26" s="90">
        <f>Q26*K26</f>
        <v>157090.42298182615</v>
      </c>
      <c r="AF26" s="67">
        <f>R26*I27</f>
        <v>0</v>
      </c>
      <c r="AG26" s="68">
        <f>S26*I26</f>
        <v>91610.014931772064</v>
      </c>
      <c r="AH26" s="68">
        <f>T26*$I26</f>
        <v>0</v>
      </c>
      <c r="AI26" s="68">
        <f>U26*$I26</f>
        <v>0</v>
      </c>
      <c r="AJ26" s="67">
        <f>V26*I27</f>
        <v>22418045.162730742</v>
      </c>
      <c r="AK26" s="67">
        <f>W26*$I26</f>
        <v>0</v>
      </c>
      <c r="AL26" s="67">
        <f>X26*$I26</f>
        <v>0</v>
      </c>
      <c r="AM26" s="67">
        <f>Y26*$I26</f>
        <v>0</v>
      </c>
      <c r="AN26" s="65">
        <f>NPV(Assumptions!$D$19,AB26:$AB$259)*(1+Assumptions!$D$19)</f>
        <v>77769903.729456127</v>
      </c>
      <c r="AO26" s="68">
        <f t="shared" si="9"/>
        <v>718125.59777274483</v>
      </c>
      <c r="AQ26" s="67">
        <f t="shared" si="14"/>
        <v>22546349.886634298</v>
      </c>
      <c r="AR26" s="95">
        <f>(AQ26+AB26-AC26)*Assumptions!$D$19</f>
        <v>96791.577602472593</v>
      </c>
      <c r="AS26" s="67">
        <f t="shared" si="15"/>
        <v>65711.234550541281</v>
      </c>
      <c r="AT26" s="67">
        <f t="shared" si="10"/>
        <v>21765630.799508542</v>
      </c>
      <c r="AU26" s="67"/>
      <c r="AV26" s="67"/>
      <c r="AW26" s="67"/>
      <c r="AY26" s="67"/>
      <c r="AZ26" s="70">
        <f t="shared" si="4"/>
        <v>0</v>
      </c>
    </row>
    <row r="27" spans="2:52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64">
        <f>1-(1-VLOOKUP($E27,'Annual Mortality Rates'!$B$5:$C$105,2,FALSE))^(1/12)</f>
        <v>8.5873880504183653E-5</v>
      </c>
      <c r="G27" s="75">
        <f>IF(C27&gt;=Assumptions!$H$9*12,100%,1-(1-IF(D27&gt;=7,2%,VLOOKUP($D27,'Annual Lapse Rates'!$B$4:$C$14,2,FALSE)))^(1/12))</f>
        <v>6.9243826282994192E-3</v>
      </c>
      <c r="H27" s="81">
        <f t="shared" si="11"/>
        <v>8</v>
      </c>
      <c r="I27" s="65">
        <f t="shared" si="5"/>
        <v>4274.4854025300292</v>
      </c>
      <c r="J27" s="66">
        <f t="shared" si="6"/>
        <v>0.36706664867374111</v>
      </c>
      <c r="K27" s="66">
        <f t="shared" si="7"/>
        <v>29.808605921303016</v>
      </c>
      <c r="M27" s="97">
        <f t="shared" si="12"/>
        <v>5244.6184865812629</v>
      </c>
      <c r="N27" s="97">
        <f>IF(AND(H27=1,D27&lt;15),Assumptions!$H$4,0)</f>
        <v>0</v>
      </c>
      <c r="O27" s="103"/>
      <c r="P27" s="98">
        <f>$M27*(1+VLOOKUP($H27,Assumptions!$C$22:$D$33,2,FALSE))^(1/12)</f>
        <v>5255.4215419614111</v>
      </c>
      <c r="Q27" s="98">
        <f>$M27*(1+VLOOKUP($H27,Assumptions!$C$22:$D$33,2,FALSE))^(1/12)</f>
        <v>5255.4215419614111</v>
      </c>
      <c r="R27" s="97">
        <f>IF(AND(H27=12,D27&lt;15),Assumptions!$C$7*M27,0)</f>
        <v>0</v>
      </c>
      <c r="S27" s="99">
        <f>(M27+N27-O27)*Assumptions!$D$17</f>
        <v>21.367224912342557</v>
      </c>
      <c r="T27" s="99">
        <f t="shared" si="8"/>
        <v>0</v>
      </c>
      <c r="U27" s="101"/>
      <c r="V27" s="101">
        <f>IF(C27&gt;=Assumptions!$H$9*12,0,M27+N27-O27+S27-R27)</f>
        <v>5265.9857114936058</v>
      </c>
      <c r="W27" s="103"/>
      <c r="X27" s="97">
        <f>IF(AND(H27=1,D27&lt;15),Assumptions!$D$10*N27+Assumptions!$D$11*(1+Assumptions!$D$16)^(B27-1),0)</f>
        <v>0</v>
      </c>
      <c r="Y27" s="100">
        <f>Assumptions!$C$13*N27</f>
        <v>0</v>
      </c>
      <c r="AA27" s="67">
        <f t="shared" si="13"/>
        <v>22418045.162730742</v>
      </c>
      <c r="AB27" s="67">
        <f>N27*I27</f>
        <v>0</v>
      </c>
      <c r="AC27" s="67"/>
      <c r="AD27" s="90">
        <f>P27*J27</f>
        <v>1929.08997277556</v>
      </c>
      <c r="AE27" s="90">
        <f>Q27*K27</f>
        <v>156656.78969465435</v>
      </c>
      <c r="AF27" s="67">
        <f>R27*I28</f>
        <v>0</v>
      </c>
      <c r="AG27" s="68">
        <f>S27*I27</f>
        <v>91333.89098038424</v>
      </c>
      <c r="AH27" s="68">
        <f>T27*$I27</f>
        <v>0</v>
      </c>
      <c r="AI27" s="68">
        <f>U27*$I27</f>
        <v>0</v>
      </c>
      <c r="AJ27" s="67">
        <f>V27*I28</f>
        <v>22350474.393122919</v>
      </c>
      <c r="AK27" s="67">
        <f>W27*$I27</f>
        <v>0</v>
      </c>
      <c r="AL27" s="67">
        <f>X27*$I27</f>
        <v>0</v>
      </c>
      <c r="AM27" s="67">
        <f>Y27*$I27</f>
        <v>0</v>
      </c>
      <c r="AN27" s="65">
        <f>NPV(Assumptions!$D$19,AB27:$AB$259)*(1+Assumptions!$D$19)</f>
        <v>78103770.262611836</v>
      </c>
      <c r="AO27" s="68">
        <f t="shared" si="9"/>
        <v>721208.51407071087</v>
      </c>
      <c r="AQ27" s="67">
        <f t="shared" si="14"/>
        <v>22483756.397281285</v>
      </c>
      <c r="AR27" s="95">
        <f>(AQ27+AB27-AC27)*Assumptions!$D$19</f>
        <v>96522.86348189057</v>
      </c>
      <c r="AS27" s="67">
        <f t="shared" si="15"/>
        <v>70900.207052047612</v>
      </c>
      <c r="AT27" s="67">
        <f t="shared" si="10"/>
        <v>21700166.086104255</v>
      </c>
      <c r="AU27" s="67"/>
      <c r="AV27" s="67"/>
      <c r="AW27" s="67"/>
      <c r="AY27" s="67"/>
      <c r="AZ27" s="70">
        <f t="shared" si="4"/>
        <v>0</v>
      </c>
    </row>
    <row r="28" spans="2:52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64">
        <f>1-(1-VLOOKUP($E28,'Annual Mortality Rates'!$B$5:$C$105,2,FALSE))^(1/12)</f>
        <v>8.5873880504183653E-5</v>
      </c>
      <c r="G28" s="75">
        <f>IF(C28&gt;=Assumptions!$H$9*12,100%,1-(1-IF(D28&gt;=7,2%,VLOOKUP($D28,'Annual Lapse Rates'!$B$4:$C$14,2,FALSE)))^(1/12))</f>
        <v>6.9243826282994192E-3</v>
      </c>
      <c r="H28" s="81">
        <f t="shared" si="11"/>
        <v>9</v>
      </c>
      <c r="I28" s="65">
        <f t="shared" si="5"/>
        <v>4244.3097299600522</v>
      </c>
      <c r="J28" s="66">
        <f t="shared" si="6"/>
        <v>0.36447534657333353</v>
      </c>
      <c r="K28" s="66">
        <f t="shared" si="7"/>
        <v>29.598172466198385</v>
      </c>
      <c r="M28" s="97">
        <f t="shared" si="12"/>
        <v>5265.9857114936058</v>
      </c>
      <c r="N28" s="97">
        <f>IF(AND(H28=1,D28&lt;15),Assumptions!$H$4,0)</f>
        <v>0</v>
      </c>
      <c r="O28" s="103"/>
      <c r="P28" s="98">
        <f>$M28*(1+VLOOKUP($H28,Assumptions!$C$22:$D$33,2,FALSE))^(1/12)</f>
        <v>5278.1715688544336</v>
      </c>
      <c r="Q28" s="98">
        <f>$M28*(1+VLOOKUP($H28,Assumptions!$C$22:$D$33,2,FALSE))^(1/12)</f>
        <v>5278.1715688544336</v>
      </c>
      <c r="R28" s="97">
        <f>IF(AND(H28=12,D28&lt;15),Assumptions!$C$7*M28,0)</f>
        <v>0</v>
      </c>
      <c r="S28" s="99">
        <f>(M28+N28-O28)*Assumptions!$D$17</f>
        <v>21.454277631548496</v>
      </c>
      <c r="T28" s="99">
        <f t="shared" si="8"/>
        <v>0</v>
      </c>
      <c r="U28" s="101"/>
      <c r="V28" s="101">
        <f>IF(C28&gt;=Assumptions!$H$9*12,0,M28+N28-O28+S28-R28)</f>
        <v>5287.4399891251542</v>
      </c>
      <c r="W28" s="103"/>
      <c r="X28" s="97">
        <f>IF(AND(H28=1,D28&lt;15),Assumptions!$D$10*N28+Assumptions!$D$11*(1+Assumptions!$D$16)^(B28-1),0)</f>
        <v>0</v>
      </c>
      <c r="Y28" s="100">
        <f>Assumptions!$C$13*N28</f>
        <v>0</v>
      </c>
      <c r="AA28" s="67">
        <f t="shared" si="13"/>
        <v>22350474.393122919</v>
      </c>
      <c r="AB28" s="67">
        <f>N28*I28</f>
        <v>0</v>
      </c>
      <c r="AC28" s="67"/>
      <c r="AD28" s="90">
        <f>P28*J28</f>
        <v>1923.7634118317353</v>
      </c>
      <c r="AE28" s="90">
        <f>Q28*K28</f>
        <v>156224.23240113843</v>
      </c>
      <c r="AF28" s="67">
        <f>R28*I29</f>
        <v>0</v>
      </c>
      <c r="AG28" s="68">
        <f>S28*I28</f>
        <v>91058.599300845584</v>
      </c>
      <c r="AH28" s="68">
        <f>T28*$I28</f>
        <v>0</v>
      </c>
      <c r="AI28" s="68">
        <f>U28*$I28</f>
        <v>0</v>
      </c>
      <c r="AJ28" s="67">
        <f>V28*I29</f>
        <v>22283107.290198442</v>
      </c>
      <c r="AK28" s="67">
        <f>W28*$I28</f>
        <v>0</v>
      </c>
      <c r="AL28" s="67">
        <f>X28*$I28</f>
        <v>0</v>
      </c>
      <c r="AM28" s="67">
        <f>Y28*$I28</f>
        <v>0</v>
      </c>
      <c r="AN28" s="65">
        <f>NPV(Assumptions!$D$19,AB28:$AB$259)*(1+Assumptions!$D$19)</f>
        <v>78439070.086238787</v>
      </c>
      <c r="AO28" s="68">
        <f t="shared" si="9"/>
        <v>724304.66534168087</v>
      </c>
      <c r="AQ28" s="67">
        <f t="shared" si="14"/>
        <v>22421374.600174967</v>
      </c>
      <c r="AR28" s="95">
        <f>(AQ28+AB28-AC28)*Assumptions!$D$19</f>
        <v>96255.058157039413</v>
      </c>
      <c r="AS28" s="67">
        <f t="shared" si="15"/>
        <v>76096.665908241441</v>
      </c>
      <c r="AT28" s="67">
        <f t="shared" si="10"/>
        <v>21634899.290765002</v>
      </c>
      <c r="AU28" s="67"/>
      <c r="AV28" s="67"/>
      <c r="AW28" s="67"/>
      <c r="AY28" s="67"/>
      <c r="AZ28" s="70">
        <f t="shared" si="4"/>
        <v>0</v>
      </c>
    </row>
    <row r="29" spans="2:52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64">
        <f>1-(1-VLOOKUP($E29,'Annual Mortality Rates'!$B$5:$C$105,2,FALSE))^(1/12)</f>
        <v>8.5873880504183653E-5</v>
      </c>
      <c r="G29" s="75">
        <f>IF(C29&gt;=Assumptions!$H$9*12,100%,1-(1-IF(D29&gt;=7,2%,VLOOKUP($D29,'Annual Lapse Rates'!$B$4:$C$14,2,FALSE)))^(1/12))</f>
        <v>6.9243826282994192E-3</v>
      </c>
      <c r="H29" s="81">
        <f t="shared" si="11"/>
        <v>10</v>
      </c>
      <c r="I29" s="65">
        <f t="shared" si="5"/>
        <v>4214.3470821472802</v>
      </c>
      <c r="J29" s="66">
        <f t="shared" si="6"/>
        <v>0.36190233773547059</v>
      </c>
      <c r="K29" s="66">
        <f t="shared" si="7"/>
        <v>29.389224563257585</v>
      </c>
      <c r="M29" s="97">
        <f t="shared" si="12"/>
        <v>5287.4399891251542</v>
      </c>
      <c r="N29" s="97">
        <f>IF(AND(H29=1,D29&lt;15),Assumptions!$H$4,0)</f>
        <v>0</v>
      </c>
      <c r="O29" s="103"/>
      <c r="P29" s="98">
        <f>$M29*(1+VLOOKUP($H29,Assumptions!$C$22:$D$33,2,FALSE))^(1/12)</f>
        <v>5301.0159964106733</v>
      </c>
      <c r="Q29" s="98">
        <f>$M29*(1+VLOOKUP($H29,Assumptions!$C$22:$D$33,2,FALSE))^(1/12)</f>
        <v>5301.0159964106733</v>
      </c>
      <c r="R29" s="97">
        <f>IF(AND(H29=12,D29&lt;15),Assumptions!$C$7*M29,0)</f>
        <v>0</v>
      </c>
      <c r="S29" s="99">
        <f>(M29+N29-O29)*Assumptions!$D$17</f>
        <v>21.541685014308182</v>
      </c>
      <c r="T29" s="99">
        <f t="shared" si="8"/>
        <v>0</v>
      </c>
      <c r="U29" s="101"/>
      <c r="V29" s="101">
        <f>IF(C29&gt;=Assumptions!$H$9*12,0,M29+N29-O29+S29-R29)</f>
        <v>5308.9816741394625</v>
      </c>
      <c r="W29" s="103"/>
      <c r="X29" s="97">
        <f>IF(AND(H29=1,D29&lt;15),Assumptions!$D$10*N29+Assumptions!$D$11*(1+Assumptions!$D$16)^(B29-1),0)</f>
        <v>0</v>
      </c>
      <c r="Y29" s="100">
        <f>Assumptions!$C$13*N29</f>
        <v>0</v>
      </c>
      <c r="AA29" s="67">
        <f t="shared" si="13"/>
        <v>22283107.290198442</v>
      </c>
      <c r="AB29" s="67">
        <f>N29*I29</f>
        <v>0</v>
      </c>
      <c r="AC29" s="67"/>
      <c r="AD29" s="90">
        <f>P29*J29</f>
        <v>1918.4500814741477</v>
      </c>
      <c r="AE29" s="90">
        <f>Q29*K29</f>
        <v>155792.74953193395</v>
      </c>
      <c r="AF29" s="67">
        <f>R29*I30</f>
        <v>0</v>
      </c>
      <c r="AG29" s="68">
        <f>S29*I29</f>
        <v>90784.137384585483</v>
      </c>
      <c r="AH29" s="68">
        <f>T29*$I29</f>
        <v>0</v>
      </c>
      <c r="AI29" s="68">
        <f>U29*$I29</f>
        <v>0</v>
      </c>
      <c r="AJ29" s="67">
        <f>V29*I30</f>
        <v>22215943.240080658</v>
      </c>
      <c r="AK29" s="67">
        <f>W29*$I29</f>
        <v>0</v>
      </c>
      <c r="AL29" s="67">
        <f>X29*$I29</f>
        <v>0</v>
      </c>
      <c r="AM29" s="67">
        <f>Y29*$I29</f>
        <v>0</v>
      </c>
      <c r="AN29" s="65">
        <f>NPV(Assumptions!$D$19,AB29:$AB$259)*(1+Assumptions!$D$19)</f>
        <v>78775809.35345909</v>
      </c>
      <c r="AO29" s="68">
        <f t="shared" si="9"/>
        <v>727414.10840345186</v>
      </c>
      <c r="AQ29" s="67">
        <f t="shared" si="14"/>
        <v>22359203.956106681</v>
      </c>
      <c r="AR29" s="95">
        <f>(AQ29+AB29-AC29)*Assumptions!$D$19</f>
        <v>95988.159313094016</v>
      </c>
      <c r="AS29" s="67">
        <f t="shared" si="15"/>
        <v>81300.687836749974</v>
      </c>
      <c r="AT29" s="67">
        <f t="shared" si="10"/>
        <v>21569829.819513958</v>
      </c>
      <c r="AU29" s="67"/>
      <c r="AV29" s="67"/>
      <c r="AW29" s="67"/>
      <c r="AY29" s="67"/>
      <c r="AZ29" s="70">
        <f t="shared" si="4"/>
        <v>0</v>
      </c>
    </row>
    <row r="30" spans="2:52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64">
        <f>1-(1-VLOOKUP($E30,'Annual Mortality Rates'!$B$5:$C$105,2,FALSE))^(1/12)</f>
        <v>8.5873880504183653E-5</v>
      </c>
      <c r="G30" s="75">
        <f>IF(C30&gt;=Assumptions!$H$9*12,100%,1-(1-IF(D30&gt;=7,2%,VLOOKUP($D30,'Annual Lapse Rates'!$B$4:$C$14,2,FALSE)))^(1/12))</f>
        <v>6.9243826282994192E-3</v>
      </c>
      <c r="H30" s="81">
        <f t="shared" si="11"/>
        <v>11</v>
      </c>
      <c r="I30" s="65">
        <f t="shared" si="5"/>
        <v>4184.5959552462873</v>
      </c>
      <c r="J30" s="66">
        <f t="shared" si="6"/>
        <v>0.3593474930191099</v>
      </c>
      <c r="K30" s="66">
        <f t="shared" si="7"/>
        <v>29.181751725244972</v>
      </c>
      <c r="M30" s="97">
        <f t="shared" si="12"/>
        <v>5308.9816741394625</v>
      </c>
      <c r="N30" s="97">
        <f>IF(AND(H30=1,D30&lt;15),Assumptions!$H$4,0)</f>
        <v>0</v>
      </c>
      <c r="O30" s="103"/>
      <c r="P30" s="98">
        <f>$M30*(1+VLOOKUP($H30,Assumptions!$C$22:$D$33,2,FALSE))^(1/12)</f>
        <v>5323.955222757706</v>
      </c>
      <c r="Q30" s="98">
        <f>$M30*(1+VLOOKUP($H30,Assumptions!$C$22:$D$33,2,FALSE))^(1/12)</f>
        <v>5323.955222757706</v>
      </c>
      <c r="R30" s="97">
        <f>IF(AND(H30=12,D30&lt;15),Assumptions!$C$7*M30,0)</f>
        <v>0</v>
      </c>
      <c r="S30" s="99">
        <f>(M30+N30-O30)*Assumptions!$D$17</f>
        <v>21.629448505564838</v>
      </c>
      <c r="T30" s="99">
        <f t="shared" si="8"/>
        <v>0</v>
      </c>
      <c r="U30" s="101"/>
      <c r="V30" s="101">
        <f>IF(C30&gt;=Assumptions!$H$9*12,0,M30+N30-O30+S30-R30)</f>
        <v>5330.6111226450275</v>
      </c>
      <c r="W30" s="103"/>
      <c r="X30" s="97">
        <f>IF(AND(H30=1,D30&lt;15),Assumptions!$D$10*N30+Assumptions!$D$11*(1+Assumptions!$D$16)^(B30-1),0)</f>
        <v>0</v>
      </c>
      <c r="Y30" s="100">
        <f>Assumptions!$C$13*N30</f>
        <v>0</v>
      </c>
      <c r="AA30" s="67">
        <f t="shared" si="13"/>
        <v>22215943.240080658</v>
      </c>
      <c r="AB30" s="67">
        <f>N30*I30</f>
        <v>0</v>
      </c>
      <c r="AC30" s="67"/>
      <c r="AD30" s="90">
        <f>P30*J30</f>
        <v>1913.1499622439785</v>
      </c>
      <c r="AE30" s="90">
        <f>Q30*K30</f>
        <v>155362.33950683667</v>
      </c>
      <c r="AF30" s="67">
        <f>R30*I31</f>
        <v>0</v>
      </c>
      <c r="AG30" s="68">
        <f>S30*I30</f>
        <v>90510.502730594468</v>
      </c>
      <c r="AH30" s="68">
        <f>T30*$I30</f>
        <v>0</v>
      </c>
      <c r="AI30" s="68">
        <f>U30*$I30</f>
        <v>0</v>
      </c>
      <c r="AJ30" s="67">
        <f>V30*I31</f>
        <v>22148981.630743213</v>
      </c>
      <c r="AK30" s="67">
        <f>W30*$I30</f>
        <v>0</v>
      </c>
      <c r="AL30" s="67">
        <f>X30*$I30</f>
        <v>0</v>
      </c>
      <c r="AM30" s="67">
        <f>Y30*$I30</f>
        <v>0</v>
      </c>
      <c r="AN30" s="65">
        <f>NPV(Assumptions!$D$19,AB30:$AB$259)*(1+Assumptions!$D$19)</f>
        <v>79113994.243810385</v>
      </c>
      <c r="AO30" s="68">
        <f t="shared" si="9"/>
        <v>730536.90031773853</v>
      </c>
      <c r="AQ30" s="67">
        <f t="shared" si="14"/>
        <v>22297243.92791741</v>
      </c>
      <c r="AR30" s="95">
        <f>(AQ30+AB30-AC30)*Assumptions!$D$19</f>
        <v>95722.16464402838</v>
      </c>
      <c r="AS30" s="67">
        <f t="shared" si="15"/>
        <v>86512.349750183886</v>
      </c>
      <c r="AT30" s="67">
        <f t="shared" si="10"/>
        <v>21504957.080175657</v>
      </c>
      <c r="AU30" s="67"/>
      <c r="AV30" s="67"/>
      <c r="AW30" s="67"/>
      <c r="AY30" s="67"/>
      <c r="AZ30" s="70">
        <f t="shared" si="4"/>
        <v>0</v>
      </c>
    </row>
    <row r="31" spans="2:52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64">
        <f>1-(1-VLOOKUP($E31,'Annual Mortality Rates'!$B$5:$C$105,2,FALSE))^(1/12)</f>
        <v>8.5873880504183653E-5</v>
      </c>
      <c r="G31" s="75">
        <f>IF(C31&gt;=Assumptions!$H$9*12,100%,1-(1-IF(D31&gt;=7,2%,VLOOKUP($D31,'Annual Lapse Rates'!$B$4:$C$14,2,FALSE)))^(1/12))</f>
        <v>6.9243826282994192E-3</v>
      </c>
      <c r="H31" s="81">
        <f t="shared" si="11"/>
        <v>12</v>
      </c>
      <c r="I31" s="65">
        <f t="shared" si="5"/>
        <v>4155.0548560280231</v>
      </c>
      <c r="J31" s="66">
        <f t="shared" si="6"/>
        <v>0.35681068419487849</v>
      </c>
      <c r="K31" s="66">
        <f t="shared" si="7"/>
        <v>28.975743538959406</v>
      </c>
      <c r="M31" s="97">
        <f t="shared" si="12"/>
        <v>5330.6111226450275</v>
      </c>
      <c r="N31" s="97">
        <f>IF(AND(H31=1,D31&lt;15),Assumptions!$H$4,0)</f>
        <v>0</v>
      </c>
      <c r="O31" s="103"/>
      <c r="P31" s="98">
        <f>$M31*(1+VLOOKUP($H31,Assumptions!$C$22:$D$33,2,FALSE))^(1/12)</f>
        <v>5346.9896476231925</v>
      </c>
      <c r="Q31" s="98">
        <f>$M31*(1+VLOOKUP($H31,Assumptions!$C$22:$D$33,2,FALSE))^(1/12)</f>
        <v>5346.9896476231925</v>
      </c>
      <c r="R31" s="97">
        <f>IF(AND(H31=12,D31&lt;15),Assumptions!$C$7*M31,0)</f>
        <v>2.6653055613225138</v>
      </c>
      <c r="S31" s="99">
        <f>(M31+N31-O31)*Assumptions!$D$17</f>
        <v>21.717569556148558</v>
      </c>
      <c r="T31" s="99">
        <f t="shared" si="8"/>
        <v>0</v>
      </c>
      <c r="U31" s="101"/>
      <c r="V31" s="101">
        <f>IF(C31&gt;=Assumptions!$H$9*12,0,M31+N31-O31+S31-R31)</f>
        <v>5349.6633866398533</v>
      </c>
      <c r="W31" s="103"/>
      <c r="X31" s="97">
        <f>IF(AND(H31=1,D31&lt;15),Assumptions!$D$10*N31+Assumptions!$D$11*(1+Assumptions!$D$16)^(B31-1),0)</f>
        <v>0</v>
      </c>
      <c r="Y31" s="100">
        <f>Assumptions!$C$13*N31</f>
        <v>0</v>
      </c>
      <c r="AA31" s="67">
        <f t="shared" si="13"/>
        <v>22148981.630743213</v>
      </c>
      <c r="AB31" s="67">
        <f>N31*I31</f>
        <v>0</v>
      </c>
      <c r="AC31" s="67"/>
      <c r="AD31" s="90">
        <f>P31*J31</f>
        <v>1907.8630345513636</v>
      </c>
      <c r="AE31" s="90">
        <f>Q31*K31</f>
        <v>154933.00073500056</v>
      </c>
      <c r="AF31" s="67">
        <f>R31*I32</f>
        <v>10996.31059547284</v>
      </c>
      <c r="AG31" s="68">
        <f>S31*I31</f>
        <v>90237.692845401427</v>
      </c>
      <c r="AH31" s="68">
        <f>T31*$I31</f>
        <v>0</v>
      </c>
      <c r="AI31" s="68">
        <f>U31*$I31</f>
        <v>0</v>
      </c>
      <c r="AJ31" s="67">
        <f>V31*I32</f>
        <v>22071225.541409004</v>
      </c>
      <c r="AK31" s="67">
        <f>W31*$I31</f>
        <v>0</v>
      </c>
      <c r="AL31" s="67">
        <f>X31*$I31</f>
        <v>0</v>
      </c>
      <c r="AM31" s="67">
        <f>Y31*$I31</f>
        <v>0</v>
      </c>
      <c r="AN31" s="65">
        <f>NPV(Assumptions!$D$19,AB31:$AB$259)*(1+Assumptions!$D$19)</f>
        <v>79453630.963358954</v>
      </c>
      <c r="AO31" s="68">
        <f t="shared" si="9"/>
        <v>733673.09839122335</v>
      </c>
      <c r="AQ31" s="67">
        <f t="shared" si="14"/>
        <v>22235493.980493397</v>
      </c>
      <c r="AR31" s="95">
        <f>(AQ31+AB31-AC31)*Assumptions!$D$19</f>
        <v>95457.07185259684</v>
      </c>
      <c r="AS31" s="67">
        <f t="shared" si="15"/>
        <v>91731.7287573793</v>
      </c>
      <c r="AT31" s="67">
        <f t="shared" si="10"/>
        <v>21429284.171775158</v>
      </c>
      <c r="AU31" s="67"/>
      <c r="AV31" s="67"/>
      <c r="AW31" s="67"/>
      <c r="AY31" s="67"/>
      <c r="AZ31" s="70">
        <f t="shared" si="4"/>
        <v>0</v>
      </c>
    </row>
    <row r="32" spans="2:52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64">
        <f>1-(1-VLOOKUP($E32,'Annual Mortality Rates'!$B$5:$C$105,2,FALSE))^(1/12)</f>
        <v>9.5883882629710371E-5</v>
      </c>
      <c r="G32" s="75">
        <f>IF(C32&gt;=Assumptions!$H$9*12,100%,1-(1-IF(D32&gt;=7,2%,VLOOKUP($D32,'Annual Lapse Rates'!$B$4:$C$14,2,FALSE)))^(1/12))</f>
        <v>6.0293080661268927E-3</v>
      </c>
      <c r="H32" s="81">
        <f t="shared" si="11"/>
        <v>1</v>
      </c>
      <c r="I32" s="65">
        <f t="shared" si="5"/>
        <v>4125.7223018048689</v>
      </c>
      <c r="J32" s="66">
        <f t="shared" si="6"/>
        <v>0.39559027294903654</v>
      </c>
      <c r="K32" s="66">
        <f t="shared" si="7"/>
        <v>25.052105758649475</v>
      </c>
      <c r="M32" s="97">
        <f t="shared" si="12"/>
        <v>5349.6633866398533</v>
      </c>
      <c r="N32" s="97">
        <f>IF(AND(H32=1,D32&lt;15),Assumptions!$H$4,0)</f>
        <v>2500</v>
      </c>
      <c r="O32" s="103"/>
      <c r="P32" s="98">
        <f>$M32*(1+VLOOKUP($H32,Assumptions!$C$22:$D$33,2,FALSE))^(1/12)</f>
        <v>5351.0545367366067</v>
      </c>
      <c r="Q32" s="98">
        <f>$M32*(1+VLOOKUP($H32,Assumptions!$C$22:$D$33,2,FALSE))^(1/12)</f>
        <v>5351.0545367366067</v>
      </c>
      <c r="R32" s="97">
        <f>IF(AND(H32=12,D32&lt;15),Assumptions!$C$7*M32,0)</f>
        <v>0</v>
      </c>
      <c r="S32" s="99">
        <f>(M32+N32-O32)*Assumptions!$D$17</f>
        <v>31.980500297143106</v>
      </c>
      <c r="T32" s="99">
        <f t="shared" si="8"/>
        <v>0</v>
      </c>
      <c r="U32" s="101"/>
      <c r="V32" s="101">
        <f>IF(C32&gt;=Assumptions!$H$9*12,0,M32+N32-O32+S32-R32)</f>
        <v>7881.6438869369968</v>
      </c>
      <c r="W32" s="103"/>
      <c r="X32" s="97">
        <f>IF(AND(H32=1,D32&lt;15),Assumptions!$D$10*N32+Assumptions!$D$11*(1+Assumptions!$D$16)^(B32-1),0)</f>
        <v>19.262600000000006</v>
      </c>
      <c r="Y32" s="100">
        <f>Assumptions!$C$13*N32</f>
        <v>12.5</v>
      </c>
      <c r="AA32" s="67">
        <f t="shared" si="13"/>
        <v>22071225.541409004</v>
      </c>
      <c r="AB32" s="67">
        <f>N32*I32</f>
        <v>10314305.754512172</v>
      </c>
      <c r="AC32" s="67"/>
      <c r="AD32" s="90">
        <f>P32*J32</f>
        <v>2116.8251247528146</v>
      </c>
      <c r="AE32" s="90">
        <f>Q32*K32</f>
        <v>134055.18417462654</v>
      </c>
      <c r="AF32" s="67">
        <f>R32*I33</f>
        <v>0</v>
      </c>
      <c r="AG32" s="68">
        <f>S32*I32</f>
        <v>131942.66329880056</v>
      </c>
      <c r="AH32" s="68">
        <f>T32*$I32</f>
        <v>0</v>
      </c>
      <c r="AI32" s="68">
        <f>U32*$I32</f>
        <v>0</v>
      </c>
      <c r="AJ32" s="67">
        <f>V32*I33</f>
        <v>32316904.281355899</v>
      </c>
      <c r="AK32" s="67">
        <f>W32*$I32</f>
        <v>0</v>
      </c>
      <c r="AL32" s="67">
        <f>X32*$I32</f>
        <v>79472.138410746498</v>
      </c>
      <c r="AM32" s="67">
        <f>Y32*$I32</f>
        <v>51571.528772560865</v>
      </c>
      <c r="AN32" s="65">
        <f>NPV(Assumptions!$D$19,AB32:$AB$259)*(1+Assumptions!$D$19)</f>
        <v>79794725.744813904</v>
      </c>
      <c r="AO32" s="68">
        <f t="shared" si="9"/>
        <v>641580.68541029096</v>
      </c>
      <c r="AQ32" s="67">
        <f t="shared" si="14"/>
        <v>22162957.270166382</v>
      </c>
      <c r="AR32" s="95">
        <f>(AQ32+AB32-AC32)*Assumptions!$D$19</f>
        <v>139425.03066683098</v>
      </c>
      <c r="AS32" s="67">
        <f t="shared" si="15"/>
        <v>99214.096125409735</v>
      </c>
      <c r="AT32" s="67">
        <f t="shared" si="10"/>
        <v>31774537.692071017</v>
      </c>
      <c r="AU32" s="67"/>
      <c r="AV32" s="67"/>
      <c r="AW32" s="67"/>
      <c r="AY32" s="67"/>
      <c r="AZ32" s="70">
        <f t="shared" si="4"/>
        <v>0</v>
      </c>
    </row>
    <row r="33" spans="2:52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64">
        <f>1-(1-VLOOKUP($E33,'Annual Mortality Rates'!$B$5:$C$105,2,FALSE))^(1/12)</f>
        <v>9.5883882629710371E-5</v>
      </c>
      <c r="G33" s="75">
        <f>IF(C33&gt;=Assumptions!$H$9*12,100%,1-(1-IF(D33&gt;=7,2%,VLOOKUP($D33,'Annual Lapse Rates'!$B$4:$C$14,2,FALSE)))^(1/12))</f>
        <v>6.0293080661268927E-3</v>
      </c>
      <c r="H33" s="81">
        <f t="shared" si="11"/>
        <v>2</v>
      </c>
      <c r="I33" s="65">
        <f t="shared" si="5"/>
        <v>4100.2746057732702</v>
      </c>
      <c r="J33" s="66">
        <f t="shared" si="6"/>
        <v>0.39315024904954621</v>
      </c>
      <c r="K33" s="66">
        <f t="shared" si="7"/>
        <v>24.875250752871708</v>
      </c>
      <c r="M33" s="97">
        <f t="shared" si="12"/>
        <v>7881.6438869369968</v>
      </c>
      <c r="N33" s="97">
        <f>IF(AND(H33=1,D33&lt;15),Assumptions!$H$4,0)</f>
        <v>0</v>
      </c>
      <c r="O33" s="103"/>
      <c r="P33" s="98">
        <f>$M33*(1+VLOOKUP($H33,Assumptions!$C$22:$D$33,2,FALSE))^(1/12)</f>
        <v>7885.7371973568297</v>
      </c>
      <c r="Q33" s="98">
        <f>$M33*(1+VLOOKUP($H33,Assumptions!$C$22:$D$33,2,FALSE))^(1/12)</f>
        <v>7885.7371973568297</v>
      </c>
      <c r="R33" s="97">
        <f>IF(AND(H33=12,D33&lt;15),Assumptions!$C$7*M33,0)</f>
        <v>0</v>
      </c>
      <c r="S33" s="99">
        <f>(M33+N33-O33)*Assumptions!$D$17</f>
        <v>32.110792814016669</v>
      </c>
      <c r="T33" s="99">
        <f t="shared" si="8"/>
        <v>0</v>
      </c>
      <c r="U33" s="101"/>
      <c r="V33" s="101">
        <f>IF(C33&gt;=Assumptions!$H$9*12,0,M33+N33-O33+S33-R33)</f>
        <v>7913.7546797510131</v>
      </c>
      <c r="W33" s="103"/>
      <c r="X33" s="97">
        <f>IF(AND(H33=1,D33&lt;15),Assumptions!$D$10*N33+Assumptions!$D$11*(1+Assumptions!$D$16)^(B33-1),0)</f>
        <v>0</v>
      </c>
      <c r="Y33" s="100">
        <f>Assumptions!$C$13*N33</f>
        <v>0</v>
      </c>
      <c r="AA33" s="67">
        <f t="shared" si="13"/>
        <v>32316904.281355899</v>
      </c>
      <c r="AB33" s="67">
        <f>N33*I33</f>
        <v>0</v>
      </c>
      <c r="AC33" s="67"/>
      <c r="AD33" s="90">
        <f>P33*J33</f>
        <v>3100.2795430801079</v>
      </c>
      <c r="AE33" s="90">
        <f>Q33*K33</f>
        <v>196159.69015549892</v>
      </c>
      <c r="AF33" s="67">
        <f>R33*I34</f>
        <v>0</v>
      </c>
      <c r="AG33" s="68">
        <f>S33*I33</f>
        <v>131663.06834655936</v>
      </c>
      <c r="AH33" s="68">
        <f>T33*$I33</f>
        <v>0</v>
      </c>
      <c r="AI33" s="68">
        <f>U33*$I33</f>
        <v>0</v>
      </c>
      <c r="AJ33" s="67">
        <f>V33*I34</f>
        <v>32248599.423023678</v>
      </c>
      <c r="AK33" s="67">
        <f>W33*$I33</f>
        <v>0</v>
      </c>
      <c r="AL33" s="67">
        <f>X33*$I33</f>
        <v>0</v>
      </c>
      <c r="AM33" s="67">
        <f>Y33*$I33</f>
        <v>0</v>
      </c>
      <c r="AN33" s="65">
        <f>NPV(Assumptions!$D$19,AB33:$AB$259)*(1+Assumptions!$D$19)</f>
        <v>69778699.733903617</v>
      </c>
      <c r="AO33" s="68">
        <f t="shared" si="9"/>
        <v>644334.994068339</v>
      </c>
      <c r="AQ33" s="67">
        <f t="shared" si="14"/>
        <v>32416118.377481308</v>
      </c>
      <c r="AR33" s="95">
        <f>(AQ33+AB33-AC33)*Assumptions!$D$19</f>
        <v>139162.53643189158</v>
      </c>
      <c r="AS33" s="67">
        <f t="shared" si="15"/>
        <v>106713.56421074196</v>
      </c>
      <c r="AT33" s="67">
        <f t="shared" si="10"/>
        <v>31710977.993166082</v>
      </c>
      <c r="AU33" s="67"/>
      <c r="AV33" s="67"/>
      <c r="AW33" s="67"/>
      <c r="AY33" s="67"/>
      <c r="AZ33" s="70">
        <f t="shared" si="4"/>
        <v>0</v>
      </c>
    </row>
    <row r="34" spans="2:52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64">
        <f>1-(1-VLOOKUP($E34,'Annual Mortality Rates'!$B$5:$C$105,2,FALSE))^(1/12)</f>
        <v>9.5883882629710371E-5</v>
      </c>
      <c r="G34" s="75">
        <f>IF(C34&gt;=Assumptions!$H$9*12,100%,1-(1-IF(D34&gt;=7,2%,VLOOKUP($D34,'Annual Lapse Rates'!$B$4:$C$14,2,FALSE)))^(1/12))</f>
        <v>6.0293080661268927E-3</v>
      </c>
      <c r="H34" s="81">
        <f t="shared" si="11"/>
        <v>3</v>
      </c>
      <c r="I34" s="65">
        <f t="shared" si="5"/>
        <v>4075.0062047713491</v>
      </c>
      <c r="J34" s="66">
        <f t="shared" si="6"/>
        <v>0.39072741665363753</v>
      </c>
      <c r="K34" s="66">
        <f t="shared" si="7"/>
        <v>24.721818753924044</v>
      </c>
      <c r="M34" s="97">
        <f t="shared" si="12"/>
        <v>7913.7546797510131</v>
      </c>
      <c r="N34" s="97">
        <f>IF(AND(H34=1,D34&lt;15),Assumptions!$H$4,0)</f>
        <v>0</v>
      </c>
      <c r="O34" s="103"/>
      <c r="P34" s="98">
        <f>$M34*(1+VLOOKUP($H34,Assumptions!$C$22:$D$33,2,FALSE))^(1/12)</f>
        <v>7919.9108926847957</v>
      </c>
      <c r="Q34" s="98">
        <f>$M34*(1+VLOOKUP($H34,Assumptions!$C$22:$D$33,2,FALSE))^(1/12)</f>
        <v>7919.9108926847957</v>
      </c>
      <c r="R34" s="97">
        <f>IF(AND(H34=12,D34&lt;15),Assumptions!$C$7*M34,0)</f>
        <v>0</v>
      </c>
      <c r="S34" s="99">
        <f>(M34+N34-O34)*Assumptions!$D$17</f>
        <v>32.241616158732064</v>
      </c>
      <c r="T34" s="99">
        <f t="shared" si="8"/>
        <v>0</v>
      </c>
      <c r="U34" s="101"/>
      <c r="V34" s="101">
        <f>IF(C34&gt;=Assumptions!$H$9*12,0,M34+N34-O34+S34-R34)</f>
        <v>7945.9962959097447</v>
      </c>
      <c r="W34" s="103"/>
      <c r="X34" s="97">
        <f>IF(AND(H34=1,D34&lt;15),Assumptions!$D$10*N34+Assumptions!$D$11*(1+Assumptions!$D$16)^(B34-1),0)</f>
        <v>0</v>
      </c>
      <c r="Y34" s="100">
        <f>Assumptions!$C$13*N34</f>
        <v>0</v>
      </c>
      <c r="AA34" s="67">
        <f t="shared" si="13"/>
        <v>32248599.423023678</v>
      </c>
      <c r="AB34" s="67">
        <f>N34*I34</f>
        <v>0</v>
      </c>
      <c r="AC34" s="67"/>
      <c r="AD34" s="90">
        <f>P34*J34</f>
        <v>3094.5263232257344</v>
      </c>
      <c r="AE34" s="90">
        <f>Q34*K34</f>
        <v>195794.60163618231</v>
      </c>
      <c r="AF34" s="67">
        <f>R34*I35</f>
        <v>0</v>
      </c>
      <c r="AG34" s="68">
        <f>S34*I34</f>
        <v>131384.78589868936</v>
      </c>
      <c r="AH34" s="68">
        <f>T34*$I34</f>
        <v>0</v>
      </c>
      <c r="AI34" s="68">
        <f>U34*$I34</f>
        <v>0</v>
      </c>
      <c r="AJ34" s="67">
        <f>V34*I35</f>
        <v>32180440.010070093</v>
      </c>
      <c r="AK34" s="67">
        <f>W34*$I34</f>
        <v>0</v>
      </c>
      <c r="AL34" s="67">
        <f>X34*$I34</f>
        <v>0</v>
      </c>
      <c r="AM34" s="67">
        <f>Y34*$I34</f>
        <v>0</v>
      </c>
      <c r="AN34" s="65">
        <f>NPV(Assumptions!$D$19,AB34:$AB$259)*(1+Assumptions!$D$19)</f>
        <v>70078259.993735194</v>
      </c>
      <c r="AO34" s="68">
        <f t="shared" si="9"/>
        <v>647101.12698537181</v>
      </c>
      <c r="AQ34" s="67">
        <f t="shared" si="14"/>
        <v>32355312.987234421</v>
      </c>
      <c r="AR34" s="95">
        <f>(AQ34+AB34-AC34)*Assumptions!$D$19</f>
        <v>138901.49862850775</v>
      </c>
      <c r="AS34" s="67">
        <f t="shared" si="15"/>
        <v>114230.27694056035</v>
      </c>
      <c r="AT34" s="67">
        <f t="shared" si="10"/>
        <v>31647569.160025284</v>
      </c>
      <c r="AU34" s="67"/>
      <c r="AV34" s="67"/>
      <c r="AW34" s="67"/>
      <c r="AY34" s="67"/>
      <c r="AZ34" s="70">
        <f t="shared" si="4"/>
        <v>0</v>
      </c>
    </row>
    <row r="35" spans="2:52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64">
        <f>1-(1-VLOOKUP($E35,'Annual Mortality Rates'!$B$5:$C$105,2,FALSE))^(1/12)</f>
        <v>9.5883882629710371E-5</v>
      </c>
      <c r="G35" s="75">
        <f>IF(C35&gt;=Assumptions!$H$9*12,100%,1-(1-IF(D35&gt;=7,2%,VLOOKUP($D35,'Annual Lapse Rates'!$B$4:$C$14,2,FALSE)))^(1/12))</f>
        <v>6.0293080661268927E-3</v>
      </c>
      <c r="H35" s="81">
        <f t="shared" si="11"/>
        <v>4</v>
      </c>
      <c r="I35" s="65">
        <f t="shared" si="5"/>
        <v>4049.8936586007712</v>
      </c>
      <c r="J35" s="66">
        <f t="shared" si="6"/>
        <v>0.38831952822408466</v>
      </c>
      <c r="K35" s="66">
        <f t="shared" si="7"/>
        <v>24.569467779945033</v>
      </c>
      <c r="M35" s="97">
        <f t="shared" si="12"/>
        <v>7945.9962959097447</v>
      </c>
      <c r="N35" s="97">
        <f>IF(AND(H35=1,D35&lt;15),Assumptions!$H$4,0)</f>
        <v>0</v>
      </c>
      <c r="O35" s="103"/>
      <c r="P35" s="98">
        <f>$M35*(1+VLOOKUP($H35,Assumptions!$C$22:$D$33,2,FALSE))^(1/12)</f>
        <v>7954.2263299060414</v>
      </c>
      <c r="Q35" s="98">
        <f>$M35*(1+VLOOKUP($H35,Assumptions!$C$22:$D$33,2,FALSE))^(1/12)</f>
        <v>7954.2263299060414</v>
      </c>
      <c r="R35" s="97">
        <f>IF(AND(H35=12,D35&lt;15),Assumptions!$C$7*M35,0)</f>
        <v>0</v>
      </c>
      <c r="S35" s="99">
        <f>(M35+N35-O35)*Assumptions!$D$17</f>
        <v>32.372972493947614</v>
      </c>
      <c r="T35" s="99">
        <f t="shared" si="8"/>
        <v>0</v>
      </c>
      <c r="U35" s="101"/>
      <c r="V35" s="101">
        <f>IF(C35&gt;=Assumptions!$H$9*12,0,M35+N35-O35+S35-R35)</f>
        <v>7978.3692684036923</v>
      </c>
      <c r="W35" s="103"/>
      <c r="X35" s="97">
        <f>IF(AND(H35=1,D35&lt;15),Assumptions!$D$10*N35+Assumptions!$D$11*(1+Assumptions!$D$16)^(B35-1),0)</f>
        <v>0</v>
      </c>
      <c r="Y35" s="100">
        <f>Assumptions!$C$13*N35</f>
        <v>0</v>
      </c>
      <c r="AA35" s="67">
        <f t="shared" si="13"/>
        <v>32180440.010070093</v>
      </c>
      <c r="AB35" s="67">
        <f>N35*I35</f>
        <v>0</v>
      </c>
      <c r="AC35" s="67"/>
      <c r="AD35" s="90">
        <f>P35*J35</f>
        <v>3088.7814158167066</v>
      </c>
      <c r="AE35" s="90">
        <f>Q35*K35</f>
        <v>195431.10752701692</v>
      </c>
      <c r="AF35" s="67">
        <f>R35*I36</f>
        <v>0</v>
      </c>
      <c r="AG35" s="68">
        <f>S35*I35</f>
        <v>131107.09601329564</v>
      </c>
      <c r="AH35" s="68">
        <f>T35*$I35</f>
        <v>0</v>
      </c>
      <c r="AI35" s="68">
        <f>U35*$I35</f>
        <v>0</v>
      </c>
      <c r="AJ35" s="67">
        <f>V35*I36</f>
        <v>32112424.662816536</v>
      </c>
      <c r="AK35" s="67">
        <f>W35*$I35</f>
        <v>0</v>
      </c>
      <c r="AL35" s="67">
        <f>X35*$I35</f>
        <v>0</v>
      </c>
      <c r="AM35" s="67">
        <f>Y35*$I35</f>
        <v>0</v>
      </c>
      <c r="AN35" s="65">
        <f>NPV(Assumptions!$D$19,AB35:$AB$259)*(1+Assumptions!$D$19)</f>
        <v>70379106.267058179</v>
      </c>
      <c r="AO35" s="68">
        <f t="shared" si="9"/>
        <v>649879.13492298371</v>
      </c>
      <c r="AQ35" s="67">
        <f t="shared" si="14"/>
        <v>32294670.287010655</v>
      </c>
      <c r="AR35" s="95">
        <f>(AQ35+AB35-AC35)*Assumptions!$D$19</f>
        <v>138641.159254097</v>
      </c>
      <c r="AS35" s="67">
        <f t="shared" si="15"/>
        <v>121764.34018136171</v>
      </c>
      <c r="AT35" s="67">
        <f t="shared" si="10"/>
        <v>31584309.868074913</v>
      </c>
      <c r="AU35" s="67"/>
      <c r="AV35" s="67"/>
      <c r="AW35" s="67"/>
      <c r="AY35" s="67"/>
      <c r="AZ35" s="70">
        <f t="shared" si="4"/>
        <v>0</v>
      </c>
    </row>
    <row r="36" spans="2:52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64">
        <f>1-(1-VLOOKUP($E36,'Annual Mortality Rates'!$B$5:$C$105,2,FALSE))^(1/12)</f>
        <v>9.5883882629710371E-5</v>
      </c>
      <c r="G36" s="75">
        <f>IF(C36&gt;=Assumptions!$H$9*12,100%,1-(1-IF(D36&gt;=7,2%,VLOOKUP($D36,'Annual Lapse Rates'!$B$4:$C$14,2,FALSE)))^(1/12))</f>
        <v>6.0293080661268927E-3</v>
      </c>
      <c r="H36" s="81">
        <f t="shared" si="11"/>
        <v>5</v>
      </c>
      <c r="I36" s="65">
        <f t="shared" si="5"/>
        <v>4024.9358712926019</v>
      </c>
      <c r="J36" s="66">
        <f t="shared" si="6"/>
        <v>0.38592647867513086</v>
      </c>
      <c r="K36" s="66">
        <f t="shared" si="7"/>
        <v>24.418056502757782</v>
      </c>
      <c r="M36" s="97">
        <f t="shared" si="12"/>
        <v>7978.3692684036923</v>
      </c>
      <c r="N36" s="97">
        <f>IF(AND(H36=1,D36&lt;15),Assumptions!$H$4,0)</f>
        <v>0</v>
      </c>
      <c r="O36" s="103"/>
      <c r="P36" s="98">
        <f>$M36*(1+VLOOKUP($H36,Assumptions!$C$22:$D$33,2,FALSE))^(1/12)</f>
        <v>7988.6841075509146</v>
      </c>
      <c r="Q36" s="98">
        <f>$M36*(1+VLOOKUP($H36,Assumptions!$C$22:$D$33,2,FALSE))^(1/12)</f>
        <v>7988.6841075509146</v>
      </c>
      <c r="R36" s="97">
        <f>IF(AND(H36=12,D36&lt;15),Assumptions!$C$7*M36,0)</f>
        <v>0</v>
      </c>
      <c r="S36" s="99">
        <f>(M36+N36-O36)*Assumptions!$D$17</f>
        <v>32.504863991132595</v>
      </c>
      <c r="T36" s="99">
        <f t="shared" si="8"/>
        <v>0</v>
      </c>
      <c r="U36" s="101"/>
      <c r="V36" s="101">
        <f>IF(C36&gt;=Assumptions!$H$9*12,0,M36+N36-O36+S36-R36)</f>
        <v>8010.8741323948252</v>
      </c>
      <c r="W36" s="103"/>
      <c r="X36" s="97">
        <f>IF(AND(H36=1,D36&lt;15),Assumptions!$D$10*N36+Assumptions!$D$11*(1+Assumptions!$D$16)^(B36-1),0)</f>
        <v>0</v>
      </c>
      <c r="Y36" s="100">
        <f>Assumptions!$C$13*N36</f>
        <v>0</v>
      </c>
      <c r="AA36" s="67">
        <f t="shared" si="13"/>
        <v>32112424.662816536</v>
      </c>
      <c r="AB36" s="67">
        <f>N36*I36</f>
        <v>0</v>
      </c>
      <c r="AC36" s="67"/>
      <c r="AD36" s="90">
        <f>P36*J36</f>
        <v>3083.044726875105</v>
      </c>
      <c r="AE36" s="90">
        <f>Q36*K36</f>
        <v>195068.13992086137</v>
      </c>
      <c r="AF36" s="67">
        <f>R36*I37</f>
        <v>0</v>
      </c>
      <c r="AG36" s="68">
        <f>S36*I36</f>
        <v>130829.99306939679</v>
      </c>
      <c r="AH36" s="68">
        <f>T36*$I36</f>
        <v>0</v>
      </c>
      <c r="AI36" s="68">
        <f>U36*$I36</f>
        <v>0</v>
      </c>
      <c r="AJ36" s="67">
        <f>V36*I37</f>
        <v>32044553.070239611</v>
      </c>
      <c r="AK36" s="67">
        <f>W36*$I36</f>
        <v>0</v>
      </c>
      <c r="AL36" s="67">
        <f>X36*$I36</f>
        <v>0</v>
      </c>
      <c r="AM36" s="67">
        <f>Y36*$I36</f>
        <v>0</v>
      </c>
      <c r="AN36" s="65">
        <f>NPV(Assumptions!$D$19,AB36:$AB$259)*(1+Assumptions!$D$19)</f>
        <v>70681244.074734017</v>
      </c>
      <c r="AO36" s="68">
        <f t="shared" si="9"/>
        <v>652669.06886069034</v>
      </c>
      <c r="AQ36" s="67">
        <f t="shared" si="14"/>
        <v>32234189.002997898</v>
      </c>
      <c r="AR36" s="95">
        <f>(AQ36+AB36-AC36)*Assumptions!$D$19</f>
        <v>138381.51284017845</v>
      </c>
      <c r="AS36" s="67">
        <f t="shared" si="15"/>
        <v>129315.85995214336</v>
      </c>
      <c r="AT36" s="67">
        <f t="shared" si="10"/>
        <v>31521199.861331064</v>
      </c>
      <c r="AU36" s="67"/>
      <c r="AV36" s="67"/>
      <c r="AW36" s="67"/>
      <c r="AY36" s="67"/>
      <c r="AZ36" s="70">
        <f t="shared" si="4"/>
        <v>0</v>
      </c>
    </row>
    <row r="37" spans="2:52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64">
        <f>1-(1-VLOOKUP($E37,'Annual Mortality Rates'!$B$5:$C$105,2,FALSE))^(1/12)</f>
        <v>9.5883882629710371E-5</v>
      </c>
      <c r="G37" s="75">
        <f>IF(C37&gt;=Assumptions!$H$9*12,100%,1-(1-IF(D37&gt;=7,2%,VLOOKUP($D37,'Annual Lapse Rates'!$B$4:$C$14,2,FALSE)))^(1/12))</f>
        <v>6.0293080661268927E-3</v>
      </c>
      <c r="H37" s="81">
        <f t="shared" si="11"/>
        <v>6</v>
      </c>
      <c r="I37" s="65">
        <f t="shared" si="5"/>
        <v>4000.131888311169</v>
      </c>
      <c r="J37" s="66">
        <f t="shared" si="6"/>
        <v>0.38354817648218986</v>
      </c>
      <c r="K37" s="66">
        <f t="shared" si="7"/>
        <v>24.267578314427958</v>
      </c>
      <c r="M37" s="97">
        <f t="shared" si="12"/>
        <v>8010.8741323948252</v>
      </c>
      <c r="N37" s="97">
        <f>IF(AND(H37=1,D37&lt;15),Assumptions!$H$4,0)</f>
        <v>0</v>
      </c>
      <c r="O37" s="103"/>
      <c r="P37" s="98">
        <f>$M37*(1+VLOOKUP($H37,Assumptions!$C$22:$D$33,2,FALSE))^(1/12)</f>
        <v>8023.2848265480334</v>
      </c>
      <c r="Q37" s="98">
        <f>$M37*(1+VLOOKUP($H37,Assumptions!$C$22:$D$33,2,FALSE))^(1/12)</f>
        <v>8023.2848265480334</v>
      </c>
      <c r="R37" s="97">
        <f>IF(AND(H37=12,D37&lt;15),Assumptions!$C$7*M37,0)</f>
        <v>0</v>
      </c>
      <c r="S37" s="99">
        <f>(M37+N37-O37)*Assumptions!$D$17</f>
        <v>32.63729283060313</v>
      </c>
      <c r="T37" s="99">
        <f t="shared" si="8"/>
        <v>0</v>
      </c>
      <c r="U37" s="101"/>
      <c r="V37" s="101">
        <f>IF(C37&gt;=Assumptions!$H$9*12,0,M37+N37-O37+S37-R37)</f>
        <v>8043.511425225428</v>
      </c>
      <c r="W37" s="103"/>
      <c r="X37" s="97">
        <f>IF(AND(H37=1,D37&lt;15),Assumptions!$D$10*N37+Assumptions!$D$11*(1+Assumptions!$D$16)^(B37-1),0)</f>
        <v>0</v>
      </c>
      <c r="Y37" s="100">
        <f>Assumptions!$C$13*N37</f>
        <v>0</v>
      </c>
      <c r="AA37" s="67">
        <f t="shared" si="13"/>
        <v>32044553.070239611</v>
      </c>
      <c r="AB37" s="67">
        <f>N37*I37</f>
        <v>0</v>
      </c>
      <c r="AC37" s="67"/>
      <c r="AD37" s="90">
        <f>P37*J37</f>
        <v>3077.3162646197211</v>
      </c>
      <c r="AE37" s="90">
        <f>Q37*K37</f>
        <v>194705.69286721593</v>
      </c>
      <c r="AF37" s="67">
        <f>R37*I38</f>
        <v>0</v>
      </c>
      <c r="AG37" s="68">
        <f>S37*I37</f>
        <v>130553.47579984508</v>
      </c>
      <c r="AH37" s="68">
        <f>T37*$I37</f>
        <v>0</v>
      </c>
      <c r="AI37" s="68">
        <f>U37*$I37</f>
        <v>0</v>
      </c>
      <c r="AJ37" s="67">
        <f>V37*I38</f>
        <v>31976824.928465143</v>
      </c>
      <c r="AK37" s="67">
        <f>W37*$I37</f>
        <v>0</v>
      </c>
      <c r="AL37" s="67">
        <f>X37*$I37</f>
        <v>0</v>
      </c>
      <c r="AM37" s="67">
        <f>Y37*$I37</f>
        <v>0</v>
      </c>
      <c r="AN37" s="65">
        <f>NPV(Assumptions!$D$19,AB37:$AB$259)*(1+Assumptions!$D$19)</f>
        <v>70984678.961325347</v>
      </c>
      <c r="AO37" s="68">
        <f t="shared" si="9"/>
        <v>655470.97999686119</v>
      </c>
      <c r="AQ37" s="67">
        <f t="shared" si="14"/>
        <v>32173868.930191755</v>
      </c>
      <c r="AR37" s="95">
        <f>(AQ37+AB37-AC37)*Assumptions!$D$19</f>
        <v>138122.55850666729</v>
      </c>
      <c r="AS37" s="67">
        <f t="shared" si="15"/>
        <v>136884.94265896559</v>
      </c>
      <c r="AT37" s="67">
        <f t="shared" si="10"/>
        <v>31458238.891127247</v>
      </c>
      <c r="AU37" s="67"/>
      <c r="AV37" s="67"/>
      <c r="AW37" s="67"/>
      <c r="AY37" s="67"/>
      <c r="AZ37" s="70">
        <f t="shared" si="4"/>
        <v>0</v>
      </c>
    </row>
    <row r="38" spans="2:52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64">
        <f>1-(1-VLOOKUP($E38,'Annual Mortality Rates'!$B$5:$C$105,2,FALSE))^(1/12)</f>
        <v>9.5883882629710371E-5</v>
      </c>
      <c r="G38" s="75">
        <f>IF(C38&gt;=Assumptions!$H$9*12,100%,1-(1-IF(D38&gt;=7,2%,VLOOKUP($D38,'Annual Lapse Rates'!$B$4:$C$14,2,FALSE)))^(1/12))</f>
        <v>6.0293080661268927E-3</v>
      </c>
      <c r="H38" s="81">
        <f t="shared" si="11"/>
        <v>7</v>
      </c>
      <c r="I38" s="65">
        <f t="shared" si="5"/>
        <v>3975.480761820259</v>
      </c>
      <c r="J38" s="66">
        <f t="shared" si="6"/>
        <v>0.38118453076304526</v>
      </c>
      <c r="K38" s="66">
        <f t="shared" si="7"/>
        <v>24.11802745976593</v>
      </c>
      <c r="M38" s="97">
        <f t="shared" si="12"/>
        <v>8043.511425225428</v>
      </c>
      <c r="N38" s="97">
        <f>IF(AND(H38=1,D38&lt;15),Assumptions!$H$4,0)</f>
        <v>0</v>
      </c>
      <c r="O38" s="103"/>
      <c r="P38" s="98">
        <f>$M38*(1+VLOOKUP($H38,Assumptions!$C$22:$D$33,2,FALSE))^(1/12)</f>
        <v>8058.0290902351708</v>
      </c>
      <c r="Q38" s="98">
        <f>$M38*(1+VLOOKUP($H38,Assumptions!$C$22:$D$33,2,FALSE))^(1/12)</f>
        <v>8058.0290902351708</v>
      </c>
      <c r="R38" s="97">
        <f>IF(AND(H38=12,D38&lt;15),Assumptions!$C$7*M38,0)</f>
        <v>0</v>
      </c>
      <c r="S38" s="99">
        <f>(M38+N38-O38)*Assumptions!$D$17</f>
        <v>32.770261201558178</v>
      </c>
      <c r="T38" s="99">
        <f t="shared" si="8"/>
        <v>0</v>
      </c>
      <c r="U38" s="101"/>
      <c r="V38" s="101">
        <f>IF(C38&gt;=Assumptions!$H$9*12,0,M38+N38-O38+S38-R38)</f>
        <v>8076.2816864269862</v>
      </c>
      <c r="W38" s="103"/>
      <c r="X38" s="97">
        <f>IF(AND(H38=1,D38&lt;15),Assumptions!$D$10*N38+Assumptions!$D$11*(1+Assumptions!$D$16)^(B38-1),0)</f>
        <v>0</v>
      </c>
      <c r="Y38" s="100">
        <f>Assumptions!$C$13*N38</f>
        <v>0</v>
      </c>
      <c r="AA38" s="67">
        <f t="shared" si="13"/>
        <v>31976824.928465143</v>
      </c>
      <c r="AB38" s="67">
        <f>N38*I38</f>
        <v>0</v>
      </c>
      <c r="AC38" s="67"/>
      <c r="AD38" s="90">
        <f>P38*J38</f>
        <v>3071.5960376362623</v>
      </c>
      <c r="AE38" s="90">
        <f>Q38*K38</f>
        <v>194343.76686988451</v>
      </c>
      <c r="AF38" s="67">
        <f>R38*I39</f>
        <v>0</v>
      </c>
      <c r="AG38" s="68">
        <f>S38*I38</f>
        <v>130277.54296661938</v>
      </c>
      <c r="AH38" s="68">
        <f>T38*$I38</f>
        <v>0</v>
      </c>
      <c r="AI38" s="68">
        <f>U38*$I38</f>
        <v>0</v>
      </c>
      <c r="AJ38" s="67">
        <f>V38*I39</f>
        <v>31909239.934300758</v>
      </c>
      <c r="AK38" s="67">
        <f>W38*$I38</f>
        <v>0</v>
      </c>
      <c r="AL38" s="67">
        <f>X38*$I38</f>
        <v>0</v>
      </c>
      <c r="AM38" s="67">
        <f>Y38*$I38</f>
        <v>0</v>
      </c>
      <c r="AN38" s="65">
        <f>NPV(Assumptions!$D$19,AB38:$AB$259)*(1+Assumptions!$D$19)</f>
        <v>71289416.495197505</v>
      </c>
      <c r="AO38" s="68">
        <f t="shared" si="9"/>
        <v>658284.91974966088</v>
      </c>
      <c r="AQ38" s="67">
        <f t="shared" si="14"/>
        <v>32113709.871124107</v>
      </c>
      <c r="AR38" s="95">
        <f>(AQ38+AB38-AC38)*Assumptions!$D$19</f>
        <v>137864.29540583206</v>
      </c>
      <c r="AS38" s="67">
        <f t="shared" si="15"/>
        <v>144471.69509817829</v>
      </c>
      <c r="AT38" s="67">
        <f t="shared" si="10"/>
        <v>31395426.709649272</v>
      </c>
      <c r="AU38" s="67"/>
      <c r="AV38" s="67"/>
      <c r="AW38" s="67"/>
      <c r="AY38" s="67"/>
      <c r="AZ38" s="70">
        <f t="shared" si="4"/>
        <v>0</v>
      </c>
    </row>
    <row r="39" spans="2:52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64">
        <f>1-(1-VLOOKUP($E39,'Annual Mortality Rates'!$B$5:$C$105,2,FALSE))^(1/12)</f>
        <v>9.5883882629710371E-5</v>
      </c>
      <c r="G39" s="75">
        <f>IF(C39&gt;=Assumptions!$H$9*12,100%,1-(1-IF(D39&gt;=7,2%,VLOOKUP($D39,'Annual Lapse Rates'!$B$4:$C$14,2,FALSE)))^(1/12))</f>
        <v>6.0293080661268927E-3</v>
      </c>
      <c r="H39" s="81">
        <f t="shared" si="11"/>
        <v>8</v>
      </c>
      <c r="I39" s="65">
        <f t="shared" si="5"/>
        <v>3950.9815498297298</v>
      </c>
      <c r="J39" s="66">
        <f t="shared" si="6"/>
        <v>0.37883545119602502</v>
      </c>
      <c r="K39" s="66">
        <f t="shared" si="7"/>
        <v>23.969398223975173</v>
      </c>
      <c r="M39" s="97">
        <f t="shared" si="12"/>
        <v>8076.2816864269862</v>
      </c>
      <c r="N39" s="97">
        <f>IF(AND(H39=1,D39&lt;15),Assumptions!$H$4,0)</f>
        <v>0</v>
      </c>
      <c r="O39" s="103"/>
      <c r="P39" s="98">
        <f>$M39*(1+VLOOKUP($H39,Assumptions!$C$22:$D$33,2,FALSE))^(1/12)</f>
        <v>8092.9175043701553</v>
      </c>
      <c r="Q39" s="98">
        <f>$M39*(1+VLOOKUP($H39,Assumptions!$C$22:$D$33,2,FALSE))^(1/12)</f>
        <v>8092.9175043701553</v>
      </c>
      <c r="R39" s="97">
        <f>IF(AND(H39=12,D39&lt;15),Assumptions!$C$7*M39,0)</f>
        <v>0</v>
      </c>
      <c r="S39" s="99">
        <f>(M39+N39-O39)*Assumptions!$D$17</f>
        <v>32.903771302115821</v>
      </c>
      <c r="T39" s="99">
        <f t="shared" si="8"/>
        <v>0</v>
      </c>
      <c r="U39" s="101"/>
      <c r="V39" s="101">
        <f>IF(C39&gt;=Assumptions!$H$9*12,0,M39+N39-O39+S39-R39)</f>
        <v>8109.1854577291024</v>
      </c>
      <c r="W39" s="103"/>
      <c r="X39" s="97">
        <f>IF(AND(H39=1,D39&lt;15),Assumptions!$D$10*N39+Assumptions!$D$11*(1+Assumptions!$D$16)^(B39-1),0)</f>
        <v>0</v>
      </c>
      <c r="Y39" s="100">
        <f>Assumptions!$C$13*N39</f>
        <v>0</v>
      </c>
      <c r="AA39" s="67">
        <f t="shared" si="13"/>
        <v>31909239.934300758</v>
      </c>
      <c r="AB39" s="67">
        <f>N39*I39</f>
        <v>0</v>
      </c>
      <c r="AC39" s="67"/>
      <c r="AD39" s="90">
        <f>P39*J39</f>
        <v>3065.8840542602766</v>
      </c>
      <c r="AE39" s="90">
        <f>Q39*K39</f>
        <v>193982.36245602759</v>
      </c>
      <c r="AF39" s="67">
        <f>R39*I40</f>
        <v>0</v>
      </c>
      <c r="AG39" s="68">
        <f>S39*I39</f>
        <v>130002.19333447656</v>
      </c>
      <c r="AH39" s="68">
        <f>T39*$I39</f>
        <v>0</v>
      </c>
      <c r="AI39" s="68">
        <f>U39*$I39</f>
        <v>0</v>
      </c>
      <c r="AJ39" s="67">
        <f>V39*I40</f>
        <v>31841797.785195146</v>
      </c>
      <c r="AK39" s="67">
        <f>W39*$I39</f>
        <v>0</v>
      </c>
      <c r="AL39" s="67">
        <f>X39*$I39</f>
        <v>0</v>
      </c>
      <c r="AM39" s="67">
        <f>Y39*$I39</f>
        <v>0</v>
      </c>
      <c r="AN39" s="65">
        <f>NPV(Assumptions!$D$19,AB39:$AB$259)*(1+Assumptions!$D$19)</f>
        <v>71595462.268620908</v>
      </c>
      <c r="AO39" s="68">
        <f t="shared" si="9"/>
        <v>661110.93975799344</v>
      </c>
      <c r="AQ39" s="67">
        <f t="shared" si="14"/>
        <v>32053711.629398935</v>
      </c>
      <c r="AR39" s="95">
        <f>(AQ39+AB39-AC39)*Assumptions!$D$19</f>
        <v>137606.7226945438</v>
      </c>
      <c r="AS39" s="67">
        <f t="shared" si="15"/>
        <v>152076.22445824556</v>
      </c>
      <c r="AT39" s="67">
        <f t="shared" si="10"/>
        <v>31332763.069895394</v>
      </c>
      <c r="AU39" s="67"/>
      <c r="AV39" s="67"/>
      <c r="AW39" s="67"/>
      <c r="AY39" s="67"/>
      <c r="AZ39" s="70">
        <f t="shared" si="4"/>
        <v>0</v>
      </c>
    </row>
    <row r="40" spans="2:52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64">
        <f>1-(1-VLOOKUP($E40,'Annual Mortality Rates'!$B$5:$C$105,2,FALSE))^(1/12)</f>
        <v>9.5883882629710371E-5</v>
      </c>
      <c r="G40" s="75">
        <f>IF(C40&gt;=Assumptions!$H$9*12,100%,1-(1-IF(D40&gt;=7,2%,VLOOKUP($D40,'Annual Lapse Rates'!$B$4:$C$14,2,FALSE)))^(1/12))</f>
        <v>6.0293080661268927E-3</v>
      </c>
      <c r="H40" s="81">
        <f t="shared" si="11"/>
        <v>9</v>
      </c>
      <c r="I40" s="65">
        <f t="shared" si="5"/>
        <v>3926.6333161545585</v>
      </c>
      <c r="J40" s="66">
        <f t="shared" si="6"/>
        <v>0.37650084801607409</v>
      </c>
      <c r="K40" s="66">
        <f t="shared" si="7"/>
        <v>23.821684927506922</v>
      </c>
      <c r="M40" s="97">
        <f t="shared" si="12"/>
        <v>8109.1854577291024</v>
      </c>
      <c r="N40" s="97">
        <f>IF(AND(H40=1,D40&lt;15),Assumptions!$H$4,0)</f>
        <v>0</v>
      </c>
      <c r="O40" s="103"/>
      <c r="P40" s="98">
        <f>$M40*(1+VLOOKUP($H40,Assumptions!$C$22:$D$33,2,FALSE))^(1/12)</f>
        <v>8127.9506771418146</v>
      </c>
      <c r="Q40" s="98">
        <f>$M40*(1+VLOOKUP($H40,Assumptions!$C$22:$D$33,2,FALSE))^(1/12)</f>
        <v>8127.9506771418146</v>
      </c>
      <c r="R40" s="97">
        <f>IF(AND(H40=12,D40&lt;15),Assumptions!$C$7*M40,0)</f>
        <v>0</v>
      </c>
      <c r="S40" s="99">
        <f>(M40+N40-O40)*Assumptions!$D$17</f>
        <v>33.037825339349496</v>
      </c>
      <c r="T40" s="99">
        <f t="shared" si="8"/>
        <v>0</v>
      </c>
      <c r="U40" s="101"/>
      <c r="V40" s="101">
        <f>IF(C40&gt;=Assumptions!$H$9*12,0,M40+N40-O40+S40-R40)</f>
        <v>8142.2232830684516</v>
      </c>
      <c r="W40" s="103"/>
      <c r="X40" s="97">
        <f>IF(AND(H40=1,D40&lt;15),Assumptions!$D$10*N40+Assumptions!$D$11*(1+Assumptions!$D$16)^(B40-1),0)</f>
        <v>0</v>
      </c>
      <c r="Y40" s="100">
        <f>Assumptions!$C$13*N40</f>
        <v>0</v>
      </c>
      <c r="AA40" s="67">
        <f t="shared" si="13"/>
        <v>31841797.785195146</v>
      </c>
      <c r="AB40" s="67">
        <f>N40*I40</f>
        <v>0</v>
      </c>
      <c r="AC40" s="67"/>
      <c r="AD40" s="90">
        <f>P40*J40</f>
        <v>3060.1803225767167</v>
      </c>
      <c r="AE40" s="90">
        <f>Q40*K40</f>
        <v>193621.48013718886</v>
      </c>
      <c r="AF40" s="67">
        <f>R40*I41</f>
        <v>0</v>
      </c>
      <c r="AG40" s="68">
        <f>S40*I40</f>
        <v>129727.42567078501</v>
      </c>
      <c r="AH40" s="68">
        <f>T40*$I40</f>
        <v>0</v>
      </c>
      <c r="AI40" s="68">
        <f>U40*$I40</f>
        <v>0</v>
      </c>
      <c r="AJ40" s="67">
        <f>V40*I41</f>
        <v>31774498.179236453</v>
      </c>
      <c r="AK40" s="67">
        <f>W40*$I40</f>
        <v>0</v>
      </c>
      <c r="AL40" s="67">
        <f>X40*$I40</f>
        <v>0</v>
      </c>
      <c r="AM40" s="67">
        <f>Y40*$I40</f>
        <v>0</v>
      </c>
      <c r="AN40" s="65">
        <f>NPV(Assumptions!$D$19,AB40:$AB$259)*(1+Assumptions!$D$19)</f>
        <v>71902821.89787367</v>
      </c>
      <c r="AO40" s="68">
        <f t="shared" si="9"/>
        <v>663949.09188244701</v>
      </c>
      <c r="AQ40" s="67">
        <f t="shared" si="14"/>
        <v>31993874.009653389</v>
      </c>
      <c r="AR40" s="95">
        <f>(AQ40+AB40-AC40)*Assumptions!$D$19</f>
        <v>137349.83953410899</v>
      </c>
      <c r="AS40" s="67">
        <f t="shared" si="15"/>
        <v>159698.63832156954</v>
      </c>
      <c r="AT40" s="67">
        <f t="shared" si="10"/>
        <v>31270247.725675575</v>
      </c>
      <c r="AU40" s="67"/>
      <c r="AV40" s="67"/>
      <c r="AW40" s="67"/>
      <c r="AY40" s="67"/>
      <c r="AZ40" s="70">
        <f t="shared" si="4"/>
        <v>0</v>
      </c>
    </row>
    <row r="41" spans="2:52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64">
        <f>1-(1-VLOOKUP($E41,'Annual Mortality Rates'!$B$5:$C$105,2,FALSE))^(1/12)</f>
        <v>9.5883882629710371E-5</v>
      </c>
      <c r="G41" s="75">
        <f>IF(C41&gt;=Assumptions!$H$9*12,100%,1-(1-IF(D41&gt;=7,2%,VLOOKUP($D41,'Annual Lapse Rates'!$B$4:$C$14,2,FALSE)))^(1/12))</f>
        <v>6.0293080661268927E-3</v>
      </c>
      <c r="H41" s="81">
        <f t="shared" si="11"/>
        <v>10</v>
      </c>
      <c r="I41" s="65">
        <f t="shared" si="5"/>
        <v>3902.4351303790359</v>
      </c>
      <c r="J41" s="66">
        <f t="shared" si="6"/>
        <v>0.37418063201132196</v>
      </c>
      <c r="K41" s="66">
        <f t="shared" si="7"/>
        <v>23.674881925813271</v>
      </c>
      <c r="M41" s="97">
        <f t="shared" si="12"/>
        <v>8142.2232830684516</v>
      </c>
      <c r="N41" s="97">
        <f>IF(AND(H41=1,D41&lt;15),Assumptions!$H$4,0)</f>
        <v>0</v>
      </c>
      <c r="O41" s="103"/>
      <c r="P41" s="98">
        <f>$M41*(1+VLOOKUP($H41,Assumptions!$C$22:$D$33,2,FALSE))^(1/12)</f>
        <v>8163.1292191809389</v>
      </c>
      <c r="Q41" s="98">
        <f>$M41*(1+VLOOKUP($H41,Assumptions!$C$22:$D$33,2,FALSE))^(1/12)</f>
        <v>8163.1292191809389</v>
      </c>
      <c r="R41" s="97">
        <f>IF(AND(H41=12,D41&lt;15),Assumptions!$C$7*M41,0)</f>
        <v>0</v>
      </c>
      <c r="S41" s="99">
        <f>(M41+N41-O41)*Assumptions!$D$17</f>
        <v>33.172425529324556</v>
      </c>
      <c r="T41" s="99">
        <f t="shared" si="8"/>
        <v>0</v>
      </c>
      <c r="U41" s="101"/>
      <c r="V41" s="101">
        <f>IF(C41&gt;=Assumptions!$H$9*12,0,M41+N41-O41+S41-R41)</f>
        <v>8175.3957085977763</v>
      </c>
      <c r="W41" s="103"/>
      <c r="X41" s="97">
        <f>IF(AND(H41=1,D41&lt;15),Assumptions!$D$10*N41+Assumptions!$D$11*(1+Assumptions!$D$16)^(B41-1),0)</f>
        <v>0</v>
      </c>
      <c r="Y41" s="100">
        <f>Assumptions!$C$13*N41</f>
        <v>0</v>
      </c>
      <c r="AA41" s="67">
        <f t="shared" si="13"/>
        <v>31774498.179236453</v>
      </c>
      <c r="AB41" s="67">
        <f>N41*I41</f>
        <v>0</v>
      </c>
      <c r="AC41" s="67"/>
      <c r="AD41" s="90">
        <f>P41*J41</f>
        <v>3054.4848504232127</v>
      </c>
      <c r="AE41" s="90">
        <f>Q41*K41</f>
        <v>193261.12040926502</v>
      </c>
      <c r="AF41" s="67">
        <f>R41*I42</f>
        <v>0</v>
      </c>
      <c r="AG41" s="68">
        <f>S41*I41</f>
        <v>129453.23874551854</v>
      </c>
      <c r="AH41" s="68">
        <f>T41*$I41</f>
        <v>0</v>
      </c>
      <c r="AI41" s="68">
        <f>U41*$I41</f>
        <v>0</v>
      </c>
      <c r="AJ41" s="67">
        <f>V41*I42</f>
        <v>31707340.815150935</v>
      </c>
      <c r="AK41" s="67">
        <f>W41*$I41</f>
        <v>0</v>
      </c>
      <c r="AL41" s="67">
        <f>X41*$I41</f>
        <v>0</v>
      </c>
      <c r="AM41" s="67">
        <f>Y41*$I41</f>
        <v>0</v>
      </c>
      <c r="AN41" s="65">
        <f>NPV(Assumptions!$D$19,AB41:$AB$259)*(1+Assumptions!$D$19)</f>
        <v>72211501.023344442</v>
      </c>
      <c r="AO41" s="68">
        <f t="shared" si="9"/>
        <v>666799.42820624937</v>
      </c>
      <c r="AQ41" s="67">
        <f t="shared" si="14"/>
        <v>31934196.817558024</v>
      </c>
      <c r="AR41" s="95">
        <f>(AQ41+AB41-AC41)*Assumptions!$D$19</f>
        <v>137093.64509027041</v>
      </c>
      <c r="AS41" s="67">
        <f t="shared" si="15"/>
        <v>167339.04466632142</v>
      </c>
      <c r="AT41" s="67">
        <f t="shared" si="10"/>
        <v>31207880.431611005</v>
      </c>
      <c r="AU41" s="67"/>
      <c r="AV41" s="67"/>
      <c r="AW41" s="67"/>
      <c r="AY41" s="67"/>
      <c r="AZ41" s="70">
        <f t="shared" si="4"/>
        <v>0</v>
      </c>
    </row>
    <row r="42" spans="2:52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64">
        <f>1-(1-VLOOKUP($E42,'Annual Mortality Rates'!$B$5:$C$105,2,FALSE))^(1/12)</f>
        <v>9.5883882629710371E-5</v>
      </c>
      <c r="G42" s="75">
        <f>IF(C42&gt;=Assumptions!$H$9*12,100%,1-(1-IF(D42&gt;=7,2%,VLOOKUP($D42,'Annual Lapse Rates'!$B$4:$C$14,2,FALSE)))^(1/12))</f>
        <v>6.0293080661268927E-3</v>
      </c>
      <c r="H42" s="81">
        <f t="shared" si="11"/>
        <v>11</v>
      </c>
      <c r="I42" s="65">
        <f t="shared" si="5"/>
        <v>3878.3860678212113</v>
      </c>
      <c r="J42" s="66">
        <f t="shared" si="6"/>
        <v>0.37187471451967297</v>
      </c>
      <c r="K42" s="66">
        <f t="shared" si="7"/>
        <v>23.528983609131274</v>
      </c>
      <c r="M42" s="97">
        <f t="shared" si="12"/>
        <v>8175.3957085977763</v>
      </c>
      <c r="N42" s="97">
        <f>IF(AND(H42=1,D42&lt;15),Assumptions!$H$4,0)</f>
        <v>0</v>
      </c>
      <c r="O42" s="103"/>
      <c r="P42" s="98">
        <f>$M42*(1+VLOOKUP($H42,Assumptions!$C$22:$D$33,2,FALSE))^(1/12)</f>
        <v>8198.4537435712937</v>
      </c>
      <c r="Q42" s="98">
        <f>$M42*(1+VLOOKUP($H42,Assumptions!$C$22:$D$33,2,FALSE))^(1/12)</f>
        <v>8198.4537435712937</v>
      </c>
      <c r="R42" s="97">
        <f>IF(AND(H42=12,D42&lt;15),Assumptions!$C$7*M42,0)</f>
        <v>0</v>
      </c>
      <c r="S42" s="99">
        <f>(M42+N42-O42)*Assumptions!$D$17</f>
        <v>33.307574097134882</v>
      </c>
      <c r="T42" s="99">
        <f t="shared" si="8"/>
        <v>0</v>
      </c>
      <c r="U42" s="101"/>
      <c r="V42" s="101">
        <f>IF(C42&gt;=Assumptions!$H$9*12,0,M42+N42-O42+S42-R42)</f>
        <v>8208.7032826949107</v>
      </c>
      <c r="W42" s="103"/>
      <c r="X42" s="97">
        <f>IF(AND(H42=1,D42&lt;15),Assumptions!$D$10*N42+Assumptions!$D$11*(1+Assumptions!$D$16)^(B42-1),0)</f>
        <v>0</v>
      </c>
      <c r="Y42" s="100">
        <f>Assumptions!$C$13*N42</f>
        <v>0</v>
      </c>
      <c r="AA42" s="67">
        <f t="shared" si="13"/>
        <v>31707340.815150935</v>
      </c>
      <c r="AB42" s="67">
        <f>N42*I42</f>
        <v>0</v>
      </c>
      <c r="AC42" s="67"/>
      <c r="AD42" s="90">
        <f>P42*J42</f>
        <v>3048.7976453933188</v>
      </c>
      <c r="AE42" s="90">
        <f>Q42*K42</f>
        <v>192901.28375270989</v>
      </c>
      <c r="AF42" s="67">
        <f>R42*I43</f>
        <v>0</v>
      </c>
      <c r="AG42" s="68">
        <f>S42*I42</f>
        <v>129179.6313312506</v>
      </c>
      <c r="AH42" s="68">
        <f>T42*$I42</f>
        <v>0</v>
      </c>
      <c r="AI42" s="68">
        <f>U42*$I42</f>
        <v>0</v>
      </c>
      <c r="AJ42" s="67">
        <f>V42*I43</f>
        <v>31640325.392301604</v>
      </c>
      <c r="AK42" s="67">
        <f>W42*$I42</f>
        <v>0</v>
      </c>
      <c r="AL42" s="67">
        <f>X42*$I42</f>
        <v>0</v>
      </c>
      <c r="AM42" s="67">
        <f>Y42*$I42</f>
        <v>0</v>
      </c>
      <c r="AN42" s="65">
        <f>NPV(Assumptions!$D$19,AB42:$AB$259)*(1+Assumptions!$D$19)</f>
        <v>72521505.30963628</v>
      </c>
      <c r="AO42" s="68">
        <f t="shared" si="9"/>
        <v>669662.00103622081</v>
      </c>
      <c r="AQ42" s="67">
        <f t="shared" si="14"/>
        <v>31874679.859817255</v>
      </c>
      <c r="AR42" s="95">
        <f>(AQ42+AB42-AC42)*Assumptions!$D$19</f>
        <v>136838.13853320931</v>
      </c>
      <c r="AS42" s="67">
        <f t="shared" si="15"/>
        <v>174997.5518682801</v>
      </c>
      <c r="AT42" s="67">
        <f t="shared" si="10"/>
        <v>31145660.943133663</v>
      </c>
      <c r="AU42" s="67"/>
      <c r="AV42" s="67"/>
      <c r="AW42" s="67"/>
      <c r="AY42" s="67"/>
      <c r="AZ42" s="70">
        <f t="shared" si="4"/>
        <v>0</v>
      </c>
    </row>
    <row r="43" spans="2:52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64">
        <f>1-(1-VLOOKUP($E43,'Annual Mortality Rates'!$B$5:$C$105,2,FALSE))^(1/12)</f>
        <v>9.5883882629710371E-5</v>
      </c>
      <c r="G43" s="75">
        <f>IF(C43&gt;=Assumptions!$H$9*12,100%,1-(1-IF(D43&gt;=7,2%,VLOOKUP($D43,'Annual Lapse Rates'!$B$4:$C$14,2,FALSE)))^(1/12))</f>
        <v>6.0293080661268927E-3</v>
      </c>
      <c r="H43" s="81">
        <f t="shared" si="11"/>
        <v>12</v>
      </c>
      <c r="I43" s="65">
        <f t="shared" si="5"/>
        <v>3854.4852094975604</v>
      </c>
      <c r="J43" s="66">
        <f t="shared" si="6"/>
        <v>0.36958300742541866</v>
      </c>
      <c r="K43" s="66">
        <f t="shared" si="7"/>
        <v>23.383984402268592</v>
      </c>
      <c r="M43" s="97">
        <f t="shared" si="12"/>
        <v>8208.7032826949107</v>
      </c>
      <c r="N43" s="97">
        <f>IF(AND(H43=1,D43&lt;15),Assumptions!$H$4,0)</f>
        <v>0</v>
      </c>
      <c r="O43" s="103"/>
      <c r="P43" s="98">
        <f>$M43*(1+VLOOKUP($H43,Assumptions!$C$22:$D$33,2,FALSE))^(1/12)</f>
        <v>8233.9248658606411</v>
      </c>
      <c r="Q43" s="98">
        <f>$M43*(1+VLOOKUP($H43,Assumptions!$C$22:$D$33,2,FALSE))^(1/12)</f>
        <v>8233.9248658606411</v>
      </c>
      <c r="R43" s="97">
        <f>IF(AND(H43=12,D43&lt;15),Assumptions!$C$7*M43,0)</f>
        <v>4.1043516413474554</v>
      </c>
      <c r="S43" s="99">
        <f>(M43+N43-O43)*Assumptions!$D$17</f>
        <v>33.443273276939649</v>
      </c>
      <c r="T43" s="99">
        <f t="shared" si="8"/>
        <v>0</v>
      </c>
      <c r="U43" s="101"/>
      <c r="V43" s="101">
        <f>IF(C43&gt;=Assumptions!$H$9*12,0,M43+N43-O43+S43-R43)</f>
        <v>8238.0422043305025</v>
      </c>
      <c r="W43" s="103"/>
      <c r="X43" s="97">
        <f>IF(AND(H43=1,D43&lt;15),Assumptions!$D$10*N43+Assumptions!$D$11*(1+Assumptions!$D$16)^(B43-1),0)</f>
        <v>0</v>
      </c>
      <c r="Y43" s="100">
        <f>Assumptions!$C$13*N43</f>
        <v>0</v>
      </c>
      <c r="AA43" s="67">
        <f t="shared" si="13"/>
        <v>31640325.392301604</v>
      </c>
      <c r="AB43" s="67">
        <f>N43*I43</f>
        <v>0</v>
      </c>
      <c r="AC43" s="67"/>
      <c r="AD43" s="90">
        <f>P43*J43</f>
        <v>3043.1187148397125</v>
      </c>
      <c r="AE43" s="90">
        <f>Q43*K43</f>
        <v>192541.97063273675</v>
      </c>
      <c r="AF43" s="67">
        <f>R43*I44</f>
        <v>15722.669702764968</v>
      </c>
      <c r="AG43" s="68">
        <f>S43*I43</f>
        <v>128906.60220314888</v>
      </c>
      <c r="AH43" s="68">
        <f>T43*$I43</f>
        <v>0</v>
      </c>
      <c r="AI43" s="68">
        <f>U43*$I43</f>
        <v>0</v>
      </c>
      <c r="AJ43" s="67">
        <f>V43*I44</f>
        <v>31557728.940984134</v>
      </c>
      <c r="AK43" s="67">
        <f>W43*$I43</f>
        <v>0</v>
      </c>
      <c r="AL43" s="67">
        <f>X43*$I43</f>
        <v>0</v>
      </c>
      <c r="AM43" s="67">
        <f>Y43*$I43</f>
        <v>0</v>
      </c>
      <c r="AN43" s="65">
        <f>NPV(Assumptions!$D$19,AB43:$AB$259)*(1+Assumptions!$D$19)</f>
        <v>72832840.445670292</v>
      </c>
      <c r="AO43" s="68">
        <f t="shared" si="9"/>
        <v>672536.86290373525</v>
      </c>
      <c r="AQ43" s="67">
        <f t="shared" si="14"/>
        <v>31815322.944169883</v>
      </c>
      <c r="AR43" s="95">
        <f>(AQ43+AB43-AC43)*Assumptions!$D$19</f>
        <v>136583.31903754754</v>
      </c>
      <c r="AS43" s="67">
        <f t="shared" si="15"/>
        <v>182674.26870267873</v>
      </c>
      <c r="AT43" s="67">
        <f t="shared" si="10"/>
        <v>31067866.346783075</v>
      </c>
      <c r="AU43" s="67"/>
      <c r="AV43" s="67"/>
      <c r="AW43" s="67"/>
      <c r="AY43" s="67"/>
      <c r="AZ43" s="70">
        <f t="shared" si="4"/>
        <v>0</v>
      </c>
    </row>
    <row r="44" spans="2:52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64">
        <f>1-(1-VLOOKUP($E44,'Annual Mortality Rates'!$B$5:$C$105,2,FALSE))^(1/12)</f>
        <v>1.067292956670185E-4</v>
      </c>
      <c r="G44" s="75">
        <f>IF(C44&gt;=Assumptions!$H$9*12,100%,1-(1-IF(D44&gt;=7,2%,VLOOKUP($D44,'Annual Lapse Rates'!$B$4:$C$14,2,FALSE)))^(1/12))</f>
        <v>5.1430128318229462E-3</v>
      </c>
      <c r="H44" s="81">
        <f t="shared" si="11"/>
        <v>1</v>
      </c>
      <c r="I44" s="65">
        <f t="shared" si="5"/>
        <v>3830.7316420878665</v>
      </c>
      <c r="J44" s="66">
        <f t="shared" si="6"/>
        <v>0.40885129004939919</v>
      </c>
      <c r="K44" s="66">
        <f t="shared" si="7"/>
        <v>19.823666892517711</v>
      </c>
      <c r="M44" s="97">
        <f t="shared" si="12"/>
        <v>8238.0422043305025</v>
      </c>
      <c r="N44" s="97">
        <f>IF(AND(H44=1,D44&lt;15),Assumptions!$H$4,0)</f>
        <v>2500</v>
      </c>
      <c r="O44" s="103"/>
      <c r="P44" s="98">
        <f>$M44*(1+VLOOKUP($H44,Assumptions!$C$22:$D$33,2,FALSE))^(1/12)</f>
        <v>8240.1844612131008</v>
      </c>
      <c r="Q44" s="98">
        <f>$M44*(1+VLOOKUP($H44,Assumptions!$C$22:$D$33,2,FALSE))^(1/12)</f>
        <v>8240.1844612131008</v>
      </c>
      <c r="R44" s="97">
        <f>IF(AND(H44=12,D44&lt;15),Assumptions!$C$7*M44,0)</f>
        <v>0</v>
      </c>
      <c r="S44" s="99">
        <f>(M44+N44-O44)*Assumptions!$D$17</f>
        <v>43.748113134482693</v>
      </c>
      <c r="T44" s="99">
        <f t="shared" si="8"/>
        <v>0</v>
      </c>
      <c r="U44" s="101"/>
      <c r="V44" s="101">
        <f>IF(C44&gt;=Assumptions!$H$9*12,0,M44+N44-O44+S44-R44)</f>
        <v>10781.790317464985</v>
      </c>
      <c r="W44" s="103"/>
      <c r="X44" s="97">
        <f>IF(AND(H44=1,D44&lt;15),Assumptions!$D$10*N44+Assumptions!$D$11*(1+Assumptions!$D$16)^(B44-1),0)</f>
        <v>19.397852000000007</v>
      </c>
      <c r="Y44" s="100">
        <f>Assumptions!$C$13*N44</f>
        <v>12.5</v>
      </c>
      <c r="AA44" s="67">
        <f t="shared" si="13"/>
        <v>31557728.940984134</v>
      </c>
      <c r="AB44" s="67">
        <f>N44*I44</f>
        <v>9576829.1052196659</v>
      </c>
      <c r="AC44" s="67"/>
      <c r="AD44" s="90">
        <f>P44*J44</f>
        <v>3369.0100472119898</v>
      </c>
      <c r="AE44" s="90">
        <f>Q44*K44</f>
        <v>163350.67189198904</v>
      </c>
      <c r="AF44" s="67">
        <f>R44*I45</f>
        <v>0</v>
      </c>
      <c r="AG44" s="68">
        <f>S44*I44</f>
        <v>167587.28126590265</v>
      </c>
      <c r="AH44" s="68">
        <f>T44*$I44</f>
        <v>0</v>
      </c>
      <c r="AI44" s="68">
        <f>U44*$I44</f>
        <v>0</v>
      </c>
      <c r="AJ44" s="67">
        <f>V44*I45</f>
        <v>41084002.558830969</v>
      </c>
      <c r="AK44" s="67">
        <f>W44*$I44</f>
        <v>0</v>
      </c>
      <c r="AL44" s="67">
        <f>X44*$I44</f>
        <v>74307.965444937436</v>
      </c>
      <c r="AM44" s="67">
        <f>Y44*$I44</f>
        <v>47884.145526098328</v>
      </c>
      <c r="AN44" s="65">
        <f>NPV(Assumptions!$D$19,AB44:$AB$259)*(1+Assumptions!$D$19)</f>
        <v>73145512.144790173</v>
      </c>
      <c r="AO44" s="68">
        <f t="shared" si="9"/>
        <v>586991.83512203861</v>
      </c>
      <c r="AQ44" s="67">
        <f t="shared" si="14"/>
        <v>31740403.209686812</v>
      </c>
      <c r="AR44" s="95">
        <f>(AQ44+AB44-AC44)*Assumptions!$D$19</f>
        <v>177375.05707291453</v>
      </c>
      <c r="AS44" s="67">
        <f t="shared" si="15"/>
        <v>192462.04450969063</v>
      </c>
      <c r="AT44" s="67">
        <f t="shared" si="10"/>
        <v>40689472.768218622</v>
      </c>
      <c r="AU44" s="67"/>
      <c r="AV44" s="67"/>
      <c r="AW44" s="67"/>
      <c r="AY44" s="67"/>
      <c r="AZ44" s="70">
        <f t="shared" si="4"/>
        <v>0</v>
      </c>
    </row>
    <row r="45" spans="2:52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64">
        <f>1-(1-VLOOKUP($E45,'Annual Mortality Rates'!$B$5:$C$105,2,FALSE))^(1/12)</f>
        <v>1.067292956670185E-4</v>
      </c>
      <c r="G45" s="75">
        <f>IF(C45&gt;=Assumptions!$H$9*12,100%,1-(1-IF(D45&gt;=7,2%,VLOOKUP($D45,'Annual Lapse Rates'!$B$4:$C$14,2,FALSE)))^(1/12))</f>
        <v>5.1430128318229462E-3</v>
      </c>
      <c r="H45" s="81">
        <f t="shared" si="11"/>
        <v>2</v>
      </c>
      <c r="I45" s="65">
        <f t="shared" si="5"/>
        <v>3810.4991239052993</v>
      </c>
      <c r="J45" s="66">
        <f t="shared" si="6"/>
        <v>0.40669188763420366</v>
      </c>
      <c r="K45" s="66">
        <f t="shared" si="7"/>
        <v>19.701501990528083</v>
      </c>
      <c r="M45" s="97">
        <f t="shared" si="12"/>
        <v>10781.790317464985</v>
      </c>
      <c r="N45" s="97">
        <f>IF(AND(H45=1,D45&lt;15),Assumptions!$H$4,0)</f>
        <v>0</v>
      </c>
      <c r="O45" s="103"/>
      <c r="P45" s="98">
        <f>$M45*(1+VLOOKUP($H45,Assumptions!$C$22:$D$33,2,FALSE))^(1/12)</f>
        <v>10787.389811083833</v>
      </c>
      <c r="Q45" s="98">
        <f>$M45*(1+VLOOKUP($H45,Assumptions!$C$22:$D$33,2,FALSE))^(1/12)</f>
        <v>10787.389811083833</v>
      </c>
      <c r="R45" s="97">
        <f>IF(AND(H45=12,D45&lt;15),Assumptions!$C$7*M45,0)</f>
        <v>0</v>
      </c>
      <c r="S45" s="99">
        <f>(M45+N45-O45)*Assumptions!$D$17</f>
        <v>43.926348362693631</v>
      </c>
      <c r="T45" s="99">
        <f t="shared" si="8"/>
        <v>0</v>
      </c>
      <c r="U45" s="101"/>
      <c r="V45" s="101">
        <f>IF(C45&gt;=Assumptions!$H$9*12,0,M45+N45-O45+S45-R45)</f>
        <v>10825.716665827678</v>
      </c>
      <c r="W45" s="103"/>
      <c r="X45" s="97">
        <f>IF(AND(H45=1,D45&lt;15),Assumptions!$D$10*N45+Assumptions!$D$11*(1+Assumptions!$D$16)^(B45-1),0)</f>
        <v>0</v>
      </c>
      <c r="Y45" s="100">
        <f>Assumptions!$C$13*N45</f>
        <v>0</v>
      </c>
      <c r="AA45" s="67">
        <f t="shared" si="13"/>
        <v>41084002.558830969</v>
      </c>
      <c r="AB45" s="67">
        <f>N45*I45</f>
        <v>0</v>
      </c>
      <c r="AC45" s="67"/>
      <c r="AD45" s="90">
        <f>P45*J45</f>
        <v>4387.1439249156592</v>
      </c>
      <c r="AE45" s="90">
        <f>Q45*K45</f>
        <v>212527.7818356705</v>
      </c>
      <c r="AF45" s="67">
        <f>R45*I46</f>
        <v>0</v>
      </c>
      <c r="AG45" s="68">
        <f>S45*I45</f>
        <v>167381.31195240305</v>
      </c>
      <c r="AH45" s="68">
        <f>T45*$I45</f>
        <v>0</v>
      </c>
      <c r="AI45" s="68">
        <f>U45*$I45</f>
        <v>0</v>
      </c>
      <c r="AJ45" s="67">
        <f>V45*I46</f>
        <v>41033698.261196852</v>
      </c>
      <c r="AK45" s="67">
        <f>W45*$I45</f>
        <v>0</v>
      </c>
      <c r="AL45" s="67">
        <f>X45*$I45</f>
        <v>0</v>
      </c>
      <c r="AM45" s="67">
        <f>Y45*$I45</f>
        <v>0</v>
      </c>
      <c r="AN45" s="65">
        <f>NPV(Assumptions!$D$19,AB45:$AB$259)*(1+Assumptions!$D$19)</f>
        <v>63841583.670867786</v>
      </c>
      <c r="AO45" s="68">
        <f t="shared" si="9"/>
        <v>589511.79360963905</v>
      </c>
      <c r="AQ45" s="67">
        <f t="shared" si="14"/>
        <v>41276464.603340663</v>
      </c>
      <c r="AR45" s="95">
        <f>(AQ45+AB45-AC45)*Assumptions!$D$19</f>
        <v>177200.04111079479</v>
      </c>
      <c r="AS45" s="67">
        <f t="shared" si="15"/>
        <v>202280.77366808237</v>
      </c>
      <c r="AT45" s="67">
        <f t="shared" si="10"/>
        <v>40646467.241255291</v>
      </c>
      <c r="AU45" s="67"/>
      <c r="AV45" s="67"/>
      <c r="AW45" s="67"/>
      <c r="AY45" s="67"/>
      <c r="AZ45" s="70">
        <f t="shared" si="4"/>
        <v>0</v>
      </c>
    </row>
    <row r="46" spans="2:52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64">
        <f>1-(1-VLOOKUP($E46,'Annual Mortality Rates'!$B$5:$C$105,2,FALSE))^(1/12)</f>
        <v>1.067292956670185E-4</v>
      </c>
      <c r="G46" s="75">
        <f>IF(C46&gt;=Assumptions!$H$9*12,100%,1-(1-IF(D46&gt;=7,2%,VLOOKUP($D46,'Annual Lapse Rates'!$B$4:$C$14,2,FALSE)))^(1/12))</f>
        <v>5.1430128318229462E-3</v>
      </c>
      <c r="H46" s="81">
        <f t="shared" si="11"/>
        <v>3</v>
      </c>
      <c r="I46" s="65">
        <f t="shared" si="5"/>
        <v>3790.3909300271371</v>
      </c>
      <c r="J46" s="66">
        <f t="shared" si="6"/>
        <v>0.40454575426445155</v>
      </c>
      <c r="K46" s="66">
        <f t="shared" si="7"/>
        <v>19.597445889895049</v>
      </c>
      <c r="M46" s="97">
        <f t="shared" si="12"/>
        <v>10825.716665827678</v>
      </c>
      <c r="N46" s="97">
        <f>IF(AND(H46=1,D46&lt;15),Assumptions!$H$4,0)</f>
        <v>0</v>
      </c>
      <c r="O46" s="103"/>
      <c r="P46" s="98">
        <f>$M46*(1+VLOOKUP($H46,Assumptions!$C$22:$D$33,2,FALSE))^(1/12)</f>
        <v>10834.138131952495</v>
      </c>
      <c r="Q46" s="98">
        <f>$M46*(1+VLOOKUP($H46,Assumptions!$C$22:$D$33,2,FALSE))^(1/12)</f>
        <v>10834.138131952495</v>
      </c>
      <c r="R46" s="97">
        <f>IF(AND(H46=12,D46&lt;15),Assumptions!$C$7*M46,0)</f>
        <v>0</v>
      </c>
      <c r="S46" s="99">
        <f>(M46+N46-O46)*Assumptions!$D$17</f>
        <v>44.105309743286895</v>
      </c>
      <c r="T46" s="99">
        <f t="shared" si="8"/>
        <v>0</v>
      </c>
      <c r="U46" s="101"/>
      <c r="V46" s="101">
        <f>IF(C46&gt;=Assumptions!$H$9*12,0,M46+N46-O46+S46-R46)</f>
        <v>10869.821975570965</v>
      </c>
      <c r="W46" s="103"/>
      <c r="X46" s="97">
        <f>IF(AND(H46=1,D46&lt;15),Assumptions!$D$10*N46+Assumptions!$D$11*(1+Assumptions!$D$16)^(B46-1),0)</f>
        <v>0</v>
      </c>
      <c r="Y46" s="100">
        <f>Assumptions!$C$13*N46</f>
        <v>0</v>
      </c>
      <c r="AA46" s="67">
        <f t="shared" si="13"/>
        <v>41033698.261196852</v>
      </c>
      <c r="AB46" s="67">
        <f>N46*I46</f>
        <v>0</v>
      </c>
      <c r="AC46" s="67"/>
      <c r="AD46" s="90">
        <f>P46*J46</f>
        <v>4382.9045823959787</v>
      </c>
      <c r="AE46" s="90">
        <f>Q46*K46</f>
        <v>212321.43580458764</v>
      </c>
      <c r="AF46" s="67">
        <f>R46*I47</f>
        <v>0</v>
      </c>
      <c r="AG46" s="68">
        <f>S46*I46</f>
        <v>167176.36601699216</v>
      </c>
      <c r="AH46" s="68">
        <f>T46*$I46</f>
        <v>0</v>
      </c>
      <c r="AI46" s="68">
        <f>U46*$I46</f>
        <v>0</v>
      </c>
      <c r="AJ46" s="67">
        <f>V46*I47</f>
        <v>40983456.538884975</v>
      </c>
      <c r="AK46" s="67">
        <f>W46*$I46</f>
        <v>0</v>
      </c>
      <c r="AL46" s="67">
        <f>X46*$I46</f>
        <v>0</v>
      </c>
      <c r="AM46" s="67">
        <f>Y46*$I46</f>
        <v>0</v>
      </c>
      <c r="AN46" s="65">
        <f>NPV(Assumptions!$D$19,AB46:$AB$259)*(1+Assumptions!$D$19)</f>
        <v>64115655.865755819</v>
      </c>
      <c r="AO46" s="68">
        <f t="shared" si="9"/>
        <v>592042.57028992847</v>
      </c>
      <c r="AQ46" s="67">
        <f t="shared" si="14"/>
        <v>41235979.034864932</v>
      </c>
      <c r="AR46" s="95">
        <f>(AQ46+AB46-AC46)*Assumptions!$D$19</f>
        <v>177026.23639018135</v>
      </c>
      <c r="AS46" s="67">
        <f t="shared" si="15"/>
        <v>212130.64404127156</v>
      </c>
      <c r="AT46" s="67">
        <f t="shared" si="10"/>
        <v>40603544.612636313</v>
      </c>
      <c r="AU46" s="67"/>
      <c r="AV46" s="67"/>
      <c r="AW46" s="67"/>
      <c r="AY46" s="67"/>
      <c r="AZ46" s="70">
        <f t="shared" si="4"/>
        <v>0</v>
      </c>
    </row>
    <row r="47" spans="2:52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64">
        <f>1-(1-VLOOKUP($E47,'Annual Mortality Rates'!$B$5:$C$105,2,FALSE))^(1/12)</f>
        <v>1.067292956670185E-4</v>
      </c>
      <c r="G47" s="75">
        <f>IF(C47&gt;=Assumptions!$H$9*12,100%,1-(1-IF(D47&gt;=7,2%,VLOOKUP($D47,'Annual Lapse Rates'!$B$4:$C$14,2,FALSE)))^(1/12))</f>
        <v>5.1430128318229462E-3</v>
      </c>
      <c r="H47" s="81">
        <f t="shared" si="11"/>
        <v>4</v>
      </c>
      <c r="I47" s="65">
        <f t="shared" si="5"/>
        <v>3770.3889383829778</v>
      </c>
      <c r="J47" s="66">
        <f t="shared" si="6"/>
        <v>0.40241095578433284</v>
      </c>
      <c r="K47" s="66">
        <f t="shared" si="7"/>
        <v>19.494029190754876</v>
      </c>
      <c r="M47" s="97">
        <f t="shared" si="12"/>
        <v>10869.821975570965</v>
      </c>
      <c r="N47" s="97">
        <f>IF(AND(H47=1,D47&lt;15),Assumptions!$H$4,0)</f>
        <v>0</v>
      </c>
      <c r="O47" s="103"/>
      <c r="P47" s="98">
        <f>$M47*(1+VLOOKUP($H47,Assumptions!$C$22:$D$33,2,FALSE))^(1/12)</f>
        <v>10881.080350362643</v>
      </c>
      <c r="Q47" s="98">
        <f>$M47*(1+VLOOKUP($H47,Assumptions!$C$22:$D$33,2,FALSE))^(1/12)</f>
        <v>10881.080350362643</v>
      </c>
      <c r="R47" s="97">
        <f>IF(AND(H47=12,D47&lt;15),Assumptions!$C$7*M47,0)</f>
        <v>0</v>
      </c>
      <c r="S47" s="99">
        <f>(M47+N47-O47)*Assumptions!$D$17</f>
        <v>44.2850002346972</v>
      </c>
      <c r="T47" s="99">
        <f t="shared" si="8"/>
        <v>0</v>
      </c>
      <c r="U47" s="101"/>
      <c r="V47" s="101">
        <f>IF(C47&gt;=Assumptions!$H$9*12,0,M47+N47-O47+S47-R47)</f>
        <v>10914.106975805662</v>
      </c>
      <c r="W47" s="103"/>
      <c r="X47" s="97">
        <f>IF(AND(H47=1,D47&lt;15),Assumptions!$D$10*N47+Assumptions!$D$11*(1+Assumptions!$D$16)^(B47-1),0)</f>
        <v>0</v>
      </c>
      <c r="Y47" s="100">
        <f>Assumptions!$C$13*N47</f>
        <v>0</v>
      </c>
      <c r="AA47" s="67">
        <f t="shared" si="13"/>
        <v>40983456.538884975</v>
      </c>
      <c r="AB47" s="67">
        <f>N47*I47</f>
        <v>0</v>
      </c>
      <c r="AC47" s="67"/>
      <c r="AD47" s="90">
        <f>P47*J47</f>
        <v>4378.6659437555545</v>
      </c>
      <c r="AE47" s="90">
        <f>Q47*K47</f>
        <v>212116.09797691865</v>
      </c>
      <c r="AF47" s="67">
        <f>R47*I48</f>
        <v>0</v>
      </c>
      <c r="AG47" s="68">
        <f>S47*I47</f>
        <v>166971.67502118991</v>
      </c>
      <c r="AH47" s="68">
        <f>T47*$I47</f>
        <v>0</v>
      </c>
      <c r="AI47" s="68">
        <f>U47*$I47</f>
        <v>0</v>
      </c>
      <c r="AJ47" s="67">
        <f>V47*I48</f>
        <v>40933276.337709114</v>
      </c>
      <c r="AK47" s="67">
        <f>W47*$I47</f>
        <v>0</v>
      </c>
      <c r="AL47" s="67">
        <f>X47*$I47</f>
        <v>0</v>
      </c>
      <c r="AM47" s="67">
        <f>Y47*$I47</f>
        <v>0</v>
      </c>
      <c r="AN47" s="65">
        <f>NPV(Assumptions!$D$19,AB47:$AB$259)*(1+Assumptions!$D$19)</f>
        <v>64390904.653762192</v>
      </c>
      <c r="AO47" s="68">
        <f t="shared" si="9"/>
        <v>594584.2116054548</v>
      </c>
      <c r="AQ47" s="67">
        <f t="shared" si="14"/>
        <v>41195587.182926245</v>
      </c>
      <c r="AR47" s="95">
        <f>(AQ47+AB47-AC47)*Assumptions!$D$19</f>
        <v>176852.8339950669</v>
      </c>
      <c r="AS47" s="67">
        <f t="shared" si="15"/>
        <v>222011.80301514856</v>
      </c>
      <c r="AT47" s="67">
        <f t="shared" si="10"/>
        <v>40560703.929118812</v>
      </c>
      <c r="AU47" s="67"/>
      <c r="AV47" s="67"/>
      <c r="AW47" s="67"/>
      <c r="AY47" s="67"/>
      <c r="AZ47" s="70">
        <f t="shared" si="4"/>
        <v>0</v>
      </c>
    </row>
    <row r="48" spans="2:52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64">
        <f>1-(1-VLOOKUP($E48,'Annual Mortality Rates'!$B$5:$C$105,2,FALSE))^(1/12)</f>
        <v>1.067292956670185E-4</v>
      </c>
      <c r="G48" s="75">
        <f>IF(C48&gt;=Assumptions!$H$9*12,100%,1-(1-IF(D48&gt;=7,2%,VLOOKUP($D48,'Annual Lapse Rates'!$B$4:$C$14,2,FALSE)))^(1/12))</f>
        <v>5.1430128318229462E-3</v>
      </c>
      <c r="H48" s="81">
        <f t="shared" si="11"/>
        <v>5</v>
      </c>
      <c r="I48" s="65">
        <f t="shared" si="5"/>
        <v>3750.4924982364382</v>
      </c>
      <c r="J48" s="66">
        <f t="shared" si="6"/>
        <v>0.40028742274121165</v>
      </c>
      <c r="K48" s="66">
        <f t="shared" si="7"/>
        <v>19.391158691066952</v>
      </c>
      <c r="M48" s="97">
        <f t="shared" si="12"/>
        <v>10914.106975805662</v>
      </c>
      <c r="N48" s="97">
        <f>IF(AND(H48=1,D48&lt;15),Assumptions!$H$4,0)</f>
        <v>0</v>
      </c>
      <c r="O48" s="103"/>
      <c r="P48" s="98">
        <f>$M48*(1+VLOOKUP($H48,Assumptions!$C$22:$D$33,2,FALSE))^(1/12)</f>
        <v>10928.217285081122</v>
      </c>
      <c r="Q48" s="98">
        <f>$M48*(1+VLOOKUP($H48,Assumptions!$C$22:$D$33,2,FALSE))^(1/12)</f>
        <v>10928.217285081122</v>
      </c>
      <c r="R48" s="97">
        <f>IF(AND(H48=12,D48&lt;15),Assumptions!$C$7*M48,0)</f>
        <v>0</v>
      </c>
      <c r="S48" s="99">
        <f>(M48+N48-O48)*Assumptions!$D$17</f>
        <v>44.465422807412253</v>
      </c>
      <c r="T48" s="99">
        <f t="shared" si="8"/>
        <v>0</v>
      </c>
      <c r="U48" s="101"/>
      <c r="V48" s="101">
        <f>IF(C48&gt;=Assumptions!$H$9*12,0,M48+N48-O48+S48-R48)</f>
        <v>10958.572398613074</v>
      </c>
      <c r="W48" s="103"/>
      <c r="X48" s="97">
        <f>IF(AND(H48=1,D48&lt;15),Assumptions!$D$10*N48+Assumptions!$D$11*(1+Assumptions!$D$16)^(B48-1),0)</f>
        <v>0</v>
      </c>
      <c r="Y48" s="100">
        <f>Assumptions!$C$13*N48</f>
        <v>0</v>
      </c>
      <c r="AA48" s="67">
        <f t="shared" si="13"/>
        <v>40933276.337709114</v>
      </c>
      <c r="AB48" s="67">
        <f>N48*I48</f>
        <v>0</v>
      </c>
      <c r="AC48" s="67"/>
      <c r="AD48" s="90">
        <f>P48*J48</f>
        <v>4374.4279322010834</v>
      </c>
      <c r="AE48" s="90">
        <f>Q48*K48</f>
        <v>211910.79558546888</v>
      </c>
      <c r="AF48" s="67">
        <f>R48*I49</f>
        <v>0</v>
      </c>
      <c r="AG48" s="68">
        <f>S48*I48</f>
        <v>166767.23467011107</v>
      </c>
      <c r="AH48" s="68">
        <f>T48*$I48</f>
        <v>0</v>
      </c>
      <c r="AI48" s="68">
        <f>U48*$I48</f>
        <v>0</v>
      </c>
      <c r="AJ48" s="67">
        <f>V48*I49</f>
        <v>40883157.577267803</v>
      </c>
      <c r="AK48" s="67">
        <f>W48*$I48</f>
        <v>0</v>
      </c>
      <c r="AL48" s="67">
        <f>X48*$I48</f>
        <v>0</v>
      </c>
      <c r="AM48" s="67">
        <f>Y48*$I48</f>
        <v>0</v>
      </c>
      <c r="AN48" s="65">
        <f>NPV(Assumptions!$D$19,AB48:$AB$259)*(1+Assumptions!$D$19)</f>
        <v>64667335.086006239</v>
      </c>
      <c r="AO48" s="68">
        <f t="shared" si="9"/>
        <v>597136.76419814455</v>
      </c>
      <c r="AQ48" s="67">
        <f t="shared" si="14"/>
        <v>41155288.140724264</v>
      </c>
      <c r="AR48" s="95">
        <f>(AQ48+AB48-AC48)*Assumptions!$D$19</f>
        <v>176679.83003255364</v>
      </c>
      <c r="AS48" s="67">
        <f t="shared" si="15"/>
        <v>231924.39837759113</v>
      </c>
      <c r="AT48" s="67">
        <f t="shared" si="10"/>
        <v>40517945.211447246</v>
      </c>
      <c r="AU48" s="67"/>
      <c r="AV48" s="67"/>
      <c r="AW48" s="67"/>
      <c r="AY48" s="67"/>
      <c r="AZ48" s="70">
        <f t="shared" si="4"/>
        <v>0</v>
      </c>
    </row>
    <row r="49" spans="2:52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64">
        <f>1-(1-VLOOKUP($E49,'Annual Mortality Rates'!$B$5:$C$105,2,FALSE))^(1/12)</f>
        <v>1.067292956670185E-4</v>
      </c>
      <c r="G49" s="75">
        <f>IF(C49&gt;=Assumptions!$H$9*12,100%,1-(1-IF(D49&gt;=7,2%,VLOOKUP($D49,'Annual Lapse Rates'!$B$4:$C$14,2,FALSE)))^(1/12))</f>
        <v>5.1430128318229462E-3</v>
      </c>
      <c r="H49" s="81">
        <f t="shared" si="11"/>
        <v>6</v>
      </c>
      <c r="I49" s="65">
        <f t="shared" si="5"/>
        <v>3730.7010521226298</v>
      </c>
      <c r="J49" s="66">
        <f t="shared" si="6"/>
        <v>0.39817509563725312</v>
      </c>
      <c r="K49" s="66">
        <f t="shared" si="7"/>
        <v>19.2888310440857</v>
      </c>
      <c r="M49" s="97">
        <f t="shared" si="12"/>
        <v>10958.572398613074</v>
      </c>
      <c r="N49" s="97">
        <f>IF(AND(H49=1,D49&lt;15),Assumptions!$H$4,0)</f>
        <v>0</v>
      </c>
      <c r="O49" s="103"/>
      <c r="P49" s="98">
        <f>$M49*(1+VLOOKUP($H49,Assumptions!$C$22:$D$33,2,FALSE))^(1/12)</f>
        <v>10975.549758155525</v>
      </c>
      <c r="Q49" s="98">
        <f>$M49*(1+VLOOKUP($H49,Assumptions!$C$22:$D$33,2,FALSE))^(1/12)</f>
        <v>10975.549758155525</v>
      </c>
      <c r="R49" s="97">
        <f>IF(AND(H49=12,D49&lt;15),Assumptions!$C$7*M49,0)</f>
        <v>0</v>
      </c>
      <c r="S49" s="99">
        <f>(M49+N49-O49)*Assumptions!$D$17</f>
        <v>44.646580444021907</v>
      </c>
      <c r="T49" s="99">
        <f t="shared" si="8"/>
        <v>0</v>
      </c>
      <c r="U49" s="101"/>
      <c r="V49" s="101">
        <f>IF(C49&gt;=Assumptions!$H$9*12,0,M49+N49-O49+S49-R49)</f>
        <v>11003.218979057096</v>
      </c>
      <c r="W49" s="103"/>
      <c r="X49" s="97">
        <f>IF(AND(H49=1,D49&lt;15),Assumptions!$D$10*N49+Assumptions!$D$11*(1+Assumptions!$D$16)^(B49-1),0)</f>
        <v>0</v>
      </c>
      <c r="Y49" s="100">
        <f>Assumptions!$C$13*N49</f>
        <v>0</v>
      </c>
      <c r="AA49" s="67">
        <f t="shared" si="13"/>
        <v>40883157.577267803</v>
      </c>
      <c r="AB49" s="67">
        <f>N49*I49</f>
        <v>0</v>
      </c>
      <c r="AC49" s="67"/>
      <c r="AD49" s="90">
        <f>P49*J49</f>
        <v>4370.1905746250068</v>
      </c>
      <c r="AE49" s="90">
        <f>Q49*K49</f>
        <v>211705.52490101758</v>
      </c>
      <c r="AF49" s="67">
        <f>R49*I50</f>
        <v>0</v>
      </c>
      <c r="AG49" s="68">
        <f>S49*I49</f>
        <v>166563.04463619017</v>
      </c>
      <c r="AH49" s="68">
        <f>T49*$I49</f>
        <v>0</v>
      </c>
      <c r="AI49" s="68">
        <f>U49*$I49</f>
        <v>0</v>
      </c>
      <c r="AJ49" s="67">
        <f>V49*I50</f>
        <v>40833100.18230658</v>
      </c>
      <c r="AK49" s="67">
        <f>W49*$I49</f>
        <v>0</v>
      </c>
      <c r="AL49" s="67">
        <f>X49*$I49</f>
        <v>0</v>
      </c>
      <c r="AM49" s="67">
        <f>Y49*$I49</f>
        <v>0</v>
      </c>
      <c r="AN49" s="65">
        <f>NPV(Assumptions!$D$19,AB49:$AB$259)*(1+Assumptions!$D$19)</f>
        <v>64944952.235291816</v>
      </c>
      <c r="AO49" s="68">
        <f t="shared" si="9"/>
        <v>599700.2749101572</v>
      </c>
      <c r="AQ49" s="67">
        <f t="shared" si="14"/>
        <v>41115081.975645393</v>
      </c>
      <c r="AR49" s="95">
        <f>(AQ49+AB49-AC49)*Assumptions!$D$19</f>
        <v>176507.22479193169</v>
      </c>
      <c r="AS49" s="67">
        <f t="shared" si="15"/>
        <v>241868.57853333268</v>
      </c>
      <c r="AT49" s="67">
        <f t="shared" si="10"/>
        <v>40475268.48592975</v>
      </c>
      <c r="AU49" s="67"/>
      <c r="AV49" s="67"/>
      <c r="AW49" s="67"/>
      <c r="AY49" s="67"/>
      <c r="AZ49" s="70">
        <f t="shared" si="4"/>
        <v>0</v>
      </c>
    </row>
    <row r="50" spans="2:52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64">
        <f>1-(1-VLOOKUP($E50,'Annual Mortality Rates'!$B$5:$C$105,2,FALSE))^(1/12)</f>
        <v>1.067292956670185E-4</v>
      </c>
      <c r="G50" s="75">
        <f>IF(C50&gt;=Assumptions!$H$9*12,100%,1-(1-IF(D50&gt;=7,2%,VLOOKUP($D50,'Annual Lapse Rates'!$B$4:$C$14,2,FALSE)))^(1/12))</f>
        <v>5.1430128318229462E-3</v>
      </c>
      <c r="H50" s="81">
        <f t="shared" si="11"/>
        <v>7</v>
      </c>
      <c r="I50" s="65">
        <f t="shared" si="5"/>
        <v>3711.0140459829067</v>
      </c>
      <c r="J50" s="66">
        <f t="shared" si="6"/>
        <v>0.39607391533816821</v>
      </c>
      <c r="K50" s="66">
        <f t="shared" si="7"/>
        <v>19.187043382762052</v>
      </c>
      <c r="M50" s="97">
        <f t="shared" si="12"/>
        <v>11003.218979057096</v>
      </c>
      <c r="N50" s="97">
        <f>IF(AND(H50=1,D50&lt;15),Assumptions!$H$4,0)</f>
        <v>0</v>
      </c>
      <c r="O50" s="103"/>
      <c r="P50" s="98">
        <f>$M50*(1+VLOOKUP($H50,Assumptions!$C$22:$D$33,2,FALSE))^(1/12)</f>
        <v>11023.078594929068</v>
      </c>
      <c r="Q50" s="98">
        <f>$M50*(1+VLOOKUP($H50,Assumptions!$C$22:$D$33,2,FALSE))^(1/12)</f>
        <v>11023.078594929068</v>
      </c>
      <c r="R50" s="97">
        <f>IF(AND(H50=12,D50&lt;15),Assumptions!$C$7*M50,0)</f>
        <v>0</v>
      </c>
      <c r="S50" s="99">
        <f>(M50+N50-O50)*Assumptions!$D$17</f>
        <v>44.828476139267465</v>
      </c>
      <c r="T50" s="99">
        <f t="shared" si="8"/>
        <v>0</v>
      </c>
      <c r="U50" s="101"/>
      <c r="V50" s="101">
        <f>IF(C50&gt;=Assumptions!$H$9*12,0,M50+N50-O50+S50-R50)</f>
        <v>11048.047455196363</v>
      </c>
      <c r="W50" s="103"/>
      <c r="X50" s="97">
        <f>IF(AND(H50=1,D50&lt;15),Assumptions!$D$10*N50+Assumptions!$D$11*(1+Assumptions!$D$16)^(B50-1),0)</f>
        <v>0</v>
      </c>
      <c r="Y50" s="100">
        <f>Assumptions!$C$13*N50</f>
        <v>0</v>
      </c>
      <c r="AA50" s="67">
        <f t="shared" si="13"/>
        <v>40833100.18230658</v>
      </c>
      <c r="AB50" s="67">
        <f>N50*I50</f>
        <v>0</v>
      </c>
      <c r="AC50" s="67"/>
      <c r="AD50" s="90">
        <f>P50*J50</f>
        <v>4365.9538981739097</v>
      </c>
      <c r="AE50" s="90">
        <f>Q50*K50</f>
        <v>211500.2872124998</v>
      </c>
      <c r="AF50" s="67">
        <f>R50*I51</f>
        <v>0</v>
      </c>
      <c r="AG50" s="68">
        <f>S50*I50</f>
        <v>166359.10461283114</v>
      </c>
      <c r="AH50" s="68">
        <f>T50*$I50</f>
        <v>0</v>
      </c>
      <c r="AI50" s="68">
        <f>U50*$I50</f>
        <v>0</v>
      </c>
      <c r="AJ50" s="67">
        <f>V50*I51</f>
        <v>40783104.077689327</v>
      </c>
      <c r="AK50" s="67">
        <f>W50*$I50</f>
        <v>0</v>
      </c>
      <c r="AL50" s="67">
        <f>X50*$I50</f>
        <v>0</v>
      </c>
      <c r="AM50" s="67">
        <f>Y50*$I50</f>
        <v>0</v>
      </c>
      <c r="AN50" s="65">
        <f>NPV(Assumptions!$D$19,AB50:$AB$259)*(1+Assumptions!$D$19)</f>
        <v>65223761.196200281</v>
      </c>
      <c r="AO50" s="68">
        <f t="shared" si="9"/>
        <v>602274.79078474664</v>
      </c>
      <c r="AQ50" s="67">
        <f t="shared" si="14"/>
        <v>41074968.760839909</v>
      </c>
      <c r="AR50" s="95">
        <f>(AQ50+AB50-AC50)*Assumptions!$D$19</f>
        <v>176335.01858723548</v>
      </c>
      <c r="AS50" s="67">
        <f t="shared" si="15"/>
        <v>251844.49250773701</v>
      </c>
      <c r="AT50" s="67">
        <f t="shared" si="10"/>
        <v>40432673.779412314</v>
      </c>
      <c r="AU50" s="67"/>
      <c r="AV50" s="67"/>
      <c r="AW50" s="67"/>
      <c r="AY50" s="67"/>
      <c r="AZ50" s="70">
        <f t="shared" si="4"/>
        <v>0</v>
      </c>
    </row>
    <row r="51" spans="2:52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64">
        <f>1-(1-VLOOKUP($E51,'Annual Mortality Rates'!$B$5:$C$105,2,FALSE))^(1/12)</f>
        <v>1.067292956670185E-4</v>
      </c>
      <c r="G51" s="75">
        <f>IF(C51&gt;=Assumptions!$H$9*12,100%,1-(1-IF(D51&gt;=7,2%,VLOOKUP($D51,'Annual Lapse Rates'!$B$4:$C$14,2,FALSE)))^(1/12))</f>
        <v>5.1430128318229462E-3</v>
      </c>
      <c r="H51" s="81">
        <f t="shared" si="11"/>
        <v>8</v>
      </c>
      <c r="I51" s="65">
        <f t="shared" si="5"/>
        <v>3691.4309286848065</v>
      </c>
      <c r="J51" s="66">
        <f t="shared" si="6"/>
        <v>0.39398382302197738</v>
      </c>
      <c r="K51" s="66">
        <f t="shared" si="7"/>
        <v>19.085792857565277</v>
      </c>
      <c r="M51" s="97">
        <f t="shared" si="12"/>
        <v>11048.047455196363</v>
      </c>
      <c r="N51" s="97">
        <f>IF(AND(H51=1,D51&lt;15),Assumptions!$H$4,0)</f>
        <v>0</v>
      </c>
      <c r="O51" s="103"/>
      <c r="P51" s="98">
        <f>$M51*(1+VLOOKUP($H51,Assumptions!$C$22:$D$33,2,FALSE))^(1/12)</f>
        <v>11070.804624055521</v>
      </c>
      <c r="Q51" s="98">
        <f>$M51*(1+VLOOKUP($H51,Assumptions!$C$22:$D$33,2,FALSE))^(1/12)</f>
        <v>11070.804624055521</v>
      </c>
      <c r="R51" s="97">
        <f>IF(AND(H51=12,D51&lt;15),Assumptions!$C$7*M51,0)</f>
        <v>0</v>
      </c>
      <c r="S51" s="99">
        <f>(M51+N51-O51)*Assumptions!$D$17</f>
        <v>45.01111290009117</v>
      </c>
      <c r="T51" s="99">
        <f t="shared" si="8"/>
        <v>0</v>
      </c>
      <c r="U51" s="101"/>
      <c r="V51" s="101">
        <f>IF(C51&gt;=Assumptions!$H$9*12,0,M51+N51-O51+S51-R51)</f>
        <v>11093.058568096454</v>
      </c>
      <c r="W51" s="103"/>
      <c r="X51" s="97">
        <f>IF(AND(H51=1,D51&lt;15),Assumptions!$D$10*N51+Assumptions!$D$11*(1+Assumptions!$D$16)^(B51-1),0)</f>
        <v>0</v>
      </c>
      <c r="Y51" s="100">
        <f>Assumptions!$C$13*N51</f>
        <v>0</v>
      </c>
      <c r="AA51" s="67">
        <f t="shared" si="13"/>
        <v>40783104.077689327</v>
      </c>
      <c r="AB51" s="67">
        <f>N51*I51</f>
        <v>0</v>
      </c>
      <c r="AC51" s="67"/>
      <c r="AD51" s="90">
        <f>P51*J51</f>
        <v>4361.7179297147795</v>
      </c>
      <c r="AE51" s="90">
        <f>Q51*K51</f>
        <v>211295.08382129951</v>
      </c>
      <c r="AF51" s="67">
        <f>R51*I52</f>
        <v>0</v>
      </c>
      <c r="AG51" s="68">
        <f>S51*I51</f>
        <v>166155.41429392021</v>
      </c>
      <c r="AH51" s="68">
        <f>T51*$I51</f>
        <v>0</v>
      </c>
      <c r="AI51" s="68">
        <f>U51*$I51</f>
        <v>0</v>
      </c>
      <c r="AJ51" s="67">
        <f>V51*I52</f>
        <v>40733169.188372046</v>
      </c>
      <c r="AK51" s="67">
        <f>W51*$I51</f>
        <v>0</v>
      </c>
      <c r="AL51" s="67">
        <f>X51*$I51</f>
        <v>0</v>
      </c>
      <c r="AM51" s="67">
        <f>Y51*$I51</f>
        <v>0</v>
      </c>
      <c r="AN51" s="65">
        <f>NPV(Assumptions!$D$19,AB51:$AB$259)*(1+Assumptions!$D$19)</f>
        <v>65503767.085184082</v>
      </c>
      <c r="AO51" s="68">
        <f t="shared" si="9"/>
        <v>604860.35906712362</v>
      </c>
      <c r="AQ51" s="67">
        <f t="shared" si="14"/>
        <v>41034948.570197061</v>
      </c>
      <c r="AR51" s="95">
        <f>(AQ51+AB51-AC51)*Assumptions!$D$19</f>
        <v>176163.21173567194</v>
      </c>
      <c r="AS51" s="67">
        <f t="shared" si="15"/>
        <v>261852.28994948877</v>
      </c>
      <c r="AT51" s="67">
        <f t="shared" si="10"/>
        <v>40390161.11925441</v>
      </c>
      <c r="AU51" s="67"/>
      <c r="AV51" s="67"/>
      <c r="AW51" s="67"/>
      <c r="AY51" s="67"/>
      <c r="AZ51" s="70">
        <f t="shared" si="4"/>
        <v>0</v>
      </c>
    </row>
    <row r="52" spans="2:52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64">
        <f>1-(1-VLOOKUP($E52,'Annual Mortality Rates'!$B$5:$C$105,2,FALSE))^(1/12)</f>
        <v>1.067292956670185E-4</v>
      </c>
      <c r="G52" s="75">
        <f>IF(C52&gt;=Assumptions!$H$9*12,100%,1-(1-IF(D52&gt;=7,2%,VLOOKUP($D52,'Annual Lapse Rates'!$B$4:$C$14,2,FALSE)))^(1/12))</f>
        <v>5.1430128318229462E-3</v>
      </c>
      <c r="H52" s="81">
        <f t="shared" si="11"/>
        <v>9</v>
      </c>
      <c r="I52" s="65">
        <f t="shared" si="5"/>
        <v>3671.9511520042192</v>
      </c>
      <c r="J52" s="66">
        <f t="shared" si="6"/>
        <v>0.39190476017710751</v>
      </c>
      <c r="K52" s="66">
        <f t="shared" si="7"/>
        <v>18.985076634014057</v>
      </c>
      <c r="M52" s="97">
        <f t="shared" si="12"/>
        <v>11093.058568096454</v>
      </c>
      <c r="N52" s="97">
        <f>IF(AND(H52=1,D52&lt;15),Assumptions!$H$4,0)</f>
        <v>0</v>
      </c>
      <c r="O52" s="103"/>
      <c r="P52" s="98">
        <f>$M52*(1+VLOOKUP($H52,Assumptions!$C$22:$D$33,2,FALSE))^(1/12)</f>
        <v>11118.728677514164</v>
      </c>
      <c r="Q52" s="98">
        <f>$M52*(1+VLOOKUP($H52,Assumptions!$C$22:$D$33,2,FALSE))^(1/12)</f>
        <v>11118.728677514164</v>
      </c>
      <c r="R52" s="97">
        <f>IF(AND(H52=12,D52&lt;15),Assumptions!$C$7*M52,0)</f>
        <v>0</v>
      </c>
      <c r="S52" s="99">
        <f>(M52+N52-O52)*Assumptions!$D$17</f>
        <v>45.194493745685911</v>
      </c>
      <c r="T52" s="99">
        <f t="shared" si="8"/>
        <v>0</v>
      </c>
      <c r="U52" s="101"/>
      <c r="V52" s="101">
        <f>IF(C52&gt;=Assumptions!$H$9*12,0,M52+N52-O52+S52-R52)</f>
        <v>11138.253061842141</v>
      </c>
      <c r="W52" s="103"/>
      <c r="X52" s="97">
        <f>IF(AND(H52=1,D52&lt;15),Assumptions!$D$10*N52+Assumptions!$D$11*(1+Assumptions!$D$16)^(B52-1),0)</f>
        <v>0</v>
      </c>
      <c r="Y52" s="100">
        <f>Assumptions!$C$13*N52</f>
        <v>0</v>
      </c>
      <c r="AA52" s="67">
        <f t="shared" si="13"/>
        <v>40733169.188372046</v>
      </c>
      <c r="AB52" s="67">
        <f>N52*I52</f>
        <v>0</v>
      </c>
      <c r="AC52" s="67"/>
      <c r="AD52" s="90">
        <f>P52*J52</f>
        <v>4357.4826958355161</v>
      </c>
      <c r="AE52" s="90">
        <f>Q52*K52</f>
        <v>211089.91601541615</v>
      </c>
      <c r="AF52" s="67">
        <f>R52*I53</f>
        <v>0</v>
      </c>
      <c r="AG52" s="68">
        <f>S52*I52</f>
        <v>165951.97337371885</v>
      </c>
      <c r="AH52" s="68">
        <f>T52*$I52</f>
        <v>0</v>
      </c>
      <c r="AI52" s="68">
        <f>U52*$I52</f>
        <v>0</v>
      </c>
      <c r="AJ52" s="67">
        <f>V52*I53</f>
        <v>40683295.439402662</v>
      </c>
      <c r="AK52" s="67">
        <f>W52*$I52</f>
        <v>0</v>
      </c>
      <c r="AL52" s="67">
        <f>X52*$I52</f>
        <v>0</v>
      </c>
      <c r="AM52" s="67">
        <f>Y52*$I52</f>
        <v>0</v>
      </c>
      <c r="AN52" s="65">
        <f>NPV(Assumptions!$D$19,AB52:$AB$259)*(1+Assumptions!$D$19)</f>
        <v>65784975.04066065</v>
      </c>
      <c r="AO52" s="68">
        <f t="shared" si="9"/>
        <v>607457.02720532252</v>
      </c>
      <c r="AQ52" s="67">
        <f t="shared" si="14"/>
        <v>40995021.478321537</v>
      </c>
      <c r="AR52" s="95">
        <f>(AQ52+AB52-AC52)*Assumptions!$D$19</f>
        <v>175991.80455751927</v>
      </c>
      <c r="AS52" s="67">
        <f t="shared" si="15"/>
        <v>271892.12113328918</v>
      </c>
      <c r="AT52" s="67">
        <f t="shared" si="10"/>
        <v>40347730.533330627</v>
      </c>
      <c r="AU52" s="67"/>
      <c r="AV52" s="67"/>
      <c r="AW52" s="67"/>
      <c r="AY52" s="67"/>
      <c r="AZ52" s="70">
        <f t="shared" si="4"/>
        <v>0</v>
      </c>
    </row>
    <row r="53" spans="2:52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64">
        <f>1-(1-VLOOKUP($E53,'Annual Mortality Rates'!$B$5:$C$105,2,FALSE))^(1/12)</f>
        <v>1.067292956670185E-4</v>
      </c>
      <c r="G53" s="75">
        <f>IF(C53&gt;=Assumptions!$H$9*12,100%,1-(1-IF(D53&gt;=7,2%,VLOOKUP($D53,'Annual Lapse Rates'!$B$4:$C$14,2,FALSE)))^(1/12))</f>
        <v>5.1430128318229462E-3</v>
      </c>
      <c r="H53" s="81">
        <f t="shared" si="11"/>
        <v>10</v>
      </c>
      <c r="I53" s="65">
        <f t="shared" si="5"/>
        <v>3652.574170610028</v>
      </c>
      <c r="J53" s="66">
        <f t="shared" si="6"/>
        <v>0.38983666860075256</v>
      </c>
      <c r="K53" s="66">
        <f t="shared" si="7"/>
        <v>18.884891892584751</v>
      </c>
      <c r="M53" s="97">
        <f t="shared" si="12"/>
        <v>11138.253061842141</v>
      </c>
      <c r="N53" s="97">
        <f>IF(AND(H53=1,D53&lt;15),Assumptions!$H$4,0)</f>
        <v>0</v>
      </c>
      <c r="O53" s="103"/>
      <c r="P53" s="98">
        <f>$M53*(1+VLOOKUP($H53,Assumptions!$C$22:$D$33,2,FALSE))^(1/12)</f>
        <v>11166.851590624789</v>
      </c>
      <c r="Q53" s="98">
        <f>$M53*(1+VLOOKUP($H53,Assumptions!$C$22:$D$33,2,FALSE))^(1/12)</f>
        <v>11166.851590624789</v>
      </c>
      <c r="R53" s="97">
        <f>IF(AND(H53=12,D53&lt;15),Assumptions!$C$7*M53,0)</f>
        <v>0</v>
      </c>
      <c r="S53" s="99">
        <f>(M53+N53-O53)*Assumptions!$D$17</f>
        <v>45.378621707545157</v>
      </c>
      <c r="T53" s="99">
        <f t="shared" si="8"/>
        <v>0</v>
      </c>
      <c r="U53" s="101"/>
      <c r="V53" s="101">
        <f>IF(C53&gt;=Assumptions!$H$9*12,0,M53+N53-O53+S53-R53)</f>
        <v>11183.631683549685</v>
      </c>
      <c r="W53" s="103"/>
      <c r="X53" s="97">
        <f>IF(AND(H53=1,D53&lt;15),Assumptions!$D$10*N53+Assumptions!$D$11*(1+Assumptions!$D$16)^(B53-1),0)</f>
        <v>0</v>
      </c>
      <c r="Y53" s="100">
        <f>Assumptions!$C$13*N53</f>
        <v>0</v>
      </c>
      <c r="AA53" s="67">
        <f t="shared" si="13"/>
        <v>40683295.439402662</v>
      </c>
      <c r="AB53" s="67">
        <f>N53*I53</f>
        <v>0</v>
      </c>
      <c r="AC53" s="67"/>
      <c r="AD53" s="90">
        <f>P53*J53</f>
        <v>4353.2482228481822</v>
      </c>
      <c r="AE53" s="90">
        <f>Q53*K53</f>
        <v>210884.7850694872</v>
      </c>
      <c r="AF53" s="67">
        <f>R53*I54</f>
        <v>0</v>
      </c>
      <c r="AG53" s="68">
        <f>S53*I53</f>
        <v>165748.78154686297</v>
      </c>
      <c r="AH53" s="68">
        <f>T53*$I53</f>
        <v>0</v>
      </c>
      <c r="AI53" s="68">
        <f>U53*$I53</f>
        <v>0</v>
      </c>
      <c r="AJ53" s="67">
        <f>V53*I54</f>
        <v>40633482.755920827</v>
      </c>
      <c r="AK53" s="67">
        <f>W53*$I53</f>
        <v>0</v>
      </c>
      <c r="AL53" s="67">
        <f>X53*$I53</f>
        <v>0</v>
      </c>
      <c r="AM53" s="67">
        <f>Y53*$I53</f>
        <v>0</v>
      </c>
      <c r="AN53" s="65">
        <f>NPV(Assumptions!$D$19,AB53:$AB$259)*(1+Assumptions!$D$19)</f>
        <v>66067390.223106645</v>
      </c>
      <c r="AO53" s="68">
        <f t="shared" si="9"/>
        <v>610064.8428510722</v>
      </c>
      <c r="AQ53" s="67">
        <f t="shared" si="14"/>
        <v>40955187.560535952</v>
      </c>
      <c r="AR53" s="95">
        <f>(AQ53+AB53-AC53)*Assumptions!$D$19</f>
        <v>175820.79737613778</v>
      </c>
      <c r="AS53" s="67">
        <f t="shared" si="15"/>
        <v>281964.13696256402</v>
      </c>
      <c r="AT53" s="67">
        <f t="shared" si="10"/>
        <v>40305382.050032318</v>
      </c>
      <c r="AU53" s="67"/>
      <c r="AV53" s="67"/>
      <c r="AW53" s="67"/>
      <c r="AY53" s="67"/>
      <c r="AZ53" s="70">
        <f t="shared" si="4"/>
        <v>0</v>
      </c>
    </row>
    <row r="54" spans="2:52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64">
        <f>1-(1-VLOOKUP($E54,'Annual Mortality Rates'!$B$5:$C$105,2,FALSE))^(1/12)</f>
        <v>1.067292956670185E-4</v>
      </c>
      <c r="G54" s="75">
        <f>IF(C54&gt;=Assumptions!$H$9*12,100%,1-(1-IF(D54&gt;=7,2%,VLOOKUP($D54,'Annual Lapse Rates'!$B$4:$C$14,2,FALSE)))^(1/12))</f>
        <v>5.1430128318229462E-3</v>
      </c>
      <c r="H54" s="81">
        <f t="shared" si="11"/>
        <v>11</v>
      </c>
      <c r="I54" s="65">
        <f t="shared" si="5"/>
        <v>3633.2994420488426</v>
      </c>
      <c r="J54" s="66">
        <f t="shared" si="6"/>
        <v>0.38777949039724424</v>
      </c>
      <c r="K54" s="66">
        <f t="shared" si="7"/>
        <v>18.78523582863243</v>
      </c>
      <c r="M54" s="97">
        <f t="shared" si="12"/>
        <v>11183.631683549685</v>
      </c>
      <c r="N54" s="97">
        <f>IF(AND(H54=1,D54&lt;15),Assumptions!$H$4,0)</f>
        <v>0</v>
      </c>
      <c r="O54" s="103"/>
      <c r="P54" s="98">
        <f>$M54*(1+VLOOKUP($H54,Assumptions!$C$22:$D$33,2,FALSE))^(1/12)</f>
        <v>11215.174202062768</v>
      </c>
      <c r="Q54" s="98">
        <f>$M54*(1+VLOOKUP($H54,Assumptions!$C$22:$D$33,2,FALSE))^(1/12)</f>
        <v>11215.174202062768</v>
      </c>
      <c r="R54" s="97">
        <f>IF(AND(H54=12,D54&lt;15),Assumptions!$C$7*M54,0)</f>
        <v>0</v>
      </c>
      <c r="S54" s="99">
        <f>(M54+N54-O54)*Assumptions!$D$17</f>
        <v>45.563499829513049</v>
      </c>
      <c r="T54" s="99">
        <f t="shared" si="8"/>
        <v>0</v>
      </c>
      <c r="U54" s="101"/>
      <c r="V54" s="101">
        <f>IF(C54&gt;=Assumptions!$H$9*12,0,M54+N54-O54+S54-R54)</f>
        <v>11229.195183379199</v>
      </c>
      <c r="W54" s="103"/>
      <c r="X54" s="97">
        <f>IF(AND(H54=1,D54&lt;15),Assumptions!$D$10*N54+Assumptions!$D$11*(1+Assumptions!$D$16)^(B54-1),0)</f>
        <v>0</v>
      </c>
      <c r="Y54" s="100">
        <f>Assumptions!$C$13*N54</f>
        <v>0</v>
      </c>
      <c r="AA54" s="67">
        <f t="shared" si="13"/>
        <v>40633482.755920827</v>
      </c>
      <c r="AB54" s="67">
        <f>N54*I54</f>
        <v>0</v>
      </c>
      <c r="AC54" s="67"/>
      <c r="AD54" s="90">
        <f>P54*J54</f>
        <v>4349.0145367922205</v>
      </c>
      <c r="AE54" s="90">
        <f>Q54*K54</f>
        <v>210679.69224494364</v>
      </c>
      <c r="AF54" s="67">
        <f>R54*I55</f>
        <v>0</v>
      </c>
      <c r="AG54" s="68">
        <f>S54*I54</f>
        <v>165545.8385083623</v>
      </c>
      <c r="AH54" s="68">
        <f>T54*$I54</f>
        <v>0</v>
      </c>
      <c r="AI54" s="68">
        <f>U54*$I54</f>
        <v>0</v>
      </c>
      <c r="AJ54" s="67">
        <f>V54*I55</f>
        <v>40583731.063157894</v>
      </c>
      <c r="AK54" s="67">
        <f>W54*$I54</f>
        <v>0</v>
      </c>
      <c r="AL54" s="67">
        <f>X54*$I54</f>
        <v>0</v>
      </c>
      <c r="AM54" s="67">
        <f>Y54*$I54</f>
        <v>0</v>
      </c>
      <c r="AN54" s="65">
        <f>NPV(Assumptions!$D$19,AB54:$AB$259)*(1+Assumptions!$D$19)</f>
        <v>66351017.815152653</v>
      </c>
      <c r="AO54" s="68">
        <f t="shared" si="9"/>
        <v>612683.85386067082</v>
      </c>
      <c r="AQ54" s="67">
        <f t="shared" si="14"/>
        <v>40915446.89288339</v>
      </c>
      <c r="AR54" s="95">
        <f>(AQ54+AB54-AC54)*Assumptions!$D$19</f>
        <v>175650.19051798078</v>
      </c>
      <c r="AS54" s="67">
        <f t="shared" si="15"/>
        <v>292068.4889721825</v>
      </c>
      <c r="AT54" s="67">
        <f t="shared" si="10"/>
        <v>40263115.698269404</v>
      </c>
      <c r="AU54" s="67"/>
      <c r="AV54" s="67"/>
      <c r="AW54" s="67"/>
      <c r="AY54" s="67"/>
      <c r="AZ54" s="70">
        <f t="shared" si="4"/>
        <v>0</v>
      </c>
    </row>
    <row r="55" spans="2:52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64">
        <f>1-(1-VLOOKUP($E55,'Annual Mortality Rates'!$B$5:$C$105,2,FALSE))^(1/12)</f>
        <v>1.067292956670185E-4</v>
      </c>
      <c r="G55" s="75">
        <f>IF(C55&gt;=Assumptions!$H$9*12,100%,1-(1-IF(D55&gt;=7,2%,VLOOKUP($D55,'Annual Lapse Rates'!$B$4:$C$14,2,FALSE)))^(1/12))</f>
        <v>5.1430128318229462E-3</v>
      </c>
      <c r="H55" s="81">
        <f t="shared" si="11"/>
        <v>12</v>
      </c>
      <c r="I55" s="65">
        <f t="shared" si="5"/>
        <v>3614.1264267298129</v>
      </c>
      <c r="J55" s="66">
        <f t="shared" si="6"/>
        <v>0.38573316797643126</v>
      </c>
      <c r="K55" s="66">
        <f t="shared" si="7"/>
        <v>18.686105652312349</v>
      </c>
      <c r="M55" s="97">
        <f t="shared" si="12"/>
        <v>11229.195183379199</v>
      </c>
      <c r="N55" s="97">
        <f>IF(AND(H55=1,D55&lt;15),Assumptions!$H$4,0)</f>
        <v>0</v>
      </c>
      <c r="O55" s="103"/>
      <c r="P55" s="98">
        <f>$M55*(1+VLOOKUP($H55,Assumptions!$C$22:$D$33,2,FALSE))^(1/12)</f>
        <v>11263.697353874128</v>
      </c>
      <c r="Q55" s="98">
        <f>$M55*(1+VLOOKUP($H55,Assumptions!$C$22:$D$33,2,FALSE))^(1/12)</f>
        <v>11263.697353874128</v>
      </c>
      <c r="R55" s="97">
        <f>IF(AND(H55=12,D55&lt;15),Assumptions!$C$7*M55,0)</f>
        <v>5.6145975916895994</v>
      </c>
      <c r="S55" s="99">
        <f>(M55+N55-O55)*Assumptions!$D$17</f>
        <v>45.749131167834726</v>
      </c>
      <c r="T55" s="99">
        <f t="shared" si="8"/>
        <v>0</v>
      </c>
      <c r="U55" s="101"/>
      <c r="V55" s="101">
        <f>IF(C55&gt;=Assumptions!$H$9*12,0,M55+N55-O55+S55-R55)</f>
        <v>11269.329716955344</v>
      </c>
      <c r="W55" s="103"/>
      <c r="X55" s="97">
        <f>IF(AND(H55=1,D55&lt;15),Assumptions!$D$10*N55+Assumptions!$D$11*(1+Assumptions!$D$16)^(B55-1),0)</f>
        <v>0</v>
      </c>
      <c r="Y55" s="100">
        <f>Assumptions!$C$13*N55</f>
        <v>0</v>
      </c>
      <c r="AA55" s="67">
        <f t="shared" si="13"/>
        <v>40583731.063157894</v>
      </c>
      <c r="AB55" s="67">
        <f>N55*I55</f>
        <v>0</v>
      </c>
      <c r="AC55" s="67"/>
      <c r="AD55" s="90">
        <f>P55*J55</f>
        <v>4344.7816634376131</v>
      </c>
      <c r="AE55" s="90">
        <f>Q55*K55</f>
        <v>210474.63879016298</v>
      </c>
      <c r="AF55" s="67">
        <f>R55*I56</f>
        <v>20184.784831269459</v>
      </c>
      <c r="AG55" s="68">
        <f>S55*I55</f>
        <v>165343.14395360003</v>
      </c>
      <c r="AH55" s="68">
        <f>T55*$I55</f>
        <v>0</v>
      </c>
      <c r="AI55" s="68">
        <f>U55*$I55</f>
        <v>0</v>
      </c>
      <c r="AJ55" s="67">
        <f>V55*I56</f>
        <v>40513855.501605444</v>
      </c>
      <c r="AK55" s="67">
        <f>W55*$I55</f>
        <v>0</v>
      </c>
      <c r="AL55" s="67">
        <f>X55*$I55</f>
        <v>0</v>
      </c>
      <c r="AM55" s="67">
        <f>Y55*$I55</f>
        <v>0</v>
      </c>
      <c r="AN55" s="65">
        <f>NPV(Assumptions!$D$19,AB55:$AB$259)*(1+Assumptions!$D$19)</f>
        <v>66635863.021678314</v>
      </c>
      <c r="AO55" s="68">
        <f t="shared" si="9"/>
        <v>615314.10829586408</v>
      </c>
      <c r="AQ55" s="67">
        <f t="shared" si="14"/>
        <v>40875799.552130073</v>
      </c>
      <c r="AR55" s="95">
        <f>(AQ55+AB55-AC55)*Assumptions!$D$19</f>
        <v>175479.98431260599</v>
      </c>
      <c r="AS55" s="67">
        <f t="shared" si="15"/>
        <v>302205.32933118846</v>
      </c>
      <c r="AT55" s="67">
        <f t="shared" si="10"/>
        <v>40200746.722640768</v>
      </c>
      <c r="AU55" s="67"/>
      <c r="AV55" s="67"/>
      <c r="AW55" s="67"/>
      <c r="AY55" s="67"/>
      <c r="AZ55" s="70">
        <f t="shared" si="4"/>
        <v>0</v>
      </c>
    </row>
    <row r="56" spans="2:52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64">
        <f>1-(1-VLOOKUP($E56,'Annual Mortality Rates'!$B$5:$C$105,2,FALSE))^(1/12)</f>
        <v>1.184104185535384E-4</v>
      </c>
      <c r="G56" s="75">
        <f>IF(C56&gt;=Assumptions!$H$9*12,100%,1-(1-IF(D56&gt;=7,2%,VLOOKUP($D56,'Annual Lapse Rates'!$B$4:$C$14,2,FALSE)))^(1/12))</f>
        <v>4.2653187775606449E-3</v>
      </c>
      <c r="H56" s="81">
        <f t="shared" si="11"/>
        <v>1</v>
      </c>
      <c r="I56" s="65">
        <f t="shared" si="5"/>
        <v>3595.0545879095239</v>
      </c>
      <c r="J56" s="66">
        <f t="shared" si="6"/>
        <v>0.42569191847718524</v>
      </c>
      <c r="K56" s="66">
        <f t="shared" si="7"/>
        <v>15.415401312408827</v>
      </c>
      <c r="M56" s="97">
        <f t="shared" si="12"/>
        <v>11269.329716955344</v>
      </c>
      <c r="N56" s="97">
        <f>IF(AND(H56=1,D56&lt;15),Assumptions!$H$4,0)</f>
        <v>2500</v>
      </c>
      <c r="O56" s="103"/>
      <c r="P56" s="98">
        <f>$M56*(1+VLOOKUP($H56,Assumptions!$C$22:$D$33,2,FALSE))^(1/12)</f>
        <v>11272.260243232051</v>
      </c>
      <c r="Q56" s="98">
        <f>$M56*(1+VLOOKUP($H56,Assumptions!$C$22:$D$33,2,FALSE))^(1/12)</f>
        <v>11272.260243232051</v>
      </c>
      <c r="R56" s="97">
        <f>IF(AND(H56=12,D56&lt;15),Assumptions!$C$7*M56,0)</f>
        <v>0</v>
      </c>
      <c r="S56" s="99">
        <f>(M56+N56-O56)*Assumptions!$D$17</f>
        <v>56.097953684743821</v>
      </c>
      <c r="T56" s="99">
        <f t="shared" si="8"/>
        <v>0</v>
      </c>
      <c r="U56" s="101"/>
      <c r="V56" s="101">
        <f>IF(C56&gt;=Assumptions!$H$9*12,0,M56+N56-O56+S56-R56)</f>
        <v>13825.427670640089</v>
      </c>
      <c r="W56" s="103"/>
      <c r="X56" s="97">
        <f>IF(AND(H56=1,D56&lt;15),Assumptions!$D$10*N56+Assumptions!$D$11*(1+Assumptions!$D$16)^(B56-1),0)</f>
        <v>19.535809040000011</v>
      </c>
      <c r="Y56" s="100">
        <f>Assumptions!$C$13*N56</f>
        <v>12.5</v>
      </c>
      <c r="AA56" s="67">
        <f t="shared" si="13"/>
        <v>40513855.501605444</v>
      </c>
      <c r="AB56" s="67">
        <f>N56*I56</f>
        <v>8987636.4697738104</v>
      </c>
      <c r="AC56" s="67"/>
      <c r="AD56" s="90">
        <f>P56*J56</f>
        <v>4798.5100885155543</v>
      </c>
      <c r="AE56" s="90">
        <f>Q56*K56</f>
        <v>173766.41534733321</v>
      </c>
      <c r="AF56" s="67">
        <f>R56*I57</f>
        <v>0</v>
      </c>
      <c r="AG56" s="68">
        <f>S56*I56</f>
        <v>201675.20576667425</v>
      </c>
      <c r="AH56" s="68">
        <f>T56*$I56</f>
        <v>0</v>
      </c>
      <c r="AI56" s="68">
        <f>U56*$I56</f>
        <v>0</v>
      </c>
      <c r="AJ56" s="67">
        <f>V56*I57</f>
        <v>49484157.288458452</v>
      </c>
      <c r="AK56" s="67">
        <f>W56*$I56</f>
        <v>0</v>
      </c>
      <c r="AL56" s="67">
        <f>X56*$I56</f>
        <v>70232.299917776385</v>
      </c>
      <c r="AM56" s="67">
        <f>Y56*$I56</f>
        <v>44938.18234886905</v>
      </c>
      <c r="AN56" s="65">
        <f>NPV(Assumptions!$D$19,AB56:$AB$259)*(1+Assumptions!$D$19)</f>
        <v>66921931.069907889</v>
      </c>
      <c r="AO56" s="68">
        <f t="shared" si="9"/>
        <v>534964.01494844118</v>
      </c>
      <c r="AQ56" s="67">
        <f t="shared" si="14"/>
        <v>40816060.830936633</v>
      </c>
      <c r="AR56" s="95">
        <f>(AQ56+AB56-AC56)*Assumptions!$D$19</f>
        <v>213807.48797078931</v>
      </c>
      <c r="AS56" s="67">
        <f t="shared" si="15"/>
        <v>314337.61153530353</v>
      </c>
      <c r="AT56" s="67">
        <f t="shared" si="10"/>
        <v>49263530.885045312</v>
      </c>
      <c r="AU56" s="67"/>
      <c r="AV56" s="67"/>
      <c r="AW56" s="67"/>
      <c r="AY56" s="67"/>
      <c r="AZ56" s="70">
        <f t="shared" si="4"/>
        <v>0</v>
      </c>
    </row>
    <row r="57" spans="2:52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64">
        <f>1-(1-VLOOKUP($E57,'Annual Mortality Rates'!$B$5:$C$105,2,FALSE))^(1/12)</f>
        <v>1.184104185535384E-4</v>
      </c>
      <c r="G57" s="75">
        <f>IF(C57&gt;=Assumptions!$H$9*12,100%,1-(1-IF(D57&gt;=7,2%,VLOOKUP($D57,'Annual Lapse Rates'!$B$4:$C$14,2,FALSE)))^(1/12))</f>
        <v>4.2653187775606449E-3</v>
      </c>
      <c r="H57" s="81">
        <f t="shared" si="11"/>
        <v>2</v>
      </c>
      <c r="I57" s="65">
        <f t="shared" si="5"/>
        <v>3579.2134946786377</v>
      </c>
      <c r="J57" s="66">
        <f t="shared" si="6"/>
        <v>0.42381616799737037</v>
      </c>
      <c r="K57" s="66">
        <f t="shared" si="7"/>
        <v>15.334053840166039</v>
      </c>
      <c r="M57" s="97">
        <f t="shared" si="12"/>
        <v>13825.427670640089</v>
      </c>
      <c r="N57" s="97">
        <f>IF(AND(H57=1,D57&lt;15),Assumptions!$H$4,0)</f>
        <v>0</v>
      </c>
      <c r="O57" s="103"/>
      <c r="P57" s="98">
        <f>$M57*(1+VLOOKUP($H57,Assumptions!$C$22:$D$33,2,FALSE))^(1/12)</f>
        <v>13832.607869080248</v>
      </c>
      <c r="Q57" s="98">
        <f>$M57*(1+VLOOKUP($H57,Assumptions!$C$22:$D$33,2,FALSE))^(1/12)</f>
        <v>13832.607869080248</v>
      </c>
      <c r="R57" s="97">
        <f>IF(AND(H57=12,D57&lt;15),Assumptions!$C$7*M57,0)</f>
        <v>0</v>
      </c>
      <c r="S57" s="99">
        <f>(M57+N57-O57)*Assumptions!$D$17</f>
        <v>56.32650369206484</v>
      </c>
      <c r="T57" s="99">
        <f t="shared" si="8"/>
        <v>0</v>
      </c>
      <c r="U57" s="101"/>
      <c r="V57" s="101">
        <f>IF(C57&gt;=Assumptions!$H$9*12,0,M57+N57-O57+S57-R57)</f>
        <v>13881.754174332154</v>
      </c>
      <c r="W57" s="103"/>
      <c r="X57" s="97">
        <f>IF(AND(H57=1,D57&lt;15),Assumptions!$D$10*N57+Assumptions!$D$11*(1+Assumptions!$D$16)^(B57-1),0)</f>
        <v>0</v>
      </c>
      <c r="Y57" s="100">
        <f>Assumptions!$C$13*N57</f>
        <v>0</v>
      </c>
      <c r="AA57" s="67">
        <f t="shared" si="13"/>
        <v>49484157.288458452</v>
      </c>
      <c r="AB57" s="67">
        <f>N57*I57</f>
        <v>0</v>
      </c>
      <c r="AC57" s="67"/>
      <c r="AD57" s="90">
        <f>P57*J57</f>
        <v>5862.4828604838622</v>
      </c>
      <c r="AE57" s="90">
        <f>Q57*K57</f>
        <v>212109.95381438095</v>
      </c>
      <c r="AF57" s="67">
        <f>R57*I58</f>
        <v>0</v>
      </c>
      <c r="AG57" s="68">
        <f>S57*I57</f>
        <v>201604.5821227046</v>
      </c>
      <c r="AH57" s="68">
        <f>T57*$I57</f>
        <v>0</v>
      </c>
      <c r="AI57" s="68">
        <f>U57*$I57</f>
        <v>0</v>
      </c>
      <c r="AJ57" s="67">
        <f>V57*I58</f>
        <v>49467014.992816754</v>
      </c>
      <c r="AK57" s="67">
        <f>W57*$I57</f>
        <v>0</v>
      </c>
      <c r="AL57" s="67">
        <f>X57*$I57</f>
        <v>0</v>
      </c>
      <c r="AM57" s="67">
        <f>Y57*$I57</f>
        <v>0</v>
      </c>
      <c r="AN57" s="65">
        <f>NPV(Assumptions!$D$19,AB57:$AB$259)*(1+Assumptions!$D$19)</f>
        <v>58183006.777485579</v>
      </c>
      <c r="AO57" s="68">
        <f t="shared" si="9"/>
        <v>537260.61777895549</v>
      </c>
      <c r="AQ57" s="67">
        <f t="shared" si="14"/>
        <v>49798494.899993755</v>
      </c>
      <c r="AR57" s="95">
        <f>(AQ57+AB57-AC57)*Assumptions!$D$19</f>
        <v>213785.15404200615</v>
      </c>
      <c r="AS57" s="67">
        <f t="shared" si="15"/>
        <v>326518.18345460505</v>
      </c>
      <c r="AT57" s="67">
        <f t="shared" si="10"/>
        <v>49256272.5584924</v>
      </c>
      <c r="AU57" s="67"/>
      <c r="AV57" s="67"/>
      <c r="AW57" s="67"/>
      <c r="AY57" s="67"/>
      <c r="AZ57" s="70">
        <f t="shared" si="4"/>
        <v>0</v>
      </c>
    </row>
    <row r="58" spans="2:52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64">
        <f>1-(1-VLOOKUP($E58,'Annual Mortality Rates'!$B$5:$C$105,2,FALSE))^(1/12)</f>
        <v>1.184104185535384E-4</v>
      </c>
      <c r="G58" s="75">
        <f>IF(C58&gt;=Assumptions!$H$9*12,100%,1-(1-IF(D58&gt;=7,2%,VLOOKUP($D58,'Annual Lapse Rates'!$B$4:$C$14,2,FALSE)))^(1/12))</f>
        <v>4.2653187775606449E-3</v>
      </c>
      <c r="H58" s="81">
        <f t="shared" si="11"/>
        <v>3</v>
      </c>
      <c r="I58" s="65">
        <f t="shared" si="5"/>
        <v>3563.4556246704742</v>
      </c>
      <c r="J58" s="66">
        <f t="shared" si="6"/>
        <v>0.4219502720141915</v>
      </c>
      <c r="K58" s="66">
        <f t="shared" si="7"/>
        <v>15.266486527751251</v>
      </c>
      <c r="M58" s="97">
        <f t="shared" si="12"/>
        <v>13881.754174332154</v>
      </c>
      <c r="N58" s="97">
        <f>IF(AND(H58=1,D58&lt;15),Assumptions!$H$4,0)</f>
        <v>0</v>
      </c>
      <c r="O58" s="103"/>
      <c r="P58" s="98">
        <f>$M58*(1+VLOOKUP($H58,Assumptions!$C$22:$D$33,2,FALSE))^(1/12)</f>
        <v>13892.552971875157</v>
      </c>
      <c r="Q58" s="98">
        <f>$M58*(1+VLOOKUP($H58,Assumptions!$C$22:$D$33,2,FALSE))^(1/12)</f>
        <v>13892.552971875157</v>
      </c>
      <c r="R58" s="97">
        <f>IF(AND(H58=12,D58&lt;15),Assumptions!$C$7*M58,0)</f>
        <v>0</v>
      </c>
      <c r="S58" s="99">
        <f>(M58+N58-O58)*Assumptions!$D$17</f>
        <v>56.555984840406445</v>
      </c>
      <c r="T58" s="99">
        <f t="shared" si="8"/>
        <v>0</v>
      </c>
      <c r="U58" s="101"/>
      <c r="V58" s="101">
        <f>IF(C58&gt;=Assumptions!$H$9*12,0,M58+N58-O58+S58-R58)</f>
        <v>13938.310159172561</v>
      </c>
      <c r="W58" s="103"/>
      <c r="X58" s="97">
        <f>IF(AND(H58=1,D58&lt;15),Assumptions!$D$10*N58+Assumptions!$D$11*(1+Assumptions!$D$16)^(B58-1),0)</f>
        <v>0</v>
      </c>
      <c r="Y58" s="100">
        <f>Assumptions!$C$13*N58</f>
        <v>0</v>
      </c>
      <c r="AA58" s="67">
        <f t="shared" si="13"/>
        <v>49467014.992816754</v>
      </c>
      <c r="AB58" s="67">
        <f>N58*I58</f>
        <v>0</v>
      </c>
      <c r="AC58" s="67"/>
      <c r="AD58" s="90">
        <f>P58*J58</f>
        <v>5861.9665054542866</v>
      </c>
      <c r="AE58" s="90">
        <f>Q58*K58</f>
        <v>212090.4727812027</v>
      </c>
      <c r="AF58" s="67">
        <f>R58*I59</f>
        <v>0</v>
      </c>
      <c r="AG58" s="68">
        <f>S58*I58</f>
        <v>201534.74228832443</v>
      </c>
      <c r="AH58" s="68">
        <f>T58*$I58</f>
        <v>0</v>
      </c>
      <c r="AI58" s="68">
        <f>U58*$I58</f>
        <v>0</v>
      </c>
      <c r="AJ58" s="67">
        <f>V58*I59</f>
        <v>49449879.437077366</v>
      </c>
      <c r="AK58" s="67">
        <f>W58*$I58</f>
        <v>0</v>
      </c>
      <c r="AL58" s="67">
        <f>X58*$I58</f>
        <v>0</v>
      </c>
      <c r="AM58" s="67">
        <f>Y58*$I58</f>
        <v>0</v>
      </c>
      <c r="AN58" s="65">
        <f>NPV(Assumptions!$D$19,AB58:$AB$259)*(1+Assumptions!$D$19)</f>
        <v>58432786.677290402</v>
      </c>
      <c r="AO58" s="68">
        <f t="shared" si="9"/>
        <v>539567.07993535674</v>
      </c>
      <c r="AQ58" s="67">
        <f t="shared" si="14"/>
        <v>49793533.176271357</v>
      </c>
      <c r="AR58" s="95">
        <f>(AQ58+AB58-AC58)*Assumptions!$D$19</f>
        <v>213763.85334060068</v>
      </c>
      <c r="AS58" s="67">
        <f t="shared" si="15"/>
        <v>338747.29450688127</v>
      </c>
      <c r="AT58" s="67">
        <f t="shared" si="10"/>
        <v>49249059.651648887</v>
      </c>
      <c r="AU58" s="67"/>
      <c r="AV58" s="67"/>
      <c r="AW58" s="67"/>
      <c r="AY58" s="67"/>
      <c r="AZ58" s="70">
        <f t="shared" si="4"/>
        <v>0</v>
      </c>
    </row>
    <row r="59" spans="2:52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64">
        <f>1-(1-VLOOKUP($E59,'Annual Mortality Rates'!$B$5:$C$105,2,FALSE))^(1/12)</f>
        <v>1.184104185535384E-4</v>
      </c>
      <c r="G59" s="75">
        <f>IF(C59&gt;=Assumptions!$H$9*12,100%,1-(1-IF(D59&gt;=7,2%,VLOOKUP($D59,'Annual Lapse Rates'!$B$4:$C$14,2,FALSE)))^(1/12))</f>
        <v>4.2653187775606449E-3</v>
      </c>
      <c r="H59" s="81">
        <f t="shared" si="11"/>
        <v>4</v>
      </c>
      <c r="I59" s="65">
        <f t="shared" si="5"/>
        <v>3547.7671878707088</v>
      </c>
      <c r="J59" s="66">
        <f t="shared" si="6"/>
        <v>0.42009259764628054</v>
      </c>
      <c r="K59" s="66">
        <f t="shared" si="7"/>
        <v>15.199274188911071</v>
      </c>
      <c r="M59" s="97">
        <f t="shared" si="12"/>
        <v>13938.310159172561</v>
      </c>
      <c r="N59" s="97">
        <f>IF(AND(H59=1,D59&lt;15),Assumptions!$H$4,0)</f>
        <v>0</v>
      </c>
      <c r="O59" s="103"/>
      <c r="P59" s="98">
        <f>$M59*(1+VLOOKUP($H59,Assumptions!$C$22:$D$33,2,FALSE))^(1/12)</f>
        <v>13952.746708371553</v>
      </c>
      <c r="Q59" s="98">
        <f>$M59*(1+VLOOKUP($H59,Assumptions!$C$22:$D$33,2,FALSE))^(1/12)</f>
        <v>13952.746708371553</v>
      </c>
      <c r="R59" s="97">
        <f>IF(AND(H59=12,D59&lt;15),Assumptions!$C$7*M59,0)</f>
        <v>0</v>
      </c>
      <c r="S59" s="99">
        <f>(M59+N59-O59)*Assumptions!$D$17</f>
        <v>56.786400923352396</v>
      </c>
      <c r="T59" s="99">
        <f t="shared" si="8"/>
        <v>0</v>
      </c>
      <c r="U59" s="101"/>
      <c r="V59" s="101">
        <f>IF(C59&gt;=Assumptions!$H$9*12,0,M59+N59-O59+S59-R59)</f>
        <v>13995.096560095913</v>
      </c>
      <c r="W59" s="103"/>
      <c r="X59" s="97">
        <f>IF(AND(H59=1,D59&lt;15),Assumptions!$D$10*N59+Assumptions!$D$11*(1+Assumptions!$D$16)^(B59-1),0)</f>
        <v>0</v>
      </c>
      <c r="Y59" s="100">
        <f>Assumptions!$C$13*N59</f>
        <v>0</v>
      </c>
      <c r="AA59" s="67">
        <f t="shared" si="13"/>
        <v>49449879.437077366</v>
      </c>
      <c r="AB59" s="67">
        <f>N59*I59</f>
        <v>0</v>
      </c>
      <c r="AC59" s="67"/>
      <c r="AD59" s="90">
        <f>P59*J59</f>
        <v>5861.4456090203958</v>
      </c>
      <c r="AE59" s="90">
        <f>Q59*K59</f>
        <v>212071.62290896566</v>
      </c>
      <c r="AF59" s="67">
        <f>R59*I60</f>
        <v>0</v>
      </c>
      <c r="AG59" s="68">
        <f>S59*I59</f>
        <v>201464.92991314054</v>
      </c>
      <c r="AH59" s="68">
        <f>T59*$I59</f>
        <v>0</v>
      </c>
      <c r="AI59" s="68">
        <f>U59*$I59</f>
        <v>0</v>
      </c>
      <c r="AJ59" s="67">
        <f>V59*I60</f>
        <v>49432749.820605084</v>
      </c>
      <c r="AK59" s="67">
        <f>W59*$I59</f>
        <v>0</v>
      </c>
      <c r="AL59" s="67">
        <f>X59*$I59</f>
        <v>0</v>
      </c>
      <c r="AM59" s="67">
        <f>Y59*$I59</f>
        <v>0</v>
      </c>
      <c r="AN59" s="65">
        <f>NPV(Assumptions!$D$19,AB59:$AB$259)*(1+Assumptions!$D$19)</f>
        <v>58683638.883285679</v>
      </c>
      <c r="AO59" s="68">
        <f t="shared" si="9"/>
        <v>541883.44374377362</v>
      </c>
      <c r="AQ59" s="67">
        <f t="shared" si="14"/>
        <v>49788626.731584243</v>
      </c>
      <c r="AR59" s="95">
        <f>(AQ59+AB59-AC59)*Assumptions!$D$19</f>
        <v>213742.78995233282</v>
      </c>
      <c r="AS59" s="67">
        <f t="shared" si="15"/>
        <v>351025.15454607358</v>
      </c>
      <c r="AT59" s="67">
        <f t="shared" si="10"/>
        <v>49241891.531407386</v>
      </c>
      <c r="AU59" s="67"/>
      <c r="AV59" s="67"/>
      <c r="AW59" s="67"/>
      <c r="AY59" s="67"/>
      <c r="AZ59" s="70">
        <f t="shared" si="4"/>
        <v>0</v>
      </c>
    </row>
    <row r="60" spans="2:52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64">
        <f>1-(1-VLOOKUP($E60,'Annual Mortality Rates'!$B$5:$C$105,2,FALSE))^(1/12)</f>
        <v>1.184104185535384E-4</v>
      </c>
      <c r="G60" s="75">
        <f>IF(C60&gt;=Assumptions!$H$9*12,100%,1-(1-IF(D60&gt;=7,2%,VLOOKUP($D60,'Annual Lapse Rates'!$B$4:$C$14,2,FALSE)))^(1/12))</f>
        <v>4.2653187775606449E-3</v>
      </c>
      <c r="H60" s="81">
        <f t="shared" si="11"/>
        <v>5</v>
      </c>
      <c r="I60" s="65">
        <f t="shared" si="5"/>
        <v>3532.1478210841515</v>
      </c>
      <c r="J60" s="66">
        <f t="shared" si="6"/>
        <v>0.41824310188754305</v>
      </c>
      <c r="K60" s="66">
        <f t="shared" si="7"/>
        <v>15.132358004838458</v>
      </c>
      <c r="M60" s="97">
        <f t="shared" si="12"/>
        <v>13995.096560095913</v>
      </c>
      <c r="N60" s="97">
        <f>IF(AND(H60=1,D60&lt;15),Assumptions!$H$4,0)</f>
        <v>0</v>
      </c>
      <c r="O60" s="103"/>
      <c r="P60" s="98">
        <f>$M60*(1+VLOOKUP($H60,Assumptions!$C$22:$D$33,2,FALSE))^(1/12)</f>
        <v>14013.190128469456</v>
      </c>
      <c r="Q60" s="98">
        <f>$M60*(1+VLOOKUP($H60,Assumptions!$C$22:$D$33,2,FALSE))^(1/12)</f>
        <v>14013.190128469456</v>
      </c>
      <c r="R60" s="97">
        <f>IF(AND(H60=12,D60&lt;15),Assumptions!$C$7*M60,0)</f>
        <v>0</v>
      </c>
      <c r="S60" s="99">
        <f>(M60+N60-O60)*Assumptions!$D$17</f>
        <v>57.017755749942019</v>
      </c>
      <c r="T60" s="99">
        <f t="shared" si="8"/>
        <v>0</v>
      </c>
      <c r="U60" s="101"/>
      <c r="V60" s="101">
        <f>IF(C60&gt;=Assumptions!$H$9*12,0,M60+N60-O60+S60-R60)</f>
        <v>14052.114315845856</v>
      </c>
      <c r="W60" s="103"/>
      <c r="X60" s="97">
        <f>IF(AND(H60=1,D60&lt;15),Assumptions!$D$10*N60+Assumptions!$D$11*(1+Assumptions!$D$16)^(B60-1),0)</f>
        <v>0</v>
      </c>
      <c r="Y60" s="100">
        <f>Assumptions!$C$13*N60</f>
        <v>0</v>
      </c>
      <c r="AA60" s="67">
        <f t="shared" si="13"/>
        <v>49432749.820605084</v>
      </c>
      <c r="AB60" s="67">
        <f>N60*I60</f>
        <v>0</v>
      </c>
      <c r="AC60" s="67"/>
      <c r="AD60" s="90">
        <f>P60*J60</f>
        <v>5860.9201066709629</v>
      </c>
      <c r="AE60" s="90">
        <f>Q60*K60</f>
        <v>212052.60981386804</v>
      </c>
      <c r="AF60" s="67">
        <f>R60*I61</f>
        <v>0</v>
      </c>
      <c r="AG60" s="68">
        <f>S60*I60</f>
        <v>201395.14173526605</v>
      </c>
      <c r="AH60" s="68">
        <f>T60*$I60</f>
        <v>0</v>
      </c>
      <c r="AI60" s="68">
        <f>U60*$I60</f>
        <v>0</v>
      </c>
      <c r="AJ60" s="67">
        <f>V60*I61</f>
        <v>49415626.137908518</v>
      </c>
      <c r="AK60" s="67">
        <f>W60*$I60</f>
        <v>0</v>
      </c>
      <c r="AL60" s="67">
        <f>X60*$I60</f>
        <v>0</v>
      </c>
      <c r="AM60" s="67">
        <f>Y60*$I60</f>
        <v>0</v>
      </c>
      <c r="AN60" s="65">
        <f>NPV(Assumptions!$D$19,AB60:$AB$259)*(1+Assumptions!$D$19)</f>
        <v>58935567.998886533</v>
      </c>
      <c r="AO60" s="68">
        <f t="shared" si="9"/>
        <v>544209.75171204098</v>
      </c>
      <c r="AQ60" s="67">
        <f t="shared" si="14"/>
        <v>49783774.975151159</v>
      </c>
      <c r="AR60" s="95">
        <f>(AQ60+AB60-AC60)*Assumptions!$D$19</f>
        <v>213721.96134097612</v>
      </c>
      <c r="AS60" s="67">
        <f t="shared" si="15"/>
        <v>363351.97415178362</v>
      </c>
      <c r="AT60" s="67">
        <f t="shared" si="10"/>
        <v>49234768.360348262</v>
      </c>
      <c r="AU60" s="67"/>
      <c r="AV60" s="67"/>
      <c r="AW60" s="67"/>
      <c r="AY60" s="67"/>
      <c r="AZ60" s="70">
        <f t="shared" si="4"/>
        <v>0</v>
      </c>
    </row>
    <row r="61" spans="2:52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64">
        <f>1-(1-VLOOKUP($E61,'Annual Mortality Rates'!$B$5:$C$105,2,FALSE))^(1/12)</f>
        <v>1.184104185535384E-4</v>
      </c>
      <c r="G61" s="75">
        <f>IF(C61&gt;=Assumptions!$H$9*12,100%,1-(1-IF(D61&gt;=7,2%,VLOOKUP($D61,'Annual Lapse Rates'!$B$4:$C$14,2,FALSE)))^(1/12))</f>
        <v>4.2653187775606449E-3</v>
      </c>
      <c r="H61" s="81">
        <f t="shared" si="11"/>
        <v>6</v>
      </c>
      <c r="I61" s="65">
        <f t="shared" si="5"/>
        <v>3516.5972199774255</v>
      </c>
      <c r="J61" s="66">
        <f t="shared" si="6"/>
        <v>0.41640174870173652</v>
      </c>
      <c r="K61" s="66">
        <f t="shared" si="7"/>
        <v>15.065736426390149</v>
      </c>
      <c r="M61" s="97">
        <f t="shared" si="12"/>
        <v>14052.114315845856</v>
      </c>
      <c r="N61" s="97">
        <f>IF(AND(H61=1,D61&lt;15),Assumptions!$H$4,0)</f>
        <v>0</v>
      </c>
      <c r="O61" s="103"/>
      <c r="P61" s="98">
        <f>$M61*(1+VLOOKUP($H61,Assumptions!$C$22:$D$33,2,FALSE))^(1/12)</f>
        <v>14073.884286275756</v>
      </c>
      <c r="Q61" s="98">
        <f>$M61*(1+VLOOKUP($H61,Assumptions!$C$22:$D$33,2,FALSE))^(1/12)</f>
        <v>14073.884286275756</v>
      </c>
      <c r="R61" s="97">
        <f>IF(AND(H61=12,D61&lt;15),Assumptions!$C$7*M61,0)</f>
        <v>0</v>
      </c>
      <c r="S61" s="99">
        <f>(M61+N61-O61)*Assumptions!$D$17</f>
        <v>57.250053144733116</v>
      </c>
      <c r="T61" s="99">
        <f t="shared" si="8"/>
        <v>0</v>
      </c>
      <c r="U61" s="101"/>
      <c r="V61" s="101">
        <f>IF(C61&gt;=Assumptions!$H$9*12,0,M61+N61-O61+S61-R61)</f>
        <v>14109.364368990589</v>
      </c>
      <c r="W61" s="103"/>
      <c r="X61" s="97">
        <f>IF(AND(H61=1,D61&lt;15),Assumptions!$D$10*N61+Assumptions!$D$11*(1+Assumptions!$D$16)^(B61-1),0)</f>
        <v>0</v>
      </c>
      <c r="Y61" s="100">
        <f>Assumptions!$C$13*N61</f>
        <v>0</v>
      </c>
      <c r="AA61" s="67">
        <f t="shared" si="13"/>
        <v>49415626.137908518</v>
      </c>
      <c r="AB61" s="67">
        <f>N61*I61</f>
        <v>0</v>
      </c>
      <c r="AC61" s="67"/>
      <c r="AD61" s="90">
        <f>P61*J61</f>
        <v>5860.3900278311157</v>
      </c>
      <c r="AE61" s="90">
        <f>Q61*K61</f>
        <v>212033.43115254457</v>
      </c>
      <c r="AF61" s="67">
        <f>R61*I62</f>
        <v>0</v>
      </c>
      <c r="AG61" s="68">
        <f>S61*I61</f>
        <v>201325.37773232834</v>
      </c>
      <c r="AH61" s="68">
        <f>T61*$I61</f>
        <v>0</v>
      </c>
      <c r="AI61" s="68">
        <f>U61*$I61</f>
        <v>0</v>
      </c>
      <c r="AJ61" s="67">
        <f>V61*I62</f>
        <v>49398508.386917412</v>
      </c>
      <c r="AK61" s="67">
        <f>W61*$I61</f>
        <v>0</v>
      </c>
      <c r="AL61" s="67">
        <f>X61*$I61</f>
        <v>0</v>
      </c>
      <c r="AM61" s="67">
        <f>Y61*$I61</f>
        <v>0</v>
      </c>
      <c r="AN61" s="65">
        <f>NPV(Assumptions!$D$19,AB61:$AB$259)*(1+Assumptions!$D$19)</f>
        <v>59188578.647270545</v>
      </c>
      <c r="AO61" s="68">
        <f t="shared" si="9"/>
        <v>546546.04653047991</v>
      </c>
      <c r="AQ61" s="67">
        <f t="shared" si="14"/>
        <v>49778978.112060301</v>
      </c>
      <c r="AR61" s="95">
        <f>(AQ61+AB61-AC61)*Assumptions!$D$19</f>
        <v>213701.36838697505</v>
      </c>
      <c r="AS61" s="67">
        <f t="shared" si="15"/>
        <v>375727.96480643027</v>
      </c>
      <c r="AT61" s="67">
        <f t="shared" si="10"/>
        <v>49227690.305193365</v>
      </c>
      <c r="AU61" s="67"/>
      <c r="AV61" s="67"/>
      <c r="AW61" s="67"/>
      <c r="AY61" s="67"/>
      <c r="AZ61" s="70">
        <f t="shared" si="4"/>
        <v>0</v>
      </c>
    </row>
    <row r="62" spans="2:52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64">
        <f>1-(1-VLOOKUP($E62,'Annual Mortality Rates'!$B$5:$C$105,2,FALSE))^(1/12)</f>
        <v>1.184104185535384E-4</v>
      </c>
      <c r="G62" s="75">
        <f>IF(C62&gt;=Assumptions!$H$9*12,100%,1-(1-IF(D62&gt;=7,2%,VLOOKUP($D62,'Annual Lapse Rates'!$B$4:$C$14,2,FALSE)))^(1/12))</f>
        <v>4.2653187775606449E-3</v>
      </c>
      <c r="H62" s="81">
        <f t="shared" si="11"/>
        <v>7</v>
      </c>
      <c r="I62" s="65">
        <f t="shared" si="5"/>
        <v>3501.1150818023334</v>
      </c>
      <c r="J62" s="66">
        <f t="shared" si="6"/>
        <v>0.4145685022403201</v>
      </c>
      <c r="K62" s="66">
        <f t="shared" si="7"/>
        <v>14.999408155487275</v>
      </c>
      <c r="M62" s="97">
        <f t="shared" si="12"/>
        <v>14109.364368990589</v>
      </c>
      <c r="N62" s="97">
        <f>IF(AND(H62=1,D62&lt;15),Assumptions!$H$4,0)</f>
        <v>0</v>
      </c>
      <c r="O62" s="103"/>
      <c r="P62" s="98">
        <f>$M62*(1+VLOOKUP($H62,Assumptions!$C$22:$D$33,2,FALSE))^(1/12)</f>
        <v>14134.830240123316</v>
      </c>
      <c r="Q62" s="98">
        <f>$M62*(1+VLOOKUP($H62,Assumptions!$C$22:$D$33,2,FALSE))^(1/12)</f>
        <v>14134.830240123316</v>
      </c>
      <c r="R62" s="97">
        <f>IF(AND(H62=12,D62&lt;15),Assumptions!$C$7*M62,0)</f>
        <v>0</v>
      </c>
      <c r="S62" s="99">
        <f>(M62+N62-O62)*Assumptions!$D$17</f>
        <v>57.483296947865206</v>
      </c>
      <c r="T62" s="99">
        <f t="shared" si="8"/>
        <v>0</v>
      </c>
      <c r="U62" s="101"/>
      <c r="V62" s="101">
        <f>IF(C62&gt;=Assumptions!$H$9*12,0,M62+N62-O62+S62-R62)</f>
        <v>14166.847665938454</v>
      </c>
      <c r="W62" s="103"/>
      <c r="X62" s="97">
        <f>IF(AND(H62=1,D62&lt;15),Assumptions!$D$10*N62+Assumptions!$D$11*(1+Assumptions!$D$16)^(B62-1),0)</f>
        <v>0</v>
      </c>
      <c r="Y62" s="100">
        <f>Assumptions!$C$13*N62</f>
        <v>0</v>
      </c>
      <c r="AA62" s="67">
        <f t="shared" si="13"/>
        <v>49398508.386917412</v>
      </c>
      <c r="AB62" s="67">
        <f>N62*I62</f>
        <v>0</v>
      </c>
      <c r="AC62" s="67"/>
      <c r="AD62" s="90">
        <f>P62*J62</f>
        <v>5859.8554020691072</v>
      </c>
      <c r="AE62" s="90">
        <f>Q62*K62</f>
        <v>212014.08798013383</v>
      </c>
      <c r="AF62" s="67">
        <f>R62*I63</f>
        <v>0</v>
      </c>
      <c r="AG62" s="68">
        <f>S62*I62</f>
        <v>201255.63789589293</v>
      </c>
      <c r="AH62" s="68">
        <f>T62*$I62</f>
        <v>0</v>
      </c>
      <c r="AI62" s="68">
        <f>U62*$I62</f>
        <v>0</v>
      </c>
      <c r="AJ62" s="67">
        <f>V62*I63</f>
        <v>49381396.565576948</v>
      </c>
      <c r="AK62" s="67">
        <f>W62*$I62</f>
        <v>0</v>
      </c>
      <c r="AL62" s="67">
        <f>X62*$I62</f>
        <v>0</v>
      </c>
      <c r="AM62" s="67">
        <f>Y62*$I62</f>
        <v>0</v>
      </c>
      <c r="AN62" s="65">
        <f>NPV(Assumptions!$D$19,AB62:$AB$259)*(1+Assumptions!$D$19)</f>
        <v>59442675.471462615</v>
      </c>
      <c r="AO62" s="68">
        <f t="shared" si="9"/>
        <v>548892.37107268185</v>
      </c>
      <c r="AQ62" s="67">
        <f t="shared" si="14"/>
        <v>49774236.351723842</v>
      </c>
      <c r="AR62" s="95">
        <f>(AQ62+AB62-AC62)*Assumptions!$D$19</f>
        <v>213681.01198933701</v>
      </c>
      <c r="AS62" s="67">
        <f t="shared" si="15"/>
        <v>388153.33889987436</v>
      </c>
      <c r="AT62" s="67">
        <f t="shared" si="10"/>
        <v>49220657.533404142</v>
      </c>
      <c r="AU62" s="67"/>
      <c r="AV62" s="67"/>
      <c r="AW62" s="67"/>
      <c r="AY62" s="67"/>
      <c r="AZ62" s="70">
        <f t="shared" si="4"/>
        <v>0</v>
      </c>
    </row>
    <row r="63" spans="2:52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64">
        <f>1-(1-VLOOKUP($E63,'Annual Mortality Rates'!$B$5:$C$105,2,FALSE))^(1/12)</f>
        <v>1.184104185535384E-4</v>
      </c>
      <c r="G63" s="75">
        <f>IF(C63&gt;=Assumptions!$H$9*12,100%,1-(1-IF(D63&gt;=7,2%,VLOOKUP($D63,'Annual Lapse Rates'!$B$4:$C$14,2,FALSE)))^(1/12))</f>
        <v>4.2653187775606449E-3</v>
      </c>
      <c r="H63" s="81">
        <f t="shared" si="11"/>
        <v>8</v>
      </c>
      <c r="I63" s="65">
        <f t="shared" si="5"/>
        <v>3485.7011051446057</v>
      </c>
      <c r="J63" s="66">
        <f t="shared" si="6"/>
        <v>0.41274332681270409</v>
      </c>
      <c r="K63" s="66">
        <f t="shared" si="7"/>
        <v>14.933371900812267</v>
      </c>
      <c r="M63" s="97">
        <f t="shared" si="12"/>
        <v>14166.847665938454</v>
      </c>
      <c r="N63" s="97">
        <f>IF(AND(H63=1,D63&lt;15),Assumptions!$H$4,0)</f>
        <v>0</v>
      </c>
      <c r="O63" s="103"/>
      <c r="P63" s="98">
        <f>$M63*(1+VLOOKUP($H63,Assumptions!$C$22:$D$33,2,FALSE))^(1/12)</f>
        <v>14196.029052590091</v>
      </c>
      <c r="Q63" s="98">
        <f>$M63*(1+VLOOKUP($H63,Assumptions!$C$22:$D$33,2,FALSE))^(1/12)</f>
        <v>14196.029052590091</v>
      </c>
      <c r="R63" s="97">
        <f>IF(AND(H63=12,D63&lt;15),Assumptions!$C$7*M63,0)</f>
        <v>0</v>
      </c>
      <c r="S63" s="99">
        <f>(M63+N63-O63)*Assumptions!$D$17</f>
        <v>57.717491015123024</v>
      </c>
      <c r="T63" s="99">
        <f t="shared" si="8"/>
        <v>0</v>
      </c>
      <c r="U63" s="101"/>
      <c r="V63" s="101">
        <f>IF(C63&gt;=Assumptions!$H$9*12,0,M63+N63-O63+S63-R63)</f>
        <v>14224.565156953577</v>
      </c>
      <c r="W63" s="103"/>
      <c r="X63" s="97">
        <f>IF(AND(H63=1,D63&lt;15),Assumptions!$D$10*N63+Assumptions!$D$11*(1+Assumptions!$D$16)^(B63-1),0)</f>
        <v>0</v>
      </c>
      <c r="Y63" s="100">
        <f>Assumptions!$C$13*N63</f>
        <v>0</v>
      </c>
      <c r="AA63" s="67">
        <f t="shared" si="13"/>
        <v>49381396.565576948</v>
      </c>
      <c r="AB63" s="67">
        <f>N63*I63</f>
        <v>0</v>
      </c>
      <c r="AC63" s="67"/>
      <c r="AD63" s="90">
        <f>P63*J63</f>
        <v>5859.3162586958342</v>
      </c>
      <c r="AE63" s="90">
        <f>Q63*K63</f>
        <v>211994.58135706343</v>
      </c>
      <c r="AF63" s="67">
        <f>R63*I64</f>
        <v>0</v>
      </c>
      <c r="AG63" s="68">
        <f>S63*I63</f>
        <v>201185.92221758817</v>
      </c>
      <c r="AH63" s="68">
        <f>T63*$I63</f>
        <v>0</v>
      </c>
      <c r="AI63" s="68">
        <f>U63*$I63</f>
        <v>0</v>
      </c>
      <c r="AJ63" s="67">
        <f>V63*I64</f>
        <v>49364290.671833061</v>
      </c>
      <c r="AK63" s="67">
        <f>W63*$I63</f>
        <v>0</v>
      </c>
      <c r="AL63" s="67">
        <f>X63*$I63</f>
        <v>0</v>
      </c>
      <c r="AM63" s="67">
        <f>Y63*$I63</f>
        <v>0</v>
      </c>
      <c r="AN63" s="65">
        <f>NPV(Assumptions!$D$19,AB63:$AB$259)*(1+Assumptions!$D$19)</f>
        <v>59697863.134420231</v>
      </c>
      <c r="AO63" s="68">
        <f t="shared" si="9"/>
        <v>551248.76839629386</v>
      </c>
      <c r="AQ63" s="67">
        <f t="shared" si="14"/>
        <v>49769549.904476821</v>
      </c>
      <c r="AR63" s="95">
        <f>(AQ63+AB63-AC63)*Assumptions!$D$19</f>
        <v>213660.89305103122</v>
      </c>
      <c r="AS63" s="67">
        <f t="shared" si="15"/>
        <v>400628.30973331747</v>
      </c>
      <c r="AT63" s="67">
        <f t="shared" si="10"/>
        <v>49213670.213170081</v>
      </c>
      <c r="AU63" s="67"/>
      <c r="AV63" s="67"/>
      <c r="AW63" s="67"/>
      <c r="AY63" s="67"/>
      <c r="AZ63" s="70">
        <f t="shared" si="4"/>
        <v>0</v>
      </c>
    </row>
    <row r="64" spans="2:52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64">
        <f>1-(1-VLOOKUP($E64,'Annual Mortality Rates'!$B$5:$C$105,2,FALSE))^(1/12)</f>
        <v>1.184104185535384E-4</v>
      </c>
      <c r="G64" s="75">
        <f>IF(C64&gt;=Assumptions!$H$9*12,100%,1-(1-IF(D64&gt;=7,2%,VLOOKUP($D64,'Annual Lapse Rates'!$B$4:$C$14,2,FALSE)))^(1/12))</f>
        <v>4.2653187775606449E-3</v>
      </c>
      <c r="H64" s="81">
        <f t="shared" si="11"/>
        <v>9</v>
      </c>
      <c r="I64" s="65">
        <f t="shared" si="5"/>
        <v>3470.3549899169807</v>
      </c>
      <c r="J64" s="66">
        <f t="shared" si="6"/>
        <v>0.4109261868854302</v>
      </c>
      <c r="K64" s="66">
        <f t="shared" si="7"/>
        <v>14.867626376737178</v>
      </c>
      <c r="M64" s="97">
        <f t="shared" si="12"/>
        <v>14224.565156953577</v>
      </c>
      <c r="N64" s="97">
        <f>IF(AND(H64=1,D64&lt;15),Assumptions!$H$4,0)</f>
        <v>0</v>
      </c>
      <c r="O64" s="103"/>
      <c r="P64" s="98">
        <f>$M64*(1+VLOOKUP($H64,Assumptions!$C$22:$D$33,2,FALSE))^(1/12)</f>
        <v>14257.481790518326</v>
      </c>
      <c r="Q64" s="98">
        <f>$M64*(1+VLOOKUP($H64,Assumptions!$C$22:$D$33,2,FALSE))^(1/12)</f>
        <v>14257.481790518326</v>
      </c>
      <c r="R64" s="97">
        <f>IF(AND(H64=12,D64&lt;15),Assumptions!$C$7*M64,0)</f>
        <v>0</v>
      </c>
      <c r="S64" s="99">
        <f>(M64+N64-O64)*Assumptions!$D$17</f>
        <v>57.952639218000243</v>
      </c>
      <c r="T64" s="99">
        <f t="shared" si="8"/>
        <v>0</v>
      </c>
      <c r="U64" s="101"/>
      <c r="V64" s="101">
        <f>IF(C64&gt;=Assumptions!$H$9*12,0,M64+N64-O64+S64-R64)</f>
        <v>14282.517796171576</v>
      </c>
      <c r="W64" s="103"/>
      <c r="X64" s="97">
        <f>IF(AND(H64=1,D64&lt;15),Assumptions!$D$10*N64+Assumptions!$D$11*(1+Assumptions!$D$16)^(B64-1),0)</f>
        <v>0</v>
      </c>
      <c r="Y64" s="100">
        <f>Assumptions!$C$13*N64</f>
        <v>0</v>
      </c>
      <c r="AA64" s="67">
        <f t="shared" si="13"/>
        <v>49364290.671833061</v>
      </c>
      <c r="AB64" s="67">
        <f>N64*I64</f>
        <v>0</v>
      </c>
      <c r="AC64" s="67"/>
      <c r="AD64" s="90">
        <f>P64*J64</f>
        <v>5858.7726267661519</v>
      </c>
      <c r="AE64" s="90">
        <f>Q64*K64</f>
        <v>211974.91233456027</v>
      </c>
      <c r="AF64" s="67">
        <f>R64*I65</f>
        <v>0</v>
      </c>
      <c r="AG64" s="68">
        <f>S64*I64</f>
        <v>201116.23068904565</v>
      </c>
      <c r="AH64" s="68">
        <f>T64*$I64</f>
        <v>0</v>
      </c>
      <c r="AI64" s="68">
        <f>U64*$I64</f>
        <v>0</v>
      </c>
      <c r="AJ64" s="67">
        <f>V64*I65</f>
        <v>49347190.703632429</v>
      </c>
      <c r="AK64" s="67">
        <f>W64*$I64</f>
        <v>0</v>
      </c>
      <c r="AL64" s="67">
        <f>X64*$I64</f>
        <v>0</v>
      </c>
      <c r="AM64" s="67">
        <f>Y64*$I64</f>
        <v>0</v>
      </c>
      <c r="AN64" s="65">
        <f>NPV(Assumptions!$D$19,AB64:$AB$259)*(1+Assumptions!$D$19)</f>
        <v>59954146.31911888</v>
      </c>
      <c r="AO64" s="68">
        <f t="shared" si="9"/>
        <v>553615.2817438104</v>
      </c>
      <c r="AQ64" s="67">
        <f t="shared" si="14"/>
        <v>49764918.981566377</v>
      </c>
      <c r="AR64" s="95">
        <f>(AQ64+AB64-AC64)*Assumptions!$D$19</f>
        <v>213641.01247894258</v>
      </c>
      <c r="AS64" s="67">
        <f t="shared" si="15"/>
        <v>413153.09152321436</v>
      </c>
      <c r="AT64" s="67">
        <f t="shared" si="10"/>
        <v>49206728.513411835</v>
      </c>
      <c r="AU64" s="67"/>
      <c r="AV64" s="67"/>
      <c r="AW64" s="67"/>
      <c r="AY64" s="67"/>
      <c r="AZ64" s="70">
        <f t="shared" si="4"/>
        <v>0</v>
      </c>
    </row>
    <row r="65" spans="2:52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64">
        <f>1-(1-VLOOKUP($E65,'Annual Mortality Rates'!$B$5:$C$105,2,FALSE))^(1/12)</f>
        <v>1.184104185535384E-4</v>
      </c>
      <c r="G65" s="75">
        <f>IF(C65&gt;=Assumptions!$H$9*12,100%,1-(1-IF(D65&gt;=7,2%,VLOOKUP($D65,'Annual Lapse Rates'!$B$4:$C$14,2,FALSE)))^(1/12))</f>
        <v>4.2653187775606449E-3</v>
      </c>
      <c r="H65" s="81">
        <f t="shared" si="11"/>
        <v>10</v>
      </c>
      <c r="I65" s="65">
        <f t="shared" si="5"/>
        <v>3455.0764373533584</v>
      </c>
      <c r="J65" s="66">
        <f t="shared" si="6"/>
        <v>0.40911704708147945</v>
      </c>
      <c r="K65" s="66">
        <f t="shared" si="7"/>
        <v>14.802170303294181</v>
      </c>
      <c r="M65" s="97">
        <f t="shared" si="12"/>
        <v>14282.517796171576</v>
      </c>
      <c r="N65" s="97">
        <f>IF(AND(H65=1,D65&lt;15),Assumptions!$H$4,0)</f>
        <v>0</v>
      </c>
      <c r="O65" s="103"/>
      <c r="P65" s="98">
        <f>$M65*(1+VLOOKUP($H65,Assumptions!$C$22:$D$33,2,FALSE))^(1/12)</f>
        <v>14319.189525033782</v>
      </c>
      <c r="Q65" s="98">
        <f>$M65*(1+VLOOKUP($H65,Assumptions!$C$22:$D$33,2,FALSE))^(1/12)</f>
        <v>14319.189525033782</v>
      </c>
      <c r="R65" s="97">
        <f>IF(AND(H65=12,D65&lt;15),Assumptions!$C$7*M65,0)</f>
        <v>0</v>
      </c>
      <c r="S65" s="99">
        <f>(M65+N65-O65)*Assumptions!$D$17</f>
        <v>58.188745443763487</v>
      </c>
      <c r="T65" s="99">
        <f t="shared" si="8"/>
        <v>0</v>
      </c>
      <c r="U65" s="101"/>
      <c r="V65" s="101">
        <f>IF(C65&gt;=Assumptions!$H$9*12,0,M65+N65-O65+S65-R65)</f>
        <v>14340.70654161534</v>
      </c>
      <c r="W65" s="103"/>
      <c r="X65" s="97">
        <f>IF(AND(H65=1,D65&lt;15),Assumptions!$D$10*N65+Assumptions!$D$11*(1+Assumptions!$D$16)^(B65-1),0)</f>
        <v>0</v>
      </c>
      <c r="Y65" s="100">
        <f>Assumptions!$C$13*N65</f>
        <v>0</v>
      </c>
      <c r="AA65" s="67">
        <f t="shared" si="13"/>
        <v>49347190.703632429</v>
      </c>
      <c r="AB65" s="67">
        <f>N65*I65</f>
        <v>0</v>
      </c>
      <c r="AC65" s="67"/>
      <c r="AD65" s="90">
        <f>P65*J65</f>
        <v>5858.224535081873</v>
      </c>
      <c r="AE65" s="90">
        <f>Q65*K65</f>
        <v>211955.08195469616</v>
      </c>
      <c r="AF65" s="67">
        <f>R65*I66</f>
        <v>0</v>
      </c>
      <c r="AG65" s="68">
        <f>S65*I65</f>
        <v>201046.56330189982</v>
      </c>
      <c r="AH65" s="68">
        <f>T65*$I65</f>
        <v>0</v>
      </c>
      <c r="AI65" s="68">
        <f>U65*$I65</f>
        <v>0</v>
      </c>
      <c r="AJ65" s="67">
        <f>V65*I66</f>
        <v>49330096.658922412</v>
      </c>
      <c r="AK65" s="67">
        <f>W65*$I65</f>
        <v>0</v>
      </c>
      <c r="AL65" s="67">
        <f>X65*$I65</f>
        <v>0</v>
      </c>
      <c r="AM65" s="67">
        <f>Y65*$I65</f>
        <v>0</v>
      </c>
      <c r="AN65" s="65">
        <f>NPV(Assumptions!$D$19,AB65:$AB$259)*(1+Assumptions!$D$19)</f>
        <v>60211529.728638187</v>
      </c>
      <c r="AO65" s="68">
        <f t="shared" si="9"/>
        <v>555991.95454336575</v>
      </c>
      <c r="AQ65" s="67">
        <f t="shared" si="14"/>
        <v>49760343.795155644</v>
      </c>
      <c r="AR65" s="95">
        <f>(AQ65+AB65-AC65)*Assumptions!$D$19</f>
        <v>213621.37118388829</v>
      </c>
      <c r="AS65" s="67">
        <f t="shared" si="15"/>
        <v>425727.89940520283</v>
      </c>
      <c r="AT65" s="67">
        <f t="shared" si="10"/>
        <v>49199832.603784248</v>
      </c>
      <c r="AU65" s="67"/>
      <c r="AV65" s="67"/>
      <c r="AW65" s="67"/>
      <c r="AY65" s="67"/>
      <c r="AZ65" s="70">
        <f t="shared" si="4"/>
        <v>0</v>
      </c>
    </row>
    <row r="66" spans="2:52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64">
        <f>1-(1-VLOOKUP($E66,'Annual Mortality Rates'!$B$5:$C$105,2,FALSE))^(1/12)</f>
        <v>1.184104185535384E-4</v>
      </c>
      <c r="G66" s="75">
        <f>IF(C66&gt;=Assumptions!$H$9*12,100%,1-(1-IF(D66&gt;=7,2%,VLOOKUP($D66,'Annual Lapse Rates'!$B$4:$C$14,2,FALSE)))^(1/12))</f>
        <v>4.2653187775606449E-3</v>
      </c>
      <c r="H66" s="81">
        <f t="shared" si="11"/>
        <v>11</v>
      </c>
      <c r="I66" s="65">
        <f t="shared" si="5"/>
        <v>3439.8651500029828</v>
      </c>
      <c r="J66" s="66">
        <f t="shared" si="6"/>
        <v>0.40731587217958332</v>
      </c>
      <c r="K66" s="66">
        <f t="shared" si="7"/>
        <v>14.737002406150616</v>
      </c>
      <c r="M66" s="97">
        <f t="shared" si="12"/>
        <v>14340.70654161534</v>
      </c>
      <c r="N66" s="97">
        <f>IF(AND(H66=1,D66&lt;15),Assumptions!$H$4,0)</f>
        <v>0</v>
      </c>
      <c r="O66" s="103"/>
      <c r="P66" s="98">
        <f>$M66*(1+VLOOKUP($H66,Assumptions!$C$22:$D$33,2,FALSE))^(1/12)</f>
        <v>14381.153331565061</v>
      </c>
      <c r="Q66" s="98">
        <f>$M66*(1+VLOOKUP($H66,Assumptions!$C$22:$D$33,2,FALSE))^(1/12)</f>
        <v>14381.153331565061</v>
      </c>
      <c r="R66" s="97">
        <f>IF(AND(H66=12,D66&lt;15),Assumptions!$C$7*M66,0)</f>
        <v>0</v>
      </c>
      <c r="S66" s="99">
        <f>(M66+N66-O66)*Assumptions!$D$17</f>
        <v>58.42581359551658</v>
      </c>
      <c r="T66" s="99">
        <f t="shared" si="8"/>
        <v>0</v>
      </c>
      <c r="U66" s="101"/>
      <c r="V66" s="101">
        <f>IF(C66&gt;=Assumptions!$H$9*12,0,M66+N66-O66+S66-R66)</f>
        <v>14399.132355210857</v>
      </c>
      <c r="W66" s="103"/>
      <c r="X66" s="97">
        <f>IF(AND(H66=1,D66&lt;15),Assumptions!$D$10*N66+Assumptions!$D$11*(1+Assumptions!$D$16)^(B66-1),0)</f>
        <v>0</v>
      </c>
      <c r="Y66" s="100">
        <f>Assumptions!$C$13*N66</f>
        <v>0</v>
      </c>
      <c r="AA66" s="67">
        <f t="shared" si="13"/>
        <v>49330096.658922412</v>
      </c>
      <c r="AB66" s="67">
        <f>N66*I66</f>
        <v>0</v>
      </c>
      <c r="AC66" s="67"/>
      <c r="AD66" s="90">
        <f>P66*J66</f>
        <v>5857.6720121947428</v>
      </c>
      <c r="AE66" s="90">
        <f>Q66*K66</f>
        <v>211935.09125049526</v>
      </c>
      <c r="AF66" s="67">
        <f>R66*I67</f>
        <v>0</v>
      </c>
      <c r="AG66" s="68">
        <f>S66*I66</f>
        <v>200976.92004778795</v>
      </c>
      <c r="AH66" s="68">
        <f>T66*$I66</f>
        <v>0</v>
      </c>
      <c r="AI66" s="68">
        <f>U66*$I66</f>
        <v>0</v>
      </c>
      <c r="AJ66" s="67">
        <f>V66*I67</f>
        <v>49313008.53565108</v>
      </c>
      <c r="AK66" s="67">
        <f>W66*$I66</f>
        <v>0</v>
      </c>
      <c r="AL66" s="67">
        <f>X66*$I66</f>
        <v>0</v>
      </c>
      <c r="AM66" s="67">
        <f>Y66*$I66</f>
        <v>0</v>
      </c>
      <c r="AN66" s="65">
        <f>NPV(Assumptions!$D$19,AB66:$AB$259)*(1+Assumptions!$D$19)</f>
        <v>60470018.08624804</v>
      </c>
      <c r="AO66" s="68">
        <f t="shared" si="9"/>
        <v>558378.83040953148</v>
      </c>
      <c r="AQ66" s="67">
        <f t="shared" si="14"/>
        <v>49755824.558327615</v>
      </c>
      <c r="AR66" s="95">
        <f>(AQ66+AB66-AC66)*Assumptions!$D$19</f>
        <v>213601.97008063461</v>
      </c>
      <c r="AS66" s="67">
        <f t="shared" si="15"/>
        <v>438352.94943804946</v>
      </c>
      <c r="AT66" s="67">
        <f t="shared" si="10"/>
        <v>49192982.654679596</v>
      </c>
      <c r="AU66" s="67"/>
      <c r="AV66" s="67"/>
      <c r="AW66" s="67"/>
      <c r="AY66" s="67"/>
      <c r="AZ66" s="70">
        <f t="shared" si="4"/>
        <v>0</v>
      </c>
    </row>
    <row r="67" spans="2:52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64">
        <f>1-(1-VLOOKUP($E67,'Annual Mortality Rates'!$B$5:$C$105,2,FALSE))^(1/12)</f>
        <v>1.184104185535384E-4</v>
      </c>
      <c r="G67" s="75">
        <f>IF(C67&gt;=Assumptions!$H$9*12,100%,1-(1-IF(D67&gt;=7,2%,VLOOKUP($D67,'Annual Lapse Rates'!$B$4:$C$14,2,FALSE)))^(1/12))</f>
        <v>4.2653187775606449E-3</v>
      </c>
      <c r="H67" s="81">
        <f t="shared" si="11"/>
        <v>12</v>
      </c>
      <c r="I67" s="65">
        <f t="shared" si="5"/>
        <v>3424.7208317246527</v>
      </c>
      <c r="J67" s="66">
        <f t="shared" si="6"/>
        <v>0.40552262711353826</v>
      </c>
      <c r="K67" s="66">
        <f t="shared" si="7"/>
        <v>14.672121416584186</v>
      </c>
      <c r="M67" s="97">
        <f t="shared" si="12"/>
        <v>14399.132355210857</v>
      </c>
      <c r="N67" s="97">
        <f>IF(AND(H67=1,D67&lt;15),Assumptions!$H$4,0)</f>
        <v>0</v>
      </c>
      <c r="O67" s="103"/>
      <c r="P67" s="98">
        <f>$M67*(1+VLOOKUP($H67,Assumptions!$C$22:$D$33,2,FALSE))^(1/12)</f>
        <v>14443.374289862939</v>
      </c>
      <c r="Q67" s="98">
        <f>$M67*(1+VLOOKUP($H67,Assumptions!$C$22:$D$33,2,FALSE))^(1/12)</f>
        <v>14443.374289862939</v>
      </c>
      <c r="R67" s="97">
        <f>IF(AND(H67=12,D67&lt;15),Assumptions!$C$7*M67,0)</f>
        <v>7.1995661776054289</v>
      </c>
      <c r="S67" s="99">
        <f>(M67+N67-O67)*Assumptions!$D$17</f>
        <v>58.663847592265085</v>
      </c>
      <c r="T67" s="99">
        <f t="shared" si="8"/>
        <v>0</v>
      </c>
      <c r="U67" s="101"/>
      <c r="V67" s="101">
        <f>IF(C67&gt;=Assumptions!$H$9*12,0,M67+N67-O67+S67-R67)</f>
        <v>14450.596636625516</v>
      </c>
      <c r="W67" s="103"/>
      <c r="X67" s="97">
        <f>IF(AND(H67=1,D67&lt;15),Assumptions!$D$10*N67+Assumptions!$D$11*(1+Assumptions!$D$16)^(B67-1),0)</f>
        <v>0</v>
      </c>
      <c r="Y67" s="100">
        <f>Assumptions!$C$13*N67</f>
        <v>0</v>
      </c>
      <c r="AA67" s="67">
        <f t="shared" si="13"/>
        <v>49313008.53565108</v>
      </c>
      <c r="AB67" s="67">
        <f>N67*I67</f>
        <v>0</v>
      </c>
      <c r="AC67" s="67"/>
      <c r="AD67" s="90">
        <f>P67*J67</f>
        <v>5857.1150864093543</v>
      </c>
      <c r="AE67" s="90">
        <f>Q67*K67</f>
        <v>211914.94124603944</v>
      </c>
      <c r="AF67" s="67">
        <f>R67*I68</f>
        <v>24547.951771730564</v>
      </c>
      <c r="AG67" s="68">
        <f>S67*I67</f>
        <v>200907.30091835035</v>
      </c>
      <c r="AH67" s="68">
        <f>T67*$I67</f>
        <v>0</v>
      </c>
      <c r="AI67" s="68">
        <f>U67*$I67</f>
        <v>0</v>
      </c>
      <c r="AJ67" s="67">
        <f>V67*I68</f>
        <v>49271378.379995517</v>
      </c>
      <c r="AK67" s="67">
        <f>W67*$I67</f>
        <v>0</v>
      </c>
      <c r="AL67" s="67">
        <f>X67*$I67</f>
        <v>0</v>
      </c>
      <c r="AM67" s="67">
        <f>Y67*$I67</f>
        <v>0</v>
      </c>
      <c r="AN67" s="65">
        <f>NPV(Assumptions!$D$19,AB67:$AB$259)*(1+Assumptions!$D$19)</f>
        <v>60729616.135495372</v>
      </c>
      <c r="AO67" s="68">
        <f t="shared" si="9"/>
        <v>560775.95314411656</v>
      </c>
      <c r="AQ67" s="67">
        <f t="shared" si="14"/>
        <v>49751361.485089131</v>
      </c>
      <c r="AR67" s="95">
        <f>(AQ67+AB67-AC67)*Assumptions!$D$19</f>
        <v>213582.81008791382</v>
      </c>
      <c r="AS67" s="67">
        <f t="shared" si="15"/>
        <v>451028.45860761299</v>
      </c>
      <c r="AT67" s="67">
        <f t="shared" si="10"/>
        <v>49161630.885459013</v>
      </c>
      <c r="AU67" s="67"/>
      <c r="AV67" s="67"/>
      <c r="AW67" s="67"/>
      <c r="AY67" s="67"/>
      <c r="AZ67" s="70">
        <f t="shared" si="4"/>
        <v>0</v>
      </c>
    </row>
    <row r="68" spans="2:52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64">
        <f>1-(1-VLOOKUP($E68,'Annual Mortality Rates'!$B$5:$C$105,2,FALSE))^(1/12)</f>
        <v>1.3009304274569367E-4</v>
      </c>
      <c r="G68" s="75">
        <f>IF(C68&gt;=Assumptions!$H$9*12,100%,1-(1-IF(D68&gt;=7,2%,VLOOKUP($D68,'Annual Lapse Rates'!$B$4:$C$14,2,FALSE)))^(1/12))</f>
        <v>3.3960531989175591E-3</v>
      </c>
      <c r="H68" s="81">
        <f t="shared" si="11"/>
        <v>1</v>
      </c>
      <c r="I68" s="65">
        <f t="shared" si="5"/>
        <v>3409.6431876809552</v>
      </c>
      <c r="J68" s="66">
        <f t="shared" si="6"/>
        <v>0.44357085696254173</v>
      </c>
      <c r="K68" s="66">
        <f t="shared" si="7"/>
        <v>11.63053413597811</v>
      </c>
      <c r="M68" s="97">
        <f t="shared" si="12"/>
        <v>14450.596636625516</v>
      </c>
      <c r="N68" s="97">
        <f>IF(AND(H68=1,D68&lt;15),Assumptions!$H$4,0)</f>
        <v>2500</v>
      </c>
      <c r="O68" s="103"/>
      <c r="P68" s="98">
        <f>$M68*(1+VLOOKUP($H68,Assumptions!$C$22:$D$33,2,FALSE))^(1/12)</f>
        <v>14454.354433603805</v>
      </c>
      <c r="Q68" s="98">
        <f>$M68*(1+VLOOKUP($H68,Assumptions!$C$22:$D$33,2,FALSE))^(1/12)</f>
        <v>14454.354433603805</v>
      </c>
      <c r="R68" s="97">
        <f>IF(AND(H68=12,D68&lt;15),Assumptions!$C$7*M68,0)</f>
        <v>0</v>
      </c>
      <c r="S68" s="99">
        <f>(M68+N68-O68)*Assumptions!$D$17</f>
        <v>69.058828904305798</v>
      </c>
      <c r="T68" s="99">
        <f t="shared" si="8"/>
        <v>0</v>
      </c>
      <c r="U68" s="101"/>
      <c r="V68" s="101">
        <f>IF(C68&gt;=Assumptions!$H$9*12,0,M68+N68-O68+S68-R68)</f>
        <v>17019.655465529821</v>
      </c>
      <c r="W68" s="103"/>
      <c r="X68" s="97">
        <f>IF(AND(H68=1,D68&lt;15),Assumptions!$D$10*N68+Assumptions!$D$11*(1+Assumptions!$D$16)^(B68-1),0)</f>
        <v>19.676525220800016</v>
      </c>
      <c r="Y68" s="100">
        <f>Assumptions!$C$13*N68</f>
        <v>12.5</v>
      </c>
      <c r="AA68" s="67">
        <f t="shared" si="13"/>
        <v>49271378.379995517</v>
      </c>
      <c r="AB68" s="67">
        <f>N68*I68</f>
        <v>8524107.9692023881</v>
      </c>
      <c r="AC68" s="67"/>
      <c r="AD68" s="90">
        <f>P68*J68</f>
        <v>6411.5303829539544</v>
      </c>
      <c r="AE68" s="90">
        <f>Q68*K68</f>
        <v>168111.86265355558</v>
      </c>
      <c r="AF68" s="67">
        <f>R68*I69</f>
        <v>0</v>
      </c>
      <c r="AG68" s="68">
        <f>S68*I68</f>
        <v>235465.96552279091</v>
      </c>
      <c r="AH68" s="68">
        <f>T68*$I68</f>
        <v>0</v>
      </c>
      <c r="AI68" s="68">
        <f>U68*$I68</f>
        <v>0</v>
      </c>
      <c r="AJ68" s="67">
        <f>V68*I69</f>
        <v>57825455.207686208</v>
      </c>
      <c r="AK68" s="67">
        <f>W68*$I68</f>
        <v>0</v>
      </c>
      <c r="AL68" s="67">
        <f>X68*$I68</f>
        <v>67089.930176333277</v>
      </c>
      <c r="AM68" s="67">
        <f>Y68*$I68</f>
        <v>42620.53984601194</v>
      </c>
      <c r="AN68" s="65">
        <f>NPV(Assumptions!$D$19,AB68:$AB$259)*(1+Assumptions!$D$19)</f>
        <v>60990328.640291177</v>
      </c>
      <c r="AO68" s="68">
        <f t="shared" si="9"/>
        <v>484471.93934267049</v>
      </c>
      <c r="AQ68" s="67">
        <f t="shared" si="14"/>
        <v>49722406.838603131</v>
      </c>
      <c r="AR68" s="95">
        <f>(AQ68+AB68-AC68)*Assumptions!$D$19</f>
        <v>250052.54005374081</v>
      </c>
      <c r="AS68" s="67">
        <f t="shared" si="15"/>
        <v>465615.03313856293</v>
      </c>
      <c r="AT68" s="67">
        <f t="shared" si="10"/>
        <v>57806598.301482104</v>
      </c>
      <c r="AU68" s="67"/>
      <c r="AV68" s="67"/>
      <c r="AW68" s="67"/>
      <c r="AY68" s="67"/>
      <c r="AZ68" s="70">
        <f t="shared" si="4"/>
        <v>0</v>
      </c>
    </row>
    <row r="69" spans="2:52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64">
        <f>1-(1-VLOOKUP($E69,'Annual Mortality Rates'!$B$5:$C$105,2,FALSE))^(1/12)</f>
        <v>1.3009304274569367E-4</v>
      </c>
      <c r="G69" s="75">
        <f>IF(C69&gt;=Assumptions!$H$9*12,100%,1-(1-IF(D69&gt;=7,2%,VLOOKUP($D69,'Annual Lapse Rates'!$B$4:$C$14,2,FALSE)))^(1/12))</f>
        <v>3.3960531989175591E-3</v>
      </c>
      <c r="H69" s="81">
        <f t="shared" si="11"/>
        <v>2</v>
      </c>
      <c r="I69" s="65">
        <f t="shared" si="5"/>
        <v>3397.5690826880145</v>
      </c>
      <c r="J69" s="66">
        <f t="shared" si="6"/>
        <v>0.44200009990557909</v>
      </c>
      <c r="K69" s="66">
        <f t="shared" si="7"/>
        <v>11.579329654691371</v>
      </c>
      <c r="M69" s="97">
        <f t="shared" si="12"/>
        <v>17019.655465529821</v>
      </c>
      <c r="N69" s="97">
        <f>IF(AND(H69=1,D69&lt;15),Assumptions!$H$4,0)</f>
        <v>0</v>
      </c>
      <c r="O69" s="103"/>
      <c r="P69" s="98">
        <f>$M69*(1+VLOOKUP($H69,Assumptions!$C$22:$D$33,2,FALSE))^(1/12)</f>
        <v>17028.4945775296</v>
      </c>
      <c r="Q69" s="98">
        <f>$M69*(1+VLOOKUP($H69,Assumptions!$C$22:$D$33,2,FALSE))^(1/12)</f>
        <v>17028.4945775296</v>
      </c>
      <c r="R69" s="97">
        <f>IF(AND(H69=12,D69&lt;15),Assumptions!$C$7*M69,0)</f>
        <v>0</v>
      </c>
      <c r="S69" s="99">
        <f>(M69+N69-O69)*Assumptions!$D$17</f>
        <v>69.340183121615738</v>
      </c>
      <c r="T69" s="99">
        <f t="shared" si="8"/>
        <v>0</v>
      </c>
      <c r="U69" s="101"/>
      <c r="V69" s="101">
        <f>IF(C69&gt;=Assumptions!$H$9*12,0,M69+N69-O69+S69-R69)</f>
        <v>17088.995648651435</v>
      </c>
      <c r="W69" s="103"/>
      <c r="X69" s="97">
        <f>IF(AND(H69=1,D69&lt;15),Assumptions!$D$10*N69+Assumptions!$D$11*(1+Assumptions!$D$16)^(B69-1),0)</f>
        <v>0</v>
      </c>
      <c r="Y69" s="100">
        <f>Assumptions!$C$13*N69</f>
        <v>0</v>
      </c>
      <c r="AA69" s="67">
        <f t="shared" si="13"/>
        <v>57825455.207686208</v>
      </c>
      <c r="AB69" s="67">
        <f>N69*I69</f>
        <v>0</v>
      </c>
      <c r="AC69" s="67"/>
      <c r="AD69" s="90">
        <f>P69*J69</f>
        <v>7526.5963045096951</v>
      </c>
      <c r="AE69" s="90">
        <f>Q69*K69</f>
        <v>197178.55223633972</v>
      </c>
      <c r="AF69" s="67">
        <f>R69*I70</f>
        <v>0</v>
      </c>
      <c r="AG69" s="68">
        <f>S69*I69</f>
        <v>235588.06236192692</v>
      </c>
      <c r="AH69" s="68">
        <f>T69*$I69</f>
        <v>0</v>
      </c>
      <c r="AI69" s="68">
        <f>U69*$I69</f>
        <v>0</v>
      </c>
      <c r="AJ69" s="67">
        <f>V69*I70</f>
        <v>57855610.818180814</v>
      </c>
      <c r="AK69" s="67">
        <f>W69*$I69</f>
        <v>0</v>
      </c>
      <c r="AL69" s="67">
        <f>X69*$I69</f>
        <v>0</v>
      </c>
      <c r="AM69" s="67">
        <f>Y69*$I69</f>
        <v>0</v>
      </c>
      <c r="AN69" s="65">
        <f>NPV(Assumptions!$D$19,AB69:$AB$259)*(1+Assumptions!$D$19)</f>
        <v>52691458.383407131</v>
      </c>
      <c r="AO69" s="68">
        <f t="shared" si="9"/>
        <v>486551.77947417222</v>
      </c>
      <c r="AQ69" s="67">
        <f t="shared" si="14"/>
        <v>58291070.240824774</v>
      </c>
      <c r="AR69" s="95">
        <f>(AQ69+AB69-AC69)*Assumptions!$D$19</f>
        <v>250243.81672044646</v>
      </c>
      <c r="AS69" s="67">
        <f t="shared" si="15"/>
        <v>480270.78749708249</v>
      </c>
      <c r="AT69" s="67">
        <f t="shared" si="10"/>
        <v>57849329.826203726</v>
      </c>
      <c r="AU69" s="67"/>
      <c r="AV69" s="67"/>
      <c r="AW69" s="67"/>
      <c r="AY69" s="67"/>
      <c r="AZ69" s="70">
        <f t="shared" si="4"/>
        <v>0</v>
      </c>
    </row>
    <row r="70" spans="2:52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64">
        <f>1-(1-VLOOKUP($E70,'Annual Mortality Rates'!$B$5:$C$105,2,FALSE))^(1/12)</f>
        <v>1.3009304274569367E-4</v>
      </c>
      <c r="G70" s="75">
        <f>IF(C70&gt;=Assumptions!$H$9*12,100%,1-(1-IF(D70&gt;=7,2%,VLOOKUP($D70,'Annual Lapse Rates'!$B$4:$C$14,2,FALSE)))^(1/12))</f>
        <v>3.3960531989175591E-3</v>
      </c>
      <c r="H70" s="81">
        <f t="shared" si="11"/>
        <v>3</v>
      </c>
      <c r="I70" s="65">
        <f t="shared" si="5"/>
        <v>3385.5477529334175</v>
      </c>
      <c r="J70" s="66">
        <f t="shared" si="6"/>
        <v>0.44043620853995424</v>
      </c>
      <c r="K70" s="66">
        <f t="shared" si="7"/>
        <v>11.538325351806028</v>
      </c>
      <c r="M70" s="97">
        <f t="shared" si="12"/>
        <v>17088.995648651435</v>
      </c>
      <c r="N70" s="97">
        <f>IF(AND(H70=1,D70&lt;15),Assumptions!$H$4,0)</f>
        <v>0</v>
      </c>
      <c r="O70" s="103"/>
      <c r="P70" s="98">
        <f>$M70*(1+VLOOKUP($H70,Assumptions!$C$22:$D$33,2,FALSE))^(1/12)</f>
        <v>17102.289401148813</v>
      </c>
      <c r="Q70" s="98">
        <f>$M70*(1+VLOOKUP($H70,Assumptions!$C$22:$D$33,2,FALSE))^(1/12)</f>
        <v>17102.289401148813</v>
      </c>
      <c r="R70" s="97">
        <f>IF(AND(H70=12,D70&lt;15),Assumptions!$C$7*M70,0)</f>
        <v>0</v>
      </c>
      <c r="S70" s="99">
        <f>(M70+N70-O70)*Assumptions!$D$17</f>
        <v>69.622683610834031</v>
      </c>
      <c r="T70" s="99">
        <f t="shared" si="8"/>
        <v>0</v>
      </c>
      <c r="U70" s="101"/>
      <c r="V70" s="101">
        <f>IF(C70&gt;=Assumptions!$H$9*12,0,M70+N70-O70+S70-R70)</f>
        <v>17158.618332262267</v>
      </c>
      <c r="W70" s="103"/>
      <c r="X70" s="97">
        <f>IF(AND(H70=1,D70&lt;15),Assumptions!$D$10*N70+Assumptions!$D$11*(1+Assumptions!$D$16)^(B70-1),0)</f>
        <v>0</v>
      </c>
      <c r="Y70" s="100">
        <f>Assumptions!$C$13*N70</f>
        <v>0</v>
      </c>
      <c r="AA70" s="67">
        <f t="shared" si="13"/>
        <v>57855610.818180814</v>
      </c>
      <c r="AB70" s="67">
        <f>N70*I70</f>
        <v>0</v>
      </c>
      <c r="AC70" s="67"/>
      <c r="AD70" s="90">
        <f>P70*J70</f>
        <v>7532.4675011950276</v>
      </c>
      <c r="AE70" s="90">
        <f>Q70*K70</f>
        <v>197331.77937119888</v>
      </c>
      <c r="AF70" s="67">
        <f>R70*I71</f>
        <v>0</v>
      </c>
      <c r="AG70" s="68">
        <f>S70*I70</f>
        <v>235710.92005185343</v>
      </c>
      <c r="AH70" s="68">
        <f>T70*$I70</f>
        <v>0</v>
      </c>
      <c r="AI70" s="68">
        <f>U70*$I70</f>
        <v>0</v>
      </c>
      <c r="AJ70" s="67">
        <f>V70*I71</f>
        <v>57885782.740525506</v>
      </c>
      <c r="AK70" s="67">
        <f>W70*$I70</f>
        <v>0</v>
      </c>
      <c r="AL70" s="67">
        <f>X70*$I70</f>
        <v>0</v>
      </c>
      <c r="AM70" s="67">
        <f>Y70*$I70</f>
        <v>0</v>
      </c>
      <c r="AN70" s="65">
        <f>NPV(Assumptions!$D$19,AB70:$AB$259)*(1+Assumptions!$D$19)</f>
        <v>52917663.042198837</v>
      </c>
      <c r="AO70" s="68">
        <f t="shared" si="9"/>
        <v>488640.54836835654</v>
      </c>
      <c r="AQ70" s="67">
        <f t="shared" si="14"/>
        <v>58335881.605677895</v>
      </c>
      <c r="AR70" s="95">
        <f>(AQ70+AB70-AC70)*Assumptions!$D$19</f>
        <v>250436.1921036221</v>
      </c>
      <c r="AS70" s="67">
        <f t="shared" si="15"/>
        <v>494996.05954885122</v>
      </c>
      <c r="AT70" s="67">
        <f t="shared" si="10"/>
        <v>57892138.251706004</v>
      </c>
      <c r="AU70" s="67"/>
      <c r="AV70" s="67"/>
      <c r="AW70" s="67"/>
      <c r="AY70" s="67"/>
      <c r="AZ70" s="70">
        <f t="shared" si="4"/>
        <v>0</v>
      </c>
    </row>
    <row r="71" spans="2:52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64">
        <f>1-(1-VLOOKUP($E71,'Annual Mortality Rates'!$B$5:$C$105,2,FALSE))^(1/12)</f>
        <v>1.3009304274569367E-4</v>
      </c>
      <c r="G71" s="75">
        <f>IF(C71&gt;=Assumptions!$H$9*12,100%,1-(1-IF(D71&gt;=7,2%,VLOOKUP($D71,'Annual Lapse Rates'!$B$4:$C$14,2,FALSE)))^(1/12))</f>
        <v>3.3960531989175591E-3</v>
      </c>
      <c r="H71" s="81">
        <f t="shared" si="11"/>
        <v>4</v>
      </c>
      <c r="I71" s="65">
        <f t="shared" si="5"/>
        <v>3373.5689913730712</v>
      </c>
      <c r="J71" s="66">
        <f t="shared" si="6"/>
        <v>0.43887785500024362</v>
      </c>
      <c r="K71" s="66">
        <f t="shared" si="7"/>
        <v>11.497500276437687</v>
      </c>
      <c r="M71" s="97">
        <f t="shared" si="12"/>
        <v>17158.618332262267</v>
      </c>
      <c r="N71" s="97">
        <f>IF(AND(H71=1,D71&lt;15),Assumptions!$H$4,0)</f>
        <v>0</v>
      </c>
      <c r="O71" s="103"/>
      <c r="P71" s="98">
        <f>$M71*(1+VLOOKUP($H71,Assumptions!$C$22:$D$33,2,FALSE))^(1/12)</f>
        <v>17176.390302817639</v>
      </c>
      <c r="Q71" s="98">
        <f>$M71*(1+VLOOKUP($H71,Assumptions!$C$22:$D$33,2,FALSE))^(1/12)</f>
        <v>17176.390302817639</v>
      </c>
      <c r="R71" s="97">
        <f>IF(AND(H71=12,D71&lt;15),Assumptions!$C$7*M71,0)</f>
        <v>0</v>
      </c>
      <c r="S71" s="99">
        <f>(M71+N71-O71)*Assumptions!$D$17</f>
        <v>69.906335042014348</v>
      </c>
      <c r="T71" s="99">
        <f t="shared" si="8"/>
        <v>0</v>
      </c>
      <c r="U71" s="101"/>
      <c r="V71" s="101">
        <f>IF(C71&gt;=Assumptions!$H$9*12,0,M71+N71-O71+S71-R71)</f>
        <v>17228.524667304282</v>
      </c>
      <c r="W71" s="103"/>
      <c r="X71" s="97">
        <f>IF(AND(H71=1,D71&lt;15),Assumptions!$D$10*N71+Assumptions!$D$11*(1+Assumptions!$D$16)^(B71-1),0)</f>
        <v>0</v>
      </c>
      <c r="Y71" s="100">
        <f>Assumptions!$C$13*N71</f>
        <v>0</v>
      </c>
      <c r="AA71" s="67">
        <f t="shared" si="13"/>
        <v>57885782.740525506</v>
      </c>
      <c r="AB71" s="67">
        <f>N71*I71</f>
        <v>0</v>
      </c>
      <c r="AC71" s="67"/>
      <c r="AD71" s="90">
        <f>P71*J71</f>
        <v>7538.3373327475902</v>
      </c>
      <c r="AE71" s="90">
        <f>Q71*K71</f>
        <v>197485.55225484743</v>
      </c>
      <c r="AF71" s="67">
        <f>R71*I72</f>
        <v>0</v>
      </c>
      <c r="AG71" s="68">
        <f>S71*I71</f>
        <v>235833.84419827632</v>
      </c>
      <c r="AH71" s="68">
        <f>T71*$I71</f>
        <v>0</v>
      </c>
      <c r="AI71" s="68">
        <f>U71*$I71</f>
        <v>0</v>
      </c>
      <c r="AJ71" s="67">
        <f>V71*I72</f>
        <v>57915970.399648033</v>
      </c>
      <c r="AK71" s="67">
        <f>W71*$I71</f>
        <v>0</v>
      </c>
      <c r="AL71" s="67">
        <f>X71*$I71</f>
        <v>0</v>
      </c>
      <c r="AM71" s="67">
        <f>Y71*$I71</f>
        <v>0</v>
      </c>
      <c r="AN71" s="65">
        <f>NPV(Assumptions!$D$19,AB71:$AB$259)*(1+Assumptions!$D$19)</f>
        <v>53144838.798569366</v>
      </c>
      <c r="AO71" s="68">
        <f t="shared" si="9"/>
        <v>490738.28435643989</v>
      </c>
      <c r="AQ71" s="67">
        <f t="shared" si="14"/>
        <v>58380778.800074361</v>
      </c>
      <c r="AR71" s="95">
        <f>(AQ71+AB71-AC71)*Assumptions!$D$19</f>
        <v>250628.93595339864</v>
      </c>
      <c r="AS71" s="67">
        <f t="shared" si="15"/>
        <v>509791.15130397351</v>
      </c>
      <c r="AT71" s="67">
        <f t="shared" si="10"/>
        <v>57935023.266595572</v>
      </c>
      <c r="AU71" s="67"/>
      <c r="AV71" s="67"/>
      <c r="AW71" s="67"/>
      <c r="AY71" s="67"/>
      <c r="AZ71" s="70">
        <f t="shared" si="4"/>
        <v>0</v>
      </c>
    </row>
    <row r="72" spans="2:52" x14ac:dyDescent="0.2">
      <c r="B72" s="5">
        <f t="shared" ref="B72:B135" si="16">B71+1</f>
        <v>65</v>
      </c>
      <c r="C72" s="5">
        <f t="shared" ref="C72:C135" si="17">$C$4+B72</f>
        <v>65</v>
      </c>
      <c r="D72" s="5">
        <f t="shared" ref="D72:D135" si="18">ROUNDDOWN((C72-1)/12,0)</f>
        <v>5</v>
      </c>
      <c r="E72" s="5">
        <f t="shared" ref="E72:E135" si="19">ROUNDDOWN(($E$4+B72)/12,0)</f>
        <v>51</v>
      </c>
      <c r="F72" s="64">
        <f>1-(1-VLOOKUP($E72,'Annual Mortality Rates'!$B$5:$C$105,2,FALSE))^(1/12)</f>
        <v>1.3009304274569367E-4</v>
      </c>
      <c r="G72" s="75">
        <f>IF(C72&gt;=Assumptions!$H$9*12,100%,1-(1-IF(D72&gt;=7,2%,VLOOKUP($D72,'Annual Lapse Rates'!$B$4:$C$14,2,FALSE)))^(1/12))</f>
        <v>3.3960531989175591E-3</v>
      </c>
      <c r="H72" s="81">
        <f t="shared" si="11"/>
        <v>5</v>
      </c>
      <c r="I72" s="65">
        <f t="shared" si="5"/>
        <v>3361.6326132416334</v>
      </c>
      <c r="J72" s="66">
        <f t="shared" si="6"/>
        <v>0.43732501524976169</v>
      </c>
      <c r="K72" s="66">
        <f t="shared" si="7"/>
        <v>11.456819764921601</v>
      </c>
      <c r="M72" s="97">
        <f t="shared" si="12"/>
        <v>17228.524667304282</v>
      </c>
      <c r="N72" s="97">
        <f>IF(AND(H72=1,D72&lt;15),Assumptions!$H$4,0)</f>
        <v>0</v>
      </c>
      <c r="O72" s="103"/>
      <c r="P72" s="98">
        <f>$M72*(1+VLOOKUP($H72,Assumptions!$C$22:$D$33,2,FALSE))^(1/12)</f>
        <v>17250.798575005065</v>
      </c>
      <c r="Q72" s="98">
        <f>$M72*(1+VLOOKUP($H72,Assumptions!$C$22:$D$33,2,FALSE))^(1/12)</f>
        <v>17250.798575005065</v>
      </c>
      <c r="R72" s="97">
        <f>IF(AND(H72=12,D72&lt;15),Assumptions!$C$7*M72,0)</f>
        <v>0</v>
      </c>
      <c r="S72" s="99">
        <f>(M72+N72-O72)*Assumptions!$D$17</f>
        <v>70.191142104236718</v>
      </c>
      <c r="T72" s="99">
        <f t="shared" si="8"/>
        <v>0</v>
      </c>
      <c r="U72" s="101"/>
      <c r="V72" s="101">
        <f>IF(C72&gt;=Assumptions!$H$9*12,0,M72+N72-O72+S72-R72)</f>
        <v>17298.715809408517</v>
      </c>
      <c r="W72" s="103"/>
      <c r="X72" s="97">
        <f>IF(AND(H72=1,D72&lt;15),Assumptions!$D$10*N72+Assumptions!$D$11*(1+Assumptions!$D$16)^(B72-1),0)</f>
        <v>0</v>
      </c>
      <c r="Y72" s="100">
        <f>Assumptions!$C$13*N72</f>
        <v>0</v>
      </c>
      <c r="AA72" s="67">
        <f t="shared" si="13"/>
        <v>57915970.399648033</v>
      </c>
      <c r="AB72" s="67">
        <f>N72*I72</f>
        <v>0</v>
      </c>
      <c r="AC72" s="67"/>
      <c r="AD72" s="90">
        <f>P72*J72</f>
        <v>7544.2057498846571</v>
      </c>
      <c r="AE72" s="90">
        <f>Q72*K72</f>
        <v>197639.29007479941</v>
      </c>
      <c r="AF72" s="67">
        <f>R72*I73</f>
        <v>0</v>
      </c>
      <c r="AG72" s="68">
        <f>S72*I72</f>
        <v>235956.83245828011</v>
      </c>
      <c r="AH72" s="68">
        <f>T72*$I72</f>
        <v>0</v>
      </c>
      <c r="AI72" s="68">
        <f>U72*$I72</f>
        <v>0</v>
      </c>
      <c r="AJ72" s="67">
        <f>V72*I73</f>
        <v>57946173.80175817</v>
      </c>
      <c r="AK72" s="67">
        <f>W72*$I72</f>
        <v>0</v>
      </c>
      <c r="AL72" s="67">
        <f>X72*$I72</f>
        <v>0</v>
      </c>
      <c r="AM72" s="67">
        <f>Y72*$I72</f>
        <v>0</v>
      </c>
      <c r="AN72" s="65">
        <f>NPV(Assumptions!$D$19,AB72:$AB$259)*(1+Assumptions!$D$19)</f>
        <v>53372989.821444787</v>
      </c>
      <c r="AO72" s="68">
        <f t="shared" si="9"/>
        <v>492845.02593419515</v>
      </c>
      <c r="AQ72" s="67">
        <f t="shared" si="14"/>
        <v>58425761.55095201</v>
      </c>
      <c r="AR72" s="95">
        <f>(AQ72+AB72-AC72)*Assumptions!$D$19</f>
        <v>250822.04709751904</v>
      </c>
      <c r="AS72" s="67">
        <f t="shared" si="15"/>
        <v>524656.36594321241</v>
      </c>
      <c r="AT72" s="67">
        <f t="shared" si="10"/>
        <v>57977985.141767189</v>
      </c>
      <c r="AU72" s="67"/>
      <c r="AV72" s="67"/>
      <c r="AW72" s="67"/>
      <c r="AY72" s="67"/>
      <c r="AZ72" s="70">
        <f t="shared" ref="AZ72:AZ135" si="20">ROUND(AY72-AU72,3)</f>
        <v>0</v>
      </c>
    </row>
    <row r="73" spans="2:52" x14ac:dyDescent="0.2">
      <c r="B73" s="5">
        <f t="shared" si="16"/>
        <v>66</v>
      </c>
      <c r="C73" s="5">
        <f t="shared" si="17"/>
        <v>66</v>
      </c>
      <c r="D73" s="5">
        <f t="shared" si="18"/>
        <v>5</v>
      </c>
      <c r="E73" s="5">
        <f t="shared" si="19"/>
        <v>51</v>
      </c>
      <c r="F73" s="64">
        <f>1-(1-VLOOKUP($E73,'Annual Mortality Rates'!$B$5:$C$105,2,FALSE))^(1/12)</f>
        <v>1.3009304274569367E-4</v>
      </c>
      <c r="G73" s="75">
        <f>IF(C73&gt;=Assumptions!$H$9*12,100%,1-(1-IF(D73&gt;=7,2%,VLOOKUP($D73,'Annual Lapse Rates'!$B$4:$C$14,2,FALSE)))^(1/12))</f>
        <v>3.3960531989175591E-3</v>
      </c>
      <c r="H73" s="81">
        <f t="shared" si="11"/>
        <v>6</v>
      </c>
      <c r="I73" s="65">
        <f t="shared" ref="I73:I136" si="21">I72-J72-K72</f>
        <v>3349.7384684614622</v>
      </c>
      <c r="J73" s="66">
        <f t="shared" ref="J73:J136" si="22">$I73*F73</f>
        <v>0.43577766976445143</v>
      </c>
      <c r="K73" s="66">
        <f t="shared" ref="K73:K136" si="23">IF(G73=100%,I73-J73,$I72*G73)</f>
        <v>11.416283189784842</v>
      </c>
      <c r="M73" s="97">
        <f t="shared" si="12"/>
        <v>17298.715809408517</v>
      </c>
      <c r="N73" s="97">
        <f>IF(AND(H73=1,D73&lt;15),Assumptions!$H$4,0)</f>
        <v>0</v>
      </c>
      <c r="O73" s="103"/>
      <c r="P73" s="98">
        <f>$M73*(1+VLOOKUP($H73,Assumptions!$C$22:$D$33,2,FALSE))^(1/12)</f>
        <v>17325.515515358915</v>
      </c>
      <c r="Q73" s="98">
        <f>$M73*(1+VLOOKUP($H73,Assumptions!$C$22:$D$33,2,FALSE))^(1/12)</f>
        <v>17325.515515358915</v>
      </c>
      <c r="R73" s="97">
        <f>IF(AND(H73=12,D73&lt;15),Assumptions!$C$7*M73,0)</f>
        <v>0</v>
      </c>
      <c r="S73" s="99">
        <f>(M73+N73-O73)*Assumptions!$D$17</f>
        <v>70.477109505685021</v>
      </c>
      <c r="T73" s="99">
        <f t="shared" ref="T73:T136" si="24">(M73+S73)*(G73=100%)</f>
        <v>0</v>
      </c>
      <c r="U73" s="101"/>
      <c r="V73" s="101">
        <f>IF(C73&gt;=Assumptions!$H$9*12,0,M73+N73-O73+S73-R73)</f>
        <v>17369.192918914203</v>
      </c>
      <c r="W73" s="103"/>
      <c r="X73" s="97">
        <f>IF(AND(H73=1,D73&lt;15),Assumptions!$D$10*N73+Assumptions!$D$11*(1+Assumptions!$D$16)^(B73-1),0)</f>
        <v>0</v>
      </c>
      <c r="Y73" s="100">
        <f>Assumptions!$C$13*N73</f>
        <v>0</v>
      </c>
      <c r="AA73" s="67">
        <f t="shared" si="13"/>
        <v>57946173.80175817</v>
      </c>
      <c r="AB73" s="67">
        <f>N73*I73</f>
        <v>0</v>
      </c>
      <c r="AC73" s="67"/>
      <c r="AD73" s="90">
        <f>P73*J73</f>
        <v>7550.0727787509568</v>
      </c>
      <c r="AE73" s="90">
        <f>Q73*K73</f>
        <v>197792.99153234845</v>
      </c>
      <c r="AF73" s="67">
        <f>R73*I74</f>
        <v>0</v>
      </c>
      <c r="AG73" s="68">
        <f>S73*I73</f>
        <v>236079.88485716411</v>
      </c>
      <c r="AH73" s="68">
        <f>T73*$I73</f>
        <v>0</v>
      </c>
      <c r="AI73" s="68">
        <f>U73*$I73</f>
        <v>0</v>
      </c>
      <c r="AJ73" s="67">
        <f>V73*I74</f>
        <v>57976392.955059119</v>
      </c>
      <c r="AK73" s="67">
        <f>W73*$I73</f>
        <v>0</v>
      </c>
      <c r="AL73" s="67">
        <f>X73*$I73</f>
        <v>0</v>
      </c>
      <c r="AM73" s="67">
        <f>Y73*$I73</f>
        <v>0</v>
      </c>
      <c r="AN73" s="65">
        <f>NPV(Assumptions!$D$19,AB73:$AB$259)*(1+Assumptions!$D$19)</f>
        <v>53602120.297648422</v>
      </c>
      <c r="AO73" s="68">
        <f t="shared" ref="AO73:AO136" si="25">AN74*$AO$4</f>
        <v>494960.81176265783</v>
      </c>
      <c r="AQ73" s="67">
        <f t="shared" si="14"/>
        <v>58470830.167701386</v>
      </c>
      <c r="AR73" s="95">
        <f>(AQ73+AB73-AC73)*Assumptions!$D$19</f>
        <v>251015.52686419824</v>
      </c>
      <c r="AS73" s="67">
        <f t="shared" si="15"/>
        <v>539592.00795024657</v>
      </c>
      <c r="AT73" s="67">
        <f t="shared" ref="AT73:AT136" si="26">AJ73+AS73-AO73</f>
        <v>58021024.151246704</v>
      </c>
      <c r="AU73" s="67"/>
      <c r="AV73" s="67"/>
      <c r="AW73" s="67"/>
      <c r="AY73" s="67"/>
      <c r="AZ73" s="70">
        <f t="shared" si="20"/>
        <v>0</v>
      </c>
    </row>
    <row r="74" spans="2:52" x14ac:dyDescent="0.2">
      <c r="B74" s="5">
        <f t="shared" si="16"/>
        <v>67</v>
      </c>
      <c r="C74" s="5">
        <f t="shared" si="17"/>
        <v>67</v>
      </c>
      <c r="D74" s="5">
        <f t="shared" si="18"/>
        <v>5</v>
      </c>
      <c r="E74" s="5">
        <f t="shared" si="19"/>
        <v>51</v>
      </c>
      <c r="F74" s="64">
        <f>1-(1-VLOOKUP($E74,'Annual Mortality Rates'!$B$5:$C$105,2,FALSE))^(1/12)</f>
        <v>1.3009304274569367E-4</v>
      </c>
      <c r="G74" s="75">
        <f>IF(C74&gt;=Assumptions!$H$9*12,100%,1-(1-IF(D74&gt;=7,2%,VLOOKUP($D74,'Annual Lapse Rates'!$B$4:$C$14,2,FALSE)))^(1/12))</f>
        <v>3.3960531989175591E-3</v>
      </c>
      <c r="H74" s="81">
        <f t="shared" ref="H74:H137" si="27">IF(H73=12,1,H73+1)</f>
        <v>7</v>
      </c>
      <c r="I74" s="65">
        <f t="shared" si="21"/>
        <v>3337.8864076019131</v>
      </c>
      <c r="J74" s="66">
        <f t="shared" si="22"/>
        <v>0.43423579910442556</v>
      </c>
      <c r="K74" s="66">
        <f t="shared" si="23"/>
        <v>11.375890041355754</v>
      </c>
      <c r="M74" s="97">
        <f t="shared" ref="M74:M137" si="28">V73</f>
        <v>17369.192918914203</v>
      </c>
      <c r="N74" s="97">
        <f>IF(AND(H74=1,D74&lt;15),Assumptions!$H$4,0)</f>
        <v>0</v>
      </c>
      <c r="O74" s="103"/>
      <c r="P74" s="98">
        <f>$M74*(1+VLOOKUP($H74,Assumptions!$C$22:$D$33,2,FALSE))^(1/12)</f>
        <v>17400.54242672936</v>
      </c>
      <c r="Q74" s="98">
        <f>$M74*(1+VLOOKUP($H74,Assumptions!$C$22:$D$33,2,FALSE))^(1/12)</f>
        <v>17400.54242672936</v>
      </c>
      <c r="R74" s="97">
        <f>IF(AND(H74=12,D74&lt;15),Assumptions!$C$7*M74,0)</f>
        <v>0</v>
      </c>
      <c r="S74" s="99">
        <f>(M74+N74-O74)*Assumptions!$D$17</f>
        <v>70.764241973724921</v>
      </c>
      <c r="T74" s="99">
        <f t="shared" si="24"/>
        <v>0</v>
      </c>
      <c r="U74" s="101"/>
      <c r="V74" s="101">
        <f>IF(C74&gt;=Assumptions!$H$9*12,0,M74+N74-O74+S74-R74)</f>
        <v>17439.957160887927</v>
      </c>
      <c r="W74" s="103"/>
      <c r="X74" s="97">
        <f>IF(AND(H74=1,D74&lt;15),Assumptions!$D$10*N74+Assumptions!$D$11*(1+Assumptions!$D$16)^(B74-1),0)</f>
        <v>0</v>
      </c>
      <c r="Y74" s="100">
        <f>Assumptions!$C$13*N74</f>
        <v>0</v>
      </c>
      <c r="AA74" s="67">
        <f t="shared" ref="AA74:AA137" si="29">AJ73</f>
        <v>57976392.955059119</v>
      </c>
      <c r="AB74" s="67">
        <f>N74*I74</f>
        <v>0</v>
      </c>
      <c r="AC74" s="67"/>
      <c r="AD74" s="90">
        <f>P74*J74</f>
        <v>7555.9384455212839</v>
      </c>
      <c r="AE74" s="90">
        <f>Q74*K74</f>
        <v>197946.65730641881</v>
      </c>
      <c r="AF74" s="67">
        <f>R74*I75</f>
        <v>0</v>
      </c>
      <c r="AG74" s="68">
        <f>S74*I74</f>
        <v>236203.00142834918</v>
      </c>
      <c r="AH74" s="68">
        <f>T74*$I74</f>
        <v>0</v>
      </c>
      <c r="AI74" s="68">
        <f>U74*$I74</f>
        <v>0</v>
      </c>
      <c r="AJ74" s="67">
        <f>V74*I75</f>
        <v>58006627.867765136</v>
      </c>
      <c r="AK74" s="67">
        <f>W74*$I74</f>
        <v>0</v>
      </c>
      <c r="AL74" s="67">
        <f>X74*$I74</f>
        <v>0</v>
      </c>
      <c r="AM74" s="67">
        <f>Y74*$I74</f>
        <v>0</v>
      </c>
      <c r="AN74" s="65">
        <f>NPV(Assumptions!$D$19,AB74:$AB$259)*(1+Assumptions!$D$19)</f>
        <v>53832234.431977659</v>
      </c>
      <c r="AO74" s="68">
        <f t="shared" si="25"/>
        <v>497085.68066883541</v>
      </c>
      <c r="AQ74" s="67">
        <f t="shared" ref="AQ74:AQ137" si="30">AJ73+AS73</f>
        <v>58515984.963009365</v>
      </c>
      <c r="AR74" s="95">
        <f>(AQ74+AB74-AC74)*Assumptions!$D$19</f>
        <v>251209.37659580231</v>
      </c>
      <c r="AS74" s="67">
        <f t="shared" ref="AS74:AS137" si="31">AS73+AR74-AG74</f>
        <v>554598.38311769976</v>
      </c>
      <c r="AT74" s="67">
        <f t="shared" si="26"/>
        <v>58064140.570213996</v>
      </c>
      <c r="AU74" s="67"/>
      <c r="AV74" s="67"/>
      <c r="AW74" s="67"/>
      <c r="AY74" s="67"/>
      <c r="AZ74" s="70">
        <f t="shared" si="20"/>
        <v>0</v>
      </c>
    </row>
    <row r="75" spans="2:52" x14ac:dyDescent="0.2">
      <c r="B75" s="5">
        <f t="shared" si="16"/>
        <v>68</v>
      </c>
      <c r="C75" s="5">
        <f t="shared" si="17"/>
        <v>68</v>
      </c>
      <c r="D75" s="5">
        <f t="shared" si="18"/>
        <v>5</v>
      </c>
      <c r="E75" s="5">
        <f t="shared" si="19"/>
        <v>51</v>
      </c>
      <c r="F75" s="64">
        <f>1-(1-VLOOKUP($E75,'Annual Mortality Rates'!$B$5:$C$105,2,FALSE))^(1/12)</f>
        <v>1.3009304274569367E-4</v>
      </c>
      <c r="G75" s="75">
        <f>IF(C75&gt;=Assumptions!$H$9*12,100%,1-(1-IF(D75&gt;=7,2%,VLOOKUP($D75,'Annual Lapse Rates'!$B$4:$C$14,2,FALSE)))^(1/12))</f>
        <v>3.3960531989175591E-3</v>
      </c>
      <c r="H75" s="81">
        <f t="shared" si="27"/>
        <v>8</v>
      </c>
      <c r="I75" s="65">
        <f t="shared" si="21"/>
        <v>3326.0762817614527</v>
      </c>
      <c r="J75" s="66">
        <f t="shared" si="22"/>
        <v>0.4326993838986305</v>
      </c>
      <c r="K75" s="66">
        <f t="shared" si="23"/>
        <v>11.335639812159917</v>
      </c>
      <c r="M75" s="97">
        <f t="shared" si="28"/>
        <v>17439.957160887927</v>
      </c>
      <c r="N75" s="97">
        <f>IF(AND(H75=1,D75&lt;15),Assumptions!$H$4,0)</f>
        <v>0</v>
      </c>
      <c r="O75" s="103"/>
      <c r="P75" s="98">
        <f>$M75*(1+VLOOKUP($H75,Assumptions!$C$22:$D$33,2,FALSE))^(1/12)</f>
        <v>17475.880617192426</v>
      </c>
      <c r="Q75" s="98">
        <f>$M75*(1+VLOOKUP($H75,Assumptions!$C$22:$D$33,2,FALSE))^(1/12)</f>
        <v>17475.880617192426</v>
      </c>
      <c r="R75" s="97">
        <f>IF(AND(H75=12,D75&lt;15),Assumptions!$C$7*M75,0)</f>
        <v>0</v>
      </c>
      <c r="S75" s="99">
        <f>(M75+N75-O75)*Assumptions!$D$17</f>
        <v>71.05254425498191</v>
      </c>
      <c r="T75" s="99">
        <f t="shared" si="24"/>
        <v>0</v>
      </c>
      <c r="U75" s="101"/>
      <c r="V75" s="101">
        <f>IF(C75&gt;=Assumptions!$H$9*12,0,M75+N75-O75+S75-R75)</f>
        <v>17511.009705142907</v>
      </c>
      <c r="W75" s="103"/>
      <c r="X75" s="97">
        <f>IF(AND(H75=1,D75&lt;15),Assumptions!$D$10*N75+Assumptions!$D$11*(1+Assumptions!$D$16)^(B75-1),0)</f>
        <v>0</v>
      </c>
      <c r="Y75" s="100">
        <f>Assumptions!$C$13*N75</f>
        <v>0</v>
      </c>
      <c r="AA75" s="67">
        <f t="shared" si="29"/>
        <v>58006627.867765136</v>
      </c>
      <c r="AB75" s="67">
        <f>N75*I75</f>
        <v>0</v>
      </c>
      <c r="AC75" s="67"/>
      <c r="AD75" s="90">
        <f>P75*J75</f>
        <v>7561.8027761451813</v>
      </c>
      <c r="AE75" s="90">
        <f>Q75*K75</f>
        <v>198100.28807680029</v>
      </c>
      <c r="AF75" s="67">
        <f>R75*I76</f>
        <v>0</v>
      </c>
      <c r="AG75" s="68">
        <f>S75*I75</f>
        <v>236326.1822053013</v>
      </c>
      <c r="AH75" s="68">
        <f>T75*$I75</f>
        <v>0</v>
      </c>
      <c r="AI75" s="68">
        <f>U75*$I75</f>
        <v>0</v>
      </c>
      <c r="AJ75" s="67">
        <f>V75*I76</f>
        <v>58036878.548094839</v>
      </c>
      <c r="AK75" s="67">
        <f>W75*$I75</f>
        <v>0</v>
      </c>
      <c r="AL75" s="67">
        <f>X75*$I75</f>
        <v>0</v>
      </c>
      <c r="AM75" s="67">
        <f>Y75*$I75</f>
        <v>0</v>
      </c>
      <c r="AN75" s="65">
        <f>NPV(Assumptions!$D$19,AB75:$AB$259)*(1+Assumptions!$D$19)</f>
        <v>54063336.447281085</v>
      </c>
      <c r="AO75" s="68">
        <f t="shared" si="25"/>
        <v>499219.67164641962</v>
      </c>
      <c r="AQ75" s="67">
        <f t="shared" si="30"/>
        <v>58561226.250882834</v>
      </c>
      <c r="AR75" s="95">
        <f>(AQ75+AB75-AC75)*Assumptions!$D$19</f>
        <v>251403.59764036426</v>
      </c>
      <c r="AS75" s="67">
        <f t="shared" si="31"/>
        <v>569675.79855276272</v>
      </c>
      <c r="AT75" s="67">
        <f t="shared" si="26"/>
        <v>58107334.675001189</v>
      </c>
      <c r="AU75" s="67"/>
      <c r="AV75" s="67"/>
      <c r="AW75" s="67"/>
      <c r="AY75" s="67"/>
      <c r="AZ75" s="70">
        <f t="shared" si="20"/>
        <v>0</v>
      </c>
    </row>
    <row r="76" spans="2:52" x14ac:dyDescent="0.2">
      <c r="B76" s="5">
        <f t="shared" si="16"/>
        <v>69</v>
      </c>
      <c r="C76" s="5">
        <f t="shared" si="17"/>
        <v>69</v>
      </c>
      <c r="D76" s="5">
        <f t="shared" si="18"/>
        <v>5</v>
      </c>
      <c r="E76" s="5">
        <f t="shared" si="19"/>
        <v>51</v>
      </c>
      <c r="F76" s="64">
        <f>1-(1-VLOOKUP($E76,'Annual Mortality Rates'!$B$5:$C$105,2,FALSE))^(1/12)</f>
        <v>1.3009304274569367E-4</v>
      </c>
      <c r="G76" s="75">
        <f>IF(C76&gt;=Assumptions!$H$9*12,100%,1-(1-IF(D76&gt;=7,2%,VLOOKUP($D76,'Annual Lapse Rates'!$B$4:$C$14,2,FALSE)))^(1/12))</f>
        <v>3.3960531989175591E-3</v>
      </c>
      <c r="H76" s="81">
        <f t="shared" si="27"/>
        <v>9</v>
      </c>
      <c r="I76" s="65">
        <f t="shared" si="21"/>
        <v>3314.3079425653941</v>
      </c>
      <c r="J76" s="66">
        <f t="shared" si="22"/>
        <v>0.43116840484455182</v>
      </c>
      <c r="K76" s="66">
        <f t="shared" si="23"/>
        <v>11.295531996519802</v>
      </c>
      <c r="M76" s="97">
        <f t="shared" si="28"/>
        <v>17511.009705142907</v>
      </c>
      <c r="N76" s="97">
        <f>IF(AND(H76=1,D76&lt;15),Assumptions!$H$4,0)</f>
        <v>0</v>
      </c>
      <c r="O76" s="103"/>
      <c r="P76" s="98">
        <f>$M76*(1+VLOOKUP($H76,Assumptions!$C$22:$D$33,2,FALSE))^(1/12)</f>
        <v>17551.53140007368</v>
      </c>
      <c r="Q76" s="98">
        <f>$M76*(1+VLOOKUP($H76,Assumptions!$C$22:$D$33,2,FALSE))^(1/12)</f>
        <v>17551.53140007368</v>
      </c>
      <c r="R76" s="97">
        <f>IF(AND(H76=12,D76&lt;15),Assumptions!$C$7*M76,0)</f>
        <v>0</v>
      </c>
      <c r="S76" s="99">
        <f>(M76+N76-O76)*Assumptions!$D$17</f>
        <v>71.342021115419854</v>
      </c>
      <c r="T76" s="99">
        <f t="shared" si="24"/>
        <v>0</v>
      </c>
      <c r="U76" s="101"/>
      <c r="V76" s="101">
        <f>IF(C76&gt;=Assumptions!$H$9*12,0,M76+N76-O76+S76-R76)</f>
        <v>17582.351726258326</v>
      </c>
      <c r="W76" s="103"/>
      <c r="X76" s="97">
        <f>IF(AND(H76=1,D76&lt;15),Assumptions!$D$10*N76+Assumptions!$D$11*(1+Assumptions!$D$16)^(B76-1),0)</f>
        <v>0</v>
      </c>
      <c r="Y76" s="100">
        <f>Assumptions!$C$13*N76</f>
        <v>0</v>
      </c>
      <c r="AA76" s="67">
        <f t="shared" si="29"/>
        <v>58036878.548094839</v>
      </c>
      <c r="AB76" s="67">
        <f>N76*I76</f>
        <v>0</v>
      </c>
      <c r="AC76" s="67"/>
      <c r="AD76" s="90">
        <f>P76*J76</f>
        <v>7567.6657963488315</v>
      </c>
      <c r="AE76" s="90">
        <f>Q76*K76</f>
        <v>198253.88451745425</v>
      </c>
      <c r="AF76" s="67">
        <f>R76*I77</f>
        <v>0</v>
      </c>
      <c r="AG76" s="68">
        <f>S76*I76</f>
        <v>236449.42722150407</v>
      </c>
      <c r="AH76" s="68">
        <f>T76*$I76</f>
        <v>0</v>
      </c>
      <c r="AI76" s="68">
        <f>U76*$I76</f>
        <v>0</v>
      </c>
      <c r="AJ76" s="67">
        <f>V76*I77</f>
        <v>58067145.004271097</v>
      </c>
      <c r="AK76" s="67">
        <f>W76*$I76</f>
        <v>0</v>
      </c>
      <c r="AL76" s="67">
        <f>X76*$I76</f>
        <v>0</v>
      </c>
      <c r="AM76" s="67">
        <f>Y76*$I76</f>
        <v>0</v>
      </c>
      <c r="AN76" s="65">
        <f>NPV(Assumptions!$D$19,AB76:$AB$259)*(1+Assumptions!$D$19)</f>
        <v>54295430.584535986</v>
      </c>
      <c r="AO76" s="68">
        <f t="shared" si="25"/>
        <v>501362.82385650265</v>
      </c>
      <c r="AQ76" s="67">
        <f t="shared" si="30"/>
        <v>58606554.346647605</v>
      </c>
      <c r="AR76" s="95">
        <f>(AQ76+AB76-AC76)*Assumptions!$D$19</f>
        <v>251598.19135157907</v>
      </c>
      <c r="AS76" s="67">
        <f t="shared" si="31"/>
        <v>584824.56268283771</v>
      </c>
      <c r="AT76" s="67">
        <f t="shared" si="26"/>
        <v>58150606.743097432</v>
      </c>
      <c r="AU76" s="67"/>
      <c r="AV76" s="67"/>
      <c r="AW76" s="67"/>
      <c r="AY76" s="67"/>
      <c r="AZ76" s="70">
        <f t="shared" si="20"/>
        <v>0</v>
      </c>
    </row>
    <row r="77" spans="2:52" x14ac:dyDescent="0.2">
      <c r="B77" s="5">
        <f t="shared" si="16"/>
        <v>70</v>
      </c>
      <c r="C77" s="5">
        <f t="shared" si="17"/>
        <v>70</v>
      </c>
      <c r="D77" s="5">
        <f t="shared" si="18"/>
        <v>5</v>
      </c>
      <c r="E77" s="5">
        <f t="shared" si="19"/>
        <v>51</v>
      </c>
      <c r="F77" s="64">
        <f>1-(1-VLOOKUP($E77,'Annual Mortality Rates'!$B$5:$C$105,2,FALSE))^(1/12)</f>
        <v>1.3009304274569367E-4</v>
      </c>
      <c r="G77" s="75">
        <f>IF(C77&gt;=Assumptions!$H$9*12,100%,1-(1-IF(D77&gt;=7,2%,VLOOKUP($D77,'Annual Lapse Rates'!$B$4:$C$14,2,FALSE)))^(1/12))</f>
        <v>3.3960531989175591E-3</v>
      </c>
      <c r="H77" s="81">
        <f t="shared" si="27"/>
        <v>10</v>
      </c>
      <c r="I77" s="65">
        <f t="shared" si="21"/>
        <v>3302.5812421640298</v>
      </c>
      <c r="J77" s="66">
        <f t="shared" si="22"/>
        <v>0.42964284270797121</v>
      </c>
      <c r="K77" s="66">
        <f t="shared" si="23"/>
        <v>11.255566090547081</v>
      </c>
      <c r="M77" s="97">
        <f t="shared" si="28"/>
        <v>17582.351726258326</v>
      </c>
      <c r="N77" s="97">
        <f>IF(AND(H77=1,D77&lt;15),Assumptions!$H$4,0)</f>
        <v>0</v>
      </c>
      <c r="O77" s="103"/>
      <c r="P77" s="98">
        <f>$M77*(1+VLOOKUP($H77,Assumptions!$C$22:$D$33,2,FALSE))^(1/12)</f>
        <v>17627.496093971848</v>
      </c>
      <c r="Q77" s="98">
        <f>$M77*(1+VLOOKUP($H77,Assumptions!$C$22:$D$33,2,FALSE))^(1/12)</f>
        <v>17627.496093971848</v>
      </c>
      <c r="R77" s="97">
        <f>IF(AND(H77=12,D77&lt;15),Assumptions!$C$7*M77,0)</f>
        <v>0</v>
      </c>
      <c r="S77" s="99">
        <f>(M77+N77-O77)*Assumptions!$D$17</f>
        <v>71.632677340419733</v>
      </c>
      <c r="T77" s="99">
        <f t="shared" si="24"/>
        <v>0</v>
      </c>
      <c r="U77" s="101"/>
      <c r="V77" s="101">
        <f>IF(C77&gt;=Assumptions!$H$9*12,0,M77+N77-O77+S77-R77)</f>
        <v>17653.984403598744</v>
      </c>
      <c r="W77" s="103"/>
      <c r="X77" s="97">
        <f>IF(AND(H77=1,D77&lt;15),Assumptions!$D$10*N77+Assumptions!$D$11*(1+Assumptions!$D$16)^(B77-1),0)</f>
        <v>0</v>
      </c>
      <c r="Y77" s="100">
        <f>Assumptions!$C$13*N77</f>
        <v>0</v>
      </c>
      <c r="AA77" s="67">
        <f t="shared" si="29"/>
        <v>58067145.004271097</v>
      </c>
      <c r="AB77" s="67">
        <f>N77*I77</f>
        <v>0</v>
      </c>
      <c r="AC77" s="67"/>
      <c r="AD77" s="90">
        <f>P77*J77</f>
        <v>7573.5275316377238</v>
      </c>
      <c r="AE77" s="90">
        <f>Q77*K77</f>
        <v>198407.44729656065</v>
      </c>
      <c r="AF77" s="67">
        <f>R77*I78</f>
        <v>0</v>
      </c>
      <c r="AG77" s="68">
        <f>S77*I77</f>
        <v>236572.73651045855</v>
      </c>
      <c r="AH77" s="68">
        <f>T77*$I77</f>
        <v>0</v>
      </c>
      <c r="AI77" s="68">
        <f>U77*$I77</f>
        <v>0</v>
      </c>
      <c r="AJ77" s="67">
        <f>V77*I78</f>
        <v>58097427.244521074</v>
      </c>
      <c r="AK77" s="67">
        <f>W77*$I77</f>
        <v>0</v>
      </c>
      <c r="AL77" s="67">
        <f>X77*$I77</f>
        <v>0</v>
      </c>
      <c r="AM77" s="67">
        <f>Y77*$I77</f>
        <v>0</v>
      </c>
      <c r="AN77" s="65">
        <f>NPV(Assumptions!$D$19,AB77:$AB$259)*(1+Assumptions!$D$19)</f>
        <v>54528521.102926202</v>
      </c>
      <c r="AO77" s="68">
        <f t="shared" si="25"/>
        <v>503515.1766282951</v>
      </c>
      <c r="AQ77" s="67">
        <f t="shared" si="30"/>
        <v>58651969.566953935</v>
      </c>
      <c r="AR77" s="95">
        <f>(AQ77+AB77-AC77)*Assumptions!$D$19</f>
        <v>251793.15908882773</v>
      </c>
      <c r="AS77" s="67">
        <f t="shared" si="31"/>
        <v>600044.98526120686</v>
      </c>
      <c r="AT77" s="67">
        <f t="shared" si="26"/>
        <v>58193957.053153992</v>
      </c>
      <c r="AU77" s="67"/>
      <c r="AV77" s="67"/>
      <c r="AW77" s="67"/>
      <c r="AY77" s="67"/>
      <c r="AZ77" s="70">
        <f t="shared" si="20"/>
        <v>0</v>
      </c>
    </row>
    <row r="78" spans="2:52" x14ac:dyDescent="0.2">
      <c r="B78" s="5">
        <f t="shared" si="16"/>
        <v>71</v>
      </c>
      <c r="C78" s="5">
        <f t="shared" si="17"/>
        <v>71</v>
      </c>
      <c r="D78" s="5">
        <f t="shared" si="18"/>
        <v>5</v>
      </c>
      <c r="E78" s="5">
        <f t="shared" si="19"/>
        <v>51</v>
      </c>
      <c r="F78" s="64">
        <f>1-(1-VLOOKUP($E78,'Annual Mortality Rates'!$B$5:$C$105,2,FALSE))^(1/12)</f>
        <v>1.3009304274569367E-4</v>
      </c>
      <c r="G78" s="75">
        <f>IF(C78&gt;=Assumptions!$H$9*12,100%,1-(1-IF(D78&gt;=7,2%,VLOOKUP($D78,'Annual Lapse Rates'!$B$4:$C$14,2,FALSE)))^(1/12))</f>
        <v>3.3960531989175591E-3</v>
      </c>
      <c r="H78" s="81">
        <f t="shared" si="27"/>
        <v>11</v>
      </c>
      <c r="I78" s="65">
        <f t="shared" si="21"/>
        <v>3290.8960332307747</v>
      </c>
      <c r="J78" s="66">
        <f t="shared" si="22"/>
        <v>0.42812267832272488</v>
      </c>
      <c r="K78" s="66">
        <f t="shared" si="23"/>
        <v>11.215741592136279</v>
      </c>
      <c r="M78" s="97">
        <f t="shared" si="28"/>
        <v>17653.984403598744</v>
      </c>
      <c r="N78" s="97">
        <f>IF(AND(H78=1,D78&lt;15),Assumptions!$H$4,0)</f>
        <v>0</v>
      </c>
      <c r="O78" s="103"/>
      <c r="P78" s="98">
        <f>$M78*(1+VLOOKUP($H78,Assumptions!$C$22:$D$33,2,FALSE))^(1/12)</f>
        <v>17703.776022782633</v>
      </c>
      <c r="Q78" s="98">
        <f>$M78*(1+VLOOKUP($H78,Assumptions!$C$22:$D$33,2,FALSE))^(1/12)</f>
        <v>17703.776022782633</v>
      </c>
      <c r="R78" s="97">
        <f>IF(AND(H78=12,D78&lt;15),Assumptions!$C$7*M78,0)</f>
        <v>0</v>
      </c>
      <c r="S78" s="99">
        <f>(M78+N78-O78)*Assumptions!$D$17</f>
        <v>71.924517734858739</v>
      </c>
      <c r="T78" s="99">
        <f t="shared" si="24"/>
        <v>0</v>
      </c>
      <c r="U78" s="101"/>
      <c r="V78" s="101">
        <f>IF(C78&gt;=Assumptions!$H$9*12,0,M78+N78-O78+S78-R78)</f>
        <v>17725.908921333605</v>
      </c>
      <c r="W78" s="103"/>
      <c r="X78" s="97">
        <f>IF(AND(H78=1,D78&lt;15),Assumptions!$D$10*N78+Assumptions!$D$11*(1+Assumptions!$D$16)^(B78-1),0)</f>
        <v>0</v>
      </c>
      <c r="Y78" s="100">
        <f>Assumptions!$C$13*N78</f>
        <v>0</v>
      </c>
      <c r="AA78" s="67">
        <f t="shared" si="29"/>
        <v>58097427.244521074</v>
      </c>
      <c r="AB78" s="67">
        <f>N78*I78</f>
        <v>0</v>
      </c>
      <c r="AC78" s="67"/>
      <c r="AD78" s="90">
        <f>P78*J78</f>
        <v>7579.3880072993388</v>
      </c>
      <c r="AE78" s="90">
        <f>Q78*K78</f>
        <v>198560.97707658817</v>
      </c>
      <c r="AF78" s="67">
        <f>R78*I79</f>
        <v>0</v>
      </c>
      <c r="AG78" s="68">
        <f>S78*I78</f>
        <v>236696.11010568312</v>
      </c>
      <c r="AH78" s="68">
        <f>T78*$I78</f>
        <v>0</v>
      </c>
      <c r="AI78" s="68">
        <f>U78*$I78</f>
        <v>0</v>
      </c>
      <c r="AJ78" s="67">
        <f>V78*I79</f>
        <v>58127725.277076237</v>
      </c>
      <c r="AK78" s="67">
        <f>W78*$I78</f>
        <v>0</v>
      </c>
      <c r="AL78" s="67">
        <f>X78*$I78</f>
        <v>0</v>
      </c>
      <c r="AM78" s="67">
        <f>Y78*$I78</f>
        <v>0</v>
      </c>
      <c r="AN78" s="65">
        <f>NPV(Assumptions!$D$19,AB78:$AB$259)*(1+Assumptions!$D$19)</f>
        <v>54762612.279920243</v>
      </c>
      <c r="AO78" s="68">
        <f t="shared" si="25"/>
        <v>505676.76945984847</v>
      </c>
      <c r="AQ78" s="67">
        <f t="shared" si="30"/>
        <v>58697472.229782283</v>
      </c>
      <c r="AR78" s="95">
        <f>(AQ78+AB78-AC78)*Assumptions!$D$19</f>
        <v>251988.50221720169</v>
      </c>
      <c r="AS78" s="67">
        <f t="shared" si="31"/>
        <v>615337.3773727254</v>
      </c>
      <c r="AT78" s="67">
        <f t="shared" si="26"/>
        <v>58237385.884989113</v>
      </c>
      <c r="AU78" s="67"/>
      <c r="AV78" s="67"/>
      <c r="AW78" s="67"/>
      <c r="AY78" s="67"/>
      <c r="AZ78" s="70">
        <f t="shared" si="20"/>
        <v>0</v>
      </c>
    </row>
    <row r="79" spans="2:52" x14ac:dyDescent="0.2">
      <c r="B79" s="5">
        <f t="shared" si="16"/>
        <v>72</v>
      </c>
      <c r="C79" s="5">
        <f t="shared" si="17"/>
        <v>72</v>
      </c>
      <c r="D79" s="5">
        <f t="shared" si="18"/>
        <v>5</v>
      </c>
      <c r="E79" s="5">
        <f t="shared" si="19"/>
        <v>51</v>
      </c>
      <c r="F79" s="64">
        <f>1-(1-VLOOKUP($E79,'Annual Mortality Rates'!$B$5:$C$105,2,FALSE))^(1/12)</f>
        <v>1.3009304274569367E-4</v>
      </c>
      <c r="G79" s="75">
        <f>IF(C79&gt;=Assumptions!$H$9*12,100%,1-(1-IF(D79&gt;=7,2%,VLOOKUP($D79,'Annual Lapse Rates'!$B$4:$C$14,2,FALSE)))^(1/12))</f>
        <v>3.3960531989175591E-3</v>
      </c>
      <c r="H79" s="81">
        <f t="shared" si="27"/>
        <v>12</v>
      </c>
      <c r="I79" s="65">
        <f t="shared" si="21"/>
        <v>3279.2521689603159</v>
      </c>
      <c r="J79" s="66">
        <f t="shared" si="22"/>
        <v>0.42660789259046306</v>
      </c>
      <c r="K79" s="66">
        <f t="shared" si="23"/>
        <v>11.176058000958479</v>
      </c>
      <c r="M79" s="97">
        <f t="shared" si="28"/>
        <v>17725.908921333605</v>
      </c>
      <c r="N79" s="97">
        <f>IF(AND(H79=1,D79&lt;15),Assumptions!$H$4,0)</f>
        <v>0</v>
      </c>
      <c r="O79" s="103"/>
      <c r="P79" s="98">
        <f>$M79*(1+VLOOKUP($H79,Assumptions!$C$22:$D$33,2,FALSE))^(1/12)</f>
        <v>17780.372515722513</v>
      </c>
      <c r="Q79" s="98">
        <f>$M79*(1+VLOOKUP($H79,Assumptions!$C$22:$D$33,2,FALSE))^(1/12)</f>
        <v>17780.372515722513</v>
      </c>
      <c r="R79" s="97">
        <f>IF(AND(H79=12,D79&lt;15),Assumptions!$C$7*M79,0)</f>
        <v>8.8629544606668027</v>
      </c>
      <c r="S79" s="99">
        <f>(M79+N79-O79)*Assumptions!$D$17</f>
        <v>72.217547123189775</v>
      </c>
      <c r="T79" s="99">
        <f t="shared" si="24"/>
        <v>0</v>
      </c>
      <c r="U79" s="101"/>
      <c r="V79" s="101">
        <f>IF(C79&gt;=Assumptions!$H$9*12,0,M79+N79-O79+S79-R79)</f>
        <v>17789.263513996128</v>
      </c>
      <c r="W79" s="103"/>
      <c r="X79" s="97">
        <f>IF(AND(H79=1,D79&lt;15),Assumptions!$D$10*N79+Assumptions!$D$11*(1+Assumptions!$D$16)^(B79-1),0)</f>
        <v>0</v>
      </c>
      <c r="Y79" s="100">
        <f>Assumptions!$C$13*N79</f>
        <v>0</v>
      </c>
      <c r="AA79" s="67">
        <f t="shared" si="29"/>
        <v>58127725.277076237</v>
      </c>
      <c r="AB79" s="67">
        <f>N79*I79</f>
        <v>0</v>
      </c>
      <c r="AC79" s="67"/>
      <c r="AD79" s="90">
        <f>P79*J79</f>
        <v>7585.2472484057707</v>
      </c>
      <c r="AE79" s="90">
        <f>Q79*K79</f>
        <v>198714.47451436284</v>
      </c>
      <c r="AF79" s="67">
        <f>R79*I80</f>
        <v>28961.028739101264</v>
      </c>
      <c r="AG79" s="68">
        <f>S79*I79</f>
        <v>236819.54804071388</v>
      </c>
      <c r="AH79" s="68">
        <f>T79*$I79</f>
        <v>0</v>
      </c>
      <c r="AI79" s="68">
        <f>U79*$I79</f>
        <v>0</v>
      </c>
      <c r="AJ79" s="67">
        <f>V79*I80</f>
        <v>58129078.081433214</v>
      </c>
      <c r="AK79" s="67">
        <f>W79*$I79</f>
        <v>0</v>
      </c>
      <c r="AL79" s="67">
        <f>X79*$I79</f>
        <v>0</v>
      </c>
      <c r="AM79" s="67">
        <f>Y79*$I79</f>
        <v>0</v>
      </c>
      <c r="AN79" s="65">
        <f>NPV(Assumptions!$D$19,AB79:$AB$259)*(1+Assumptions!$D$19)</f>
        <v>54997708.411349863</v>
      </c>
      <c r="AO79" s="68">
        <f t="shared" si="25"/>
        <v>507847.64201877889</v>
      </c>
      <c r="AQ79" s="67">
        <f t="shared" si="30"/>
        <v>58743062.654448964</v>
      </c>
      <c r="AR79" s="95">
        <f>(AQ79+AB79-AC79)*Assumptions!$D$19</f>
        <v>252184.22210752728</v>
      </c>
      <c r="AS79" s="67">
        <f t="shared" si="31"/>
        <v>630702.05143953883</v>
      </c>
      <c r="AT79" s="67">
        <f t="shared" si="26"/>
        <v>58251932.490853973</v>
      </c>
      <c r="AU79" s="67"/>
      <c r="AV79" s="67"/>
      <c r="AW79" s="67"/>
      <c r="AY79" s="67"/>
      <c r="AZ79" s="70">
        <f t="shared" si="20"/>
        <v>0</v>
      </c>
    </row>
    <row r="80" spans="2:52" x14ac:dyDescent="0.2">
      <c r="B80" s="5">
        <f t="shared" si="16"/>
        <v>73</v>
      </c>
      <c r="C80" s="5">
        <f t="shared" si="17"/>
        <v>73</v>
      </c>
      <c r="D80" s="5">
        <f t="shared" si="18"/>
        <v>6</v>
      </c>
      <c r="E80" s="5">
        <f t="shared" si="19"/>
        <v>52</v>
      </c>
      <c r="F80" s="64">
        <f>1-(1-VLOOKUP($E80,'Annual Mortality Rates'!$B$5:$C$105,2,FALSE))^(1/12)</f>
        <v>1.4344645210206952E-4</v>
      </c>
      <c r="G80" s="75">
        <f>IF(C80&gt;=Assumptions!$H$9*12,100%,1-(1-IF(D80&gt;=7,2%,VLOOKUP($D80,'Annual Lapse Rates'!$B$4:$C$14,2,FALSE)))^(1/12))</f>
        <v>2.5350486138366879E-3</v>
      </c>
      <c r="H80" s="81">
        <f t="shared" si="27"/>
        <v>1</v>
      </c>
      <c r="I80" s="65">
        <f t="shared" si="21"/>
        <v>3267.649503066767</v>
      </c>
      <c r="J80" s="66">
        <f t="shared" si="22"/>
        <v>0.46873272792801829</v>
      </c>
      <c r="K80" s="66">
        <f t="shared" si="23"/>
        <v>8.313063665343801</v>
      </c>
      <c r="M80" s="97">
        <f t="shared" si="28"/>
        <v>17789.263513996128</v>
      </c>
      <c r="N80" s="97">
        <f>IF(AND(H80=1,D80&lt;15),Assumptions!$H$4,0)</f>
        <v>2500</v>
      </c>
      <c r="O80" s="103"/>
      <c r="P80" s="98">
        <f>$M80*(1+VLOOKUP($H80,Assumptions!$C$22:$D$33,2,FALSE))^(1/12)</f>
        <v>17793.889512656242</v>
      </c>
      <c r="Q80" s="98">
        <f>$M80*(1+VLOOKUP($H80,Assumptions!$C$22:$D$33,2,FALSE))^(1/12)</f>
        <v>17793.889512656242</v>
      </c>
      <c r="R80" s="97">
        <f>IF(AND(H80=12,D80&lt;15),Assumptions!$C$7*M80,0)</f>
        <v>0</v>
      </c>
      <c r="S80" s="99">
        <f>(M80+N80-O80)*Assumptions!$D$17</f>
        <v>82.660971035080394</v>
      </c>
      <c r="T80" s="99">
        <f t="shared" si="24"/>
        <v>0</v>
      </c>
      <c r="U80" s="101"/>
      <c r="V80" s="101">
        <f>IF(C80&gt;=Assumptions!$H$9*12,0,M80+N80-O80+S80-R80)</f>
        <v>20371.92448503121</v>
      </c>
      <c r="W80" s="103"/>
      <c r="X80" s="97">
        <f>IF(AND(H80=1,D80&lt;15),Assumptions!$D$10*N80+Assumptions!$D$11*(1+Assumptions!$D$16)^(B80-1),0)</f>
        <v>19.820055725216019</v>
      </c>
      <c r="Y80" s="100">
        <f>Assumptions!$C$13*N80</f>
        <v>12.5</v>
      </c>
      <c r="AA80" s="67">
        <f t="shared" si="29"/>
        <v>58129078.081433214</v>
      </c>
      <c r="AB80" s="67">
        <f>N80*I80</f>
        <v>8169123.7576669175</v>
      </c>
      <c r="AC80" s="67"/>
      <c r="AD80" s="90">
        <f>P80*J80</f>
        <v>8340.5783717171162</v>
      </c>
      <c r="AE80" s="90">
        <f>Q80*K80</f>
        <v>147921.73637280473</v>
      </c>
      <c r="AF80" s="67">
        <f>R80*I81</f>
        <v>0</v>
      </c>
      <c r="AG80" s="68">
        <f>S80*I80</f>
        <v>270107.08092579688</v>
      </c>
      <c r="AH80" s="68">
        <f>T80*$I80</f>
        <v>0</v>
      </c>
      <c r="AI80" s="68">
        <f>U80*$I80</f>
        <v>0</v>
      </c>
      <c r="AJ80" s="67">
        <f>V80*I81</f>
        <v>66389406.827059284</v>
      </c>
      <c r="AK80" s="67">
        <f>W80*$I80</f>
        <v>0</v>
      </c>
      <c r="AL80" s="67">
        <f>X80*$I80</f>
        <v>64764.995241257755</v>
      </c>
      <c r="AM80" s="67">
        <f>Y80*$I80</f>
        <v>40845.618788334585</v>
      </c>
      <c r="AN80" s="65">
        <f>NPV(Assumptions!$D$19,AB80:$AB$259)*(1+Assumptions!$D$19)</f>
        <v>55233813.811488748</v>
      </c>
      <c r="AO80" s="68">
        <f t="shared" si="25"/>
        <v>434594.32322902954</v>
      </c>
      <c r="AQ80" s="67">
        <f t="shared" si="30"/>
        <v>58759780.132872753</v>
      </c>
      <c r="AR80" s="95">
        <f>(AQ80+AB80-AC80)*Assumptions!$D$19</f>
        <v>287326.07394733612</v>
      </c>
      <c r="AS80" s="67">
        <f t="shared" si="31"/>
        <v>647921.04446107801</v>
      </c>
      <c r="AT80" s="67">
        <f t="shared" si="26"/>
        <v>66602733.548291333</v>
      </c>
      <c r="AU80" s="67"/>
      <c r="AV80" s="67"/>
      <c r="AW80" s="67"/>
      <c r="AY80" s="67"/>
      <c r="AZ80" s="70">
        <f t="shared" si="20"/>
        <v>0</v>
      </c>
    </row>
    <row r="81" spans="2:52" x14ac:dyDescent="0.2">
      <c r="B81" s="5">
        <f t="shared" si="16"/>
        <v>74</v>
      </c>
      <c r="C81" s="5">
        <f t="shared" si="17"/>
        <v>74</v>
      </c>
      <c r="D81" s="5">
        <f t="shared" si="18"/>
        <v>6</v>
      </c>
      <c r="E81" s="5">
        <f t="shared" si="19"/>
        <v>52</v>
      </c>
      <c r="F81" s="64">
        <f>1-(1-VLOOKUP($E81,'Annual Mortality Rates'!$B$5:$C$105,2,FALSE))^(1/12)</f>
        <v>1.4344645210206952E-4</v>
      </c>
      <c r="G81" s="75">
        <f>IF(C81&gt;=Assumptions!$H$9*12,100%,1-(1-IF(D81&gt;=7,2%,VLOOKUP($D81,'Annual Lapse Rates'!$B$4:$C$14,2,FALSE)))^(1/12))</f>
        <v>2.5350486138366879E-3</v>
      </c>
      <c r="H81" s="81">
        <f t="shared" si="27"/>
        <v>2</v>
      </c>
      <c r="I81" s="65">
        <f t="shared" si="21"/>
        <v>3258.8677066734954</v>
      </c>
      <c r="J81" s="66">
        <f t="shared" si="22"/>
        <v>0.4674730103923207</v>
      </c>
      <c r="K81" s="66">
        <f t="shared" si="23"/>
        <v>8.2836503432535498</v>
      </c>
      <c r="M81" s="97">
        <f t="shared" si="28"/>
        <v>20371.92448503121</v>
      </c>
      <c r="N81" s="97">
        <f>IF(AND(H81=1,D81&lt;15),Assumptions!$H$4,0)</f>
        <v>0</v>
      </c>
      <c r="O81" s="103"/>
      <c r="P81" s="98">
        <f>$M81*(1+VLOOKUP($H81,Assumptions!$C$22:$D$33,2,FALSE))^(1/12)</f>
        <v>20382.504588872849</v>
      </c>
      <c r="Q81" s="98">
        <f>$M81*(1+VLOOKUP($H81,Assumptions!$C$22:$D$33,2,FALSE))^(1/12)</f>
        <v>20382.504588872849</v>
      </c>
      <c r="R81" s="97">
        <f>IF(AND(H81=12,D81&lt;15),Assumptions!$C$7*M81,0)</f>
        <v>0</v>
      </c>
      <c r="S81" s="99">
        <f>(M81+N81-O81)*Assumptions!$D$17</f>
        <v>82.997742063153893</v>
      </c>
      <c r="T81" s="99">
        <f t="shared" si="24"/>
        <v>0</v>
      </c>
      <c r="U81" s="101"/>
      <c r="V81" s="101">
        <f>IF(C81&gt;=Assumptions!$H$9*12,0,M81+N81-O81+S81-R81)</f>
        <v>20454.922227094365</v>
      </c>
      <c r="W81" s="103"/>
      <c r="X81" s="97">
        <f>IF(AND(H81=1,D81&lt;15),Assumptions!$D$10*N81+Assumptions!$D$11*(1+Assumptions!$D$16)^(B81-1),0)</f>
        <v>0</v>
      </c>
      <c r="Y81" s="100">
        <f>Assumptions!$C$13*N81</f>
        <v>0</v>
      </c>
      <c r="AA81" s="67">
        <f t="shared" si="29"/>
        <v>66389406.827059284</v>
      </c>
      <c r="AB81" s="67">
        <f>N81*I81</f>
        <v>0</v>
      </c>
      <c r="AC81" s="67"/>
      <c r="AD81" s="90">
        <f>P81*J81</f>
        <v>9528.2707794956823</v>
      </c>
      <c r="AE81" s="90">
        <f>Q81*K81</f>
        <v>168841.54113398364</v>
      </c>
      <c r="AF81" s="67">
        <f>R81*I82</f>
        <v>0</v>
      </c>
      <c r="AG81" s="68">
        <f>S81*I81</f>
        <v>270478.6613364286</v>
      </c>
      <c r="AH81" s="68">
        <f>T81*$I81</f>
        <v>0</v>
      </c>
      <c r="AI81" s="68">
        <f>U81*$I81</f>
        <v>0</v>
      </c>
      <c r="AJ81" s="67">
        <f>V81*I82</f>
        <v>66480881.94079718</v>
      </c>
      <c r="AK81" s="67">
        <f>W81*$I81</f>
        <v>0</v>
      </c>
      <c r="AL81" s="67">
        <f>X81*$I81</f>
        <v>0</v>
      </c>
      <c r="AM81" s="67">
        <f>Y81*$I81</f>
        <v>0</v>
      </c>
      <c r="AN81" s="65">
        <f>NPV(Assumptions!$D$19,AB81:$AB$259)*(1+Assumptions!$D$19)</f>
        <v>47266738.971832342</v>
      </c>
      <c r="AO81" s="68">
        <f t="shared" si="25"/>
        <v>436460.03853877704</v>
      </c>
      <c r="AQ81" s="67">
        <f t="shared" si="30"/>
        <v>67037327.871520363</v>
      </c>
      <c r="AR81" s="95">
        <f>(AQ81+AB81-AC81)*Assumptions!$D$19</f>
        <v>287791.53856674593</v>
      </c>
      <c r="AS81" s="67">
        <f t="shared" si="31"/>
        <v>665233.92169139534</v>
      </c>
      <c r="AT81" s="67">
        <f t="shared" si="26"/>
        <v>66709655.823949791</v>
      </c>
      <c r="AU81" s="67"/>
      <c r="AV81" s="67"/>
      <c r="AW81" s="67"/>
      <c r="AY81" s="67"/>
      <c r="AZ81" s="70">
        <f t="shared" si="20"/>
        <v>0</v>
      </c>
    </row>
    <row r="82" spans="2:52" x14ac:dyDescent="0.2">
      <c r="B82" s="5">
        <f t="shared" si="16"/>
        <v>75</v>
      </c>
      <c r="C82" s="5">
        <f t="shared" si="17"/>
        <v>75</v>
      </c>
      <c r="D82" s="5">
        <f t="shared" si="18"/>
        <v>6</v>
      </c>
      <c r="E82" s="5">
        <f t="shared" si="19"/>
        <v>52</v>
      </c>
      <c r="F82" s="64">
        <f>1-(1-VLOOKUP($E82,'Annual Mortality Rates'!$B$5:$C$105,2,FALSE))^(1/12)</f>
        <v>1.4344645210206952E-4</v>
      </c>
      <c r="G82" s="75">
        <f>IF(C82&gt;=Assumptions!$H$9*12,100%,1-(1-IF(D82&gt;=7,2%,VLOOKUP($D82,'Annual Lapse Rates'!$B$4:$C$14,2,FALSE)))^(1/12))</f>
        <v>2.5350486138366879E-3</v>
      </c>
      <c r="H82" s="81">
        <f t="shared" si="27"/>
        <v>3</v>
      </c>
      <c r="I82" s="65">
        <f t="shared" si="21"/>
        <v>3250.1165833198493</v>
      </c>
      <c r="J82" s="66">
        <f t="shared" si="22"/>
        <v>0.46621769279533259</v>
      </c>
      <c r="K82" s="66">
        <f t="shared" si="23"/>
        <v>8.2613880624797904</v>
      </c>
      <c r="M82" s="97">
        <f t="shared" si="28"/>
        <v>20454.922227094365</v>
      </c>
      <c r="N82" s="97">
        <f>IF(AND(H82=1,D82&lt;15),Assumptions!$H$4,0)</f>
        <v>0</v>
      </c>
      <c r="O82" s="103"/>
      <c r="P82" s="98">
        <f>$M82*(1+VLOOKUP($H82,Assumptions!$C$22:$D$33,2,FALSE))^(1/12)</f>
        <v>20470.834377757332</v>
      </c>
      <c r="Q82" s="98">
        <f>$M82*(1+VLOOKUP($H82,Assumptions!$C$22:$D$33,2,FALSE))^(1/12)</f>
        <v>20470.834377757332</v>
      </c>
      <c r="R82" s="97">
        <f>IF(AND(H82=12,D82&lt;15),Assumptions!$C$7*M82,0)</f>
        <v>0</v>
      </c>
      <c r="S82" s="99">
        <f>(M82+N82-O82)*Assumptions!$D$17</f>
        <v>83.335885138082503</v>
      </c>
      <c r="T82" s="99">
        <f t="shared" si="24"/>
        <v>0</v>
      </c>
      <c r="U82" s="101"/>
      <c r="V82" s="101">
        <f>IF(C82&gt;=Assumptions!$H$9*12,0,M82+N82-O82+S82-R82)</f>
        <v>20538.258112232448</v>
      </c>
      <c r="W82" s="103"/>
      <c r="X82" s="97">
        <f>IF(AND(H82=1,D82&lt;15),Assumptions!$D$10*N82+Assumptions!$D$11*(1+Assumptions!$D$16)^(B82-1),0)</f>
        <v>0</v>
      </c>
      <c r="Y82" s="100">
        <f>Assumptions!$C$13*N82</f>
        <v>0</v>
      </c>
      <c r="AA82" s="67">
        <f t="shared" si="29"/>
        <v>66480881.94079718</v>
      </c>
      <c r="AB82" s="67">
        <f>N82*I82</f>
        <v>0</v>
      </c>
      <c r="AC82" s="67"/>
      <c r="AD82" s="90">
        <f>P82*J82</f>
        <v>9543.8651731934006</v>
      </c>
      <c r="AE82" s="90">
        <f>Q82*K82</f>
        <v>169117.50675740532</v>
      </c>
      <c r="AF82" s="67">
        <f>R82*I83</f>
        <v>0</v>
      </c>
      <c r="AG82" s="68">
        <f>S82*I82</f>
        <v>270851.34227292013</v>
      </c>
      <c r="AH82" s="68">
        <f>T82*$I82</f>
        <v>0</v>
      </c>
      <c r="AI82" s="68">
        <f>U82*$I82</f>
        <v>0</v>
      </c>
      <c r="AJ82" s="67">
        <f>V82*I83</f>
        <v>66572483.463366449</v>
      </c>
      <c r="AK82" s="67">
        <f>W82*$I82</f>
        <v>0</v>
      </c>
      <c r="AL82" s="67">
        <f>X82*$I82</f>
        <v>0</v>
      </c>
      <c r="AM82" s="67">
        <f>Y82*$I82</f>
        <v>0</v>
      </c>
      <c r="AN82" s="65">
        <f>NPV(Assumptions!$D$19,AB82:$AB$259)*(1+Assumptions!$D$19)</f>
        <v>47469655.286721967</v>
      </c>
      <c r="AO82" s="68">
        <f t="shared" si="25"/>
        <v>438333.76337242062</v>
      </c>
      <c r="AQ82" s="67">
        <f t="shared" si="30"/>
        <v>67146115.862488568</v>
      </c>
      <c r="AR82" s="95">
        <f>(AQ82+AB82-AC82)*Assumptions!$D$19</f>
        <v>288258.56588260684</v>
      </c>
      <c r="AS82" s="67">
        <f t="shared" si="31"/>
        <v>682641.14530108217</v>
      </c>
      <c r="AT82" s="67">
        <f t="shared" si="26"/>
        <v>66816790.845295116</v>
      </c>
      <c r="AU82" s="67"/>
      <c r="AV82" s="67"/>
      <c r="AW82" s="67"/>
      <c r="AY82" s="67"/>
      <c r="AZ82" s="70">
        <f t="shared" si="20"/>
        <v>0</v>
      </c>
    </row>
    <row r="83" spans="2:52" x14ac:dyDescent="0.2">
      <c r="B83" s="5">
        <f t="shared" si="16"/>
        <v>76</v>
      </c>
      <c r="C83" s="5">
        <f t="shared" si="17"/>
        <v>76</v>
      </c>
      <c r="D83" s="5">
        <f t="shared" si="18"/>
        <v>6</v>
      </c>
      <c r="E83" s="5">
        <f t="shared" si="19"/>
        <v>52</v>
      </c>
      <c r="F83" s="64">
        <f>1-(1-VLOOKUP($E83,'Annual Mortality Rates'!$B$5:$C$105,2,FALSE))^(1/12)</f>
        <v>1.4344645210206952E-4</v>
      </c>
      <c r="G83" s="75">
        <f>IF(C83&gt;=Assumptions!$H$9*12,100%,1-(1-IF(D83&gt;=7,2%,VLOOKUP($D83,'Annual Lapse Rates'!$B$4:$C$14,2,FALSE)))^(1/12))</f>
        <v>2.5350486138366879E-3</v>
      </c>
      <c r="H83" s="81">
        <f t="shared" si="27"/>
        <v>4</v>
      </c>
      <c r="I83" s="65">
        <f t="shared" si="21"/>
        <v>3241.3889775645739</v>
      </c>
      <c r="J83" s="66">
        <f t="shared" si="22"/>
        <v>0.46496574871439272</v>
      </c>
      <c r="K83" s="66">
        <f t="shared" si="23"/>
        <v>8.2392035393526157</v>
      </c>
      <c r="M83" s="97">
        <f t="shared" si="28"/>
        <v>20538.258112232448</v>
      </c>
      <c r="N83" s="97">
        <f>IF(AND(H83=1,D83&lt;15),Assumptions!$H$4,0)</f>
        <v>0</v>
      </c>
      <c r="O83" s="103"/>
      <c r="P83" s="98">
        <f>$M83*(1+VLOOKUP($H83,Assumptions!$C$22:$D$33,2,FALSE))^(1/12)</f>
        <v>20559.53053122104</v>
      </c>
      <c r="Q83" s="98">
        <f>$M83*(1+VLOOKUP($H83,Assumptions!$C$22:$D$33,2,FALSE))^(1/12)</f>
        <v>20559.53053122104</v>
      </c>
      <c r="R83" s="97">
        <f>IF(AND(H83=12,D83&lt;15),Assumptions!$C$7*M83,0)</f>
        <v>0</v>
      </c>
      <c r="S83" s="99">
        <f>(M83+N83-O83)*Assumptions!$D$17</f>
        <v>83.675405849754952</v>
      </c>
      <c r="T83" s="99">
        <f t="shared" si="24"/>
        <v>0</v>
      </c>
      <c r="U83" s="101"/>
      <c r="V83" s="101">
        <f>IF(C83&gt;=Assumptions!$H$9*12,0,M83+N83-O83+S83-R83)</f>
        <v>20621.933518082202</v>
      </c>
      <c r="W83" s="103"/>
      <c r="X83" s="97">
        <f>IF(AND(H83=1,D83&lt;15),Assumptions!$D$10*N83+Assumptions!$D$11*(1+Assumptions!$D$16)^(B83-1),0)</f>
        <v>0</v>
      </c>
      <c r="Y83" s="100">
        <f>Assumptions!$C$13*N83</f>
        <v>0</v>
      </c>
      <c r="AA83" s="67">
        <f t="shared" si="29"/>
        <v>66572483.463366449</v>
      </c>
      <c r="AB83" s="67">
        <f>N83*I83</f>
        <v>0</v>
      </c>
      <c r="AC83" s="67"/>
      <c r="AD83" s="90">
        <f>P83*J83</f>
        <v>9559.4775066656075</v>
      </c>
      <c r="AE83" s="90">
        <f>Q83*K83</f>
        <v>169394.15672026455</v>
      </c>
      <c r="AF83" s="67">
        <f>R83*I84</f>
        <v>0</v>
      </c>
      <c r="AG83" s="68">
        <f>S83*I83</f>
        <v>271224.53821463796</v>
      </c>
      <c r="AH83" s="68">
        <f>T83*$I83</f>
        <v>0</v>
      </c>
      <c r="AI83" s="68">
        <f>U83*$I83</f>
        <v>0</v>
      </c>
      <c r="AJ83" s="67">
        <f>V83*I84</f>
        <v>66664211.201192431</v>
      </c>
      <c r="AK83" s="67">
        <f>W83*$I83</f>
        <v>0</v>
      </c>
      <c r="AL83" s="67">
        <f>X83*$I83</f>
        <v>0</v>
      </c>
      <c r="AM83" s="67">
        <f>Y83*$I83</f>
        <v>0</v>
      </c>
      <c r="AN83" s="65">
        <f>NPV(Assumptions!$D$19,AB83:$AB$259)*(1+Assumptions!$D$19)</f>
        <v>47673442.722229265</v>
      </c>
      <c r="AO83" s="68">
        <f t="shared" si="25"/>
        <v>440215.53211488097</v>
      </c>
      <c r="AQ83" s="67">
        <f t="shared" si="30"/>
        <v>67255124.608667538</v>
      </c>
      <c r="AR83" s="95">
        <f>(AQ83+AB83-AC83)*Assumptions!$D$19</f>
        <v>288726.54090154258</v>
      </c>
      <c r="AS83" s="67">
        <f t="shared" si="31"/>
        <v>700143.14798798691</v>
      </c>
      <c r="AT83" s="67">
        <f t="shared" si="26"/>
        <v>66924138.817065537</v>
      </c>
      <c r="AU83" s="67"/>
      <c r="AV83" s="67"/>
      <c r="AW83" s="67"/>
      <c r="AY83" s="67"/>
      <c r="AZ83" s="70">
        <f t="shared" si="20"/>
        <v>0</v>
      </c>
    </row>
    <row r="84" spans="2:52" x14ac:dyDescent="0.2">
      <c r="B84" s="5">
        <f t="shared" si="16"/>
        <v>77</v>
      </c>
      <c r="C84" s="5">
        <f t="shared" si="17"/>
        <v>77</v>
      </c>
      <c r="D84" s="5">
        <f t="shared" si="18"/>
        <v>6</v>
      </c>
      <c r="E84" s="5">
        <f t="shared" si="19"/>
        <v>52</v>
      </c>
      <c r="F84" s="64">
        <f>1-(1-VLOOKUP($E84,'Annual Mortality Rates'!$B$5:$C$105,2,FALSE))^(1/12)</f>
        <v>1.4344645210206952E-4</v>
      </c>
      <c r="G84" s="75">
        <f>IF(C84&gt;=Assumptions!$H$9*12,100%,1-(1-IF(D84&gt;=7,2%,VLOOKUP($D84,'Annual Lapse Rates'!$B$4:$C$14,2,FALSE)))^(1/12))</f>
        <v>2.5350486138366879E-3</v>
      </c>
      <c r="H84" s="81">
        <f t="shared" si="27"/>
        <v>5</v>
      </c>
      <c r="I84" s="65">
        <f t="shared" si="21"/>
        <v>3232.6848082765068</v>
      </c>
      <c r="J84" s="66">
        <f t="shared" si="22"/>
        <v>0.46371716651152373</v>
      </c>
      <c r="K84" s="66">
        <f t="shared" si="23"/>
        <v>8.2170786344805915</v>
      </c>
      <c r="M84" s="97">
        <f t="shared" si="28"/>
        <v>20621.933518082202</v>
      </c>
      <c r="N84" s="97">
        <f>IF(AND(H84=1,D84&lt;15),Assumptions!$H$4,0)</f>
        <v>0</v>
      </c>
      <c r="O84" s="103"/>
      <c r="P84" s="98">
        <f>$M84*(1+VLOOKUP($H84,Assumptions!$C$22:$D$33,2,FALSE))^(1/12)</f>
        <v>20648.594596303552</v>
      </c>
      <c r="Q84" s="98">
        <f>$M84*(1+VLOOKUP($H84,Assumptions!$C$22:$D$33,2,FALSE))^(1/12)</f>
        <v>20648.594596303552</v>
      </c>
      <c r="R84" s="97">
        <f>IF(AND(H84=12,D84&lt;15),Assumptions!$C$7*M84,0)</f>
        <v>0</v>
      </c>
      <c r="S84" s="99">
        <f>(M84+N84-O84)*Assumptions!$D$17</f>
        <v>84.01630981083386</v>
      </c>
      <c r="T84" s="99">
        <f t="shared" si="24"/>
        <v>0</v>
      </c>
      <c r="U84" s="101"/>
      <c r="V84" s="101">
        <f>IF(C84&gt;=Assumptions!$H$9*12,0,M84+N84-O84+S84-R84)</f>
        <v>20705.949827893037</v>
      </c>
      <c r="W84" s="103"/>
      <c r="X84" s="97">
        <f>IF(AND(H84=1,D84&lt;15),Assumptions!$D$10*N84+Assumptions!$D$11*(1+Assumptions!$D$16)^(B84-1),0)</f>
        <v>0</v>
      </c>
      <c r="Y84" s="100">
        <f>Assumptions!$C$13*N84</f>
        <v>0</v>
      </c>
      <c r="AA84" s="67">
        <f t="shared" si="29"/>
        <v>66664211.201192431</v>
      </c>
      <c r="AB84" s="67">
        <f>N84*I84</f>
        <v>0</v>
      </c>
      <c r="AC84" s="67"/>
      <c r="AD84" s="90">
        <f>P84*J84</f>
        <v>9575.1077786430433</v>
      </c>
      <c r="AE84" s="90">
        <f>Q84*K84</f>
        <v>169671.12548933731</v>
      </c>
      <c r="AF84" s="67">
        <f>R84*I85</f>
        <v>0</v>
      </c>
      <c r="AG84" s="68">
        <f>S84*I84</f>
        <v>271598.24837293505</v>
      </c>
      <c r="AH84" s="68">
        <f>T84*$I84</f>
        <v>0</v>
      </c>
      <c r="AI84" s="68">
        <f>U84*$I84</f>
        <v>0</v>
      </c>
      <c r="AJ84" s="67">
        <f>V84*I85</f>
        <v>66756065.327243842</v>
      </c>
      <c r="AK84" s="67">
        <f>W84*$I84</f>
        <v>0</v>
      </c>
      <c r="AL84" s="67">
        <f>X84*$I84</f>
        <v>0</v>
      </c>
      <c r="AM84" s="67">
        <f>Y84*$I84</f>
        <v>0</v>
      </c>
      <c r="AN84" s="65">
        <f>NPV(Assumptions!$D$19,AB84:$AB$259)*(1+Assumptions!$D$19)</f>
        <v>47878105.018078797</v>
      </c>
      <c r="AO84" s="68">
        <f t="shared" si="25"/>
        <v>442105.37929869379</v>
      </c>
      <c r="AQ84" s="67">
        <f t="shared" si="30"/>
        <v>67364354.349180415</v>
      </c>
      <c r="AR84" s="95">
        <f>(AQ84+AB84-AC84)*Assumptions!$D$19</f>
        <v>289195.46465010988</v>
      </c>
      <c r="AS84" s="67">
        <f t="shared" si="31"/>
        <v>717740.3642651618</v>
      </c>
      <c r="AT84" s="67">
        <f t="shared" si="26"/>
        <v>67031700.312210314</v>
      </c>
      <c r="AU84" s="67"/>
      <c r="AV84" s="67"/>
      <c r="AW84" s="67"/>
      <c r="AY84" s="67"/>
      <c r="AZ84" s="70">
        <f t="shared" si="20"/>
        <v>0</v>
      </c>
    </row>
    <row r="85" spans="2:52" x14ac:dyDescent="0.2">
      <c r="B85" s="5">
        <f t="shared" si="16"/>
        <v>78</v>
      </c>
      <c r="C85" s="5">
        <f t="shared" si="17"/>
        <v>78</v>
      </c>
      <c r="D85" s="5">
        <f t="shared" si="18"/>
        <v>6</v>
      </c>
      <c r="E85" s="5">
        <f t="shared" si="19"/>
        <v>52</v>
      </c>
      <c r="F85" s="64">
        <f>1-(1-VLOOKUP($E85,'Annual Mortality Rates'!$B$5:$C$105,2,FALSE))^(1/12)</f>
        <v>1.4344645210206952E-4</v>
      </c>
      <c r="G85" s="75">
        <f>IF(C85&gt;=Assumptions!$H$9*12,100%,1-(1-IF(D85&gt;=7,2%,VLOOKUP($D85,'Annual Lapse Rates'!$B$4:$C$14,2,FALSE)))^(1/12))</f>
        <v>2.5350486138366879E-3</v>
      </c>
      <c r="H85" s="81">
        <f t="shared" si="27"/>
        <v>6</v>
      </c>
      <c r="I85" s="65">
        <f t="shared" si="21"/>
        <v>3224.0040124755146</v>
      </c>
      <c r="J85" s="66">
        <f t="shared" si="22"/>
        <v>0.46247193715244883</v>
      </c>
      <c r="K85" s="66">
        <f t="shared" si="23"/>
        <v>8.1950131421922769</v>
      </c>
      <c r="M85" s="97">
        <f t="shared" si="28"/>
        <v>20705.949827893037</v>
      </c>
      <c r="N85" s="97">
        <f>IF(AND(H85=1,D85&lt;15),Assumptions!$H$4,0)</f>
        <v>0</v>
      </c>
      <c r="O85" s="103"/>
      <c r="P85" s="98">
        <f>$M85*(1+VLOOKUP($H85,Assumptions!$C$22:$D$33,2,FALSE))^(1/12)</f>
        <v>20738.028126243335</v>
      </c>
      <c r="Q85" s="98">
        <f>$M85*(1+VLOOKUP($H85,Assumptions!$C$22:$D$33,2,FALSE))^(1/12)</f>
        <v>20738.028126243335</v>
      </c>
      <c r="R85" s="97">
        <f>IF(AND(H85=12,D85&lt;15),Assumptions!$C$7*M85,0)</f>
        <v>0</v>
      </c>
      <c r="S85" s="99">
        <f>(M85+N85-O85)*Assumptions!$D$17</f>
        <v>84.358602656848547</v>
      </c>
      <c r="T85" s="99">
        <f t="shared" si="24"/>
        <v>0</v>
      </c>
      <c r="U85" s="101"/>
      <c r="V85" s="101">
        <f>IF(C85&gt;=Assumptions!$H$9*12,0,M85+N85-O85+S85-R85)</f>
        <v>20790.308430549885</v>
      </c>
      <c r="W85" s="103"/>
      <c r="X85" s="97">
        <f>IF(AND(H85=1,D85&lt;15),Assumptions!$D$10*N85+Assumptions!$D$11*(1+Assumptions!$D$16)^(B85-1),0)</f>
        <v>0</v>
      </c>
      <c r="Y85" s="100">
        <f>Assumptions!$C$13*N85</f>
        <v>0</v>
      </c>
      <c r="AA85" s="67">
        <f t="shared" si="29"/>
        <v>66756065.327243842</v>
      </c>
      <c r="AB85" s="67">
        <f>N85*I85</f>
        <v>0</v>
      </c>
      <c r="AC85" s="67"/>
      <c r="AD85" s="90">
        <f>P85*J85</f>
        <v>9590.7560402657236</v>
      </c>
      <c r="AE85" s="90">
        <f>Q85*K85</f>
        <v>169948.4130377172</v>
      </c>
      <c r="AF85" s="67">
        <f>R85*I86</f>
        <v>0</v>
      </c>
      <c r="AG85" s="68">
        <f>S85*I85</f>
        <v>271972.47345250734</v>
      </c>
      <c r="AH85" s="68">
        <f>T85*$I85</f>
        <v>0</v>
      </c>
      <c r="AI85" s="68">
        <f>U85*$I85</f>
        <v>0</v>
      </c>
      <c r="AJ85" s="67">
        <f>V85*I86</f>
        <v>66848046.015663892</v>
      </c>
      <c r="AK85" s="67">
        <f>W85*$I85</f>
        <v>0</v>
      </c>
      <c r="AL85" s="67">
        <f>X85*$I85</f>
        <v>0</v>
      </c>
      <c r="AM85" s="67">
        <f>Y85*$I85</f>
        <v>0</v>
      </c>
      <c r="AN85" s="65">
        <f>NPV(Assumptions!$D$19,AB85:$AB$259)*(1+Assumptions!$D$19)</f>
        <v>48083645.930049837</v>
      </c>
      <c r="AO85" s="68">
        <f t="shared" si="25"/>
        <v>444003.3396046423</v>
      </c>
      <c r="AQ85" s="67">
        <f t="shared" si="30"/>
        <v>67473805.691509008</v>
      </c>
      <c r="AR85" s="95">
        <f>(AQ85+AB85-AC85)*Assumptions!$D$19</f>
        <v>289665.33973623073</v>
      </c>
      <c r="AS85" s="67">
        <f t="shared" si="31"/>
        <v>735433.23054888519</v>
      </c>
      <c r="AT85" s="67">
        <f t="shared" si="26"/>
        <v>67139475.906608135</v>
      </c>
      <c r="AU85" s="67"/>
      <c r="AV85" s="67"/>
      <c r="AW85" s="67"/>
      <c r="AY85" s="67"/>
      <c r="AZ85" s="70">
        <f t="shared" si="20"/>
        <v>0</v>
      </c>
    </row>
    <row r="86" spans="2:52" x14ac:dyDescent="0.2">
      <c r="B86" s="5">
        <f t="shared" si="16"/>
        <v>79</v>
      </c>
      <c r="C86" s="5">
        <f t="shared" si="17"/>
        <v>79</v>
      </c>
      <c r="D86" s="5">
        <f t="shared" si="18"/>
        <v>6</v>
      </c>
      <c r="E86" s="5">
        <f t="shared" si="19"/>
        <v>52</v>
      </c>
      <c r="F86" s="64">
        <f>1-(1-VLOOKUP($E86,'Annual Mortality Rates'!$B$5:$C$105,2,FALSE))^(1/12)</f>
        <v>1.4344645210206952E-4</v>
      </c>
      <c r="G86" s="75">
        <f>IF(C86&gt;=Assumptions!$H$9*12,100%,1-(1-IF(D86&gt;=7,2%,VLOOKUP($D86,'Annual Lapse Rates'!$B$4:$C$14,2,FALSE)))^(1/12))</f>
        <v>2.5350486138366879E-3</v>
      </c>
      <c r="H86" s="81">
        <f t="shared" si="27"/>
        <v>7</v>
      </c>
      <c r="I86" s="65">
        <f t="shared" si="21"/>
        <v>3215.3465273961701</v>
      </c>
      <c r="J86" s="66">
        <f t="shared" si="22"/>
        <v>0.4612300516336903</v>
      </c>
      <c r="K86" s="66">
        <f t="shared" si="23"/>
        <v>8.1730069028299734</v>
      </c>
      <c r="M86" s="97">
        <f t="shared" si="28"/>
        <v>20790.308430549885</v>
      </c>
      <c r="N86" s="97">
        <f>IF(AND(H86=1,D86&lt;15),Assumptions!$H$4,0)</f>
        <v>0</v>
      </c>
      <c r="O86" s="103"/>
      <c r="P86" s="98">
        <f>$M86*(1+VLOOKUP($H86,Assumptions!$C$22:$D$33,2,FALSE))^(1/12)</f>
        <v>20827.832680505868</v>
      </c>
      <c r="Q86" s="98">
        <f>$M86*(1+VLOOKUP($H86,Assumptions!$C$22:$D$33,2,FALSE))^(1/12)</f>
        <v>20827.832680505868</v>
      </c>
      <c r="R86" s="97">
        <f>IF(AND(H86=12,D86&lt;15),Assumptions!$C$7*M86,0)</f>
        <v>0</v>
      </c>
      <c r="S86" s="99">
        <f>(M86+N86-O86)*Assumptions!$D$17</f>
        <v>84.702290046288155</v>
      </c>
      <c r="T86" s="99">
        <f t="shared" si="24"/>
        <v>0</v>
      </c>
      <c r="U86" s="101"/>
      <c r="V86" s="101">
        <f>IF(C86&gt;=Assumptions!$H$9*12,0,M86+N86-O86+S86-R86)</f>
        <v>20875.010720596172</v>
      </c>
      <c r="W86" s="103"/>
      <c r="X86" s="97">
        <f>IF(AND(H86=1,D86&lt;15),Assumptions!$D$10*N86+Assumptions!$D$11*(1+Assumptions!$D$16)^(B86-1),0)</f>
        <v>0</v>
      </c>
      <c r="Y86" s="100">
        <f>Assumptions!$C$13*N86</f>
        <v>0</v>
      </c>
      <c r="AA86" s="67">
        <f t="shared" si="29"/>
        <v>66848046.015663892</v>
      </c>
      <c r="AB86" s="67">
        <f>N86*I86</f>
        <v>0</v>
      </c>
      <c r="AC86" s="67"/>
      <c r="AD86" s="90">
        <f>P86*J86</f>
        <v>9606.4223426475837</v>
      </c>
      <c r="AE86" s="90">
        <f>Q86*K86</f>
        <v>170226.02026876216</v>
      </c>
      <c r="AF86" s="67">
        <f>R86*I87</f>
        <v>0</v>
      </c>
      <c r="AG86" s="68">
        <f>S86*I86</f>
        <v>272347.21416283579</v>
      </c>
      <c r="AH86" s="68">
        <f>T86*$I86</f>
        <v>0</v>
      </c>
      <c r="AI86" s="68">
        <f>U86*$I86</f>
        <v>0</v>
      </c>
      <c r="AJ86" s="67">
        <f>V86*I87</f>
        <v>66940153.440838128</v>
      </c>
      <c r="AK86" s="67">
        <f>W86*$I86</f>
        <v>0</v>
      </c>
      <c r="AL86" s="67">
        <f>X86*$I86</f>
        <v>0</v>
      </c>
      <c r="AM86" s="67">
        <f>Y86*$I86</f>
        <v>0</v>
      </c>
      <c r="AN86" s="65">
        <f>NPV(Assumptions!$D$19,AB86:$AB$259)*(1+Assumptions!$D$19)</f>
        <v>48290069.230045155</v>
      </c>
      <c r="AO86" s="68">
        <f t="shared" si="25"/>
        <v>445909.44786239526</v>
      </c>
      <c r="AQ86" s="67">
        <f t="shared" si="30"/>
        <v>67583479.24621278</v>
      </c>
      <c r="AR86" s="95">
        <f>(AQ86+AB86-AC86)*Assumptions!$D$19</f>
        <v>290136.16878103954</v>
      </c>
      <c r="AS86" s="67">
        <f t="shared" si="31"/>
        <v>753222.18516708887</v>
      </c>
      <c r="AT86" s="67">
        <f t="shared" si="26"/>
        <v>67247466.178142816</v>
      </c>
      <c r="AU86" s="67"/>
      <c r="AV86" s="67"/>
      <c r="AW86" s="67"/>
      <c r="AY86" s="67"/>
      <c r="AZ86" s="70">
        <f t="shared" si="20"/>
        <v>0</v>
      </c>
    </row>
    <row r="87" spans="2:52" x14ac:dyDescent="0.2">
      <c r="B87" s="5">
        <f t="shared" si="16"/>
        <v>80</v>
      </c>
      <c r="C87" s="5">
        <f t="shared" si="17"/>
        <v>80</v>
      </c>
      <c r="D87" s="5">
        <f t="shared" si="18"/>
        <v>6</v>
      </c>
      <c r="E87" s="5">
        <f t="shared" si="19"/>
        <v>52</v>
      </c>
      <c r="F87" s="64">
        <f>1-(1-VLOOKUP($E87,'Annual Mortality Rates'!$B$5:$C$105,2,FALSE))^(1/12)</f>
        <v>1.4344645210206952E-4</v>
      </c>
      <c r="G87" s="75">
        <f>IF(C87&gt;=Assumptions!$H$9*12,100%,1-(1-IF(D87&gt;=7,2%,VLOOKUP($D87,'Annual Lapse Rates'!$B$4:$C$14,2,FALSE)))^(1/12))</f>
        <v>2.5350486138366879E-3</v>
      </c>
      <c r="H87" s="81">
        <f t="shared" si="27"/>
        <v>8</v>
      </c>
      <c r="I87" s="65">
        <f t="shared" si="21"/>
        <v>3206.7122904417065</v>
      </c>
      <c r="J87" s="66">
        <f t="shared" si="22"/>
        <v>0.45999150097596392</v>
      </c>
      <c r="K87" s="66">
        <f t="shared" si="23"/>
        <v>8.1510597572802688</v>
      </c>
      <c r="M87" s="97">
        <f t="shared" si="28"/>
        <v>20875.010720596172</v>
      </c>
      <c r="N87" s="97">
        <f>IF(AND(H87=1,D87&lt;15),Assumptions!$H$4,0)</f>
        <v>0</v>
      </c>
      <c r="O87" s="103"/>
      <c r="P87" s="98">
        <f>$M87*(1+VLOOKUP($H87,Assumptions!$C$22:$D$33,2,FALSE))^(1/12)</f>
        <v>20918.009824811812</v>
      </c>
      <c r="Q87" s="98">
        <f>$M87*(1+VLOOKUP($H87,Assumptions!$C$22:$D$33,2,FALSE))^(1/12)</f>
        <v>20918.009824811812</v>
      </c>
      <c r="R87" s="97">
        <f>IF(AND(H87=12,D87&lt;15),Assumptions!$C$7*M87,0)</f>
        <v>0</v>
      </c>
      <c r="S87" s="99">
        <f>(M87+N87-O87)*Assumptions!$D$17</f>
        <v>85.047377660695219</v>
      </c>
      <c r="T87" s="99">
        <f t="shared" si="24"/>
        <v>0</v>
      </c>
      <c r="U87" s="101"/>
      <c r="V87" s="101">
        <f>IF(C87&gt;=Assumptions!$H$9*12,0,M87+N87-O87+S87-R87)</f>
        <v>20960.058098256868</v>
      </c>
      <c r="W87" s="103"/>
      <c r="X87" s="97">
        <f>IF(AND(H87=1,D87&lt;15),Assumptions!$D$10*N87+Assumptions!$D$11*(1+Assumptions!$D$16)^(B87-1),0)</f>
        <v>0</v>
      </c>
      <c r="Y87" s="100">
        <f>Assumptions!$C$13*N87</f>
        <v>0</v>
      </c>
      <c r="AA87" s="67">
        <f t="shared" si="29"/>
        <v>66940153.440838128</v>
      </c>
      <c r="AB87" s="67">
        <f>N87*I87</f>
        <v>0</v>
      </c>
      <c r="AC87" s="67"/>
      <c r="AD87" s="90">
        <f>P87*J87</f>
        <v>9622.1067367451451</v>
      </c>
      <c r="AE87" s="90">
        <f>Q87*K87</f>
        <v>170503.94808541684</v>
      </c>
      <c r="AF87" s="67">
        <f>R87*I88</f>
        <v>0</v>
      </c>
      <c r="AG87" s="68">
        <f>S87*I87</f>
        <v>272722.47121438879</v>
      </c>
      <c r="AH87" s="68">
        <f>T87*$I87</f>
        <v>0</v>
      </c>
      <c r="AI87" s="68">
        <f>U87*$I87</f>
        <v>0</v>
      </c>
      <c r="AJ87" s="67">
        <f>V87*I88</f>
        <v>67032387.77739241</v>
      </c>
      <c r="AK87" s="67">
        <f>W87*$I87</f>
        <v>0</v>
      </c>
      <c r="AL87" s="67">
        <f>X87*$I87</f>
        <v>0</v>
      </c>
      <c r="AM87" s="67">
        <f>Y87*$I87</f>
        <v>0</v>
      </c>
      <c r="AN87" s="65">
        <f>NPV(Assumptions!$D$19,AB87:$AB$259)*(1+Assumptions!$D$19)</f>
        <v>48497378.706160381</v>
      </c>
      <c r="AO87" s="68">
        <f t="shared" si="25"/>
        <v>447823.73905114474</v>
      </c>
      <c r="AQ87" s="67">
        <f t="shared" si="30"/>
        <v>67693375.626005217</v>
      </c>
      <c r="AR87" s="95">
        <f>(AQ87+AB87-AC87)*Assumptions!$D$19</f>
        <v>290607.95441491797</v>
      </c>
      <c r="AS87" s="67">
        <f t="shared" si="31"/>
        <v>771107.668367618</v>
      </c>
      <c r="AT87" s="67">
        <f t="shared" si="26"/>
        <v>67355671.706708878</v>
      </c>
      <c r="AU87" s="67"/>
      <c r="AV87" s="67"/>
      <c r="AW87" s="67"/>
      <c r="AY87" s="67"/>
      <c r="AZ87" s="70">
        <f t="shared" si="20"/>
        <v>0</v>
      </c>
    </row>
    <row r="88" spans="2:52" x14ac:dyDescent="0.2">
      <c r="B88" s="5">
        <f t="shared" si="16"/>
        <v>81</v>
      </c>
      <c r="C88" s="5">
        <f t="shared" si="17"/>
        <v>81</v>
      </c>
      <c r="D88" s="5">
        <f t="shared" si="18"/>
        <v>6</v>
      </c>
      <c r="E88" s="5">
        <f t="shared" si="19"/>
        <v>52</v>
      </c>
      <c r="F88" s="64">
        <f>1-(1-VLOOKUP($E88,'Annual Mortality Rates'!$B$5:$C$105,2,FALSE))^(1/12)</f>
        <v>1.4344645210206952E-4</v>
      </c>
      <c r="G88" s="75">
        <f>IF(C88&gt;=Assumptions!$H$9*12,100%,1-(1-IF(D88&gt;=7,2%,VLOOKUP($D88,'Annual Lapse Rates'!$B$4:$C$14,2,FALSE)))^(1/12))</f>
        <v>2.5350486138366879E-3</v>
      </c>
      <c r="H88" s="81">
        <f t="shared" si="27"/>
        <v>9</v>
      </c>
      <c r="I88" s="65">
        <f t="shared" si="21"/>
        <v>3198.1012391834506</v>
      </c>
      <c r="J88" s="66">
        <f t="shared" si="22"/>
        <v>0.45875627622409804</v>
      </c>
      <c r="K88" s="66">
        <f t="shared" si="23"/>
        <v>8.129171546857318</v>
      </c>
      <c r="M88" s="97">
        <f t="shared" si="28"/>
        <v>20960.058098256868</v>
      </c>
      <c r="N88" s="97">
        <f>IF(AND(H88=1,D88&lt;15),Assumptions!$H$4,0)</f>
        <v>0</v>
      </c>
      <c r="O88" s="103"/>
      <c r="P88" s="98">
        <f>$M88*(1+VLOOKUP($H88,Assumptions!$C$22:$D$33,2,FALSE))^(1/12)</f>
        <v>21008.561131165323</v>
      </c>
      <c r="Q88" s="98">
        <f>$M88*(1+VLOOKUP($H88,Assumptions!$C$22:$D$33,2,FALSE))^(1/12)</f>
        <v>21008.561131165323</v>
      </c>
      <c r="R88" s="97">
        <f>IF(AND(H88=12,D88&lt;15),Assumptions!$C$7*M88,0)</f>
        <v>0</v>
      </c>
      <c r="S88" s="99">
        <f>(M88+N88-O88)*Assumptions!$D$17</f>
        <v>85.393871204759577</v>
      </c>
      <c r="T88" s="99">
        <f t="shared" si="24"/>
        <v>0</v>
      </c>
      <c r="U88" s="101"/>
      <c r="V88" s="101">
        <f>IF(C88&gt;=Assumptions!$H$9*12,0,M88+N88-O88+S88-R88)</f>
        <v>21045.451969461628</v>
      </c>
      <c r="W88" s="103"/>
      <c r="X88" s="97">
        <f>IF(AND(H88=1,D88&lt;15),Assumptions!$D$10*N88+Assumptions!$D$11*(1+Assumptions!$D$16)^(B88-1),0)</f>
        <v>0</v>
      </c>
      <c r="Y88" s="100">
        <f>Assumptions!$C$13*N88</f>
        <v>0</v>
      </c>
      <c r="AA88" s="67">
        <f t="shared" si="29"/>
        <v>67032387.77739241</v>
      </c>
      <c r="AB88" s="67">
        <f>N88*I88</f>
        <v>0</v>
      </c>
      <c r="AC88" s="67"/>
      <c r="AD88" s="90">
        <f>P88*J88</f>
        <v>9637.8092733597277</v>
      </c>
      <c r="AE88" s="90">
        <f>Q88*K88</f>
        <v>170782.19738788172</v>
      </c>
      <c r="AF88" s="67">
        <f>R88*I89</f>
        <v>0</v>
      </c>
      <c r="AG88" s="68">
        <f>S88*I88</f>
        <v>273098.2453186136</v>
      </c>
      <c r="AH88" s="68">
        <f>T88*$I88</f>
        <v>0</v>
      </c>
      <c r="AI88" s="68">
        <f>U88*$I88</f>
        <v>0</v>
      </c>
      <c r="AJ88" s="67">
        <f>V88*I89</f>
        <v>67124749.200193167</v>
      </c>
      <c r="AK88" s="67">
        <f>W88*$I88</f>
        <v>0</v>
      </c>
      <c r="AL88" s="67">
        <f>X88*$I88</f>
        <v>0</v>
      </c>
      <c r="AM88" s="67">
        <f>Y88*$I88</f>
        <v>0</v>
      </c>
      <c r="AN88" s="65">
        <f>NPV(Assumptions!$D$19,AB88:$AB$259)*(1+Assumptions!$D$19)</f>
        <v>48705578.162753418</v>
      </c>
      <c r="AO88" s="68">
        <f t="shared" si="25"/>
        <v>449746.24830024928</v>
      </c>
      <c r="AQ88" s="67">
        <f t="shared" si="30"/>
        <v>67803495.445760027</v>
      </c>
      <c r="AR88" s="95">
        <f>(AQ88+AB88-AC88)*Assumptions!$D$19</f>
        <v>291080.69927752146</v>
      </c>
      <c r="AS88" s="67">
        <f t="shared" si="31"/>
        <v>789090.12232652574</v>
      </c>
      <c r="AT88" s="67">
        <f t="shared" si="26"/>
        <v>67464093.074219435</v>
      </c>
      <c r="AU88" s="67"/>
      <c r="AV88" s="67"/>
      <c r="AW88" s="67"/>
      <c r="AY88" s="67"/>
      <c r="AZ88" s="70">
        <f t="shared" si="20"/>
        <v>0</v>
      </c>
    </row>
    <row r="89" spans="2:52" x14ac:dyDescent="0.2">
      <c r="B89" s="5">
        <f t="shared" si="16"/>
        <v>82</v>
      </c>
      <c r="C89" s="5">
        <f t="shared" si="17"/>
        <v>82</v>
      </c>
      <c r="D89" s="5">
        <f t="shared" si="18"/>
        <v>6</v>
      </c>
      <c r="E89" s="5">
        <f t="shared" si="19"/>
        <v>52</v>
      </c>
      <c r="F89" s="64">
        <f>1-(1-VLOOKUP($E89,'Annual Mortality Rates'!$B$5:$C$105,2,FALSE))^(1/12)</f>
        <v>1.4344645210206952E-4</v>
      </c>
      <c r="G89" s="75">
        <f>IF(C89&gt;=Assumptions!$H$9*12,100%,1-(1-IF(D89&gt;=7,2%,VLOOKUP($D89,'Annual Lapse Rates'!$B$4:$C$14,2,FALSE)))^(1/12))</f>
        <v>2.5350486138366879E-3</v>
      </c>
      <c r="H89" s="81">
        <f t="shared" si="27"/>
        <v>10</v>
      </c>
      <c r="I89" s="65">
        <f t="shared" si="21"/>
        <v>3189.5133113603692</v>
      </c>
      <c r="J89" s="66">
        <f t="shared" si="22"/>
        <v>0.45752436844696837</v>
      </c>
      <c r="K89" s="66">
        <f t="shared" si="23"/>
        <v>8.1073421133014012</v>
      </c>
      <c r="M89" s="97">
        <f t="shared" si="28"/>
        <v>21045.451969461628</v>
      </c>
      <c r="N89" s="97">
        <f>IF(AND(H89=1,D89&lt;15),Assumptions!$H$4,0)</f>
        <v>0</v>
      </c>
      <c r="O89" s="103"/>
      <c r="P89" s="98">
        <f>$M89*(1+VLOOKUP($H89,Assumptions!$C$22:$D$33,2,FALSE))^(1/12)</f>
        <v>21099.488177882355</v>
      </c>
      <c r="Q89" s="98">
        <f>$M89*(1+VLOOKUP($H89,Assumptions!$C$22:$D$33,2,FALSE))^(1/12)</f>
        <v>21099.488177882355</v>
      </c>
      <c r="R89" s="97">
        <f>IF(AND(H89=12,D89&lt;15),Assumptions!$C$7*M89,0)</f>
        <v>0</v>
      </c>
      <c r="S89" s="99">
        <f>(M89+N89-O89)*Assumptions!$D$17</f>
        <v>85.741776406412697</v>
      </c>
      <c r="T89" s="99">
        <f t="shared" si="24"/>
        <v>0</v>
      </c>
      <c r="U89" s="101"/>
      <c r="V89" s="101">
        <f>IF(C89&gt;=Assumptions!$H$9*12,0,M89+N89-O89+S89-R89)</f>
        <v>21131.19374586804</v>
      </c>
      <c r="W89" s="103"/>
      <c r="X89" s="97">
        <f>IF(AND(H89=1,D89&lt;15),Assumptions!$D$10*N89+Assumptions!$D$11*(1+Assumptions!$D$16)^(B89-1),0)</f>
        <v>0</v>
      </c>
      <c r="Y89" s="100">
        <f>Assumptions!$C$13*N89</f>
        <v>0</v>
      </c>
      <c r="AA89" s="67">
        <f t="shared" si="29"/>
        <v>67124749.200193167</v>
      </c>
      <c r="AB89" s="67">
        <f>N89*I89</f>
        <v>0</v>
      </c>
      <c r="AC89" s="67"/>
      <c r="AD89" s="90">
        <f>P89*J89</f>
        <v>9653.5300031399001</v>
      </c>
      <c r="AE89" s="90">
        <f>Q89*K89</f>
        <v>171060.76907365065</v>
      </c>
      <c r="AF89" s="67">
        <f>R89*I90</f>
        <v>0</v>
      </c>
      <c r="AG89" s="68">
        <f>S89*I89</f>
        <v>273474.53718793776</v>
      </c>
      <c r="AH89" s="68">
        <f>T89*$I89</f>
        <v>0</v>
      </c>
      <c r="AI89" s="68">
        <f>U89*$I89</f>
        <v>0</v>
      </c>
      <c r="AJ89" s="67">
        <f>V89*I90</f>
        <v>67217237.884347782</v>
      </c>
      <c r="AK89" s="67">
        <f>W89*$I89</f>
        <v>0</v>
      </c>
      <c r="AL89" s="67">
        <f>X89*$I89</f>
        <v>0</v>
      </c>
      <c r="AM89" s="67">
        <f>Y89*$I89</f>
        <v>0</v>
      </c>
      <c r="AN89" s="65">
        <f>NPV(Assumptions!$D$19,AB89:$AB$259)*(1+Assumptions!$D$19)</f>
        <v>48914671.42051433</v>
      </c>
      <c r="AO89" s="68">
        <f t="shared" si="25"/>
        <v>451677.01088987704</v>
      </c>
      <c r="AQ89" s="67">
        <f t="shared" si="30"/>
        <v>67913839.32251969</v>
      </c>
      <c r="AR89" s="95">
        <f>(AQ89+AB89-AC89)*Assumptions!$D$19</f>
        <v>291554.40601781616</v>
      </c>
      <c r="AS89" s="67">
        <f t="shared" si="31"/>
        <v>807169.99115640426</v>
      </c>
      <c r="AT89" s="67">
        <f t="shared" si="26"/>
        <v>67572730.864614308</v>
      </c>
      <c r="AU89" s="67"/>
      <c r="AV89" s="67"/>
      <c r="AW89" s="67"/>
      <c r="AY89" s="67"/>
      <c r="AZ89" s="70">
        <f t="shared" si="20"/>
        <v>0</v>
      </c>
    </row>
    <row r="90" spans="2:52" x14ac:dyDescent="0.2">
      <c r="B90" s="5">
        <f t="shared" si="16"/>
        <v>83</v>
      </c>
      <c r="C90" s="5">
        <f t="shared" si="17"/>
        <v>83</v>
      </c>
      <c r="D90" s="5">
        <f t="shared" si="18"/>
        <v>6</v>
      </c>
      <c r="E90" s="5">
        <f t="shared" si="19"/>
        <v>52</v>
      </c>
      <c r="F90" s="64">
        <f>1-(1-VLOOKUP($E90,'Annual Mortality Rates'!$B$5:$C$105,2,FALSE))^(1/12)</f>
        <v>1.4344645210206952E-4</v>
      </c>
      <c r="G90" s="75">
        <f>IF(C90&gt;=Assumptions!$H$9*12,100%,1-(1-IF(D90&gt;=7,2%,VLOOKUP($D90,'Annual Lapse Rates'!$B$4:$C$14,2,FALSE)))^(1/12))</f>
        <v>2.5350486138366879E-3</v>
      </c>
      <c r="H90" s="81">
        <f t="shared" si="27"/>
        <v>11</v>
      </c>
      <c r="I90" s="65">
        <f t="shared" si="21"/>
        <v>3180.9484448786206</v>
      </c>
      <c r="J90" s="66">
        <f t="shared" si="22"/>
        <v>0.4562957687374336</v>
      </c>
      <c r="K90" s="66">
        <f t="shared" si="23"/>
        <v>8.0855712987777686</v>
      </c>
      <c r="M90" s="97">
        <f t="shared" si="28"/>
        <v>21131.19374586804</v>
      </c>
      <c r="N90" s="97">
        <f>IF(AND(H90=1,D90&lt;15),Assumptions!$H$4,0)</f>
        <v>0</v>
      </c>
      <c r="O90" s="103"/>
      <c r="P90" s="98">
        <f>$M90*(1+VLOOKUP($H90,Assumptions!$C$22:$D$33,2,FALSE))^(1/12)</f>
        <v>21190.792549619149</v>
      </c>
      <c r="Q90" s="98">
        <f>$M90*(1+VLOOKUP($H90,Assumptions!$C$22:$D$33,2,FALSE))^(1/12)</f>
        <v>21190.792549619149</v>
      </c>
      <c r="R90" s="97">
        <f>IF(AND(H90=12,D90&lt;15),Assumptions!$C$7*M90,0)</f>
        <v>0</v>
      </c>
      <c r="S90" s="99">
        <f>(M90+N90-O90)*Assumptions!$D$17</f>
        <v>86.091099016922328</v>
      </c>
      <c r="T90" s="99">
        <f t="shared" si="24"/>
        <v>0</v>
      </c>
      <c r="U90" s="101"/>
      <c r="V90" s="101">
        <f>IF(C90&gt;=Assumptions!$H$9*12,0,M90+N90-O90+S90-R90)</f>
        <v>21217.284844884962</v>
      </c>
      <c r="W90" s="103"/>
      <c r="X90" s="97">
        <f>IF(AND(H90=1,D90&lt;15),Assumptions!$D$10*N90+Assumptions!$D$11*(1+Assumptions!$D$16)^(B90-1),0)</f>
        <v>0</v>
      </c>
      <c r="Y90" s="100">
        <f>Assumptions!$C$13*N90</f>
        <v>0</v>
      </c>
      <c r="AA90" s="67">
        <f t="shared" si="29"/>
        <v>67217237.884347782</v>
      </c>
      <c r="AB90" s="67">
        <f>N90*I90</f>
        <v>0</v>
      </c>
      <c r="AC90" s="67"/>
      <c r="AD90" s="90">
        <f>P90*J90</f>
        <v>9669.2689765839496</v>
      </c>
      <c r="AE90" s="90">
        <f>Q90*K90</f>
        <v>171339.66403755438</v>
      </c>
      <c r="AF90" s="67">
        <f>R90*I91</f>
        <v>0</v>
      </c>
      <c r="AG90" s="68">
        <f>S90*I90</f>
        <v>273851.34753577044</v>
      </c>
      <c r="AH90" s="68">
        <f>T90*$I90</f>
        <v>0</v>
      </c>
      <c r="AI90" s="68">
        <f>U90*$I90</f>
        <v>0</v>
      </c>
      <c r="AJ90" s="67">
        <f>V90*I91</f>
        <v>67309854.005204931</v>
      </c>
      <c r="AK90" s="67">
        <f>W90*$I90</f>
        <v>0</v>
      </c>
      <c r="AL90" s="67">
        <f>X90*$I90</f>
        <v>0</v>
      </c>
      <c r="AM90" s="67">
        <f>Y90*$I90</f>
        <v>0</v>
      </c>
      <c r="AN90" s="65">
        <f>NPV(Assumptions!$D$19,AB90:$AB$259)*(1+Assumptions!$D$19)</f>
        <v>49124662.316535354</v>
      </c>
      <c r="AO90" s="68">
        <f t="shared" si="25"/>
        <v>453616.06225165504</v>
      </c>
      <c r="AQ90" s="67">
        <f t="shared" si="30"/>
        <v>68024407.875504181</v>
      </c>
      <c r="AR90" s="95">
        <f>(AQ90+AB90-AC90)*Assumptions!$D$19</f>
        <v>292029.07729411597</v>
      </c>
      <c r="AS90" s="67">
        <f t="shared" si="31"/>
        <v>825347.72091474989</v>
      </c>
      <c r="AT90" s="67">
        <f t="shared" si="26"/>
        <v>67681585.663868025</v>
      </c>
      <c r="AU90" s="67"/>
      <c r="AV90" s="67"/>
      <c r="AW90" s="67"/>
      <c r="AY90" s="67"/>
      <c r="AZ90" s="70">
        <f t="shared" si="20"/>
        <v>0</v>
      </c>
    </row>
    <row r="91" spans="2:52" x14ac:dyDescent="0.2">
      <c r="B91" s="5">
        <f t="shared" si="16"/>
        <v>84</v>
      </c>
      <c r="C91" s="5">
        <f t="shared" si="17"/>
        <v>84</v>
      </c>
      <c r="D91" s="5">
        <f t="shared" si="18"/>
        <v>6</v>
      </c>
      <c r="E91" s="5">
        <f t="shared" si="19"/>
        <v>52</v>
      </c>
      <c r="F91" s="64">
        <f>1-(1-VLOOKUP($E91,'Annual Mortality Rates'!$B$5:$C$105,2,FALSE))^(1/12)</f>
        <v>1.4344645210206952E-4</v>
      </c>
      <c r="G91" s="75">
        <f>IF(C91&gt;=Assumptions!$H$9*12,100%,1-(1-IF(D91&gt;=7,2%,VLOOKUP($D91,'Annual Lapse Rates'!$B$4:$C$14,2,FALSE)))^(1/12))</f>
        <v>2.5350486138366879E-3</v>
      </c>
      <c r="H91" s="81">
        <f t="shared" si="27"/>
        <v>12</v>
      </c>
      <c r="I91" s="65">
        <f t="shared" si="21"/>
        <v>3172.4065778111053</v>
      </c>
      <c r="J91" s="66">
        <f t="shared" si="22"/>
        <v>0.45507046821227098</v>
      </c>
      <c r="K91" s="66">
        <f t="shared" si="23"/>
        <v>8.0638589458755146</v>
      </c>
      <c r="M91" s="97">
        <f t="shared" si="28"/>
        <v>21217.284844884962</v>
      </c>
      <c r="N91" s="97">
        <f>IF(AND(H91=1,D91&lt;15),Assumptions!$H$4,0)</f>
        <v>0</v>
      </c>
      <c r="O91" s="103"/>
      <c r="P91" s="98">
        <f>$M91*(1+VLOOKUP($H91,Assumptions!$C$22:$D$33,2,FALSE))^(1/12)</f>
        <v>21282.475837400722</v>
      </c>
      <c r="Q91" s="98">
        <f>$M91*(1+VLOOKUP($H91,Assumptions!$C$22:$D$33,2,FALSE))^(1/12)</f>
        <v>21282.475837400722</v>
      </c>
      <c r="R91" s="97">
        <f>IF(AND(H91=12,D91&lt;15),Assumptions!$C$7*M91,0)</f>
        <v>10.608642422442481</v>
      </c>
      <c r="S91" s="99">
        <f>(M91+N91-O91)*Assumptions!$D$17</f>
        <v>86.44184481098759</v>
      </c>
      <c r="T91" s="99">
        <f t="shared" si="24"/>
        <v>0</v>
      </c>
      <c r="U91" s="101"/>
      <c r="V91" s="101">
        <f>IF(C91&gt;=Assumptions!$H$9*12,0,M91+N91-O91+S91-R91)</f>
        <v>21293.118047273507</v>
      </c>
      <c r="W91" s="103"/>
      <c r="X91" s="97">
        <f>IF(AND(H91=1,D91&lt;15),Assumptions!$D$10*N91+Assumptions!$D$11*(1+Assumptions!$D$16)^(B91-1),0)</f>
        <v>0</v>
      </c>
      <c r="Y91" s="100">
        <f>Assumptions!$C$13*N91</f>
        <v>0</v>
      </c>
      <c r="AA91" s="67">
        <f t="shared" si="29"/>
        <v>67309854.005204931</v>
      </c>
      <c r="AB91" s="67">
        <f>N91*I91</f>
        <v>0</v>
      </c>
      <c r="AC91" s="67"/>
      <c r="AD91" s="90">
        <f>P91*J91</f>
        <v>9685.0262440422903</v>
      </c>
      <c r="AE91" s="90">
        <f>Q91*K91</f>
        <v>171618.88317180329</v>
      </c>
      <c r="AF91" s="67">
        <f>R91*I92</f>
        <v>33564.552726626382</v>
      </c>
      <c r="AG91" s="68">
        <f>S91*I91</f>
        <v>274228.67707650381</v>
      </c>
      <c r="AH91" s="68">
        <f>T91*$I91</f>
        <v>0</v>
      </c>
      <c r="AI91" s="68">
        <f>U91*$I91</f>
        <v>0</v>
      </c>
      <c r="AJ91" s="67">
        <f>V91*I92</f>
        <v>67369033.185628265</v>
      </c>
      <c r="AK91" s="67">
        <f>W91*$I91</f>
        <v>0</v>
      </c>
      <c r="AL91" s="67">
        <f>X91*$I91</f>
        <v>0</v>
      </c>
      <c r="AM91" s="67">
        <f>Y91*$I91</f>
        <v>0</v>
      </c>
      <c r="AN91" s="65">
        <f>NPV(Assumptions!$D$19,AB91:$AB$259)*(1+Assumptions!$D$19)</f>
        <v>49335554.704381466</v>
      </c>
      <c r="AO91" s="68">
        <f t="shared" si="25"/>
        <v>455563.43796931772</v>
      </c>
      <c r="AQ91" s="67">
        <f t="shared" si="30"/>
        <v>68135201.726119682</v>
      </c>
      <c r="AR91" s="95">
        <f>(AQ91+AB91-AC91)*Assumptions!$D$19</f>
        <v>292504.71577412041</v>
      </c>
      <c r="AS91" s="67">
        <f t="shared" si="31"/>
        <v>843623.75961236632</v>
      </c>
      <c r="AT91" s="67">
        <f t="shared" si="26"/>
        <v>67757093.50727132</v>
      </c>
      <c r="AU91" s="67"/>
      <c r="AV91" s="67"/>
      <c r="AW91" s="67"/>
      <c r="AY91" s="67"/>
      <c r="AZ91" s="70">
        <f t="shared" si="20"/>
        <v>0</v>
      </c>
    </row>
    <row r="92" spans="2:52" x14ac:dyDescent="0.2">
      <c r="B92" s="5">
        <f t="shared" si="16"/>
        <v>85</v>
      </c>
      <c r="C92" s="5">
        <f t="shared" si="17"/>
        <v>85</v>
      </c>
      <c r="D92" s="5">
        <f t="shared" si="18"/>
        <v>7</v>
      </c>
      <c r="E92" s="5">
        <f t="shared" si="19"/>
        <v>53</v>
      </c>
      <c r="F92" s="64">
        <f>1-(1-VLOOKUP($E92,'Annual Mortality Rates'!$B$5:$C$105,2,FALSE))^(1/12)</f>
        <v>1.5763659934686647E-4</v>
      </c>
      <c r="G92" s="75">
        <f>IF(C92&gt;=Assumptions!$H$9*12,100%,1-(1-IF(D92&gt;=7,2%,VLOOKUP($D92,'Annual Lapse Rates'!$B$4:$C$14,2,FALSE)))^(1/12))</f>
        <v>1.6821425527395739E-3</v>
      </c>
      <c r="H92" s="81">
        <f t="shared" si="27"/>
        <v>1</v>
      </c>
      <c r="I92" s="65">
        <f t="shared" si="21"/>
        <v>3163.8876483970175</v>
      </c>
      <c r="J92" s="66">
        <f t="shared" si="22"/>
        <v>0.4987444896088602</v>
      </c>
      <c r="K92" s="66">
        <f t="shared" si="23"/>
        <v>5.336440099126988</v>
      </c>
      <c r="M92" s="97">
        <f t="shared" si="28"/>
        <v>21293.118047273507</v>
      </c>
      <c r="N92" s="97">
        <f>IF(AND(H92=1,D92&lt;15),Assumptions!$H$4,0)</f>
        <v>2500</v>
      </c>
      <c r="O92" s="103"/>
      <c r="P92" s="98">
        <f>$M92*(1+VLOOKUP($H92,Assumptions!$C$22:$D$33,2,FALSE))^(1/12)</f>
        <v>21298.655203743128</v>
      </c>
      <c r="Q92" s="98">
        <f>$M92*(1+VLOOKUP($H92,Assumptions!$C$22:$D$33,2,FALSE))^(1/12)</f>
        <v>21298.655203743128</v>
      </c>
      <c r="R92" s="97">
        <f>IF(AND(H92=12,D92&lt;15),Assumptions!$C$7*M92,0)</f>
        <v>0</v>
      </c>
      <c r="S92" s="99">
        <f>(M92+N92-O92)*Assumptions!$D$17</f>
        <v>96.936108123549857</v>
      </c>
      <c r="T92" s="99">
        <f t="shared" si="24"/>
        <v>0</v>
      </c>
      <c r="U92" s="101"/>
      <c r="V92" s="101">
        <f>IF(C92&gt;=Assumptions!$H$9*12,0,M92+N92-O92+S92-R92)</f>
        <v>23890.054155397058</v>
      </c>
      <c r="W92" s="103"/>
      <c r="X92" s="97">
        <f>IF(AND(H92=1,D92&lt;15),Assumptions!$D$10*N92+Assumptions!$D$11*(1+Assumptions!$D$16)^(B92-1),0)</f>
        <v>19.96645683972034</v>
      </c>
      <c r="Y92" s="100">
        <f>Assumptions!$C$13*N92</f>
        <v>12.5</v>
      </c>
      <c r="AA92" s="67">
        <f t="shared" si="29"/>
        <v>67369033.185628265</v>
      </c>
      <c r="AB92" s="67">
        <f>N92*I92</f>
        <v>7909719.1209925441</v>
      </c>
      <c r="AC92" s="67"/>
      <c r="AD92" s="90">
        <f>P92*J92</f>
        <v>10622.586918945961</v>
      </c>
      <c r="AE92" s="90">
        <f>Q92*K92</f>
        <v>113658.99768673452</v>
      </c>
      <c r="AF92" s="67">
        <f>R92*I93</f>
        <v>0</v>
      </c>
      <c r="AG92" s="68">
        <f>S92*I92</f>
        <v>306694.9551757772</v>
      </c>
      <c r="AH92" s="68">
        <f>T92*$I92</f>
        <v>0</v>
      </c>
      <c r="AI92" s="68">
        <f>U92*$I92</f>
        <v>0</v>
      </c>
      <c r="AJ92" s="67">
        <f>V92*I93</f>
        <v>75446044.38596496</v>
      </c>
      <c r="AK92" s="67">
        <f>W92*$I92</f>
        <v>0</v>
      </c>
      <c r="AL92" s="67">
        <f>X92*$I92</f>
        <v>63171.626177443337</v>
      </c>
      <c r="AM92" s="67">
        <f>Y92*$I92</f>
        <v>39548.59560496272</v>
      </c>
      <c r="AN92" s="65">
        <f>NPV(Assumptions!$D$19,AB92:$AB$259)*(1+Assumptions!$D$19)</f>
        <v>49547352.454160951</v>
      </c>
      <c r="AO92" s="68">
        <f t="shared" si="25"/>
        <v>384480.99963249173</v>
      </c>
      <c r="AQ92" s="67">
        <f t="shared" si="30"/>
        <v>68212656.945240632</v>
      </c>
      <c r="AR92" s="95">
        <f>(AQ92+AB92-AC92)*Assumptions!$D$19</f>
        <v>326793.68977003405</v>
      </c>
      <c r="AS92" s="67">
        <f t="shared" si="31"/>
        <v>863722.49420662317</v>
      </c>
      <c r="AT92" s="67">
        <f t="shared" si="26"/>
        <v>75925285.880539089</v>
      </c>
      <c r="AU92" s="67"/>
      <c r="AV92" s="67"/>
      <c r="AW92" s="67"/>
      <c r="AY92" s="67"/>
      <c r="AZ92" s="70">
        <f t="shared" si="20"/>
        <v>0</v>
      </c>
    </row>
    <row r="93" spans="2:52" x14ac:dyDescent="0.2">
      <c r="B93" s="5">
        <f t="shared" si="16"/>
        <v>86</v>
      </c>
      <c r="C93" s="5">
        <f t="shared" si="17"/>
        <v>86</v>
      </c>
      <c r="D93" s="5">
        <f t="shared" si="18"/>
        <v>7</v>
      </c>
      <c r="E93" s="5">
        <f t="shared" si="19"/>
        <v>53</v>
      </c>
      <c r="F93" s="64">
        <f>1-(1-VLOOKUP($E93,'Annual Mortality Rates'!$B$5:$C$105,2,FALSE))^(1/12)</f>
        <v>1.5763659934686647E-4</v>
      </c>
      <c r="G93" s="75">
        <f>IF(C93&gt;=Assumptions!$H$9*12,100%,1-(1-IF(D93&gt;=7,2%,VLOOKUP($D93,'Annual Lapse Rates'!$B$4:$C$14,2,FALSE)))^(1/12))</f>
        <v>1.6821425527395739E-3</v>
      </c>
      <c r="H93" s="81">
        <f t="shared" si="27"/>
        <v>2</v>
      </c>
      <c r="I93" s="65">
        <f t="shared" si="21"/>
        <v>3158.052463808282</v>
      </c>
      <c r="J93" s="66">
        <f t="shared" si="22"/>
        <v>0.49782465095373069</v>
      </c>
      <c r="K93" s="66">
        <f t="shared" si="23"/>
        <v>5.3221100454557666</v>
      </c>
      <c r="M93" s="97">
        <f t="shared" si="28"/>
        <v>23890.054155397058</v>
      </c>
      <c r="N93" s="97">
        <f>IF(AND(H93=1,D93&lt;15),Assumptions!$H$4,0)</f>
        <v>0</v>
      </c>
      <c r="O93" s="103"/>
      <c r="P93" s="98">
        <f>$M93*(1+VLOOKUP($H93,Assumptions!$C$22:$D$33,2,FALSE))^(1/12)</f>
        <v>23902.461390360659</v>
      </c>
      <c r="Q93" s="98">
        <f>$M93*(1+VLOOKUP($H93,Assumptions!$C$22:$D$33,2,FALSE))^(1/12)</f>
        <v>23902.461390360659</v>
      </c>
      <c r="R93" s="97">
        <f>IF(AND(H93=12,D93&lt;15),Assumptions!$C$7*M93,0)</f>
        <v>0</v>
      </c>
      <c r="S93" s="99">
        <f>(M93+N93-O93)*Assumptions!$D$17</f>
        <v>97.331037827150325</v>
      </c>
      <c r="T93" s="99">
        <f t="shared" si="24"/>
        <v>0</v>
      </c>
      <c r="U93" s="101"/>
      <c r="V93" s="101">
        <f>IF(C93&gt;=Assumptions!$H$9*12,0,M93+N93-O93+S93-R93)</f>
        <v>23987.385193224207</v>
      </c>
      <c r="W93" s="103"/>
      <c r="X93" s="97">
        <f>IF(AND(H93=1,D93&lt;15),Assumptions!$D$10*N93+Assumptions!$D$11*(1+Assumptions!$D$16)^(B93-1),0)</f>
        <v>0</v>
      </c>
      <c r="Y93" s="100">
        <f>Assumptions!$C$13*N93</f>
        <v>0</v>
      </c>
      <c r="AA93" s="67">
        <f t="shared" si="29"/>
        <v>75446044.38596496</v>
      </c>
      <c r="AB93" s="67">
        <f>N93*I93</f>
        <v>0</v>
      </c>
      <c r="AC93" s="67"/>
      <c r="AD93" s="90">
        <f>P93*J93</f>
        <v>11899.234498591319</v>
      </c>
      <c r="AE93" s="90">
        <f>Q93*K93</f>
        <v>127211.52987675708</v>
      </c>
      <c r="AF93" s="67">
        <f>R93*I94</f>
        <v>0</v>
      </c>
      <c r="AG93" s="68">
        <f>S93*I93</f>
        <v>307376.52381504921</v>
      </c>
      <c r="AH93" s="68">
        <f>T93*$I93</f>
        <v>0</v>
      </c>
      <c r="AI93" s="68">
        <f>U93*$I93</f>
        <v>0</v>
      </c>
      <c r="AJ93" s="67">
        <f>V93*I94</f>
        <v>75613815.894417822</v>
      </c>
      <c r="AK93" s="67">
        <f>W93*$I93</f>
        <v>0</v>
      </c>
      <c r="AL93" s="67">
        <f>X93*$I93</f>
        <v>0</v>
      </c>
      <c r="AM93" s="67">
        <f>Y93*$I93</f>
        <v>0</v>
      </c>
      <c r="AN93" s="65">
        <f>NPV(Assumptions!$D$19,AB93:$AB$259)*(1+Assumptions!$D$19)</f>
        <v>41816383.873198837</v>
      </c>
      <c r="AO93" s="68">
        <f t="shared" si="25"/>
        <v>386131.57822724088</v>
      </c>
      <c r="AQ93" s="67">
        <f t="shared" si="30"/>
        <v>76309766.880171582</v>
      </c>
      <c r="AR93" s="95">
        <f>(AQ93+AB93-AC93)*Assumptions!$D$19</f>
        <v>327598.15934495453</v>
      </c>
      <c r="AS93" s="67">
        <f t="shared" si="31"/>
        <v>883944.12973652838</v>
      </c>
      <c r="AT93" s="67">
        <f t="shared" si="26"/>
        <v>76111628.445927113</v>
      </c>
      <c r="AU93" s="67"/>
      <c r="AV93" s="67"/>
      <c r="AW93" s="67"/>
      <c r="AY93" s="67"/>
      <c r="AZ93" s="70">
        <f t="shared" si="20"/>
        <v>0</v>
      </c>
    </row>
    <row r="94" spans="2:52" x14ac:dyDescent="0.2">
      <c r="B94" s="5">
        <f t="shared" si="16"/>
        <v>87</v>
      </c>
      <c r="C94" s="5">
        <f t="shared" si="17"/>
        <v>87</v>
      </c>
      <c r="D94" s="5">
        <f t="shared" si="18"/>
        <v>7</v>
      </c>
      <c r="E94" s="5">
        <f t="shared" si="19"/>
        <v>53</v>
      </c>
      <c r="F94" s="64">
        <f>1-(1-VLOOKUP($E94,'Annual Mortality Rates'!$B$5:$C$105,2,FALSE))^(1/12)</f>
        <v>1.5763659934686647E-4</v>
      </c>
      <c r="G94" s="75">
        <f>IF(C94&gt;=Assumptions!$H$9*12,100%,1-(1-IF(D94&gt;=7,2%,VLOOKUP($D94,'Annual Lapse Rates'!$B$4:$C$14,2,FALSE)))^(1/12))</f>
        <v>1.6821425527395739E-3</v>
      </c>
      <c r="H94" s="81">
        <f t="shared" si="27"/>
        <v>3</v>
      </c>
      <c r="I94" s="65">
        <f t="shared" si="21"/>
        <v>3152.2325291118727</v>
      </c>
      <c r="J94" s="66">
        <f t="shared" si="22"/>
        <v>0.49690721623976786</v>
      </c>
      <c r="K94" s="66">
        <f t="shared" si="23"/>
        <v>5.3122944331559641</v>
      </c>
      <c r="M94" s="97">
        <f t="shared" si="28"/>
        <v>23987.385193224207</v>
      </c>
      <c r="N94" s="97">
        <f>IF(AND(H94=1,D94&lt;15),Assumptions!$H$4,0)</f>
        <v>0</v>
      </c>
      <c r="O94" s="103"/>
      <c r="P94" s="98">
        <f>$M94*(1+VLOOKUP($H94,Assumptions!$C$22:$D$33,2,FALSE))^(1/12)</f>
        <v>24006.045292879811</v>
      </c>
      <c r="Q94" s="98">
        <f>$M94*(1+VLOOKUP($H94,Assumptions!$C$22:$D$33,2,FALSE))^(1/12)</f>
        <v>24006.045292879811</v>
      </c>
      <c r="R94" s="97">
        <f>IF(AND(H94=12,D94&lt;15),Assumptions!$C$7*M94,0)</f>
        <v>0</v>
      </c>
      <c r="S94" s="99">
        <f>(M94+N94-O94)*Assumptions!$D$17</f>
        <v>97.727576523249098</v>
      </c>
      <c r="T94" s="99">
        <f t="shared" si="24"/>
        <v>0</v>
      </c>
      <c r="U94" s="101"/>
      <c r="V94" s="101">
        <f>IF(C94&gt;=Assumptions!$H$9*12,0,M94+N94-O94+S94-R94)</f>
        <v>24085.112769747455</v>
      </c>
      <c r="W94" s="103"/>
      <c r="X94" s="97">
        <f>IF(AND(H94=1,D94&lt;15),Assumptions!$D$10*N94+Assumptions!$D$11*(1+Assumptions!$D$16)^(B94-1),0)</f>
        <v>0</v>
      </c>
      <c r="Y94" s="100">
        <f>Assumptions!$C$13*N94</f>
        <v>0</v>
      </c>
      <c r="AA94" s="67">
        <f t="shared" si="29"/>
        <v>75613815.894417822</v>
      </c>
      <c r="AB94" s="67">
        <f>N94*I94</f>
        <v>0</v>
      </c>
      <c r="AC94" s="67"/>
      <c r="AD94" s="90">
        <f>P94*J94</f>
        <v>11928.777139410689</v>
      </c>
      <c r="AE94" s="90">
        <f>Q94*K94</f>
        <v>127527.18077145536</v>
      </c>
      <c r="AF94" s="67">
        <f>R94*I95</f>
        <v>0</v>
      </c>
      <c r="AG94" s="68">
        <f>S94*I94</f>
        <v>308060.04570785561</v>
      </c>
      <c r="AH94" s="68">
        <f>T94*$I94</f>
        <v>0</v>
      </c>
      <c r="AI94" s="68">
        <f>U94*$I94</f>
        <v>0</v>
      </c>
      <c r="AJ94" s="67">
        <f>V94*I95</f>
        <v>75781960.663297787</v>
      </c>
      <c r="AK94" s="67">
        <f>W94*$I94</f>
        <v>0</v>
      </c>
      <c r="AL94" s="67">
        <f>X94*$I94</f>
        <v>0</v>
      </c>
      <c r="AM94" s="67">
        <f>Y94*$I94</f>
        <v>0</v>
      </c>
      <c r="AN94" s="65">
        <f>NPV(Assumptions!$D$19,AB94:$AB$259)*(1+Assumptions!$D$19)</f>
        <v>41995901.790070906</v>
      </c>
      <c r="AO94" s="68">
        <f t="shared" si="25"/>
        <v>387789.24276303803</v>
      </c>
      <c r="AQ94" s="67">
        <f t="shared" si="30"/>
        <v>76497760.02415435</v>
      </c>
      <c r="AR94" s="95">
        <f>(AQ94+AB94-AC94)*Assumptions!$D$19</f>
        <v>328405.21472536126</v>
      </c>
      <c r="AS94" s="67">
        <f t="shared" si="31"/>
        <v>904289.2987540341</v>
      </c>
      <c r="AT94" s="67">
        <f t="shared" si="26"/>
        <v>76298460.719288781</v>
      </c>
      <c r="AU94" s="67"/>
      <c r="AV94" s="67"/>
      <c r="AW94" s="67"/>
      <c r="AY94" s="67"/>
      <c r="AZ94" s="70">
        <f t="shared" si="20"/>
        <v>0</v>
      </c>
    </row>
    <row r="95" spans="2:52" x14ac:dyDescent="0.2">
      <c r="B95" s="5">
        <f t="shared" si="16"/>
        <v>88</v>
      </c>
      <c r="C95" s="5">
        <f t="shared" si="17"/>
        <v>88</v>
      </c>
      <c r="D95" s="5">
        <f t="shared" si="18"/>
        <v>7</v>
      </c>
      <c r="E95" s="5">
        <f t="shared" si="19"/>
        <v>53</v>
      </c>
      <c r="F95" s="64">
        <f>1-(1-VLOOKUP($E95,'Annual Mortality Rates'!$B$5:$C$105,2,FALSE))^(1/12)</f>
        <v>1.5763659934686647E-4</v>
      </c>
      <c r="G95" s="75">
        <f>IF(C95&gt;=Assumptions!$H$9*12,100%,1-(1-IF(D95&gt;=7,2%,VLOOKUP($D95,'Annual Lapse Rates'!$B$4:$C$14,2,FALSE)))^(1/12))</f>
        <v>1.6821425527395739E-3</v>
      </c>
      <c r="H95" s="81">
        <f t="shared" si="27"/>
        <v>4</v>
      </c>
      <c r="I95" s="65">
        <f t="shared" si="21"/>
        <v>3146.4233274624771</v>
      </c>
      <c r="J95" s="66">
        <f t="shared" si="22"/>
        <v>0.49599147344683692</v>
      </c>
      <c r="K95" s="66">
        <f t="shared" si="23"/>
        <v>5.3025044733489688</v>
      </c>
      <c r="M95" s="97">
        <f t="shared" si="28"/>
        <v>24085.112769747455</v>
      </c>
      <c r="N95" s="97">
        <f>IF(AND(H95=1,D95&lt;15),Assumptions!$H$4,0)</f>
        <v>0</v>
      </c>
      <c r="O95" s="103"/>
      <c r="P95" s="98">
        <f>$M95*(1+VLOOKUP($H95,Assumptions!$C$22:$D$33,2,FALSE))^(1/12)</f>
        <v>24110.058829312282</v>
      </c>
      <c r="Q95" s="98">
        <f>$M95*(1+VLOOKUP($H95,Assumptions!$C$22:$D$33,2,FALSE))^(1/12)</f>
        <v>24110.058829312282</v>
      </c>
      <c r="R95" s="97">
        <f>IF(AND(H95=12,D95&lt;15),Assumptions!$C$7*M95,0)</f>
        <v>0</v>
      </c>
      <c r="S95" s="99">
        <f>(M95+N95-O95)*Assumptions!$D$17</f>
        <v>98.125730767080782</v>
      </c>
      <c r="T95" s="99">
        <f t="shared" si="24"/>
        <v>0</v>
      </c>
      <c r="U95" s="101"/>
      <c r="V95" s="101">
        <f>IF(C95&gt;=Assumptions!$H$9*12,0,M95+N95-O95+S95-R95)</f>
        <v>24183.238500514537</v>
      </c>
      <c r="W95" s="103"/>
      <c r="X95" s="97">
        <f>IF(AND(H95=1,D95&lt;15),Assumptions!$D$10*N95+Assumptions!$D$11*(1+Assumptions!$D$16)^(B95-1),0)</f>
        <v>0</v>
      </c>
      <c r="Y95" s="100">
        <f>Assumptions!$C$13*N95</f>
        <v>0</v>
      </c>
      <c r="AA95" s="67">
        <f t="shared" si="29"/>
        <v>75781960.663297787</v>
      </c>
      <c r="AB95" s="67">
        <f>N95*I95</f>
        <v>0</v>
      </c>
      <c r="AC95" s="67"/>
      <c r="AD95" s="90">
        <f>P95*J95</f>
        <v>11958.383603640519</v>
      </c>
      <c r="AE95" s="90">
        <f>Q95*K95</f>
        <v>127843.69479513518</v>
      </c>
      <c r="AF95" s="67">
        <f>R95*I96</f>
        <v>0</v>
      </c>
      <c r="AG95" s="68">
        <f>S95*I95</f>
        <v>308745.08830984548</v>
      </c>
      <c r="AH95" s="68">
        <f>T95*$I95</f>
        <v>0</v>
      </c>
      <c r="AI95" s="68">
        <f>U95*$I95</f>
        <v>0</v>
      </c>
      <c r="AJ95" s="67">
        <f>V95*I96</f>
        <v>75950479.341182008</v>
      </c>
      <c r="AK95" s="67">
        <f>W95*$I95</f>
        <v>0</v>
      </c>
      <c r="AL95" s="67">
        <f>X95*$I95</f>
        <v>0</v>
      </c>
      <c r="AM95" s="67">
        <f>Y95*$I95</f>
        <v>0</v>
      </c>
      <c r="AN95" s="65">
        <f>NPV(Assumptions!$D$19,AB95:$AB$259)*(1+Assumptions!$D$19)</f>
        <v>42176190.378136739</v>
      </c>
      <c r="AO95" s="68">
        <f t="shared" si="25"/>
        <v>389454.02365985856</v>
      </c>
      <c r="AQ95" s="67">
        <f t="shared" si="30"/>
        <v>76686249.962051824</v>
      </c>
      <c r="AR95" s="95">
        <f>(AQ95+AB95-AC95)*Assumptions!$D$19</f>
        <v>329214.40284419304</v>
      </c>
      <c r="AS95" s="67">
        <f t="shared" si="31"/>
        <v>924758.6132883816</v>
      </c>
      <c r="AT95" s="67">
        <f t="shared" si="26"/>
        <v>76485783.930810541</v>
      </c>
      <c r="AU95" s="67"/>
      <c r="AV95" s="67"/>
      <c r="AW95" s="67"/>
      <c r="AY95" s="67"/>
      <c r="AZ95" s="70">
        <f t="shared" si="20"/>
        <v>0</v>
      </c>
    </row>
    <row r="96" spans="2:52" x14ac:dyDescent="0.2">
      <c r="B96" s="5">
        <f t="shared" si="16"/>
        <v>89</v>
      </c>
      <c r="C96" s="5">
        <f t="shared" si="17"/>
        <v>89</v>
      </c>
      <c r="D96" s="5">
        <f t="shared" si="18"/>
        <v>7</v>
      </c>
      <c r="E96" s="5">
        <f t="shared" si="19"/>
        <v>53</v>
      </c>
      <c r="F96" s="64">
        <f>1-(1-VLOOKUP($E96,'Annual Mortality Rates'!$B$5:$C$105,2,FALSE))^(1/12)</f>
        <v>1.5763659934686647E-4</v>
      </c>
      <c r="G96" s="75">
        <f>IF(C96&gt;=Assumptions!$H$9*12,100%,1-(1-IF(D96&gt;=7,2%,VLOOKUP($D96,'Annual Lapse Rates'!$B$4:$C$14,2,FALSE)))^(1/12))</f>
        <v>1.6821425527395739E-3</v>
      </c>
      <c r="H96" s="81">
        <f t="shared" si="27"/>
        <v>5</v>
      </c>
      <c r="I96" s="65">
        <f t="shared" si="21"/>
        <v>3140.6248315156813</v>
      </c>
      <c r="J96" s="66">
        <f t="shared" si="22"/>
        <v>0.49507741826445745</v>
      </c>
      <c r="K96" s="66">
        <f t="shared" si="23"/>
        <v>5.2927325680570751</v>
      </c>
      <c r="M96" s="97">
        <f t="shared" si="28"/>
        <v>24183.238500514537</v>
      </c>
      <c r="N96" s="97">
        <f>IF(AND(H96=1,D96&lt;15),Assumptions!$H$4,0)</f>
        <v>0</v>
      </c>
      <c r="O96" s="103"/>
      <c r="P96" s="98">
        <f>$M96*(1+VLOOKUP($H96,Assumptions!$C$22:$D$33,2,FALSE))^(1/12)</f>
        <v>24214.503813863666</v>
      </c>
      <c r="Q96" s="98">
        <f>$M96*(1+VLOOKUP($H96,Assumptions!$C$22:$D$33,2,FALSE))^(1/12)</f>
        <v>24214.503813863666</v>
      </c>
      <c r="R96" s="97">
        <f>IF(AND(H96=12,D96&lt;15),Assumptions!$C$7*M96,0)</f>
        <v>0</v>
      </c>
      <c r="S96" s="99">
        <f>(M96+N96-O96)*Assumptions!$D$17</f>
        <v>98.525507140586825</v>
      </c>
      <c r="T96" s="99">
        <f t="shared" si="24"/>
        <v>0</v>
      </c>
      <c r="U96" s="101"/>
      <c r="V96" s="101">
        <f>IF(C96&gt;=Assumptions!$H$9*12,0,M96+N96-O96+S96-R96)</f>
        <v>24281.764007655125</v>
      </c>
      <c r="W96" s="103"/>
      <c r="X96" s="97">
        <f>IF(AND(H96=1,D96&lt;15),Assumptions!$D$10*N96+Assumptions!$D$11*(1+Assumptions!$D$16)^(B96-1),0)</f>
        <v>0</v>
      </c>
      <c r="Y96" s="100">
        <f>Assumptions!$C$13*N96</f>
        <v>0</v>
      </c>
      <c r="AA96" s="67">
        <f t="shared" si="29"/>
        <v>75950479.341182008</v>
      </c>
      <c r="AB96" s="67">
        <f>N96*I96</f>
        <v>0</v>
      </c>
      <c r="AC96" s="67"/>
      <c r="AD96" s="90">
        <f>P96*J96</f>
        <v>11988.054032722483</v>
      </c>
      <c r="AE96" s="90">
        <f>Q96*K96</f>
        <v>128160.89295497848</v>
      </c>
      <c r="AF96" s="67">
        <f>R96*I97</f>
        <v>0</v>
      </c>
      <c r="AG96" s="68">
        <f>S96*I96</f>
        <v>309431.65426340257</v>
      </c>
      <c r="AH96" s="68">
        <f>T96*$I96</f>
        <v>0</v>
      </c>
      <c r="AI96" s="68">
        <f>U96*$I96</f>
        <v>0</v>
      </c>
      <c r="AJ96" s="67">
        <f>V96*I97</f>
        <v>76119372.75923641</v>
      </c>
      <c r="AK96" s="67">
        <f>W96*$I96</f>
        <v>0</v>
      </c>
      <c r="AL96" s="67">
        <f>X96*$I96</f>
        <v>0</v>
      </c>
      <c r="AM96" s="67">
        <f>Y96*$I96</f>
        <v>0</v>
      </c>
      <c r="AN96" s="65">
        <f>NPV(Assumptions!$D$19,AB96:$AB$259)*(1+Assumptions!$D$19)</f>
        <v>42357252.945891082</v>
      </c>
      <c r="AO96" s="68">
        <f t="shared" si="25"/>
        <v>391125.95146827138</v>
      </c>
      <c r="AQ96" s="67">
        <f t="shared" si="30"/>
        <v>76875237.954470396</v>
      </c>
      <c r="AR96" s="95">
        <f>(AQ96+AB96-AC96)*Assumptions!$D$19</f>
        <v>330025.72911323857</v>
      </c>
      <c r="AS96" s="67">
        <f t="shared" si="31"/>
        <v>945352.68813821767</v>
      </c>
      <c r="AT96" s="67">
        <f t="shared" si="26"/>
        <v>76673599.495906353</v>
      </c>
      <c r="AU96" s="67"/>
      <c r="AV96" s="67"/>
      <c r="AW96" s="67"/>
      <c r="AY96" s="67"/>
      <c r="AZ96" s="70">
        <f t="shared" si="20"/>
        <v>0</v>
      </c>
    </row>
    <row r="97" spans="2:52" x14ac:dyDescent="0.2">
      <c r="B97" s="5">
        <f t="shared" si="16"/>
        <v>90</v>
      </c>
      <c r="C97" s="5">
        <f t="shared" si="17"/>
        <v>90</v>
      </c>
      <c r="D97" s="5">
        <f t="shared" si="18"/>
        <v>7</v>
      </c>
      <c r="E97" s="5">
        <f t="shared" si="19"/>
        <v>53</v>
      </c>
      <c r="F97" s="64">
        <f>1-(1-VLOOKUP($E97,'Annual Mortality Rates'!$B$5:$C$105,2,FALSE))^(1/12)</f>
        <v>1.5763659934686647E-4</v>
      </c>
      <c r="G97" s="75">
        <f>IF(C97&gt;=Assumptions!$H$9*12,100%,1-(1-IF(D97&gt;=7,2%,VLOOKUP($D97,'Annual Lapse Rates'!$B$4:$C$14,2,FALSE)))^(1/12))</f>
        <v>1.6821425527395739E-3</v>
      </c>
      <c r="H97" s="81">
        <f t="shared" si="27"/>
        <v>6</v>
      </c>
      <c r="I97" s="65">
        <f t="shared" si="21"/>
        <v>3134.8370215293598</v>
      </c>
      <c r="J97" s="66">
        <f t="shared" si="22"/>
        <v>0.49416504758054791</v>
      </c>
      <c r="K97" s="66">
        <f t="shared" si="23"/>
        <v>5.2829786712830824</v>
      </c>
      <c r="M97" s="97">
        <f t="shared" si="28"/>
        <v>24281.764007655125</v>
      </c>
      <c r="N97" s="97">
        <f>IF(AND(H97=1,D97&lt;15),Assumptions!$H$4,0)</f>
        <v>0</v>
      </c>
      <c r="O97" s="103"/>
      <c r="P97" s="98">
        <f>$M97*(1+VLOOKUP($H97,Assumptions!$C$22:$D$33,2,FALSE))^(1/12)</f>
        <v>24319.382068008959</v>
      </c>
      <c r="Q97" s="98">
        <f>$M97*(1+VLOOKUP($H97,Assumptions!$C$22:$D$33,2,FALSE))^(1/12)</f>
        <v>24319.382068008959</v>
      </c>
      <c r="R97" s="97">
        <f>IF(AND(H97=12,D97&lt;15),Assumptions!$C$7*M97,0)</f>
        <v>0</v>
      </c>
      <c r="S97" s="99">
        <f>(M97+N97-O97)*Assumptions!$D$17</f>
        <v>98.926912252524303</v>
      </c>
      <c r="T97" s="99">
        <f t="shared" si="24"/>
        <v>0</v>
      </c>
      <c r="U97" s="101"/>
      <c r="V97" s="101">
        <f>IF(C97&gt;=Assumptions!$H$9*12,0,M97+N97-O97+S97-R97)</f>
        <v>24380.690919907651</v>
      </c>
      <c r="W97" s="103"/>
      <c r="X97" s="97">
        <f>IF(AND(H97=1,D97&lt;15),Assumptions!$D$10*N97+Assumptions!$D$11*(1+Assumptions!$D$16)^(B97-1),0)</f>
        <v>0</v>
      </c>
      <c r="Y97" s="100">
        <f>Assumptions!$C$13*N97</f>
        <v>0</v>
      </c>
      <c r="AA97" s="67">
        <f t="shared" si="29"/>
        <v>76119372.75923641</v>
      </c>
      <c r="AB97" s="67">
        <f>N97*I97</f>
        <v>0</v>
      </c>
      <c r="AC97" s="67"/>
      <c r="AD97" s="90">
        <f>P97*J97</f>
        <v>12017.788596767172</v>
      </c>
      <c r="AE97" s="90">
        <f>Q97*K97</f>
        <v>128478.77676407559</v>
      </c>
      <c r="AF97" s="67">
        <f>R97*I98</f>
        <v>0</v>
      </c>
      <c r="AG97" s="68">
        <f>S97*I97</f>
        <v>310119.74695479963</v>
      </c>
      <c r="AH97" s="68">
        <f>T97*$I97</f>
        <v>0</v>
      </c>
      <c r="AI97" s="68">
        <f>U97*$I97</f>
        <v>0</v>
      </c>
      <c r="AJ97" s="67">
        <f>V97*I98</f>
        <v>76288641.7507817</v>
      </c>
      <c r="AK97" s="67">
        <f>W97*$I97</f>
        <v>0</v>
      </c>
      <c r="AL97" s="67">
        <f>X97*$I97</f>
        <v>0</v>
      </c>
      <c r="AM97" s="67">
        <f>Y97*$I97</f>
        <v>0</v>
      </c>
      <c r="AN97" s="65">
        <f>NPV(Assumptions!$D$19,AB97:$AB$259)*(1+Assumptions!$D$19)</f>
        <v>42539092.816032112</v>
      </c>
      <c r="AO97" s="68">
        <f t="shared" si="25"/>
        <v>392805.05686999875</v>
      </c>
      <c r="AQ97" s="67">
        <f t="shared" si="30"/>
        <v>77064725.447374627</v>
      </c>
      <c r="AR97" s="95">
        <f>(AQ97+AB97-AC97)*Assumptions!$D$19</f>
        <v>330839.19974002993</v>
      </c>
      <c r="AS97" s="67">
        <f t="shared" si="31"/>
        <v>966072.14092344791</v>
      </c>
      <c r="AT97" s="67">
        <f t="shared" si="26"/>
        <v>76861908.834835157</v>
      </c>
      <c r="AU97" s="67"/>
      <c r="AV97" s="67"/>
      <c r="AW97" s="67"/>
      <c r="AY97" s="67"/>
      <c r="AZ97" s="70">
        <f t="shared" si="20"/>
        <v>0</v>
      </c>
    </row>
    <row r="98" spans="2:52" x14ac:dyDescent="0.2">
      <c r="B98" s="5">
        <f t="shared" si="16"/>
        <v>91</v>
      </c>
      <c r="C98" s="5">
        <f t="shared" si="17"/>
        <v>91</v>
      </c>
      <c r="D98" s="5">
        <f t="shared" si="18"/>
        <v>7</v>
      </c>
      <c r="E98" s="5">
        <f t="shared" si="19"/>
        <v>53</v>
      </c>
      <c r="F98" s="64">
        <f>1-(1-VLOOKUP($E98,'Annual Mortality Rates'!$B$5:$C$105,2,FALSE))^(1/12)</f>
        <v>1.5763659934686647E-4</v>
      </c>
      <c r="G98" s="75">
        <f>IF(C98&gt;=Assumptions!$H$9*12,100%,1-(1-IF(D98&gt;=7,2%,VLOOKUP($D98,'Annual Lapse Rates'!$B$4:$C$14,2,FALSE)))^(1/12))</f>
        <v>1.6821425527395739E-3</v>
      </c>
      <c r="H98" s="81">
        <f t="shared" si="27"/>
        <v>7</v>
      </c>
      <c r="I98" s="65">
        <f t="shared" si="21"/>
        <v>3129.0598778104959</v>
      </c>
      <c r="J98" s="66">
        <f t="shared" si="22"/>
        <v>0.49325435829076808</v>
      </c>
      <c r="K98" s="66">
        <f t="shared" si="23"/>
        <v>5.2732427498179204</v>
      </c>
      <c r="M98" s="97">
        <f t="shared" si="28"/>
        <v>24380.690919907651</v>
      </c>
      <c r="N98" s="97">
        <f>IF(AND(H98=1,D98&lt;15),Assumptions!$H$4,0)</f>
        <v>0</v>
      </c>
      <c r="O98" s="103"/>
      <c r="P98" s="98">
        <f>$M98*(1+VLOOKUP($H98,Assumptions!$C$22:$D$33,2,FALSE))^(1/12)</f>
        <v>24424.695420525535</v>
      </c>
      <c r="Q98" s="98">
        <f>$M98*(1+VLOOKUP($H98,Assumptions!$C$22:$D$33,2,FALSE))^(1/12)</f>
        <v>24424.695420525535</v>
      </c>
      <c r="R98" s="97">
        <f>IF(AND(H98=12,D98&lt;15),Assumptions!$C$7*M98,0)</f>
        <v>0</v>
      </c>
      <c r="S98" s="99">
        <f>(M98+N98-O98)*Assumptions!$D$17</f>
        <v>99.329952738575216</v>
      </c>
      <c r="T98" s="99">
        <f t="shared" si="24"/>
        <v>0</v>
      </c>
      <c r="U98" s="101"/>
      <c r="V98" s="101">
        <f>IF(C98&gt;=Assumptions!$H$9*12,0,M98+N98-O98+S98-R98)</f>
        <v>24480.020872646226</v>
      </c>
      <c r="W98" s="103"/>
      <c r="X98" s="97">
        <f>IF(AND(H98=1,D98&lt;15),Assumptions!$D$10*N98+Assumptions!$D$11*(1+Assumptions!$D$16)^(B98-1),0)</f>
        <v>0</v>
      </c>
      <c r="Y98" s="100">
        <f>Assumptions!$C$13*N98</f>
        <v>0</v>
      </c>
      <c r="AA98" s="67">
        <f t="shared" si="29"/>
        <v>76288641.7507817</v>
      </c>
      <c r="AB98" s="67">
        <f>N98*I98</f>
        <v>0</v>
      </c>
      <c r="AC98" s="67"/>
      <c r="AD98" s="90">
        <f>P98*J98</f>
        <v>12047.587466098785</v>
      </c>
      <c r="AE98" s="90">
        <f>Q98*K98</f>
        <v>128797.34804279724</v>
      </c>
      <c r="AF98" s="67">
        <f>R98*I99</f>
        <v>0</v>
      </c>
      <c r="AG98" s="68">
        <f>S98*I98</f>
        <v>310809.36977908848</v>
      </c>
      <c r="AH98" s="68">
        <f>T98*$I98</f>
        <v>0</v>
      </c>
      <c r="AI98" s="68">
        <f>U98*$I98</f>
        <v>0</v>
      </c>
      <c r="AJ98" s="67">
        <f>V98*I99</f>
        <v>76458287.15099223</v>
      </c>
      <c r="AK98" s="67">
        <f>W98*$I98</f>
        <v>0</v>
      </c>
      <c r="AL98" s="67">
        <f>X98*$I98</f>
        <v>0</v>
      </c>
      <c r="AM98" s="67">
        <f>Y98*$I98</f>
        <v>0</v>
      </c>
      <c r="AN98" s="65">
        <f>NPV(Assumptions!$D$19,AB98:$AB$259)*(1+Assumptions!$D$19)</f>
        <v>42721713.325522326</v>
      </c>
      <c r="AO98" s="68">
        <f t="shared" si="25"/>
        <v>394491.37067847978</v>
      </c>
      <c r="AQ98" s="67">
        <f t="shared" si="30"/>
        <v>77254713.891705155</v>
      </c>
      <c r="AR98" s="95">
        <f>(AQ98+AB98-AC98)*Assumptions!$D$19</f>
        <v>331654.82095346157</v>
      </c>
      <c r="AS98" s="67">
        <f t="shared" si="31"/>
        <v>986917.59209782095</v>
      </c>
      <c r="AT98" s="67">
        <f t="shared" si="26"/>
        <v>77050713.372411564</v>
      </c>
      <c r="AU98" s="67"/>
      <c r="AV98" s="67"/>
      <c r="AW98" s="67"/>
      <c r="AY98" s="67"/>
      <c r="AZ98" s="70">
        <f t="shared" si="20"/>
        <v>0</v>
      </c>
    </row>
    <row r="99" spans="2:52" x14ac:dyDescent="0.2">
      <c r="B99" s="5">
        <f t="shared" si="16"/>
        <v>92</v>
      </c>
      <c r="C99" s="5">
        <f t="shared" si="17"/>
        <v>92</v>
      </c>
      <c r="D99" s="5">
        <f t="shared" si="18"/>
        <v>7</v>
      </c>
      <c r="E99" s="5">
        <f t="shared" si="19"/>
        <v>53</v>
      </c>
      <c r="F99" s="64">
        <f>1-(1-VLOOKUP($E99,'Annual Mortality Rates'!$B$5:$C$105,2,FALSE))^(1/12)</f>
        <v>1.5763659934686647E-4</v>
      </c>
      <c r="G99" s="75">
        <f>IF(C99&gt;=Assumptions!$H$9*12,100%,1-(1-IF(D99&gt;=7,2%,VLOOKUP($D99,'Annual Lapse Rates'!$B$4:$C$14,2,FALSE)))^(1/12))</f>
        <v>1.6821425527395739E-3</v>
      </c>
      <c r="H99" s="81">
        <f t="shared" si="27"/>
        <v>8</v>
      </c>
      <c r="I99" s="65">
        <f t="shared" si="21"/>
        <v>3123.2933807023869</v>
      </c>
      <c r="J99" s="66">
        <f t="shared" si="22"/>
        <v>0.49234534729650226</v>
      </c>
      <c r="K99" s="66">
        <f t="shared" si="23"/>
        <v>5.2635247705351267</v>
      </c>
      <c r="M99" s="97">
        <f t="shared" si="28"/>
        <v>24480.020872646226</v>
      </c>
      <c r="N99" s="97">
        <f>IF(AND(H99=1,D99&lt;15),Assumptions!$H$4,0)</f>
        <v>0</v>
      </c>
      <c r="O99" s="103"/>
      <c r="P99" s="98">
        <f>$M99*(1+VLOOKUP($H99,Assumptions!$C$22:$D$33,2,FALSE))^(1/12)</f>
        <v>24530.445707526211</v>
      </c>
      <c r="Q99" s="98">
        <f>$M99*(1+VLOOKUP($H99,Assumptions!$C$22:$D$33,2,FALSE))^(1/12)</f>
        <v>24530.445707526211</v>
      </c>
      <c r="R99" s="97">
        <f>IF(AND(H99=12,D99&lt;15),Assumptions!$C$7*M99,0)</f>
        <v>0</v>
      </c>
      <c r="S99" s="99">
        <f>(M99+N99-O99)*Assumptions!$D$17</f>
        <v>99.734635261456106</v>
      </c>
      <c r="T99" s="99">
        <f t="shared" si="24"/>
        <v>0</v>
      </c>
      <c r="U99" s="101"/>
      <c r="V99" s="101">
        <f>IF(C99&gt;=Assumptions!$H$9*12,0,M99+N99-O99+S99-R99)</f>
        <v>24579.755507907681</v>
      </c>
      <c r="W99" s="103"/>
      <c r="X99" s="97">
        <f>IF(AND(H99=1,D99&lt;15),Assumptions!$D$10*N99+Assumptions!$D$11*(1+Assumptions!$D$16)^(B99-1),0)</f>
        <v>0</v>
      </c>
      <c r="Y99" s="100">
        <f>Assumptions!$C$13*N99</f>
        <v>0</v>
      </c>
      <c r="AA99" s="67">
        <f t="shared" si="29"/>
        <v>76458287.15099223</v>
      </c>
      <c r="AB99" s="67">
        <f>N99*I99</f>
        <v>0</v>
      </c>
      <c r="AC99" s="67"/>
      <c r="AD99" s="90">
        <f>P99*J99</f>
        <v>12077.450811209985</v>
      </c>
      <c r="AE99" s="90">
        <f>Q99*K99</f>
        <v>129116.60861383128</v>
      </c>
      <c r="AF99" s="67">
        <f>R99*I100</f>
        <v>0</v>
      </c>
      <c r="AG99" s="68">
        <f>S99*I99</f>
        <v>311500.52613887272</v>
      </c>
      <c r="AH99" s="68">
        <f>T99*$I99</f>
        <v>0</v>
      </c>
      <c r="AI99" s="68">
        <f>U99*$I99</f>
        <v>0</v>
      </c>
      <c r="AJ99" s="67">
        <f>V99*I100</f>
        <v>76628309.796899512</v>
      </c>
      <c r="AK99" s="67">
        <f>W99*$I99</f>
        <v>0</v>
      </c>
      <c r="AL99" s="67">
        <f>X99*$I99</f>
        <v>0</v>
      </c>
      <c r="AM99" s="67">
        <f>Y99*$I99</f>
        <v>0</v>
      </c>
      <c r="AN99" s="65">
        <f>NPV(Assumptions!$D$19,AB99:$AB$259)*(1+Assumptions!$D$19)</f>
        <v>42905117.825649828</v>
      </c>
      <c r="AO99" s="68">
        <f t="shared" si="25"/>
        <v>396184.92383943597</v>
      </c>
      <c r="AQ99" s="67">
        <f t="shared" si="30"/>
        <v>77445204.743090048</v>
      </c>
      <c r="AR99" s="95">
        <f>(AQ99+AB99-AC99)*Assumptions!$D$19</f>
        <v>332472.59900255111</v>
      </c>
      <c r="AS99" s="67">
        <f t="shared" si="31"/>
        <v>1007889.6649614993</v>
      </c>
      <c r="AT99" s="67">
        <f t="shared" si="26"/>
        <v>77240014.538021579</v>
      </c>
      <c r="AU99" s="67"/>
      <c r="AV99" s="67"/>
      <c r="AW99" s="67"/>
      <c r="AY99" s="67"/>
      <c r="AZ99" s="70">
        <f t="shared" si="20"/>
        <v>0</v>
      </c>
    </row>
    <row r="100" spans="2:52" x14ac:dyDescent="0.2">
      <c r="B100" s="5">
        <f t="shared" si="16"/>
        <v>93</v>
      </c>
      <c r="C100" s="5">
        <f t="shared" si="17"/>
        <v>93</v>
      </c>
      <c r="D100" s="5">
        <f t="shared" si="18"/>
        <v>7</v>
      </c>
      <c r="E100" s="5">
        <f t="shared" si="19"/>
        <v>53</v>
      </c>
      <c r="F100" s="64">
        <f>1-(1-VLOOKUP($E100,'Annual Mortality Rates'!$B$5:$C$105,2,FALSE))^(1/12)</f>
        <v>1.5763659934686647E-4</v>
      </c>
      <c r="G100" s="75">
        <f>IF(C100&gt;=Assumptions!$H$9*12,100%,1-(1-IF(D100&gt;=7,2%,VLOOKUP($D100,'Annual Lapse Rates'!$B$4:$C$14,2,FALSE)))^(1/12))</f>
        <v>1.6821425527395739E-3</v>
      </c>
      <c r="H100" s="81">
        <f t="shared" si="27"/>
        <v>9</v>
      </c>
      <c r="I100" s="65">
        <f t="shared" si="21"/>
        <v>3117.5375105845551</v>
      </c>
      <c r="J100" s="66">
        <f t="shared" si="22"/>
        <v>0.49143801150484501</v>
      </c>
      <c r="K100" s="66">
        <f t="shared" si="23"/>
        <v>5.2538247003693268</v>
      </c>
      <c r="M100" s="97">
        <f t="shared" si="28"/>
        <v>24579.755507907681</v>
      </c>
      <c r="N100" s="97">
        <f>IF(AND(H100=1,D100&lt;15),Assumptions!$H$4,0)</f>
        <v>0</v>
      </c>
      <c r="O100" s="103"/>
      <c r="P100" s="98">
        <f>$M100*(1+VLOOKUP($H100,Assumptions!$C$22:$D$33,2,FALSE))^(1/12)</f>
        <v>24636.634772492398</v>
      </c>
      <c r="Q100" s="98">
        <f>$M100*(1+VLOOKUP($H100,Assumptions!$C$22:$D$33,2,FALSE))^(1/12)</f>
        <v>24636.634772492398</v>
      </c>
      <c r="R100" s="97">
        <f>IF(AND(H100=12,D100&lt;15),Assumptions!$C$7*M100,0)</f>
        <v>0</v>
      </c>
      <c r="S100" s="99">
        <f>(M100+N100-O100)*Assumptions!$D$17</f>
        <v>100.1409665110283</v>
      </c>
      <c r="T100" s="99">
        <f t="shared" si="24"/>
        <v>0</v>
      </c>
      <c r="U100" s="101"/>
      <c r="V100" s="101">
        <f>IF(C100&gt;=Assumptions!$H$9*12,0,M100+N100-O100+S100-R100)</f>
        <v>24679.896474418711</v>
      </c>
      <c r="W100" s="103"/>
      <c r="X100" s="97">
        <f>IF(AND(H100=1,D100&lt;15),Assumptions!$D$10*N100+Assumptions!$D$11*(1+Assumptions!$D$16)^(B100-1),0)</f>
        <v>0</v>
      </c>
      <c r="Y100" s="100">
        <f>Assumptions!$C$13*N100</f>
        <v>0</v>
      </c>
      <c r="AA100" s="67">
        <f t="shared" si="29"/>
        <v>76628309.796899512</v>
      </c>
      <c r="AB100" s="67">
        <f>N100*I100</f>
        <v>0</v>
      </c>
      <c r="AC100" s="67"/>
      <c r="AD100" s="90">
        <f>P100*J100</f>
        <v>12107.378802764784</v>
      </c>
      <c r="AE100" s="90">
        <f>Q100*K100</f>
        <v>129436.56030169841</v>
      </c>
      <c r="AF100" s="67">
        <f>R100*I101</f>
        <v>0</v>
      </c>
      <c r="AG100" s="68">
        <f>S100*I100</f>
        <v>312193.21944432246</v>
      </c>
      <c r="AH100" s="68">
        <f>T100*$I100</f>
        <v>0</v>
      </c>
      <c r="AI100" s="68">
        <f>U100*$I100</f>
        <v>0</v>
      </c>
      <c r="AJ100" s="67">
        <f>V100*I101</f>
        <v>76798710.527396455</v>
      </c>
      <c r="AK100" s="67">
        <f>W100*$I100</f>
        <v>0</v>
      </c>
      <c r="AL100" s="67">
        <f>X100*$I100</f>
        <v>0</v>
      </c>
      <c r="AM100" s="67">
        <f>Y100*$I100</f>
        <v>0</v>
      </c>
      <c r="AN100" s="65">
        <f>NPV(Assumptions!$D$19,AB100:$AB$259)*(1+Assumptions!$D$19)</f>
        <v>43089309.682089821</v>
      </c>
      <c r="AO100" s="68">
        <f t="shared" si="25"/>
        <v>397885.74743143853</v>
      </c>
      <c r="AQ100" s="67">
        <f t="shared" si="30"/>
        <v>77636199.461861014</v>
      </c>
      <c r="AR100" s="95">
        <f>(AQ100+AB100-AC100)*Assumptions!$D$19</f>
        <v>333292.54015650891</v>
      </c>
      <c r="AS100" s="67">
        <f t="shared" si="31"/>
        <v>1028988.9856736858</v>
      </c>
      <c r="AT100" s="67">
        <f t="shared" si="26"/>
        <v>77429813.765638694</v>
      </c>
      <c r="AU100" s="67"/>
      <c r="AV100" s="67"/>
      <c r="AW100" s="67"/>
      <c r="AY100" s="67"/>
      <c r="AZ100" s="70">
        <f t="shared" si="20"/>
        <v>0</v>
      </c>
    </row>
    <row r="101" spans="2:52" x14ac:dyDescent="0.2">
      <c r="B101" s="5">
        <f t="shared" si="16"/>
        <v>94</v>
      </c>
      <c r="C101" s="5">
        <f t="shared" si="17"/>
        <v>94</v>
      </c>
      <c r="D101" s="5">
        <f t="shared" si="18"/>
        <v>7</v>
      </c>
      <c r="E101" s="5">
        <f t="shared" si="19"/>
        <v>53</v>
      </c>
      <c r="F101" s="64">
        <f>1-(1-VLOOKUP($E101,'Annual Mortality Rates'!$B$5:$C$105,2,FALSE))^(1/12)</f>
        <v>1.5763659934686647E-4</v>
      </c>
      <c r="G101" s="75">
        <f>IF(C101&gt;=Assumptions!$H$9*12,100%,1-(1-IF(D101&gt;=7,2%,VLOOKUP($D101,'Annual Lapse Rates'!$B$4:$C$14,2,FALSE)))^(1/12))</f>
        <v>1.6821425527395739E-3</v>
      </c>
      <c r="H101" s="81">
        <f t="shared" si="27"/>
        <v>10</v>
      </c>
      <c r="I101" s="65">
        <f t="shared" si="21"/>
        <v>3111.7922478726809</v>
      </c>
      <c r="J101" s="66">
        <f t="shared" si="22"/>
        <v>0.49053234782859079</v>
      </c>
      <c r="K101" s="66">
        <f t="shared" si="23"/>
        <v>5.2441425063160798</v>
      </c>
      <c r="M101" s="97">
        <f t="shared" si="28"/>
        <v>24679.896474418711</v>
      </c>
      <c r="N101" s="97">
        <f>IF(AND(H101=1,D101&lt;15),Assumptions!$H$4,0)</f>
        <v>0</v>
      </c>
      <c r="O101" s="103"/>
      <c r="P101" s="98">
        <f>$M101*(1+VLOOKUP($H101,Assumptions!$C$22:$D$33,2,FALSE))^(1/12)</f>
        <v>24743.264466307352</v>
      </c>
      <c r="Q101" s="98">
        <f>$M101*(1+VLOOKUP($H101,Assumptions!$C$22:$D$33,2,FALSE))^(1/12)</f>
        <v>24743.264466307352</v>
      </c>
      <c r="R101" s="97">
        <f>IF(AND(H101=12,D101&lt;15),Assumptions!$C$7*M101,0)</f>
        <v>0</v>
      </c>
      <c r="S101" s="99">
        <f>(M101+N101-O101)*Assumptions!$D$17</f>
        <v>100.54895320440842</v>
      </c>
      <c r="T101" s="99">
        <f t="shared" si="24"/>
        <v>0</v>
      </c>
      <c r="U101" s="101"/>
      <c r="V101" s="101">
        <f>IF(C101&gt;=Assumptions!$H$9*12,0,M101+N101-O101+S101-R101)</f>
        <v>24780.445427623119</v>
      </c>
      <c r="W101" s="103"/>
      <c r="X101" s="97">
        <f>IF(AND(H101=1,D101&lt;15),Assumptions!$D$10*N101+Assumptions!$D$11*(1+Assumptions!$D$16)^(B101-1),0)</f>
        <v>0</v>
      </c>
      <c r="Y101" s="100">
        <f>Assumptions!$C$13*N101</f>
        <v>0</v>
      </c>
      <c r="AA101" s="67">
        <f t="shared" si="29"/>
        <v>76798710.527396455</v>
      </c>
      <c r="AB101" s="67">
        <f>N101*I101</f>
        <v>0</v>
      </c>
      <c r="AC101" s="67"/>
      <c r="AD101" s="90">
        <f>P101*J101</f>
        <v>12137.371611601489</v>
      </c>
      <c r="AE101" s="90">
        <f>Q101*K101</f>
        <v>129757.20493278264</v>
      </c>
      <c r="AF101" s="67">
        <f>R101*I102</f>
        <v>0</v>
      </c>
      <c r="AG101" s="68">
        <f>S101*I101</f>
        <v>312887.45311319106</v>
      </c>
      <c r="AH101" s="68">
        <f>T101*$I101</f>
        <v>0</v>
      </c>
      <c r="AI101" s="68">
        <f>U101*$I101</f>
        <v>0</v>
      </c>
      <c r="AJ101" s="67">
        <f>V101*I102</f>
        <v>76969490.183241338</v>
      </c>
      <c r="AK101" s="67">
        <f>W101*$I101</f>
        <v>0</v>
      </c>
      <c r="AL101" s="67">
        <f>X101*$I101</f>
        <v>0</v>
      </c>
      <c r="AM101" s="67">
        <f>Y101*$I101</f>
        <v>0</v>
      </c>
      <c r="AN101" s="65">
        <f>NPV(Assumptions!$D$19,AB101:$AB$259)*(1+Assumptions!$D$19)</f>
        <v>43274292.274966337</v>
      </c>
      <c r="AO101" s="68">
        <f t="shared" si="25"/>
        <v>399593.87266647973</v>
      </c>
      <c r="AQ101" s="67">
        <f t="shared" si="30"/>
        <v>77827699.513070136</v>
      </c>
      <c r="AR101" s="95">
        <f>(AQ101+AB101-AC101)*Assumptions!$D$19</f>
        <v>334114.65070480981</v>
      </c>
      <c r="AS101" s="67">
        <f t="shared" si="31"/>
        <v>1050216.1832653044</v>
      </c>
      <c r="AT101" s="67">
        <f t="shared" si="26"/>
        <v>77620112.493840158</v>
      </c>
      <c r="AU101" s="67"/>
      <c r="AV101" s="67"/>
      <c r="AW101" s="67"/>
      <c r="AY101" s="67"/>
      <c r="AZ101" s="70">
        <f t="shared" si="20"/>
        <v>0</v>
      </c>
    </row>
    <row r="102" spans="2:52" x14ac:dyDescent="0.2">
      <c r="B102" s="5">
        <f t="shared" si="16"/>
        <v>95</v>
      </c>
      <c r="C102" s="5">
        <f t="shared" si="17"/>
        <v>95</v>
      </c>
      <c r="D102" s="5">
        <f t="shared" si="18"/>
        <v>7</v>
      </c>
      <c r="E102" s="5">
        <f t="shared" si="19"/>
        <v>53</v>
      </c>
      <c r="F102" s="64">
        <f>1-(1-VLOOKUP($E102,'Annual Mortality Rates'!$B$5:$C$105,2,FALSE))^(1/12)</f>
        <v>1.5763659934686647E-4</v>
      </c>
      <c r="G102" s="75">
        <f>IF(C102&gt;=Assumptions!$H$9*12,100%,1-(1-IF(D102&gt;=7,2%,VLOOKUP($D102,'Annual Lapse Rates'!$B$4:$C$14,2,FALSE)))^(1/12))</f>
        <v>1.6821425527395739E-3</v>
      </c>
      <c r="H102" s="81">
        <f t="shared" si="27"/>
        <v>11</v>
      </c>
      <c r="I102" s="65">
        <f t="shared" si="21"/>
        <v>3106.057573018536</v>
      </c>
      <c r="J102" s="66">
        <f t="shared" si="22"/>
        <v>0.48962835318622339</v>
      </c>
      <c r="K102" s="66">
        <f t="shared" si="23"/>
        <v>5.2344781554317681</v>
      </c>
      <c r="M102" s="97">
        <f t="shared" si="28"/>
        <v>24780.445427623119</v>
      </c>
      <c r="N102" s="97">
        <f>IF(AND(H102=1,D102&lt;15),Assumptions!$H$4,0)</f>
        <v>0</v>
      </c>
      <c r="O102" s="103"/>
      <c r="P102" s="98">
        <f>$M102*(1+VLOOKUP($H102,Assumptions!$C$22:$D$33,2,FALSE))^(1/12)</f>
        <v>24850.336647289532</v>
      </c>
      <c r="Q102" s="98">
        <f>$M102*(1+VLOOKUP($H102,Assumptions!$C$22:$D$33,2,FALSE))^(1/12)</f>
        <v>24850.336647289532</v>
      </c>
      <c r="R102" s="97">
        <f>IF(AND(H102=12,D102&lt;15),Assumptions!$C$7*M102,0)</f>
        <v>0</v>
      </c>
      <c r="S102" s="99">
        <f>(M102+N102-O102)*Assumptions!$D$17</f>
        <v>100.95860208607944</v>
      </c>
      <c r="T102" s="99">
        <f t="shared" si="24"/>
        <v>0</v>
      </c>
      <c r="U102" s="101"/>
      <c r="V102" s="101">
        <f>IF(C102&gt;=Assumptions!$H$9*12,0,M102+N102-O102+S102-R102)</f>
        <v>24881.4040297092</v>
      </c>
      <c r="W102" s="103"/>
      <c r="X102" s="97">
        <f>IF(AND(H102=1,D102&lt;15),Assumptions!$D$10*N102+Assumptions!$D$11*(1+Assumptions!$D$16)^(B102-1),0)</f>
        <v>0</v>
      </c>
      <c r="Y102" s="100">
        <f>Assumptions!$C$13*N102</f>
        <v>0</v>
      </c>
      <c r="AA102" s="67">
        <f t="shared" si="29"/>
        <v>76969490.183241338</v>
      </c>
      <c r="AB102" s="67">
        <f>N102*I102</f>
        <v>0</v>
      </c>
      <c r="AC102" s="67"/>
      <c r="AD102" s="90">
        <f>P102*J102</f>
        <v>12167.42940873563</v>
      </c>
      <c r="AE102" s="90">
        <f>Q102*K102</f>
        <v>130078.54433536257</v>
      </c>
      <c r="AF102" s="67">
        <f>R102*I103</f>
        <v>0</v>
      </c>
      <c r="AG102" s="68">
        <f>S102*I102</f>
        <v>313583.23057083198</v>
      </c>
      <c r="AH102" s="68">
        <f>T102*$I102</f>
        <v>0</v>
      </c>
      <c r="AI102" s="68">
        <f>U102*$I102</f>
        <v>0</v>
      </c>
      <c r="AJ102" s="67">
        <f>V102*I103</f>
        <v>77140649.607062176</v>
      </c>
      <c r="AK102" s="67">
        <f>W102*$I102</f>
        <v>0</v>
      </c>
      <c r="AL102" s="67">
        <f>X102*$I102</f>
        <v>0</v>
      </c>
      <c r="AM102" s="67">
        <f>Y102*$I102</f>
        <v>0</v>
      </c>
      <c r="AN102" s="65">
        <f>NPV(Assumptions!$D$19,AB102:$AB$259)*(1+Assumptions!$D$19)</f>
        <v>43460068.998914346</v>
      </c>
      <c r="AO102" s="68">
        <f t="shared" si="25"/>
        <v>401309.33089054463</v>
      </c>
      <c r="AQ102" s="67">
        <f t="shared" si="30"/>
        <v>78019706.366506636</v>
      </c>
      <c r="AR102" s="95">
        <f>(AQ102+AB102-AC102)*Assumptions!$D$19</f>
        <v>334938.93695726537</v>
      </c>
      <c r="AS102" s="67">
        <f t="shared" si="31"/>
        <v>1071571.8896517379</v>
      </c>
      <c r="AT102" s="67">
        <f t="shared" si="26"/>
        <v>77810912.165823355</v>
      </c>
      <c r="AU102" s="67"/>
      <c r="AV102" s="67"/>
      <c r="AW102" s="67"/>
      <c r="AY102" s="67"/>
      <c r="AZ102" s="70">
        <f t="shared" si="20"/>
        <v>0</v>
      </c>
    </row>
    <row r="103" spans="2:52" x14ac:dyDescent="0.2">
      <c r="B103" s="5">
        <f t="shared" si="16"/>
        <v>96</v>
      </c>
      <c r="C103" s="5">
        <f t="shared" si="17"/>
        <v>96</v>
      </c>
      <c r="D103" s="5">
        <f t="shared" si="18"/>
        <v>7</v>
      </c>
      <c r="E103" s="5">
        <f t="shared" si="19"/>
        <v>53</v>
      </c>
      <c r="F103" s="64">
        <f>1-(1-VLOOKUP($E103,'Annual Mortality Rates'!$B$5:$C$105,2,FALSE))^(1/12)</f>
        <v>1.5763659934686647E-4</v>
      </c>
      <c r="G103" s="75">
        <f>IF(C103&gt;=Assumptions!$H$9*12,100%,1-(1-IF(D103&gt;=7,2%,VLOOKUP($D103,'Annual Lapse Rates'!$B$4:$C$14,2,FALSE)))^(1/12))</f>
        <v>1.6821425527395739E-3</v>
      </c>
      <c r="H103" s="81">
        <f t="shared" si="27"/>
        <v>12</v>
      </c>
      <c r="I103" s="65">
        <f t="shared" si="21"/>
        <v>3100.3334665099183</v>
      </c>
      <c r="J103" s="66">
        <f t="shared" si="22"/>
        <v>0.48872602450190561</v>
      </c>
      <c r="K103" s="66">
        <f t="shared" si="23"/>
        <v>5.2248316148334855</v>
      </c>
      <c r="M103" s="97">
        <f t="shared" si="28"/>
        <v>24881.4040297092</v>
      </c>
      <c r="N103" s="97">
        <f>IF(AND(H103=1,D103&lt;15),Assumptions!$H$4,0)</f>
        <v>0</v>
      </c>
      <c r="O103" s="103"/>
      <c r="P103" s="98">
        <f>$M103*(1+VLOOKUP($H103,Assumptions!$C$22:$D$33,2,FALSE))^(1/12)</f>
        <v>24957.853181226033</v>
      </c>
      <c r="Q103" s="98">
        <f>$M103*(1+VLOOKUP($H103,Assumptions!$C$22:$D$33,2,FALSE))^(1/12)</f>
        <v>24957.853181226033</v>
      </c>
      <c r="R103" s="97">
        <f>IF(AND(H103=12,D103&lt;15),Assumptions!$C$7*M103,0)</f>
        <v>12.440702014854599</v>
      </c>
      <c r="S103" s="99">
        <f>(M103+N103-O103)*Assumptions!$D$17</f>
        <v>101.36991992800223</v>
      </c>
      <c r="T103" s="99">
        <f t="shared" si="24"/>
        <v>0</v>
      </c>
      <c r="U103" s="101"/>
      <c r="V103" s="101">
        <f>IF(C103&gt;=Assumptions!$H$9*12,0,M103+N103-O103+S103-R103)</f>
        <v>24970.333247622348</v>
      </c>
      <c r="W103" s="103"/>
      <c r="X103" s="97">
        <f>IF(AND(H103=1,D103&lt;15),Assumptions!$D$10*N103+Assumptions!$D$11*(1+Assumptions!$D$16)^(B103-1),0)</f>
        <v>0</v>
      </c>
      <c r="Y103" s="100">
        <f>Assumptions!$C$13*N103</f>
        <v>0</v>
      </c>
      <c r="AA103" s="67">
        <f t="shared" si="29"/>
        <v>77140649.607062176</v>
      </c>
      <c r="AB103" s="67">
        <f>N103*I103</f>
        <v>0</v>
      </c>
      <c r="AC103" s="67"/>
      <c r="AD103" s="90">
        <f>P103*J103</f>
        <v>12197.552365362837</v>
      </c>
      <c r="AE103" s="90">
        <f>Q103*K103</f>
        <v>130400.58033964226</v>
      </c>
      <c r="AF103" s="67">
        <f>R103*I104</f>
        <v>38499.244135495421</v>
      </c>
      <c r="AG103" s="68">
        <f>S103*I103</f>
        <v>314280.55525021598</v>
      </c>
      <c r="AH103" s="68">
        <f>T103*$I103</f>
        <v>0</v>
      </c>
      <c r="AI103" s="68">
        <f>U103*$I103</f>
        <v>0</v>
      </c>
      <c r="AJ103" s="67">
        <f>V103*I104</f>
        <v>77273690.39922516</v>
      </c>
      <c r="AK103" s="67">
        <f>W103*$I103</f>
        <v>0</v>
      </c>
      <c r="AL103" s="67">
        <f>X103*$I103</f>
        <v>0</v>
      </c>
      <c r="AM103" s="67">
        <f>Y103*$I103</f>
        <v>0</v>
      </c>
      <c r="AN103" s="65">
        <f>NPV(Assumptions!$D$19,AB103:$AB$259)*(1+Assumptions!$D$19)</f>
        <v>43646643.263141975</v>
      </c>
      <c r="AO103" s="68">
        <f t="shared" si="25"/>
        <v>403032.15358418663</v>
      </c>
      <c r="AQ103" s="67">
        <f t="shared" si="30"/>
        <v>78212221.496713907</v>
      </c>
      <c r="AR103" s="95">
        <f>(AQ103+AB103-AC103)*Assumptions!$D$19</f>
        <v>335765.40524409671</v>
      </c>
      <c r="AS103" s="67">
        <f t="shared" si="31"/>
        <v>1093056.7396456185</v>
      </c>
      <c r="AT103" s="67">
        <f t="shared" si="26"/>
        <v>77963714.985286593</v>
      </c>
      <c r="AU103" s="67"/>
      <c r="AV103" s="67"/>
      <c r="AW103" s="67"/>
      <c r="AY103" s="67"/>
      <c r="AZ103" s="70">
        <f t="shared" si="20"/>
        <v>0</v>
      </c>
    </row>
    <row r="104" spans="2:52" x14ac:dyDescent="0.2">
      <c r="B104" s="5">
        <f t="shared" si="16"/>
        <v>97</v>
      </c>
      <c r="C104" s="5">
        <f t="shared" si="17"/>
        <v>97</v>
      </c>
      <c r="D104" s="5">
        <f t="shared" si="18"/>
        <v>8</v>
      </c>
      <c r="E104" s="5">
        <f t="shared" si="19"/>
        <v>54</v>
      </c>
      <c r="F104" s="64">
        <f>1-(1-VLOOKUP($E104,'Annual Mortality Rates'!$B$5:$C$105,2,FALSE))^(1/12)</f>
        <v>1.7349879770289789E-4</v>
      </c>
      <c r="G104" s="75">
        <f>IF(C104&gt;=Assumptions!$H$9*12,100%,1-(1-IF(D104&gt;=7,2%,VLOOKUP($D104,'Annual Lapse Rates'!$B$4:$C$14,2,FALSE)))^(1/12))</f>
        <v>1.6821425527395739E-3</v>
      </c>
      <c r="H104" s="81">
        <f t="shared" si="27"/>
        <v>1</v>
      </c>
      <c r="I104" s="65">
        <f t="shared" si="21"/>
        <v>3094.619908870583</v>
      </c>
      <c r="J104" s="66">
        <f t="shared" si="22"/>
        <v>0.53691283353649755</v>
      </c>
      <c r="K104" s="66">
        <f t="shared" si="23"/>
        <v>5.2152028516989262</v>
      </c>
      <c r="M104" s="97">
        <f t="shared" si="28"/>
        <v>24970.333247622348</v>
      </c>
      <c r="N104" s="97">
        <f>IF(AND(H104=1,D104&lt;15),Assumptions!$H$4,0)</f>
        <v>2500</v>
      </c>
      <c r="O104" s="103"/>
      <c r="P104" s="98">
        <f>$M104*(1+VLOOKUP($H104,Assumptions!$C$22:$D$33,2,FALSE))^(1/12)</f>
        <v>24976.826643375087</v>
      </c>
      <c r="Q104" s="98">
        <f>$M104*(1+VLOOKUP($H104,Assumptions!$C$22:$D$33,2,FALSE))^(1/12)</f>
        <v>24976.826643375087</v>
      </c>
      <c r="R104" s="97">
        <f>IF(AND(H104=12,D104&lt;15),Assumptions!$C$7*M104,0)</f>
        <v>0</v>
      </c>
      <c r="S104" s="99">
        <f>(M104+N104-O104)*Assumptions!$D$17</f>
        <v>111.91753802888432</v>
      </c>
      <c r="T104" s="99">
        <f t="shared" si="24"/>
        <v>0</v>
      </c>
      <c r="U104" s="101"/>
      <c r="V104" s="101">
        <f>IF(C104&gt;=Assumptions!$H$9*12,0,M104+N104-O104+S104-R104)</f>
        <v>27582.250785651231</v>
      </c>
      <c r="W104" s="103"/>
      <c r="X104" s="97">
        <f>IF(AND(H104=1,D104&lt;15),Assumptions!$D$10*N104+Assumptions!$D$11*(1+Assumptions!$D$16)^(B104-1),0)</f>
        <v>20.115785976514751</v>
      </c>
      <c r="Y104" s="100">
        <f>Assumptions!$C$13*N104</f>
        <v>12.5</v>
      </c>
      <c r="AA104" s="67">
        <f t="shared" si="29"/>
        <v>77273690.39922516</v>
      </c>
      <c r="AB104" s="67">
        <f>N104*I104</f>
        <v>7736549.7721764576</v>
      </c>
      <c r="AC104" s="67"/>
      <c r="AD104" s="90">
        <f>P104*J104</f>
        <v>13410.378765844405</v>
      </c>
      <c r="AE104" s="90">
        <f>Q104*K104</f>
        <v>130259.21753691947</v>
      </c>
      <c r="AF104" s="67">
        <f>R104*I105</f>
        <v>0</v>
      </c>
      <c r="AG104" s="68">
        <f>S104*I104</f>
        <v>346342.24133596598</v>
      </c>
      <c r="AH104" s="68">
        <f>T104*$I104</f>
        <v>0</v>
      </c>
      <c r="AI104" s="68">
        <f>U104*$I104</f>
        <v>0</v>
      </c>
      <c r="AJ104" s="67">
        <f>V104*I105</f>
        <v>85197926.115359336</v>
      </c>
      <c r="AK104" s="67">
        <f>W104*$I104</f>
        <v>0</v>
      </c>
      <c r="AL104" s="67">
        <f>X104*$I104</f>
        <v>62250.71176550223</v>
      </c>
      <c r="AM104" s="67">
        <f>Y104*$I104</f>
        <v>38682.74886088229</v>
      </c>
      <c r="AN104" s="65">
        <f>NPV(Assumptions!$D$19,AB104:$AB$259)*(1+Assumptions!$D$19)</f>
        <v>43834018.491493061</v>
      </c>
      <c r="AO104" s="68">
        <f t="shared" si="25"/>
        <v>333323.24021283037</v>
      </c>
      <c r="AQ104" s="67">
        <f t="shared" si="30"/>
        <v>78366747.138870776</v>
      </c>
      <c r="AR104" s="95">
        <f>(AQ104+AB104-AC104)*Assumptions!$D$19</f>
        <v>369641.82613589661</v>
      </c>
      <c r="AS104" s="67">
        <f t="shared" si="31"/>
        <v>1116356.3244455492</v>
      </c>
      <c r="AT104" s="67">
        <f t="shared" si="26"/>
        <v>85980959.199592054</v>
      </c>
      <c r="AU104" s="67"/>
      <c r="AV104" s="67"/>
      <c r="AW104" s="67"/>
      <c r="AY104" s="67"/>
      <c r="AZ104" s="70">
        <f t="shared" si="20"/>
        <v>0</v>
      </c>
    </row>
    <row r="105" spans="2:52" x14ac:dyDescent="0.2">
      <c r="B105" s="5">
        <f t="shared" si="16"/>
        <v>98</v>
      </c>
      <c r="C105" s="5">
        <f t="shared" si="17"/>
        <v>98</v>
      </c>
      <c r="D105" s="5">
        <f t="shared" si="18"/>
        <v>8</v>
      </c>
      <c r="E105" s="5">
        <f t="shared" si="19"/>
        <v>54</v>
      </c>
      <c r="F105" s="64">
        <f>1-(1-VLOOKUP($E105,'Annual Mortality Rates'!$B$5:$C$105,2,FALSE))^(1/12)</f>
        <v>1.7349879770289789E-4</v>
      </c>
      <c r="G105" s="75">
        <f>IF(C105&gt;=Assumptions!$H$9*12,100%,1-(1-IF(D105&gt;=7,2%,VLOOKUP($D105,'Annual Lapse Rates'!$B$4:$C$14,2,FALSE)))^(1/12))</f>
        <v>1.6821425527395739E-3</v>
      </c>
      <c r="H105" s="81">
        <f t="shared" si="27"/>
        <v>2</v>
      </c>
      <c r="I105" s="65">
        <f t="shared" si="21"/>
        <v>3088.8677931853476</v>
      </c>
      <c r="J105" s="66">
        <f t="shared" si="22"/>
        <v>0.53591484838086123</v>
      </c>
      <c r="K105" s="66">
        <f t="shared" si="23"/>
        <v>5.2055918332662703</v>
      </c>
      <c r="M105" s="97">
        <f t="shared" si="28"/>
        <v>27582.250785651231</v>
      </c>
      <c r="N105" s="97">
        <f>IF(AND(H105=1,D105&lt;15),Assumptions!$H$4,0)</f>
        <v>0</v>
      </c>
      <c r="O105" s="103"/>
      <c r="P105" s="98">
        <f>$M105*(1+VLOOKUP($H105,Assumptions!$C$22:$D$33,2,FALSE))^(1/12)</f>
        <v>27596.575552941271</v>
      </c>
      <c r="Q105" s="98">
        <f>$M105*(1+VLOOKUP($H105,Assumptions!$C$22:$D$33,2,FALSE))^(1/12)</f>
        <v>27596.575552941271</v>
      </c>
      <c r="R105" s="97">
        <f>IF(AND(H105=12,D105&lt;15),Assumptions!$C$7*M105,0)</f>
        <v>0</v>
      </c>
      <c r="S105" s="99">
        <f>(M105+N105-O105)*Assumptions!$D$17</f>
        <v>112.37350393237516</v>
      </c>
      <c r="T105" s="99">
        <f t="shared" si="24"/>
        <v>0</v>
      </c>
      <c r="U105" s="101"/>
      <c r="V105" s="101">
        <f>IF(C105&gt;=Assumptions!$H$9*12,0,M105+N105-O105+S105-R105)</f>
        <v>27694.624289583608</v>
      </c>
      <c r="W105" s="103"/>
      <c r="X105" s="97">
        <f>IF(AND(H105=1,D105&lt;15),Assumptions!$D$10*N105+Assumptions!$D$11*(1+Assumptions!$D$16)^(B105-1),0)</f>
        <v>0</v>
      </c>
      <c r="Y105" s="100">
        <f>Assumptions!$C$13*N105</f>
        <v>0</v>
      </c>
      <c r="AA105" s="67">
        <f t="shared" si="29"/>
        <v>85197926.115359336</v>
      </c>
      <c r="AB105" s="67">
        <f>N105*I105</f>
        <v>0</v>
      </c>
      <c r="AC105" s="67"/>
      <c r="AD105" s="90">
        <f>P105*J105</f>
        <v>14789.414603285502</v>
      </c>
      <c r="AE105" s="90">
        <f>Q105*K105</f>
        <v>143656.50832450669</v>
      </c>
      <c r="AF105" s="67">
        <f>R105*I106</f>
        <v>0</v>
      </c>
      <c r="AG105" s="68">
        <f>S105*I105</f>
        <v>347106.89710410062</v>
      </c>
      <c r="AH105" s="68">
        <f>T105*$I105</f>
        <v>0</v>
      </c>
      <c r="AI105" s="68">
        <f>U105*$I105</f>
        <v>0</v>
      </c>
      <c r="AJ105" s="67">
        <f>V105*I106</f>
        <v>85386024.142059103</v>
      </c>
      <c r="AK105" s="67">
        <f>W105*$I105</f>
        <v>0</v>
      </c>
      <c r="AL105" s="67">
        <f>X105*$I105</f>
        <v>0</v>
      </c>
      <c r="AM105" s="67">
        <f>Y105*$I105</f>
        <v>0</v>
      </c>
      <c r="AN105" s="65">
        <f>NPV(Assumptions!$D$19,AB105:$AB$259)*(1+Assumptions!$D$19)</f>
        <v>36252435.308692113</v>
      </c>
      <c r="AO105" s="68">
        <f t="shared" si="25"/>
        <v>334754.19832507428</v>
      </c>
      <c r="AQ105" s="67">
        <f t="shared" si="30"/>
        <v>86314282.439804882</v>
      </c>
      <c r="AR105" s="95">
        <f>(AQ105+AB105-AC105)*Assumptions!$D$19</f>
        <v>370547.58792361064</v>
      </c>
      <c r="AS105" s="67">
        <f t="shared" si="31"/>
        <v>1139797.0152650592</v>
      </c>
      <c r="AT105" s="67">
        <f t="shared" si="26"/>
        <v>86191066.958999097</v>
      </c>
      <c r="AU105" s="67"/>
      <c r="AV105" s="67"/>
      <c r="AW105" s="67"/>
      <c r="AY105" s="67"/>
      <c r="AZ105" s="70">
        <f t="shared" si="20"/>
        <v>0</v>
      </c>
    </row>
    <row r="106" spans="2:52" x14ac:dyDescent="0.2">
      <c r="B106" s="5">
        <f t="shared" si="16"/>
        <v>99</v>
      </c>
      <c r="C106" s="5">
        <f t="shared" si="17"/>
        <v>99</v>
      </c>
      <c r="D106" s="5">
        <f t="shared" si="18"/>
        <v>8</v>
      </c>
      <c r="E106" s="5">
        <f t="shared" si="19"/>
        <v>54</v>
      </c>
      <c r="F106" s="64">
        <f>1-(1-VLOOKUP($E106,'Annual Mortality Rates'!$B$5:$C$105,2,FALSE))^(1/12)</f>
        <v>1.7349879770289789E-4</v>
      </c>
      <c r="G106" s="75">
        <f>IF(C106&gt;=Assumptions!$H$9*12,100%,1-(1-IF(D106&gt;=7,2%,VLOOKUP($D106,'Annual Lapse Rates'!$B$4:$C$14,2,FALSE)))^(1/12))</f>
        <v>1.6821425527395739E-3</v>
      </c>
      <c r="H106" s="81">
        <f t="shared" si="27"/>
        <v>3</v>
      </c>
      <c r="I106" s="65">
        <f t="shared" si="21"/>
        <v>3083.1262865037006</v>
      </c>
      <c r="J106" s="66">
        <f t="shared" si="22"/>
        <v>0.53491870387459239</v>
      </c>
      <c r="K106" s="66">
        <f t="shared" si="23"/>
        <v>5.1959159547038549</v>
      </c>
      <c r="M106" s="97">
        <f t="shared" si="28"/>
        <v>27694.624289583608</v>
      </c>
      <c r="N106" s="97">
        <f>IF(AND(H106=1,D106&lt;15),Assumptions!$H$4,0)</f>
        <v>0</v>
      </c>
      <c r="O106" s="103"/>
      <c r="P106" s="98">
        <f>$M106*(1+VLOOKUP($H106,Assumptions!$C$22:$D$33,2,FALSE))^(1/12)</f>
        <v>27716.168298862038</v>
      </c>
      <c r="Q106" s="98">
        <f>$M106*(1+VLOOKUP($H106,Assumptions!$C$22:$D$33,2,FALSE))^(1/12)</f>
        <v>27716.168298862038</v>
      </c>
      <c r="R106" s="97">
        <f>IF(AND(H106=12,D106&lt;15),Assumptions!$C$7*M106,0)</f>
        <v>0</v>
      </c>
      <c r="S106" s="99">
        <f>(M106+N106-O106)*Assumptions!$D$17</f>
        <v>112.83132749739796</v>
      </c>
      <c r="T106" s="99">
        <f t="shared" si="24"/>
        <v>0</v>
      </c>
      <c r="U106" s="101"/>
      <c r="V106" s="101">
        <f>IF(C106&gt;=Assumptions!$H$9*12,0,M106+N106-O106+S106-R106)</f>
        <v>27807.455617081006</v>
      </c>
      <c r="W106" s="103"/>
      <c r="X106" s="97">
        <f>IF(AND(H106=1,D106&lt;15),Assumptions!$D$10*N106+Assumptions!$D$11*(1+Assumptions!$D$16)^(B106-1),0)</f>
        <v>0</v>
      </c>
      <c r="Y106" s="100">
        <f>Assumptions!$C$13*N106</f>
        <v>0</v>
      </c>
      <c r="AA106" s="67">
        <f t="shared" si="29"/>
        <v>85386024.142059103</v>
      </c>
      <c r="AB106" s="67">
        <f>N106*I106</f>
        <v>0</v>
      </c>
      <c r="AC106" s="67"/>
      <c r="AD106" s="90">
        <f>P106*J106</f>
        <v>14825.896822797347</v>
      </c>
      <c r="AE106" s="90">
        <f>Q106*K106</f>
        <v>144010.88106731448</v>
      </c>
      <c r="AF106" s="67">
        <f>R106*I107</f>
        <v>0</v>
      </c>
      <c r="AG106" s="68">
        <f>S106*I106</f>
        <v>347873.23174833547</v>
      </c>
      <c r="AH106" s="68">
        <f>T106*$I106</f>
        <v>0</v>
      </c>
      <c r="AI106" s="68">
        <f>U106*$I106</f>
        <v>0</v>
      </c>
      <c r="AJ106" s="67">
        <f>V106*I107</f>
        <v>85574537.443390191</v>
      </c>
      <c r="AK106" s="67">
        <f>W106*$I106</f>
        <v>0</v>
      </c>
      <c r="AL106" s="67">
        <f>X106*$I106</f>
        <v>0</v>
      </c>
      <c r="AM106" s="67">
        <f>Y106*$I106</f>
        <v>0</v>
      </c>
      <c r="AN106" s="65">
        <f>NPV(Assumptions!$D$19,AB106:$AB$259)*(1+Assumptions!$D$19)</f>
        <v>36408067.170306221</v>
      </c>
      <c r="AO106" s="68">
        <f t="shared" si="25"/>
        <v>336191.29954668449</v>
      </c>
      <c r="AQ106" s="67">
        <f t="shared" si="30"/>
        <v>86525821.157324165</v>
      </c>
      <c r="AR106" s="95">
        <f>(AQ106+AB106-AC106)*Assumptions!$D$19</f>
        <v>371455.7245530716</v>
      </c>
      <c r="AS106" s="67">
        <f t="shared" si="31"/>
        <v>1163379.5080697953</v>
      </c>
      <c r="AT106" s="67">
        <f t="shared" si="26"/>
        <v>86401725.6519133</v>
      </c>
      <c r="AU106" s="67"/>
      <c r="AV106" s="67"/>
      <c r="AW106" s="67"/>
      <c r="AY106" s="67"/>
      <c r="AZ106" s="70">
        <f t="shared" si="20"/>
        <v>0</v>
      </c>
    </row>
    <row r="107" spans="2:52" x14ac:dyDescent="0.2">
      <c r="B107" s="5">
        <f t="shared" si="16"/>
        <v>100</v>
      </c>
      <c r="C107" s="5">
        <f t="shared" si="17"/>
        <v>100</v>
      </c>
      <c r="D107" s="5">
        <f t="shared" si="18"/>
        <v>8</v>
      </c>
      <c r="E107" s="5">
        <f t="shared" si="19"/>
        <v>54</v>
      </c>
      <c r="F107" s="64">
        <f>1-(1-VLOOKUP($E107,'Annual Mortality Rates'!$B$5:$C$105,2,FALSE))^(1/12)</f>
        <v>1.7349879770289789E-4</v>
      </c>
      <c r="G107" s="75">
        <f>IF(C107&gt;=Assumptions!$H$9*12,100%,1-(1-IF(D107&gt;=7,2%,VLOOKUP($D107,'Annual Lapse Rates'!$B$4:$C$14,2,FALSE)))^(1/12))</f>
        <v>1.6821425527395739E-3</v>
      </c>
      <c r="H107" s="81">
        <f t="shared" si="27"/>
        <v>4</v>
      </c>
      <c r="I107" s="65">
        <f t="shared" si="21"/>
        <v>3077.3954518451224</v>
      </c>
      <c r="J107" s="66">
        <f t="shared" si="22"/>
        <v>0.5339244109514949</v>
      </c>
      <c r="K107" s="66">
        <f t="shared" si="23"/>
        <v>5.186257921997818</v>
      </c>
      <c r="M107" s="97">
        <f t="shared" si="28"/>
        <v>27807.455617081006</v>
      </c>
      <c r="N107" s="97">
        <f>IF(AND(H107=1,D107&lt;15),Assumptions!$H$4,0)</f>
        <v>0</v>
      </c>
      <c r="O107" s="103"/>
      <c r="P107" s="98">
        <f>$M107*(1+VLOOKUP($H107,Assumptions!$C$22:$D$33,2,FALSE))^(1/12)</f>
        <v>27836.257078415299</v>
      </c>
      <c r="Q107" s="98">
        <f>$M107*(1+VLOOKUP($H107,Assumptions!$C$22:$D$33,2,FALSE))^(1/12)</f>
        <v>27836.257078415299</v>
      </c>
      <c r="R107" s="97">
        <f>IF(AND(H107=12,D107&lt;15),Assumptions!$C$7*M107,0)</f>
        <v>0</v>
      </c>
      <c r="S107" s="99">
        <f>(M107+N107-O107)*Assumptions!$D$17</f>
        <v>113.29101629229574</v>
      </c>
      <c r="T107" s="99">
        <f t="shared" si="24"/>
        <v>0</v>
      </c>
      <c r="U107" s="101"/>
      <c r="V107" s="101">
        <f>IF(C107&gt;=Assumptions!$H$9*12,0,M107+N107-O107+S107-R107)</f>
        <v>27920.746633373303</v>
      </c>
      <c r="W107" s="103"/>
      <c r="X107" s="97">
        <f>IF(AND(H107=1,D107&lt;15),Assumptions!$D$10*N107+Assumptions!$D$11*(1+Assumptions!$D$16)^(B107-1),0)</f>
        <v>0</v>
      </c>
      <c r="Y107" s="100">
        <f>Assumptions!$C$13*N107</f>
        <v>0</v>
      </c>
      <c r="AA107" s="67">
        <f t="shared" si="29"/>
        <v>85574537.443390191</v>
      </c>
      <c r="AB107" s="67">
        <f>N107*I107</f>
        <v>0</v>
      </c>
      <c r="AC107" s="67"/>
      <c r="AD107" s="90">
        <f>P107*J107</f>
        <v>14862.45716368727</v>
      </c>
      <c r="AE107" s="90">
        <f>Q107*K107</f>
        <v>144366.00879169919</v>
      </c>
      <c r="AF107" s="67">
        <f>R107*I108</f>
        <v>0</v>
      </c>
      <c r="AG107" s="68">
        <f>S107*I107</f>
        <v>348641.25827282254</v>
      </c>
      <c r="AH107" s="68">
        <f>T107*$I107</f>
        <v>0</v>
      </c>
      <c r="AI107" s="68">
        <f>U107*$I107</f>
        <v>0</v>
      </c>
      <c r="AJ107" s="67">
        <f>V107*I108</f>
        <v>85763466.940048039</v>
      </c>
      <c r="AK107" s="67">
        <f>W107*$I107</f>
        <v>0</v>
      </c>
      <c r="AL107" s="67">
        <f>X107*$I107</f>
        <v>0</v>
      </c>
      <c r="AM107" s="67">
        <f>Y107*$I107</f>
        <v>0</v>
      </c>
      <c r="AN107" s="65">
        <f>NPV(Assumptions!$D$19,AB107:$AB$259)*(1+Assumptions!$D$19)</f>
        <v>36564367.160175517</v>
      </c>
      <c r="AO107" s="68">
        <f t="shared" si="25"/>
        <v>337634.57025005639</v>
      </c>
      <c r="AQ107" s="67">
        <f t="shared" si="30"/>
        <v>86737916.951459989</v>
      </c>
      <c r="AR107" s="95">
        <f>(AQ107+AB107-AC107)*Assumptions!$D$19</f>
        <v>372366.25271485734</v>
      </c>
      <c r="AS107" s="67">
        <f t="shared" si="31"/>
        <v>1187104.5025118301</v>
      </c>
      <c r="AT107" s="67">
        <f t="shared" si="26"/>
        <v>86612936.872309819</v>
      </c>
      <c r="AU107" s="67"/>
      <c r="AV107" s="67"/>
      <c r="AW107" s="67"/>
      <c r="AY107" s="67"/>
      <c r="AZ107" s="70">
        <f t="shared" si="20"/>
        <v>0</v>
      </c>
    </row>
    <row r="108" spans="2:52" x14ac:dyDescent="0.2">
      <c r="B108" s="5">
        <f t="shared" si="16"/>
        <v>101</v>
      </c>
      <c r="C108" s="5">
        <f t="shared" si="17"/>
        <v>101</v>
      </c>
      <c r="D108" s="5">
        <f t="shared" si="18"/>
        <v>8</v>
      </c>
      <c r="E108" s="5">
        <f t="shared" si="19"/>
        <v>54</v>
      </c>
      <c r="F108" s="64">
        <f>1-(1-VLOOKUP($E108,'Annual Mortality Rates'!$B$5:$C$105,2,FALSE))^(1/12)</f>
        <v>1.7349879770289789E-4</v>
      </c>
      <c r="G108" s="75">
        <f>IF(C108&gt;=Assumptions!$H$9*12,100%,1-(1-IF(D108&gt;=7,2%,VLOOKUP($D108,'Annual Lapse Rates'!$B$4:$C$14,2,FALSE)))^(1/12))</f>
        <v>1.6821425527395739E-3</v>
      </c>
      <c r="H108" s="81">
        <f t="shared" si="27"/>
        <v>5</v>
      </c>
      <c r="I108" s="65">
        <f t="shared" si="21"/>
        <v>3071.6752695121731</v>
      </c>
      <c r="J108" s="66">
        <f t="shared" si="22"/>
        <v>0.53293196619408689</v>
      </c>
      <c r="K108" s="66">
        <f t="shared" si="23"/>
        <v>5.1766178411559087</v>
      </c>
      <c r="M108" s="97">
        <f t="shared" si="28"/>
        <v>27920.746633373303</v>
      </c>
      <c r="N108" s="97">
        <f>IF(AND(H108=1,D108&lt;15),Assumptions!$H$4,0)</f>
        <v>0</v>
      </c>
      <c r="O108" s="103"/>
      <c r="P108" s="98">
        <f>$M108*(1+VLOOKUP($H108,Assumptions!$C$22:$D$33,2,FALSE))^(1/12)</f>
        <v>27956.84398619127</v>
      </c>
      <c r="Q108" s="98">
        <f>$M108*(1+VLOOKUP($H108,Assumptions!$C$22:$D$33,2,FALSE))^(1/12)</f>
        <v>27956.84398619127</v>
      </c>
      <c r="R108" s="97">
        <f>IF(AND(H108=12,D108&lt;15),Assumptions!$C$7*M108,0)</f>
        <v>0</v>
      </c>
      <c r="S108" s="99">
        <f>(M108+N108-O108)*Assumptions!$D$17</f>
        <v>113.75257791624587</v>
      </c>
      <c r="T108" s="99">
        <f t="shared" si="24"/>
        <v>0</v>
      </c>
      <c r="U108" s="101"/>
      <c r="V108" s="101">
        <f>IF(C108&gt;=Assumptions!$H$9*12,0,M108+N108-O108+S108-R108)</f>
        <v>28034.499211289549</v>
      </c>
      <c r="W108" s="103"/>
      <c r="X108" s="97">
        <f>IF(AND(H108=1,D108&lt;15),Assumptions!$D$10*N108+Assumptions!$D$11*(1+Assumptions!$D$16)^(B108-1),0)</f>
        <v>0</v>
      </c>
      <c r="Y108" s="100">
        <f>Assumptions!$C$13*N108</f>
        <v>0</v>
      </c>
      <c r="AA108" s="67">
        <f t="shared" si="29"/>
        <v>85763466.940048039</v>
      </c>
      <c r="AB108" s="67">
        <f>N108*I108</f>
        <v>0</v>
      </c>
      <c r="AC108" s="67"/>
      <c r="AD108" s="90">
        <f>P108*J108</f>
        <v>14899.095834142248</v>
      </c>
      <c r="AE108" s="90">
        <f>Q108*K108</f>
        <v>144721.89736132999</v>
      </c>
      <c r="AF108" s="67">
        <f>R108*I109</f>
        <v>0</v>
      </c>
      <c r="AG108" s="68">
        <f>S108*I108</f>
        <v>349410.98042858898</v>
      </c>
      <c r="AH108" s="68">
        <f>T108*$I108</f>
        <v>0</v>
      </c>
      <c r="AI108" s="68">
        <f>U108*$I108</f>
        <v>0</v>
      </c>
      <c r="AJ108" s="67">
        <f>V108*I109</f>
        <v>85952813.55090566</v>
      </c>
      <c r="AK108" s="67">
        <f>W108*$I108</f>
        <v>0</v>
      </c>
      <c r="AL108" s="67">
        <f>X108*$I108</f>
        <v>0</v>
      </c>
      <c r="AM108" s="67">
        <f>Y108*$I108</f>
        <v>0</v>
      </c>
      <c r="AN108" s="65">
        <f>NPV(Assumptions!$D$19,AB108:$AB$259)*(1+Assumptions!$D$19)</f>
        <v>36721338.146577522</v>
      </c>
      <c r="AO108" s="68">
        <f t="shared" si="25"/>
        <v>339084.03692080156</v>
      </c>
      <c r="AQ108" s="67">
        <f t="shared" si="30"/>
        <v>86950571.442559868</v>
      </c>
      <c r="AR108" s="95">
        <f>(AQ108+AB108-AC108)*Assumptions!$D$19</f>
        <v>373279.17936512682</v>
      </c>
      <c r="AS108" s="67">
        <f t="shared" si="31"/>
        <v>1210972.7014483679</v>
      </c>
      <c r="AT108" s="67">
        <f t="shared" si="26"/>
        <v>86824702.215433225</v>
      </c>
      <c r="AU108" s="67"/>
      <c r="AV108" s="67"/>
      <c r="AW108" s="67"/>
      <c r="AY108" s="67"/>
      <c r="AZ108" s="70">
        <f t="shared" si="20"/>
        <v>0</v>
      </c>
    </row>
    <row r="109" spans="2:52" x14ac:dyDescent="0.2">
      <c r="B109" s="5">
        <f t="shared" si="16"/>
        <v>102</v>
      </c>
      <c r="C109" s="5">
        <f t="shared" si="17"/>
        <v>102</v>
      </c>
      <c r="D109" s="5">
        <f t="shared" si="18"/>
        <v>8</v>
      </c>
      <c r="E109" s="5">
        <f t="shared" si="19"/>
        <v>54</v>
      </c>
      <c r="F109" s="64">
        <f>1-(1-VLOOKUP($E109,'Annual Mortality Rates'!$B$5:$C$105,2,FALSE))^(1/12)</f>
        <v>1.7349879770289789E-4</v>
      </c>
      <c r="G109" s="75">
        <f>IF(C109&gt;=Assumptions!$H$9*12,100%,1-(1-IF(D109&gt;=7,2%,VLOOKUP($D109,'Annual Lapse Rates'!$B$4:$C$14,2,FALSE)))^(1/12))</f>
        <v>1.6821425527395739E-3</v>
      </c>
      <c r="H109" s="81">
        <f t="shared" si="27"/>
        <v>6</v>
      </c>
      <c r="I109" s="65">
        <f t="shared" si="21"/>
        <v>3065.9657197048232</v>
      </c>
      <c r="J109" s="66">
        <f t="shared" si="22"/>
        <v>0.53194136616708687</v>
      </c>
      <c r="K109" s="66">
        <f t="shared" si="23"/>
        <v>5.1669956790442253</v>
      </c>
      <c r="M109" s="97">
        <f t="shared" si="28"/>
        <v>28034.499211289549</v>
      </c>
      <c r="N109" s="97">
        <f>IF(AND(H109=1,D109&lt;15),Assumptions!$H$4,0)</f>
        <v>0</v>
      </c>
      <c r="O109" s="103"/>
      <c r="P109" s="98">
        <f>$M109*(1+VLOOKUP($H109,Assumptions!$C$22:$D$33,2,FALSE))^(1/12)</f>
        <v>28077.93112517304</v>
      </c>
      <c r="Q109" s="98">
        <f>$M109*(1+VLOOKUP($H109,Assumptions!$C$22:$D$33,2,FALSE))^(1/12)</f>
        <v>28077.93112517304</v>
      </c>
      <c r="R109" s="97">
        <f>IF(AND(H109=12,D109&lt;15),Assumptions!$C$7*M109,0)</f>
        <v>0</v>
      </c>
      <c r="S109" s="99">
        <f>(M109+N109-O109)*Assumptions!$D$17</f>
        <v>114.21601999938576</v>
      </c>
      <c r="T109" s="99">
        <f t="shared" si="24"/>
        <v>0</v>
      </c>
      <c r="U109" s="101"/>
      <c r="V109" s="101">
        <f>IF(C109&gt;=Assumptions!$H$9*12,0,M109+N109-O109+S109-R109)</f>
        <v>28148.715231288934</v>
      </c>
      <c r="W109" s="103"/>
      <c r="X109" s="97">
        <f>IF(AND(H109=1,D109&lt;15),Assumptions!$D$10*N109+Assumptions!$D$11*(1+Assumptions!$D$16)^(B109-1),0)</f>
        <v>0</v>
      </c>
      <c r="Y109" s="100">
        <f>Assumptions!$C$13*N109</f>
        <v>0</v>
      </c>
      <c r="AA109" s="67">
        <f t="shared" si="29"/>
        <v>85952813.55090566</v>
      </c>
      <c r="AB109" s="67">
        <f>N109*I109</f>
        <v>0</v>
      </c>
      <c r="AC109" s="67"/>
      <c r="AD109" s="90">
        <f>P109*J109</f>
        <v>14935.813041869917</v>
      </c>
      <c r="AE109" s="90">
        <f>Q109*K109</f>
        <v>145078.54880027045</v>
      </c>
      <c r="AF109" s="67">
        <f>R109*I110</f>
        <v>0</v>
      </c>
      <c r="AG109" s="68">
        <f>S109*I109</f>
        <v>350182.40195923724</v>
      </c>
      <c r="AH109" s="68">
        <f>T109*$I109</f>
        <v>0</v>
      </c>
      <c r="AI109" s="68">
        <f>U109*$I109</f>
        <v>0</v>
      </c>
      <c r="AJ109" s="67">
        <f>V109*I110</f>
        <v>86142578.196858197</v>
      </c>
      <c r="AK109" s="67">
        <f>W109*$I109</f>
        <v>0</v>
      </c>
      <c r="AL109" s="67">
        <f>X109*$I109</f>
        <v>0</v>
      </c>
      <c r="AM109" s="67">
        <f>Y109*$I109</f>
        <v>0</v>
      </c>
      <c r="AN109" s="65">
        <f>NPV(Assumptions!$D$19,AB109:$AB$259)*(1+Assumptions!$D$19)</f>
        <v>36878983.010103218</v>
      </c>
      <c r="AO109" s="68">
        <f t="shared" si="25"/>
        <v>340539.72615823481</v>
      </c>
      <c r="AQ109" s="67">
        <f t="shared" si="30"/>
        <v>87163786.252354026</v>
      </c>
      <c r="AR109" s="95">
        <f>(AQ109+AB109-AC109)*Assumptions!$D$19</f>
        <v>374194.51146597485</v>
      </c>
      <c r="AS109" s="67">
        <f t="shared" si="31"/>
        <v>1234984.8109551056</v>
      </c>
      <c r="AT109" s="67">
        <f t="shared" si="26"/>
        <v>87037023.281655073</v>
      </c>
      <c r="AU109" s="67"/>
      <c r="AV109" s="67"/>
      <c r="AW109" s="67"/>
      <c r="AY109" s="67"/>
      <c r="AZ109" s="70">
        <f t="shared" si="20"/>
        <v>0</v>
      </c>
    </row>
    <row r="110" spans="2:52" x14ac:dyDescent="0.2">
      <c r="B110" s="5">
        <f t="shared" si="16"/>
        <v>103</v>
      </c>
      <c r="C110" s="5">
        <f t="shared" si="17"/>
        <v>103</v>
      </c>
      <c r="D110" s="5">
        <f t="shared" si="18"/>
        <v>8</v>
      </c>
      <c r="E110" s="5">
        <f t="shared" si="19"/>
        <v>54</v>
      </c>
      <c r="F110" s="64">
        <f>1-(1-VLOOKUP($E110,'Annual Mortality Rates'!$B$5:$C$105,2,FALSE))^(1/12)</f>
        <v>1.7349879770289789E-4</v>
      </c>
      <c r="G110" s="75">
        <f>IF(C110&gt;=Assumptions!$H$9*12,100%,1-(1-IF(D110&gt;=7,2%,VLOOKUP($D110,'Annual Lapse Rates'!$B$4:$C$14,2,FALSE)))^(1/12))</f>
        <v>1.6821425527395739E-3</v>
      </c>
      <c r="H110" s="81">
        <f t="shared" si="27"/>
        <v>7</v>
      </c>
      <c r="I110" s="65">
        <f t="shared" si="21"/>
        <v>3060.2667826596116</v>
      </c>
      <c r="J110" s="66">
        <f t="shared" si="22"/>
        <v>0.53095260744155814</v>
      </c>
      <c r="K110" s="66">
        <f t="shared" si="23"/>
        <v>5.1573914023562963</v>
      </c>
      <c r="M110" s="97">
        <f t="shared" si="28"/>
        <v>28148.715231288934</v>
      </c>
      <c r="N110" s="97">
        <f>IF(AND(H110=1,D110&lt;15),Assumptions!$H$4,0)</f>
        <v>0</v>
      </c>
      <c r="O110" s="103"/>
      <c r="P110" s="98">
        <f>$M110*(1+VLOOKUP($H110,Assumptions!$C$22:$D$33,2,FALSE))^(1/12)</f>
        <v>28199.520606774684</v>
      </c>
      <c r="Q110" s="98">
        <f>$M110*(1+VLOOKUP($H110,Assumptions!$C$22:$D$33,2,FALSE))^(1/12)</f>
        <v>28199.520606774684</v>
      </c>
      <c r="R110" s="97">
        <f>IF(AND(H110=12,D110&lt;15),Assumptions!$C$7*M110,0)</f>
        <v>0</v>
      </c>
      <c r="S110" s="99">
        <f>(M110+N110-O110)*Assumptions!$D$17</f>
        <v>114.68135020293892</v>
      </c>
      <c r="T110" s="99">
        <f t="shared" si="24"/>
        <v>0</v>
      </c>
      <c r="U110" s="101"/>
      <c r="V110" s="101">
        <f>IF(C110&gt;=Assumptions!$H$9*12,0,M110+N110-O110+S110-R110)</f>
        <v>28263.396581491874</v>
      </c>
      <c r="W110" s="103"/>
      <c r="X110" s="97">
        <f>IF(AND(H110=1,D110&lt;15),Assumptions!$D$10*N110+Assumptions!$D$11*(1+Assumptions!$D$16)^(B110-1),0)</f>
        <v>0</v>
      </c>
      <c r="Y110" s="100">
        <f>Assumptions!$C$13*N110</f>
        <v>0</v>
      </c>
      <c r="AA110" s="67">
        <f t="shared" si="29"/>
        <v>86142578.196858197</v>
      </c>
      <c r="AB110" s="67">
        <f>N110*I110</f>
        <v>0</v>
      </c>
      <c r="AC110" s="67"/>
      <c r="AD110" s="90">
        <f>P110*J110</f>
        <v>14972.608994768969</v>
      </c>
      <c r="AE110" s="90">
        <f>Q110*K110</f>
        <v>145435.96512794896</v>
      </c>
      <c r="AF110" s="67">
        <f>R110*I111</f>
        <v>0</v>
      </c>
      <c r="AG110" s="68">
        <f>S110*I110</f>
        <v>350955.52661660808</v>
      </c>
      <c r="AH110" s="68">
        <f>T110*$I110</f>
        <v>0</v>
      </c>
      <c r="AI110" s="68">
        <f>U110*$I110</f>
        <v>0</v>
      </c>
      <c r="AJ110" s="67">
        <f>V110*I111</f>
        <v>86332761.800833941</v>
      </c>
      <c r="AK110" s="67">
        <f>W110*$I110</f>
        <v>0</v>
      </c>
      <c r="AL110" s="67">
        <f>X110*$I110</f>
        <v>0</v>
      </c>
      <c r="AM110" s="67">
        <f>Y110*$I110</f>
        <v>0</v>
      </c>
      <c r="AN110" s="65">
        <f>NPV(Assumptions!$D$19,AB110:$AB$259)*(1+Assumptions!$D$19)</f>
        <v>37037304.643710025</v>
      </c>
      <c r="AO110" s="68">
        <f t="shared" si="25"/>
        <v>342001.66467586195</v>
      </c>
      <c r="AQ110" s="67">
        <f t="shared" si="30"/>
        <v>87377563.007813305</v>
      </c>
      <c r="AR110" s="95">
        <f>(AQ110+AB110-AC110)*Assumptions!$D$19</f>
        <v>375112.2560019943</v>
      </c>
      <c r="AS110" s="67">
        <f t="shared" si="31"/>
        <v>1259141.5403404918</v>
      </c>
      <c r="AT110" s="67">
        <f t="shared" si="26"/>
        <v>87249901.676498577</v>
      </c>
      <c r="AU110" s="67"/>
      <c r="AV110" s="67"/>
      <c r="AW110" s="67"/>
      <c r="AY110" s="67"/>
      <c r="AZ110" s="70">
        <f t="shared" si="20"/>
        <v>0</v>
      </c>
    </row>
    <row r="111" spans="2:52" x14ac:dyDescent="0.2">
      <c r="B111" s="5">
        <f t="shared" si="16"/>
        <v>104</v>
      </c>
      <c r="C111" s="5">
        <f t="shared" si="17"/>
        <v>104</v>
      </c>
      <c r="D111" s="5">
        <f t="shared" si="18"/>
        <v>8</v>
      </c>
      <c r="E111" s="5">
        <f t="shared" si="19"/>
        <v>54</v>
      </c>
      <c r="F111" s="64">
        <f>1-(1-VLOOKUP($E111,'Annual Mortality Rates'!$B$5:$C$105,2,FALSE))^(1/12)</f>
        <v>1.7349879770289789E-4</v>
      </c>
      <c r="G111" s="75">
        <f>IF(C111&gt;=Assumptions!$H$9*12,100%,1-(1-IF(D111&gt;=7,2%,VLOOKUP($D111,'Annual Lapse Rates'!$B$4:$C$14,2,FALSE)))^(1/12))</f>
        <v>1.6821425527395739E-3</v>
      </c>
      <c r="H111" s="81">
        <f t="shared" si="27"/>
        <v>8</v>
      </c>
      <c r="I111" s="65">
        <f t="shared" si="21"/>
        <v>3054.578438649814</v>
      </c>
      <c r="J111" s="66">
        <f t="shared" si="22"/>
        <v>0.52996568659493781</v>
      </c>
      <c r="K111" s="66">
        <f t="shared" si="23"/>
        <v>5.1478049778471622</v>
      </c>
      <c r="M111" s="97">
        <f t="shared" si="28"/>
        <v>28263.396581491874</v>
      </c>
      <c r="N111" s="97">
        <f>IF(AND(H111=1,D111&lt;15),Assumptions!$H$4,0)</f>
        <v>0</v>
      </c>
      <c r="O111" s="103"/>
      <c r="P111" s="98">
        <f>$M111*(1+VLOOKUP($H111,Assumptions!$C$22:$D$33,2,FALSE))^(1/12)</f>
        <v>28321.614550879382</v>
      </c>
      <c r="Q111" s="98">
        <f>$M111*(1+VLOOKUP($H111,Assumptions!$C$22:$D$33,2,FALSE))^(1/12)</f>
        <v>28321.614550879382</v>
      </c>
      <c r="R111" s="97">
        <f>IF(AND(H111=12,D111&lt;15),Assumptions!$C$7*M111,0)</f>
        <v>0</v>
      </c>
      <c r="S111" s="99">
        <f>(M111+N111-O111)*Assumptions!$D$17</f>
        <v>115.14857621934161</v>
      </c>
      <c r="T111" s="99">
        <f t="shared" si="24"/>
        <v>0</v>
      </c>
      <c r="U111" s="101"/>
      <c r="V111" s="101">
        <f>IF(C111&gt;=Assumptions!$H$9*12,0,M111+N111-O111+S111-R111)</f>
        <v>28378.545157711214</v>
      </c>
      <c r="W111" s="103"/>
      <c r="X111" s="97">
        <f>IF(AND(H111=1,D111&lt;15),Assumptions!$D$10*N111+Assumptions!$D$11*(1+Assumptions!$D$16)^(B111-1),0)</f>
        <v>0</v>
      </c>
      <c r="Y111" s="100">
        <f>Assumptions!$C$13*N111</f>
        <v>0</v>
      </c>
      <c r="AA111" s="67">
        <f t="shared" si="29"/>
        <v>86332761.800833941</v>
      </c>
      <c r="AB111" s="67">
        <f>N111*I111</f>
        <v>0</v>
      </c>
      <c r="AC111" s="67"/>
      <c r="AD111" s="90">
        <f>P111*J111</f>
        <v>15009.483900933972</v>
      </c>
      <c r="AE111" s="90">
        <f>Q111*K111</f>
        <v>145794.14836568551</v>
      </c>
      <c r="AF111" s="67">
        <f>R111*I112</f>
        <v>0</v>
      </c>
      <c r="AG111" s="68">
        <f>S111*I111</f>
        <v>351730.35816082556</v>
      </c>
      <c r="AH111" s="68">
        <f>T111*$I111</f>
        <v>0</v>
      </c>
      <c r="AI111" s="68">
        <f>U111*$I111</f>
        <v>0</v>
      </c>
      <c r="AJ111" s="67">
        <f>V111*I112</f>
        <v>86523365.287798762</v>
      </c>
      <c r="AK111" s="67">
        <f>W111*$I111</f>
        <v>0</v>
      </c>
      <c r="AL111" s="67">
        <f>X111*$I111</f>
        <v>0</v>
      </c>
      <c r="AM111" s="67">
        <f>Y111*$I111</f>
        <v>0</v>
      </c>
      <c r="AN111" s="65">
        <f>NPV(Assumptions!$D$19,AB111:$AB$259)*(1+Assumptions!$D$19)</f>
        <v>37196305.95277483</v>
      </c>
      <c r="AO111" s="68">
        <f t="shared" si="25"/>
        <v>343469.87930186995</v>
      </c>
      <c r="AQ111" s="67">
        <f t="shared" si="30"/>
        <v>87591903.341174439</v>
      </c>
      <c r="AR111" s="95">
        <f>(AQ111+AB111-AC111)*Assumptions!$D$19</f>
        <v>376032.41998038458</v>
      </c>
      <c r="AS111" s="67">
        <f t="shared" si="31"/>
        <v>1283443.602160051</v>
      </c>
      <c r="AT111" s="67">
        <f t="shared" si="26"/>
        <v>87463339.010656938</v>
      </c>
      <c r="AU111" s="67"/>
      <c r="AV111" s="67"/>
      <c r="AW111" s="67"/>
      <c r="AY111" s="67"/>
      <c r="AZ111" s="70">
        <f t="shared" si="20"/>
        <v>0</v>
      </c>
    </row>
    <row r="112" spans="2:52" x14ac:dyDescent="0.2">
      <c r="B112" s="5">
        <f t="shared" si="16"/>
        <v>105</v>
      </c>
      <c r="C112" s="5">
        <f t="shared" si="17"/>
        <v>105</v>
      </c>
      <c r="D112" s="5">
        <f t="shared" si="18"/>
        <v>8</v>
      </c>
      <c r="E112" s="5">
        <f t="shared" si="19"/>
        <v>54</v>
      </c>
      <c r="F112" s="64">
        <f>1-(1-VLOOKUP($E112,'Annual Mortality Rates'!$B$5:$C$105,2,FALSE))^(1/12)</f>
        <v>1.7349879770289789E-4</v>
      </c>
      <c r="G112" s="75">
        <f>IF(C112&gt;=Assumptions!$H$9*12,100%,1-(1-IF(D112&gt;=7,2%,VLOOKUP($D112,'Annual Lapse Rates'!$B$4:$C$14,2,FALSE)))^(1/12))</f>
        <v>1.6821425527395739E-3</v>
      </c>
      <c r="H112" s="81">
        <f t="shared" si="27"/>
        <v>9</v>
      </c>
      <c r="I112" s="65">
        <f t="shared" si="21"/>
        <v>3048.9006679853719</v>
      </c>
      <c r="J112" s="66">
        <f t="shared" si="22"/>
        <v>0.52898060021102433</v>
      </c>
      <c r="K112" s="66">
        <f t="shared" si="23"/>
        <v>5.1382363723336599</v>
      </c>
      <c r="M112" s="97">
        <f t="shared" si="28"/>
        <v>28378.545157711214</v>
      </c>
      <c r="N112" s="97">
        <f>IF(AND(H112=1,D112&lt;15),Assumptions!$H$4,0)</f>
        <v>0</v>
      </c>
      <c r="O112" s="103"/>
      <c r="P112" s="98">
        <f>$M112*(1+VLOOKUP($H112,Assumptions!$C$22:$D$33,2,FALSE))^(1/12)</f>
        <v>28444.215085877731</v>
      </c>
      <c r="Q112" s="98">
        <f>$M112*(1+VLOOKUP($H112,Assumptions!$C$22:$D$33,2,FALSE))^(1/12)</f>
        <v>28444.215085877731</v>
      </c>
      <c r="R112" s="97">
        <f>IF(AND(H112=12,D112&lt;15),Assumptions!$C$7*M112,0)</f>
        <v>0</v>
      </c>
      <c r="S112" s="99">
        <f>(M112+N112-O112)*Assumptions!$D$17</f>
        <v>115.61770577237007</v>
      </c>
      <c r="T112" s="99">
        <f t="shared" si="24"/>
        <v>0</v>
      </c>
      <c r="U112" s="101"/>
      <c r="V112" s="101">
        <f>IF(C112&gt;=Assumptions!$H$9*12,0,M112+N112-O112+S112-R112)</f>
        <v>28494.162863483583</v>
      </c>
      <c r="W112" s="103"/>
      <c r="X112" s="97">
        <f>IF(AND(H112=1,D112&lt;15),Assumptions!$D$10*N112+Assumptions!$D$11*(1+Assumptions!$D$16)^(B112-1),0)</f>
        <v>0</v>
      </c>
      <c r="Y112" s="100">
        <f>Assumptions!$C$13*N112</f>
        <v>0</v>
      </c>
      <c r="AA112" s="67">
        <f t="shared" si="29"/>
        <v>86523365.287798762</v>
      </c>
      <c r="AB112" s="67">
        <f>N112*I112</f>
        <v>0</v>
      </c>
      <c r="AC112" s="67"/>
      <c r="AD112" s="90">
        <f>P112*J112</f>
        <v>15046.437968659075</v>
      </c>
      <c r="AE112" s="90">
        <f>Q112*K112</f>
        <v>146153.10053673876</v>
      </c>
      <c r="AF112" s="67">
        <f>R112*I113</f>
        <v>0</v>
      </c>
      <c r="AG112" s="68">
        <f>S112*I112</f>
        <v>352506.90036031528</v>
      </c>
      <c r="AH112" s="68">
        <f>T112*$I112</f>
        <v>0</v>
      </c>
      <c r="AI112" s="68">
        <f>U112*$I112</f>
        <v>0</v>
      </c>
      <c r="AJ112" s="67">
        <f>V112*I113</f>
        <v>86714389.584760681</v>
      </c>
      <c r="AK112" s="67">
        <f>W112*$I112</f>
        <v>0</v>
      </c>
      <c r="AL112" s="67">
        <f>X112*$I112</f>
        <v>0</v>
      </c>
      <c r="AM112" s="67">
        <f>Y112*$I112</f>
        <v>0</v>
      </c>
      <c r="AN112" s="65">
        <f>NPV(Assumptions!$D$19,AB112:$AB$259)*(1+Assumptions!$D$19)</f>
        <v>37355989.855147332</v>
      </c>
      <c r="AO112" s="68">
        <f t="shared" si="25"/>
        <v>344944.39697961905</v>
      </c>
      <c r="AQ112" s="67">
        <f t="shared" si="30"/>
        <v>87806808.889958814</v>
      </c>
      <c r="AR112" s="95">
        <f>(AQ112+AB112-AC112)*Assumptions!$D$19</f>
        <v>376955.01043103199</v>
      </c>
      <c r="AS112" s="67">
        <f t="shared" si="31"/>
        <v>1307891.7122307676</v>
      </c>
      <c r="AT112" s="67">
        <f t="shared" si="26"/>
        <v>87677336.900011837</v>
      </c>
      <c r="AU112" s="67"/>
      <c r="AV112" s="67"/>
      <c r="AW112" s="67"/>
      <c r="AY112" s="67"/>
      <c r="AZ112" s="70">
        <f t="shared" si="20"/>
        <v>0</v>
      </c>
    </row>
    <row r="113" spans="2:52" x14ac:dyDescent="0.2">
      <c r="B113" s="5">
        <f t="shared" si="16"/>
        <v>106</v>
      </c>
      <c r="C113" s="5">
        <f t="shared" si="17"/>
        <v>106</v>
      </c>
      <c r="D113" s="5">
        <f t="shared" si="18"/>
        <v>8</v>
      </c>
      <c r="E113" s="5">
        <f t="shared" si="19"/>
        <v>54</v>
      </c>
      <c r="F113" s="64">
        <f>1-(1-VLOOKUP($E113,'Annual Mortality Rates'!$B$5:$C$105,2,FALSE))^(1/12)</f>
        <v>1.7349879770289789E-4</v>
      </c>
      <c r="G113" s="75">
        <f>IF(C113&gt;=Assumptions!$H$9*12,100%,1-(1-IF(D113&gt;=7,2%,VLOOKUP($D113,'Annual Lapse Rates'!$B$4:$C$14,2,FALSE)))^(1/12))</f>
        <v>1.6821425527395739E-3</v>
      </c>
      <c r="H113" s="81">
        <f t="shared" si="27"/>
        <v>10</v>
      </c>
      <c r="I113" s="65">
        <f t="shared" si="21"/>
        <v>3043.2334510128271</v>
      </c>
      <c r="J113" s="66">
        <f t="shared" si="22"/>
        <v>0.5279973448799663</v>
      </c>
      <c r="K113" s="66">
        <f t="shared" si="23"/>
        <v>5.1286855526943054</v>
      </c>
      <c r="M113" s="97">
        <f t="shared" si="28"/>
        <v>28494.162863483583</v>
      </c>
      <c r="N113" s="97">
        <f>IF(AND(H113=1,D113&lt;15),Assumptions!$H$4,0)</f>
        <v>0</v>
      </c>
      <c r="O113" s="103"/>
      <c r="P113" s="98">
        <f>$M113*(1+VLOOKUP($H113,Assumptions!$C$22:$D$33,2,FALSE))^(1/12)</f>
        <v>28567.324348706119</v>
      </c>
      <c r="Q113" s="98">
        <f>$M113*(1+VLOOKUP($H113,Assumptions!$C$22:$D$33,2,FALSE))^(1/12)</f>
        <v>28567.324348706119</v>
      </c>
      <c r="R113" s="97">
        <f>IF(AND(H113=12,D113&lt;15),Assumptions!$C$7*M113,0)</f>
        <v>0</v>
      </c>
      <c r="S113" s="99">
        <f>(M113+N113-O113)*Assumptions!$D$17</f>
        <v>116.08874661726814</v>
      </c>
      <c r="T113" s="99">
        <f t="shared" si="24"/>
        <v>0</v>
      </c>
      <c r="U113" s="101"/>
      <c r="V113" s="101">
        <f>IF(C113&gt;=Assumptions!$H$9*12,0,M113+N113-O113+S113-R113)</f>
        <v>28610.251610100851</v>
      </c>
      <c r="W113" s="103"/>
      <c r="X113" s="97">
        <f>IF(AND(H113=1,D113&lt;15),Assumptions!$D$10*N113+Assumptions!$D$11*(1+Assumptions!$D$16)^(B113-1),0)</f>
        <v>0</v>
      </c>
      <c r="Y113" s="100">
        <f>Assumptions!$C$13*N113</f>
        <v>0</v>
      </c>
      <c r="AA113" s="67">
        <f t="shared" si="29"/>
        <v>86714389.584760681</v>
      </c>
      <c r="AB113" s="67">
        <f>N113*I113</f>
        <v>0</v>
      </c>
      <c r="AC113" s="67"/>
      <c r="AD113" s="90">
        <f>P113*J113</f>
        <v>15083.471406441644</v>
      </c>
      <c r="AE113" s="90">
        <f>Q113*K113</f>
        <v>146512.82366634134</v>
      </c>
      <c r="AF113" s="67">
        <f>R113*I114</f>
        <v>0</v>
      </c>
      <c r="AG113" s="68">
        <f>S113*I113</f>
        <v>353285.15699182259</v>
      </c>
      <c r="AH113" s="68">
        <f>T113*$I113</f>
        <v>0</v>
      </c>
      <c r="AI113" s="68">
        <f>U113*$I113</f>
        <v>0</v>
      </c>
      <c r="AJ113" s="67">
        <f>V113*I114</f>
        <v>86905835.620774359</v>
      </c>
      <c r="AK113" s="67">
        <f>W113*$I113</f>
        <v>0</v>
      </c>
      <c r="AL113" s="67">
        <f>X113*$I113</f>
        <v>0</v>
      </c>
      <c r="AM113" s="67">
        <f>Y113*$I113</f>
        <v>0</v>
      </c>
      <c r="AN113" s="65">
        <f>NPV(Assumptions!$D$19,AB113:$AB$259)*(1+Assumptions!$D$19)</f>
        <v>37516359.281203523</v>
      </c>
      <c r="AO113" s="68">
        <f t="shared" si="25"/>
        <v>346425.24476813769</v>
      </c>
      <c r="AQ113" s="67">
        <f t="shared" si="30"/>
        <v>88022281.296991453</v>
      </c>
      <c r="AR113" s="95">
        <f>(AQ113+AB113-AC113)*Assumptions!$D$19</f>
        <v>377880.03440659156</v>
      </c>
      <c r="AS113" s="67">
        <f t="shared" si="31"/>
        <v>1332486.5896455366</v>
      </c>
      <c r="AT113" s="67">
        <f t="shared" si="26"/>
        <v>87891896.965651751</v>
      </c>
      <c r="AU113" s="67"/>
      <c r="AV113" s="67"/>
      <c r="AW113" s="67"/>
      <c r="AY113" s="67"/>
      <c r="AZ113" s="70">
        <f t="shared" si="20"/>
        <v>0</v>
      </c>
    </row>
    <row r="114" spans="2:52" x14ac:dyDescent="0.2">
      <c r="B114" s="5">
        <f t="shared" si="16"/>
        <v>107</v>
      </c>
      <c r="C114" s="5">
        <f t="shared" si="17"/>
        <v>107</v>
      </c>
      <c r="D114" s="5">
        <f t="shared" si="18"/>
        <v>8</v>
      </c>
      <c r="E114" s="5">
        <f t="shared" si="19"/>
        <v>54</v>
      </c>
      <c r="F114" s="64">
        <f>1-(1-VLOOKUP($E114,'Annual Mortality Rates'!$B$5:$C$105,2,FALSE))^(1/12)</f>
        <v>1.7349879770289789E-4</v>
      </c>
      <c r="G114" s="75">
        <f>IF(C114&gt;=Assumptions!$H$9*12,100%,1-(1-IF(D114&gt;=7,2%,VLOOKUP($D114,'Annual Lapse Rates'!$B$4:$C$14,2,FALSE)))^(1/12))</f>
        <v>1.6821425527395739E-3</v>
      </c>
      <c r="H114" s="81">
        <f t="shared" si="27"/>
        <v>11</v>
      </c>
      <c r="I114" s="65">
        <f t="shared" si="21"/>
        <v>3037.5767681152529</v>
      </c>
      <c r="J114" s="66">
        <f t="shared" si="22"/>
        <v>0.52701591719825058</v>
      </c>
      <c r="K114" s="66">
        <f t="shared" si="23"/>
        <v>5.1191524858691801</v>
      </c>
      <c r="M114" s="97">
        <f t="shared" si="28"/>
        <v>28610.251610100851</v>
      </c>
      <c r="N114" s="97">
        <f>IF(AND(H114=1,D114&lt;15),Assumptions!$H$4,0)</f>
        <v>0</v>
      </c>
      <c r="O114" s="103"/>
      <c r="P114" s="98">
        <f>$M114*(1+VLOOKUP($H114,Assumptions!$C$22:$D$33,2,FALSE))^(1/12)</f>
        <v>28690.944484885254</v>
      </c>
      <c r="Q114" s="98">
        <f>$M114*(1+VLOOKUP($H114,Assumptions!$C$22:$D$33,2,FALSE))^(1/12)</f>
        <v>28690.944484885254</v>
      </c>
      <c r="R114" s="97">
        <f>IF(AND(H114=12,D114&lt;15),Assumptions!$C$7*M114,0)</f>
        <v>0</v>
      </c>
      <c r="S114" s="99">
        <f>(M114+N114-O114)*Assumptions!$D$17</f>
        <v>116.56170654087548</v>
      </c>
      <c r="T114" s="99">
        <f t="shared" si="24"/>
        <v>0</v>
      </c>
      <c r="U114" s="101"/>
      <c r="V114" s="101">
        <f>IF(C114&gt;=Assumptions!$H$9*12,0,M114+N114-O114+S114-R114)</f>
        <v>28726.813316641728</v>
      </c>
      <c r="W114" s="103"/>
      <c r="X114" s="97">
        <f>IF(AND(H114=1,D114&lt;15),Assumptions!$D$10*N114+Assumptions!$D$11*(1+Assumptions!$D$16)^(B114-1),0)</f>
        <v>0</v>
      </c>
      <c r="Y114" s="100">
        <f>Assumptions!$C$13*N114</f>
        <v>0</v>
      </c>
      <c r="AA114" s="67">
        <f t="shared" si="29"/>
        <v>86905835.620774359</v>
      </c>
      <c r="AB114" s="67">
        <f>N114*I114</f>
        <v>0</v>
      </c>
      <c r="AC114" s="67"/>
      <c r="AD114" s="90">
        <f>P114*J114</f>
        <v>15120.584422985892</v>
      </c>
      <c r="AE114" s="90">
        <f>Q114*K114</f>
        <v>146873.31978173499</v>
      </c>
      <c r="AF114" s="67">
        <f>R114*I115</f>
        <v>0</v>
      </c>
      <c r="AG114" s="68">
        <f>S114*I114</f>
        <v>354065.13184043107</v>
      </c>
      <c r="AH114" s="68">
        <f>T114*$I114</f>
        <v>0</v>
      </c>
      <c r="AI114" s="68">
        <f>U114*$I114</f>
        <v>0</v>
      </c>
      <c r="AJ114" s="67">
        <f>V114*I115</f>
        <v>87097704.326945558</v>
      </c>
      <c r="AK114" s="67">
        <f>W114*$I114</f>
        <v>0</v>
      </c>
      <c r="AL114" s="67">
        <f>X114*$I114</f>
        <v>0</v>
      </c>
      <c r="AM114" s="67">
        <f>Y114*$I114</f>
        <v>0</v>
      </c>
      <c r="AN114" s="65">
        <f>NPV(Assumptions!$D$19,AB114:$AB$259)*(1+Assumptions!$D$19)</f>
        <v>37677417.173899554</v>
      </c>
      <c r="AO114" s="68">
        <f t="shared" si="25"/>
        <v>347912.44984261889</v>
      </c>
      <c r="AQ114" s="67">
        <f t="shared" si="30"/>
        <v>88238322.210419893</v>
      </c>
      <c r="AR114" s="95">
        <f>(AQ114+AB114-AC114)*Assumptions!$D$19</f>
        <v>378807.49898256775</v>
      </c>
      <c r="AS114" s="67">
        <f t="shared" si="31"/>
        <v>1357228.9567876733</v>
      </c>
      <c r="AT114" s="67">
        <f t="shared" si="26"/>
        <v>88107020.833890617</v>
      </c>
      <c r="AU114" s="67"/>
      <c r="AV114" s="67"/>
      <c r="AW114" s="67"/>
      <c r="AY114" s="67"/>
      <c r="AZ114" s="70">
        <f t="shared" si="20"/>
        <v>0</v>
      </c>
    </row>
    <row r="115" spans="2:52" x14ac:dyDescent="0.2">
      <c r="B115" s="5">
        <f t="shared" si="16"/>
        <v>108</v>
      </c>
      <c r="C115" s="5">
        <f t="shared" si="17"/>
        <v>108</v>
      </c>
      <c r="D115" s="5">
        <f t="shared" si="18"/>
        <v>8</v>
      </c>
      <c r="E115" s="5">
        <f t="shared" si="19"/>
        <v>54</v>
      </c>
      <c r="F115" s="64">
        <f>1-(1-VLOOKUP($E115,'Annual Mortality Rates'!$B$5:$C$105,2,FALSE))^(1/12)</f>
        <v>1.7349879770289789E-4</v>
      </c>
      <c r="G115" s="75">
        <f>IF(C115&gt;=Assumptions!$H$9*12,100%,1-(1-IF(D115&gt;=7,2%,VLOOKUP($D115,'Annual Lapse Rates'!$B$4:$C$14,2,FALSE)))^(1/12))</f>
        <v>1.6821425527395739E-3</v>
      </c>
      <c r="H115" s="81">
        <f t="shared" si="27"/>
        <v>12</v>
      </c>
      <c r="I115" s="65">
        <f t="shared" si="21"/>
        <v>3031.9305997121855</v>
      </c>
      <c r="J115" s="66">
        <f t="shared" si="22"/>
        <v>0.52603631376869031</v>
      </c>
      <c r="K115" s="66">
        <f t="shared" si="23"/>
        <v>5.1096371388598163</v>
      </c>
      <c r="M115" s="97">
        <f t="shared" si="28"/>
        <v>28726.813316641728</v>
      </c>
      <c r="N115" s="97">
        <f>IF(AND(H115=1,D115&lt;15),Assumptions!$H$4,0)</f>
        <v>0</v>
      </c>
      <c r="O115" s="103"/>
      <c r="P115" s="98">
        <f>$M115*(1+VLOOKUP($H115,Assumptions!$C$22:$D$33,2,FALSE))^(1/12)</f>
        <v>28815.077648558748</v>
      </c>
      <c r="Q115" s="98">
        <f>$M115*(1+VLOOKUP($H115,Assumptions!$C$22:$D$33,2,FALSE))^(1/12)</f>
        <v>28815.077648558748</v>
      </c>
      <c r="R115" s="97">
        <f>IF(AND(H115=12,D115&lt;15),Assumptions!$C$7*M115,0)</f>
        <v>14.363406658320864</v>
      </c>
      <c r="S115" s="99">
        <f>(M115+N115-O115)*Assumptions!$D$17</f>
        <v>117.0365933617563</v>
      </c>
      <c r="T115" s="99">
        <f t="shared" si="24"/>
        <v>0</v>
      </c>
      <c r="U115" s="101"/>
      <c r="V115" s="101">
        <f>IF(C115&gt;=Assumptions!$H$9*12,0,M115+N115-O115+S115-R115)</f>
        <v>28829.486503345164</v>
      </c>
      <c r="W115" s="103"/>
      <c r="X115" s="97">
        <f>IF(AND(H115=1,D115&lt;15),Assumptions!$D$10*N115+Assumptions!$D$11*(1+Assumptions!$D$16)^(B115-1),0)</f>
        <v>0</v>
      </c>
      <c r="Y115" s="100">
        <f>Assumptions!$C$13*N115</f>
        <v>0</v>
      </c>
      <c r="AA115" s="67">
        <f t="shared" si="29"/>
        <v>87097704.326945558</v>
      </c>
      <c r="AB115" s="67">
        <f>N115*I115</f>
        <v>0</v>
      </c>
      <c r="AC115" s="67"/>
      <c r="AD115" s="90">
        <f>P115*J115</f>
        <v>15157.777227206425</v>
      </c>
      <c r="AE115" s="90">
        <f>Q115*K115</f>
        <v>147234.59091220517</v>
      </c>
      <c r="AF115" s="67">
        <f>R115*I116</f>
        <v>43467.904693879173</v>
      </c>
      <c r="AG115" s="68">
        <f>S115*I115</f>
        <v>354846.82869958098</v>
      </c>
      <c r="AH115" s="68">
        <f>T115*$I115</f>
        <v>0</v>
      </c>
      <c r="AI115" s="68">
        <f>U115*$I115</f>
        <v>0</v>
      </c>
      <c r="AJ115" s="67">
        <f>V115*I116</f>
        <v>87246528.731741846</v>
      </c>
      <c r="AK115" s="67">
        <f>W115*$I115</f>
        <v>0</v>
      </c>
      <c r="AL115" s="67">
        <f>X115*$I115</f>
        <v>0</v>
      </c>
      <c r="AM115" s="67">
        <f>Y115*$I115</f>
        <v>0</v>
      </c>
      <c r="AN115" s="65">
        <f>NPV(Assumptions!$D$19,AB115:$AB$259)*(1+Assumptions!$D$19)</f>
        <v>37839166.488825701</v>
      </c>
      <c r="AO115" s="68">
        <f t="shared" si="25"/>
        <v>349406.03949491872</v>
      </c>
      <c r="AQ115" s="67">
        <f t="shared" si="30"/>
        <v>88454933.283733234</v>
      </c>
      <c r="AR115" s="95">
        <f>(AQ115+AB115-AC115)*Assumptions!$D$19</f>
        <v>379737.41125739639</v>
      </c>
      <c r="AS115" s="67">
        <f t="shared" si="31"/>
        <v>1382119.5393454889</v>
      </c>
      <c r="AT115" s="67">
        <f t="shared" si="26"/>
        <v>88279242.231592417</v>
      </c>
      <c r="AU115" s="67"/>
      <c r="AV115" s="67"/>
      <c r="AW115" s="67"/>
      <c r="AY115" s="67"/>
      <c r="AZ115" s="70">
        <f t="shared" si="20"/>
        <v>0</v>
      </c>
    </row>
    <row r="116" spans="2:52" x14ac:dyDescent="0.2">
      <c r="B116" s="5">
        <f t="shared" si="16"/>
        <v>109</v>
      </c>
      <c r="C116" s="5">
        <f t="shared" si="17"/>
        <v>109</v>
      </c>
      <c r="D116" s="5">
        <f t="shared" si="18"/>
        <v>9</v>
      </c>
      <c r="E116" s="5">
        <f t="shared" si="19"/>
        <v>55</v>
      </c>
      <c r="F116" s="64">
        <f>1-(1-VLOOKUP($E116,'Annual Mortality Rates'!$B$5:$C$105,2,FALSE))^(1/12)</f>
        <v>1.9186901267576051E-4</v>
      </c>
      <c r="G116" s="75">
        <f>IF(C116&gt;=Assumptions!$H$9*12,100%,1-(1-IF(D116&gt;=7,2%,VLOOKUP($D116,'Annual Lapse Rates'!$B$4:$C$14,2,FALSE)))^(1/12))</f>
        <v>1.6821425527395739E-3</v>
      </c>
      <c r="H116" s="81">
        <f t="shared" si="27"/>
        <v>1</v>
      </c>
      <c r="I116" s="65">
        <f t="shared" si="21"/>
        <v>3026.2949262595571</v>
      </c>
      <c r="J116" s="66">
        <f t="shared" si="22"/>
        <v>0.58065221956708468</v>
      </c>
      <c r="K116" s="66">
        <f t="shared" si="23"/>
        <v>5.1001394787290835</v>
      </c>
      <c r="M116" s="97">
        <f t="shared" si="28"/>
        <v>28829.486503345164</v>
      </c>
      <c r="N116" s="97">
        <f>IF(AND(H116=1,D116&lt;15),Assumptions!$H$4,0)</f>
        <v>2500</v>
      </c>
      <c r="O116" s="103"/>
      <c r="P116" s="98">
        <f>$M116*(1+VLOOKUP($H116,Assumptions!$C$22:$D$33,2,FALSE))^(1/12)</f>
        <v>28836.983450356565</v>
      </c>
      <c r="Q116" s="98">
        <f>$M116*(1+VLOOKUP($H116,Assumptions!$C$22:$D$33,2,FALSE))^(1/12)</f>
        <v>28836.983450356565</v>
      </c>
      <c r="R116" s="97">
        <f>IF(AND(H116=12,D116&lt;15),Assumptions!$C$7*M116,0)</f>
        <v>0</v>
      </c>
      <c r="S116" s="99">
        <f>(M116+N116-O116)*Assumptions!$D$17</f>
        <v>127.64020609276862</v>
      </c>
      <c r="T116" s="99">
        <f t="shared" si="24"/>
        <v>0</v>
      </c>
      <c r="U116" s="101"/>
      <c r="V116" s="101">
        <f>IF(C116&gt;=Assumptions!$H$9*12,0,M116+N116-O116+S116-R116)</f>
        <v>31457.126709437933</v>
      </c>
      <c r="W116" s="103"/>
      <c r="X116" s="97">
        <f>IF(AND(H116=1,D116&lt;15),Assumptions!$D$10*N116+Assumptions!$D$11*(1+Assumptions!$D$16)^(B116-1),0)</f>
        <v>20.268101696045051</v>
      </c>
      <c r="Y116" s="100">
        <f>Assumptions!$C$13*N116</f>
        <v>12.5</v>
      </c>
      <c r="AA116" s="67">
        <f t="shared" si="29"/>
        <v>87246528.731741846</v>
      </c>
      <c r="AB116" s="67">
        <f>N116*I116</f>
        <v>7565737.3156488929</v>
      </c>
      <c r="AC116" s="67"/>
      <c r="AD116" s="90">
        <f>P116*J116</f>
        <v>16744.258446068827</v>
      </c>
      <c r="AE116" s="90">
        <f>Q116*K116</f>
        <v>147072.63774262075</v>
      </c>
      <c r="AF116" s="67">
        <f>R116*I117</f>
        <v>0</v>
      </c>
      <c r="AG116" s="68">
        <f>S116*I116</f>
        <v>386276.90808526991</v>
      </c>
      <c r="AH116" s="68">
        <f>T116*$I116</f>
        <v>0</v>
      </c>
      <c r="AI116" s="68">
        <f>U116*$I116</f>
        <v>0</v>
      </c>
      <c r="AJ116" s="67">
        <f>V116*I117</f>
        <v>95019841.571212783</v>
      </c>
      <c r="AK116" s="67">
        <f>W116*$I116</f>
        <v>0</v>
      </c>
      <c r="AL116" s="67">
        <f>X116*$I116</f>
        <v>61337.25332765386</v>
      </c>
      <c r="AM116" s="67">
        <f>Y116*$I116</f>
        <v>37828.686578244466</v>
      </c>
      <c r="AN116" s="65">
        <f>NPV(Assumptions!$D$19,AB116:$AB$259)*(1+Assumptions!$D$19)</f>
        <v>38001610.194260575</v>
      </c>
      <c r="AO116" s="68">
        <f t="shared" si="25"/>
        <v>281044.18748829974</v>
      </c>
      <c r="AQ116" s="67">
        <f t="shared" si="30"/>
        <v>88628648.271087334</v>
      </c>
      <c r="AR116" s="95">
        <f>(AQ116+AB116-AC116)*Assumptions!$D$19</f>
        <v>412962.9134763091</v>
      </c>
      <c r="AS116" s="67">
        <f t="shared" si="31"/>
        <v>1408805.5447365281</v>
      </c>
      <c r="AT116" s="67">
        <f t="shared" si="26"/>
        <v>96147602.928461015</v>
      </c>
      <c r="AU116" s="67"/>
      <c r="AV116" s="67"/>
      <c r="AW116" s="67"/>
      <c r="AY116" s="67"/>
      <c r="AZ116" s="70">
        <f t="shared" si="20"/>
        <v>0</v>
      </c>
    </row>
    <row r="117" spans="2:52" x14ac:dyDescent="0.2">
      <c r="B117" s="5">
        <f t="shared" si="16"/>
        <v>110</v>
      </c>
      <c r="C117" s="5">
        <f t="shared" si="17"/>
        <v>110</v>
      </c>
      <c r="D117" s="5">
        <f t="shared" si="18"/>
        <v>9</v>
      </c>
      <c r="E117" s="5">
        <f t="shared" si="19"/>
        <v>55</v>
      </c>
      <c r="F117" s="64">
        <f>1-(1-VLOOKUP($E117,'Annual Mortality Rates'!$B$5:$C$105,2,FALSE))^(1/12)</f>
        <v>1.9186901267576051E-4</v>
      </c>
      <c r="G117" s="75">
        <f>IF(C117&gt;=Assumptions!$H$9*12,100%,1-(1-IF(D117&gt;=7,2%,VLOOKUP($D117,'Annual Lapse Rates'!$B$4:$C$14,2,FALSE)))^(1/12))</f>
        <v>1.6821425527395739E-3</v>
      </c>
      <c r="H117" s="81">
        <f t="shared" si="27"/>
        <v>2</v>
      </c>
      <c r="I117" s="65">
        <f t="shared" si="21"/>
        <v>3020.6141345612609</v>
      </c>
      <c r="J117" s="66">
        <f t="shared" si="22"/>
        <v>0.57956225167271591</v>
      </c>
      <c r="K117" s="66">
        <f t="shared" si="23"/>
        <v>5.0906594726010717</v>
      </c>
      <c r="M117" s="97">
        <f t="shared" si="28"/>
        <v>31457.126709437933</v>
      </c>
      <c r="N117" s="97">
        <f>IF(AND(H117=1,D117&lt;15),Assumptions!$H$4,0)</f>
        <v>0</v>
      </c>
      <c r="O117" s="103"/>
      <c r="P117" s="98">
        <f>$M117*(1+VLOOKUP($H117,Assumptions!$C$22:$D$33,2,FALSE))^(1/12)</f>
        <v>31473.463883051063</v>
      </c>
      <c r="Q117" s="98">
        <f>$M117*(1+VLOOKUP($H117,Assumptions!$C$22:$D$33,2,FALSE))^(1/12)</f>
        <v>31473.463883051063</v>
      </c>
      <c r="R117" s="97">
        <f>IF(AND(H117=12,D117&lt;15),Assumptions!$C$7*M117,0)</f>
        <v>0</v>
      </c>
      <c r="S117" s="99">
        <f>(M117+N117-O117)*Assumptions!$D$17</f>
        <v>128.16022809216096</v>
      </c>
      <c r="T117" s="99">
        <f t="shared" si="24"/>
        <v>0</v>
      </c>
      <c r="U117" s="101"/>
      <c r="V117" s="101">
        <f>IF(C117&gt;=Assumptions!$H$9*12,0,M117+N117-O117+S117-R117)</f>
        <v>31585.286937530094</v>
      </c>
      <c r="W117" s="103"/>
      <c r="X117" s="97">
        <f>IF(AND(H117=1,D117&lt;15),Assumptions!$D$10*N117+Assumptions!$D$11*(1+Assumptions!$D$16)^(B117-1),0)</f>
        <v>0</v>
      </c>
      <c r="Y117" s="100">
        <f>Assumptions!$C$13*N117</f>
        <v>0</v>
      </c>
      <c r="AA117" s="67">
        <f t="shared" si="29"/>
        <v>95019841.571212783</v>
      </c>
      <c r="AB117" s="67">
        <f>N117*I117</f>
        <v>0</v>
      </c>
      <c r="AC117" s="67"/>
      <c r="AD117" s="90">
        <f>P117*J117</f>
        <v>18240.831596000975</v>
      </c>
      <c r="AE117" s="90">
        <f>Q117*K117</f>
        <v>160220.68705182159</v>
      </c>
      <c r="AF117" s="67">
        <f>R117*I118</f>
        <v>0</v>
      </c>
      <c r="AG117" s="68">
        <f>S117*I117</f>
        <v>387122.5964637766</v>
      </c>
      <c r="AH117" s="68">
        <f>T117*$I117</f>
        <v>0</v>
      </c>
      <c r="AI117" s="68">
        <f>U117*$I117</f>
        <v>0</v>
      </c>
      <c r="AJ117" s="67">
        <f>V117*I118</f>
        <v>95227868.587515965</v>
      </c>
      <c r="AK117" s="67">
        <f>W117*$I117</f>
        <v>0</v>
      </c>
      <c r="AL117" s="67">
        <f>X117*$I117</f>
        <v>0</v>
      </c>
      <c r="AM117" s="67">
        <f>Y117*$I117</f>
        <v>0</v>
      </c>
      <c r="AN117" s="65">
        <f>NPV(Assumptions!$D$19,AB117:$AB$259)*(1+Assumptions!$D$19)</f>
        <v>30566534.212550066</v>
      </c>
      <c r="AO117" s="68">
        <f t="shared" si="25"/>
        <v>282250.71140102955</v>
      </c>
      <c r="AQ117" s="67">
        <f t="shared" si="30"/>
        <v>96428647.115949318</v>
      </c>
      <c r="AR117" s="95">
        <f>(AQ117+AB117-AC117)*Assumptions!$D$19</f>
        <v>413968.59923467413</v>
      </c>
      <c r="AS117" s="67">
        <f t="shared" si="31"/>
        <v>1435651.5475074255</v>
      </c>
      <c r="AT117" s="67">
        <f t="shared" si="26"/>
        <v>96381269.423622355</v>
      </c>
      <c r="AU117" s="67"/>
      <c r="AV117" s="67"/>
      <c r="AW117" s="67"/>
      <c r="AY117" s="67"/>
      <c r="AZ117" s="70">
        <f t="shared" si="20"/>
        <v>0</v>
      </c>
    </row>
    <row r="118" spans="2:52" x14ac:dyDescent="0.2">
      <c r="B118" s="5">
        <f t="shared" si="16"/>
        <v>111</v>
      </c>
      <c r="C118" s="5">
        <f t="shared" si="17"/>
        <v>111</v>
      </c>
      <c r="D118" s="5">
        <f t="shared" si="18"/>
        <v>9</v>
      </c>
      <c r="E118" s="5">
        <f t="shared" si="19"/>
        <v>55</v>
      </c>
      <c r="F118" s="64">
        <f>1-(1-VLOOKUP($E118,'Annual Mortality Rates'!$B$5:$C$105,2,FALSE))^(1/12)</f>
        <v>1.9186901267576051E-4</v>
      </c>
      <c r="G118" s="75">
        <f>IF(C118&gt;=Assumptions!$H$9*12,100%,1-(1-IF(D118&gt;=7,2%,VLOOKUP($D118,'Annual Lapse Rates'!$B$4:$C$14,2,FALSE)))^(1/12))</f>
        <v>1.6821425527395739E-3</v>
      </c>
      <c r="H118" s="81">
        <f t="shared" si="27"/>
        <v>3</v>
      </c>
      <c r="I118" s="65">
        <f t="shared" si="21"/>
        <v>3014.9439128369872</v>
      </c>
      <c r="J118" s="66">
        <f t="shared" si="22"/>
        <v>0.57847431182882691</v>
      </c>
      <c r="K118" s="66">
        <f t="shared" si="23"/>
        <v>5.0811035711521182</v>
      </c>
      <c r="M118" s="97">
        <f t="shared" si="28"/>
        <v>31585.286937530094</v>
      </c>
      <c r="N118" s="97">
        <f>IF(AND(H118=1,D118&lt;15),Assumptions!$H$4,0)</f>
        <v>0</v>
      </c>
      <c r="O118" s="103"/>
      <c r="P118" s="98">
        <f>$M118*(1+VLOOKUP($H118,Assumptions!$C$22:$D$33,2,FALSE))^(1/12)</f>
        <v>31609.857544003353</v>
      </c>
      <c r="Q118" s="98">
        <f>$M118*(1+VLOOKUP($H118,Assumptions!$C$22:$D$33,2,FALSE))^(1/12)</f>
        <v>31609.857544003353</v>
      </c>
      <c r="R118" s="97">
        <f>IF(AND(H118=12,D118&lt;15),Assumptions!$C$7*M118,0)</f>
        <v>0</v>
      </c>
      <c r="S118" s="99">
        <f>(M118+N118-O118)*Assumptions!$D$17</f>
        <v>128.68236872554903</v>
      </c>
      <c r="T118" s="99">
        <f t="shared" si="24"/>
        <v>0</v>
      </c>
      <c r="U118" s="101"/>
      <c r="V118" s="101">
        <f>IF(C118&gt;=Assumptions!$H$9*12,0,M118+N118-O118+S118-R118)</f>
        <v>31713.969306255643</v>
      </c>
      <c r="W118" s="103"/>
      <c r="X118" s="97">
        <f>IF(AND(H118=1,D118&lt;15),Assumptions!$D$10*N118+Assumptions!$D$11*(1+Assumptions!$D$16)^(B118-1),0)</f>
        <v>0</v>
      </c>
      <c r="Y118" s="100">
        <f>Assumptions!$C$13*N118</f>
        <v>0</v>
      </c>
      <c r="AA118" s="67">
        <f t="shared" si="29"/>
        <v>95227868.587515965</v>
      </c>
      <c r="AB118" s="67">
        <f>N118*I118</f>
        <v>0</v>
      </c>
      <c r="AC118" s="67"/>
      <c r="AD118" s="90">
        <f>P118*J118</f>
        <v>18285.490589774592</v>
      </c>
      <c r="AE118" s="90">
        <f>Q118*K118</f>
        <v>160612.96005044517</v>
      </c>
      <c r="AF118" s="67">
        <f>R118*I119</f>
        <v>0</v>
      </c>
      <c r="AG118" s="68">
        <f>S118*I118</f>
        <v>387970.12427853874</v>
      </c>
      <c r="AH118" s="68">
        <f>T118*$I118</f>
        <v>0</v>
      </c>
      <c r="AI118" s="68">
        <f>U118*$I118</f>
        <v>0</v>
      </c>
      <c r="AJ118" s="67">
        <f>V118*I119</f>
        <v>95436351.032527283</v>
      </c>
      <c r="AK118" s="67">
        <f>W118*$I118</f>
        <v>0</v>
      </c>
      <c r="AL118" s="67">
        <f>X118*$I118</f>
        <v>0</v>
      </c>
      <c r="AM118" s="67">
        <f>Y118*$I118</f>
        <v>0</v>
      </c>
      <c r="AN118" s="65">
        <f>NPV(Assumptions!$D$19,AB118:$AB$259)*(1+Assumptions!$D$19)</f>
        <v>30697756.476160303</v>
      </c>
      <c r="AO118" s="68">
        <f t="shared" si="25"/>
        <v>283462.41492613632</v>
      </c>
      <c r="AQ118" s="67">
        <f t="shared" si="30"/>
        <v>96663520.135023385</v>
      </c>
      <c r="AR118" s="95">
        <f>(AQ118+AB118-AC118)*Assumptions!$D$19</f>
        <v>414976.91012165771</v>
      </c>
      <c r="AS118" s="67">
        <f t="shared" si="31"/>
        <v>1462658.3333505443</v>
      </c>
      <c r="AT118" s="67">
        <f t="shared" si="26"/>
        <v>96615546.950951681</v>
      </c>
      <c r="AU118" s="67"/>
      <c r="AV118" s="67"/>
      <c r="AW118" s="67"/>
      <c r="AY118" s="67"/>
      <c r="AZ118" s="70">
        <f t="shared" si="20"/>
        <v>0</v>
      </c>
    </row>
    <row r="119" spans="2:52" x14ac:dyDescent="0.2">
      <c r="B119" s="5">
        <f t="shared" si="16"/>
        <v>112</v>
      </c>
      <c r="C119" s="5">
        <f t="shared" si="17"/>
        <v>112</v>
      </c>
      <c r="D119" s="5">
        <f t="shared" si="18"/>
        <v>9</v>
      </c>
      <c r="E119" s="5">
        <f t="shared" si="19"/>
        <v>55</v>
      </c>
      <c r="F119" s="64">
        <f>1-(1-VLOOKUP($E119,'Annual Mortality Rates'!$B$5:$C$105,2,FALSE))^(1/12)</f>
        <v>1.9186901267576051E-4</v>
      </c>
      <c r="G119" s="75">
        <f>IF(C119&gt;=Assumptions!$H$9*12,100%,1-(1-IF(D119&gt;=7,2%,VLOOKUP($D119,'Annual Lapse Rates'!$B$4:$C$14,2,FALSE)))^(1/12))</f>
        <v>1.6821425527395739E-3</v>
      </c>
      <c r="H119" s="81">
        <f t="shared" si="27"/>
        <v>4</v>
      </c>
      <c r="I119" s="65">
        <f t="shared" si="21"/>
        <v>3009.2843349540062</v>
      </c>
      <c r="J119" s="66">
        <f t="shared" si="22"/>
        <v>0.57738841420825771</v>
      </c>
      <c r="K119" s="66">
        <f t="shared" si="23"/>
        <v>5.0715654499062488</v>
      </c>
      <c r="M119" s="97">
        <f t="shared" si="28"/>
        <v>31713.969306255643</v>
      </c>
      <c r="N119" s="97">
        <f>IF(AND(H119=1,D119&lt;15),Assumptions!$H$4,0)</f>
        <v>0</v>
      </c>
      <c r="O119" s="103"/>
      <c r="P119" s="98">
        <f>$M119*(1+VLOOKUP($H119,Assumptions!$C$22:$D$33,2,FALSE))^(1/12)</f>
        <v>31746.816923574865</v>
      </c>
      <c r="Q119" s="98">
        <f>$M119*(1+VLOOKUP($H119,Assumptions!$C$22:$D$33,2,FALSE))^(1/12)</f>
        <v>31746.816923574865</v>
      </c>
      <c r="R119" s="97">
        <f>IF(AND(H119=12,D119&lt;15),Assumptions!$C$7*M119,0)</f>
        <v>0</v>
      </c>
      <c r="S119" s="99">
        <f>(M119+N119-O119)*Assumptions!$D$17</f>
        <v>129.20663662451</v>
      </c>
      <c r="T119" s="99">
        <f t="shared" si="24"/>
        <v>0</v>
      </c>
      <c r="U119" s="101"/>
      <c r="V119" s="101">
        <f>IF(C119&gt;=Assumptions!$H$9*12,0,M119+N119-O119+S119-R119)</f>
        <v>31843.175942880152</v>
      </c>
      <c r="W119" s="103"/>
      <c r="X119" s="97">
        <f>IF(AND(H119=1,D119&lt;15),Assumptions!$D$10*N119+Assumptions!$D$11*(1+Assumptions!$D$16)^(B119-1),0)</f>
        <v>0</v>
      </c>
      <c r="Y119" s="100">
        <f>Assumptions!$C$13*N119</f>
        <v>0</v>
      </c>
      <c r="AA119" s="67">
        <f t="shared" si="29"/>
        <v>95436351.032527283</v>
      </c>
      <c r="AB119" s="67">
        <f>N119*I119</f>
        <v>0</v>
      </c>
      <c r="AC119" s="67"/>
      <c r="AD119" s="90">
        <f>P119*J119</f>
        <v>18330.244279662769</v>
      </c>
      <c r="AE119" s="90">
        <f>Q119*K119</f>
        <v>161006.05985410127</v>
      </c>
      <c r="AF119" s="67">
        <f>R119*I120</f>
        <v>0</v>
      </c>
      <c r="AG119" s="68">
        <f>S119*I119</f>
        <v>388819.50756623253</v>
      </c>
      <c r="AH119" s="68">
        <f>T119*$I119</f>
        <v>0</v>
      </c>
      <c r="AI119" s="68">
        <f>U119*$I119</f>
        <v>0</v>
      </c>
      <c r="AJ119" s="67">
        <f>V119*I120</f>
        <v>95645289.908305302</v>
      </c>
      <c r="AK119" s="67">
        <f>W119*$I119</f>
        <v>0</v>
      </c>
      <c r="AL119" s="67">
        <f>X119*$I119</f>
        <v>0</v>
      </c>
      <c r="AM119" s="67">
        <f>Y119*$I119</f>
        <v>0</v>
      </c>
      <c r="AN119" s="65">
        <f>NPV(Assumptions!$D$19,AB119:$AB$259)*(1+Assumptions!$D$19)</f>
        <v>30829542.077515915</v>
      </c>
      <c r="AO119" s="68">
        <f t="shared" si="25"/>
        <v>284679.32029971841</v>
      </c>
      <c r="AQ119" s="67">
        <f t="shared" si="30"/>
        <v>96899009.365877822</v>
      </c>
      <c r="AR119" s="95">
        <f>(AQ119+AB119-AC119)*Assumptions!$D$19</f>
        <v>415987.86640848021</v>
      </c>
      <c r="AS119" s="67">
        <f t="shared" si="31"/>
        <v>1489826.6921927922</v>
      </c>
      <c r="AT119" s="67">
        <f t="shared" si="26"/>
        <v>96850437.28019838</v>
      </c>
      <c r="AU119" s="67"/>
      <c r="AV119" s="67"/>
      <c r="AW119" s="67"/>
      <c r="AY119" s="67"/>
      <c r="AZ119" s="70">
        <f t="shared" si="20"/>
        <v>0</v>
      </c>
    </row>
    <row r="120" spans="2:52" x14ac:dyDescent="0.2">
      <c r="B120" s="5">
        <f t="shared" si="16"/>
        <v>113</v>
      </c>
      <c r="C120" s="5">
        <f t="shared" si="17"/>
        <v>113</v>
      </c>
      <c r="D120" s="5">
        <f t="shared" si="18"/>
        <v>9</v>
      </c>
      <c r="E120" s="5">
        <f t="shared" si="19"/>
        <v>55</v>
      </c>
      <c r="F120" s="64">
        <f>1-(1-VLOOKUP($E120,'Annual Mortality Rates'!$B$5:$C$105,2,FALSE))^(1/12)</f>
        <v>1.9186901267576051E-4</v>
      </c>
      <c r="G120" s="75">
        <f>IF(C120&gt;=Assumptions!$H$9*12,100%,1-(1-IF(D120&gt;=7,2%,VLOOKUP($D120,'Annual Lapse Rates'!$B$4:$C$14,2,FALSE)))^(1/12))</f>
        <v>1.6821425527395739E-3</v>
      </c>
      <c r="H120" s="81">
        <f t="shared" si="27"/>
        <v>5</v>
      </c>
      <c r="I120" s="65">
        <f t="shared" si="21"/>
        <v>3003.6353810898918</v>
      </c>
      <c r="J120" s="66">
        <f t="shared" si="22"/>
        <v>0.57630455500769917</v>
      </c>
      <c r="K120" s="66">
        <f t="shared" si="23"/>
        <v>5.0620452331187433</v>
      </c>
      <c r="M120" s="97">
        <f t="shared" si="28"/>
        <v>31843.175942880152</v>
      </c>
      <c r="N120" s="97">
        <f>IF(AND(H120=1,D120&lt;15),Assumptions!$H$4,0)</f>
        <v>0</v>
      </c>
      <c r="O120" s="103"/>
      <c r="P120" s="98">
        <f>$M120*(1+VLOOKUP($H120,Assumptions!$C$22:$D$33,2,FALSE))^(1/12)</f>
        <v>31884.344410613059</v>
      </c>
      <c r="Q120" s="98">
        <f>$M120*(1+VLOOKUP($H120,Assumptions!$C$22:$D$33,2,FALSE))^(1/12)</f>
        <v>31884.344410613059</v>
      </c>
      <c r="R120" s="97">
        <f>IF(AND(H120=12,D120&lt;15),Assumptions!$C$7*M120,0)</f>
        <v>0</v>
      </c>
      <c r="S120" s="99">
        <f>(M120+N120-O120)*Assumptions!$D$17</f>
        <v>129.73304045578712</v>
      </c>
      <c r="T120" s="99">
        <f t="shared" si="24"/>
        <v>0</v>
      </c>
      <c r="U120" s="101"/>
      <c r="V120" s="101">
        <f>IF(C120&gt;=Assumptions!$H$9*12,0,M120+N120-O120+S120-R120)</f>
        <v>31972.908983335939</v>
      </c>
      <c r="W120" s="103"/>
      <c r="X120" s="97">
        <f>IF(AND(H120=1,D120&lt;15),Assumptions!$D$10*N120+Assumptions!$D$11*(1+Assumptions!$D$16)^(B120-1),0)</f>
        <v>0</v>
      </c>
      <c r="Y120" s="100">
        <f>Assumptions!$C$13*N120</f>
        <v>0</v>
      </c>
      <c r="AA120" s="67">
        <f t="shared" si="29"/>
        <v>95645289.908305302</v>
      </c>
      <c r="AB120" s="67">
        <f>N120*I120</f>
        <v>0</v>
      </c>
      <c r="AC120" s="67"/>
      <c r="AD120" s="90">
        <f>P120*J120</f>
        <v>18375.09291727058</v>
      </c>
      <c r="AE120" s="90">
        <f>Q120*K120</f>
        <v>161399.99363486009</v>
      </c>
      <c r="AF120" s="67">
        <f>R120*I121</f>
        <v>0</v>
      </c>
      <c r="AG120" s="68">
        <f>S120*I120</f>
        <v>389670.75040936848</v>
      </c>
      <c r="AH120" s="68">
        <f>T120*$I120</f>
        <v>0</v>
      </c>
      <c r="AI120" s="68">
        <f>U120*$I120</f>
        <v>0</v>
      </c>
      <c r="AJ120" s="67">
        <f>V120*I121</f>
        <v>95854686.214122698</v>
      </c>
      <c r="AK120" s="67">
        <f>W120*$I120</f>
        <v>0</v>
      </c>
      <c r="AL120" s="67">
        <f>X120*$I120</f>
        <v>0</v>
      </c>
      <c r="AM120" s="67">
        <f>Y120*$I120</f>
        <v>0</v>
      </c>
      <c r="AN120" s="65">
        <f>NPV(Assumptions!$D$19,AB120:$AB$259)*(1+Assumptions!$D$19)</f>
        <v>30961893.43502827</v>
      </c>
      <c r="AO120" s="68">
        <f t="shared" si="25"/>
        <v>285901.44985333388</v>
      </c>
      <c r="AQ120" s="67">
        <f t="shared" si="30"/>
        <v>97135116.600498095</v>
      </c>
      <c r="AR120" s="95">
        <f>(AQ120+AB120-AC120)*Assumptions!$D$19</f>
        <v>417001.47578814311</v>
      </c>
      <c r="AS120" s="67">
        <f t="shared" si="31"/>
        <v>1517157.417571567</v>
      </c>
      <c r="AT120" s="67">
        <f t="shared" si="26"/>
        <v>97085942.181840926</v>
      </c>
      <c r="AU120" s="67"/>
      <c r="AV120" s="67"/>
      <c r="AW120" s="67"/>
      <c r="AY120" s="67"/>
      <c r="AZ120" s="70">
        <f t="shared" si="20"/>
        <v>0</v>
      </c>
    </row>
    <row r="121" spans="2:52" x14ac:dyDescent="0.2">
      <c r="B121" s="5">
        <f t="shared" si="16"/>
        <v>114</v>
      </c>
      <c r="C121" s="5">
        <f t="shared" si="17"/>
        <v>114</v>
      </c>
      <c r="D121" s="5">
        <f t="shared" si="18"/>
        <v>9</v>
      </c>
      <c r="E121" s="5">
        <f t="shared" si="19"/>
        <v>55</v>
      </c>
      <c r="F121" s="64">
        <f>1-(1-VLOOKUP($E121,'Annual Mortality Rates'!$B$5:$C$105,2,FALSE))^(1/12)</f>
        <v>1.9186901267576051E-4</v>
      </c>
      <c r="G121" s="75">
        <f>IF(C121&gt;=Assumptions!$H$9*12,100%,1-(1-IF(D121&gt;=7,2%,VLOOKUP($D121,'Annual Lapse Rates'!$B$4:$C$14,2,FALSE)))^(1/12))</f>
        <v>1.6821425527395739E-3</v>
      </c>
      <c r="H121" s="81">
        <f t="shared" si="27"/>
        <v>6</v>
      </c>
      <c r="I121" s="65">
        <f t="shared" si="21"/>
        <v>2997.9970313017657</v>
      </c>
      <c r="J121" s="66">
        <f t="shared" si="22"/>
        <v>0.5752227304007308</v>
      </c>
      <c r="K121" s="66">
        <f t="shared" si="23"/>
        <v>5.0525428874454539</v>
      </c>
      <c r="M121" s="97">
        <f t="shared" si="28"/>
        <v>31972.908983335939</v>
      </c>
      <c r="N121" s="97">
        <f>IF(AND(H121=1,D121&lt;15),Assumptions!$H$4,0)</f>
        <v>0</v>
      </c>
      <c r="O121" s="103"/>
      <c r="P121" s="98">
        <f>$M121*(1+VLOOKUP($H121,Assumptions!$C$22:$D$33,2,FALSE))^(1/12)</f>
        <v>32022.442403537352</v>
      </c>
      <c r="Q121" s="98">
        <f>$M121*(1+VLOOKUP($H121,Assumptions!$C$22:$D$33,2,FALSE))^(1/12)</f>
        <v>32022.442403537352</v>
      </c>
      <c r="R121" s="97">
        <f>IF(AND(H121=12,D121&lt;15),Assumptions!$C$7*M121,0)</f>
        <v>0</v>
      </c>
      <c r="S121" s="99">
        <f>(M121+N121-O121)*Assumptions!$D$17</f>
        <v>130.26158892143306</v>
      </c>
      <c r="T121" s="99">
        <f t="shared" si="24"/>
        <v>0</v>
      </c>
      <c r="U121" s="101"/>
      <c r="V121" s="101">
        <f>IF(C121&gt;=Assumptions!$H$9*12,0,M121+N121-O121+S121-R121)</f>
        <v>32103.170572257372</v>
      </c>
      <c r="W121" s="103"/>
      <c r="X121" s="97">
        <f>IF(AND(H121=1,D121&lt;15),Assumptions!$D$10*N121+Assumptions!$D$11*(1+Assumptions!$D$16)^(B121-1),0)</f>
        <v>0</v>
      </c>
      <c r="Y121" s="100">
        <f>Assumptions!$C$13*N121</f>
        <v>0</v>
      </c>
      <c r="AA121" s="67">
        <f t="shared" si="29"/>
        <v>95854686.214122698</v>
      </c>
      <c r="AB121" s="67">
        <f>N121*I121</f>
        <v>0</v>
      </c>
      <c r="AC121" s="67"/>
      <c r="AD121" s="90">
        <f>P121*J121</f>
        <v>18420.036753462897</v>
      </c>
      <c r="AE121" s="90">
        <f>Q121*K121</f>
        <v>161794.76360462434</v>
      </c>
      <c r="AF121" s="67">
        <f>R121*I122</f>
        <v>0</v>
      </c>
      <c r="AG121" s="68">
        <f>S121*I121</f>
        <v>390523.8568791073</v>
      </c>
      <c r="AH121" s="68">
        <f>T121*$I121</f>
        <v>0</v>
      </c>
      <c r="AI121" s="68">
        <f>U121*$I121</f>
        <v>0</v>
      </c>
      <c r="AJ121" s="67">
        <f>V121*I122</f>
        <v>96064540.951431409</v>
      </c>
      <c r="AK121" s="67">
        <f>W121*$I121</f>
        <v>0</v>
      </c>
      <c r="AL121" s="67">
        <f>X121*$I121</f>
        <v>0</v>
      </c>
      <c r="AM121" s="67">
        <f>Y121*$I121</f>
        <v>0</v>
      </c>
      <c r="AN121" s="65">
        <f>NPV(Assumptions!$D$19,AB121:$AB$259)*(1+Assumptions!$D$19)</f>
        <v>31094812.977490999</v>
      </c>
      <c r="AO121" s="68">
        <f t="shared" si="25"/>
        <v>287128.82601441012</v>
      </c>
      <c r="AQ121" s="67">
        <f t="shared" si="30"/>
        <v>97371843.631694257</v>
      </c>
      <c r="AR121" s="95">
        <f>(AQ121+AB121-AC121)*Assumptions!$D$19</f>
        <v>418017.74595718761</v>
      </c>
      <c r="AS121" s="67">
        <f t="shared" si="31"/>
        <v>1544651.3066496472</v>
      </c>
      <c r="AT121" s="67">
        <f t="shared" si="26"/>
        <v>97322063.432066634</v>
      </c>
      <c r="AU121" s="67"/>
      <c r="AV121" s="67"/>
      <c r="AW121" s="67"/>
      <c r="AY121" s="67"/>
      <c r="AZ121" s="70">
        <f t="shared" si="20"/>
        <v>0</v>
      </c>
    </row>
    <row r="122" spans="2:52" x14ac:dyDescent="0.2">
      <c r="B122" s="5">
        <f t="shared" si="16"/>
        <v>115</v>
      </c>
      <c r="C122" s="5">
        <f t="shared" si="17"/>
        <v>115</v>
      </c>
      <c r="D122" s="5">
        <f t="shared" si="18"/>
        <v>9</v>
      </c>
      <c r="E122" s="5">
        <f t="shared" si="19"/>
        <v>55</v>
      </c>
      <c r="F122" s="64">
        <f>1-(1-VLOOKUP($E122,'Annual Mortality Rates'!$B$5:$C$105,2,FALSE))^(1/12)</f>
        <v>1.9186901267576051E-4</v>
      </c>
      <c r="G122" s="75">
        <f>IF(C122&gt;=Assumptions!$H$9*12,100%,1-(1-IF(D122&gt;=7,2%,VLOOKUP($D122,'Annual Lapse Rates'!$B$4:$C$14,2,FALSE)))^(1/12))</f>
        <v>1.6821425527395739E-3</v>
      </c>
      <c r="H122" s="81">
        <f t="shared" si="27"/>
        <v>7</v>
      </c>
      <c r="I122" s="65">
        <f t="shared" si="21"/>
        <v>2992.3692656839198</v>
      </c>
      <c r="J122" s="66">
        <f t="shared" si="22"/>
        <v>0.57414293656806414</v>
      </c>
      <c r="K122" s="66">
        <f t="shared" si="23"/>
        <v>5.043058379339616</v>
      </c>
      <c r="M122" s="97">
        <f t="shared" si="28"/>
        <v>32103.170572257372</v>
      </c>
      <c r="N122" s="97">
        <f>IF(AND(H122=1,D122&lt;15),Assumptions!$H$4,0)</f>
        <v>0</v>
      </c>
      <c r="O122" s="103"/>
      <c r="P122" s="98">
        <f>$M122*(1+VLOOKUP($H122,Assumptions!$C$22:$D$33,2,FALSE))^(1/12)</f>
        <v>32161.113310382545</v>
      </c>
      <c r="Q122" s="98">
        <f>$M122*(1+VLOOKUP($H122,Assumptions!$C$22:$D$33,2,FALSE))^(1/12)</f>
        <v>32161.113310382545</v>
      </c>
      <c r="R122" s="97">
        <f>IF(AND(H122=12,D122&lt;15),Assumptions!$C$7*M122,0)</f>
        <v>0</v>
      </c>
      <c r="S122" s="99">
        <f>(M122+N122-O122)*Assumptions!$D$17</f>
        <v>130.79229075895367</v>
      </c>
      <c r="T122" s="99">
        <f t="shared" si="24"/>
        <v>0</v>
      </c>
      <c r="U122" s="101"/>
      <c r="V122" s="101">
        <f>IF(C122&gt;=Assumptions!$H$9*12,0,M122+N122-O122+S122-R122)</f>
        <v>32233.962863016324</v>
      </c>
      <c r="W122" s="103"/>
      <c r="X122" s="97">
        <f>IF(AND(H122=1,D122&lt;15),Assumptions!$D$10*N122+Assumptions!$D$11*(1+Assumptions!$D$16)^(B122-1),0)</f>
        <v>0</v>
      </c>
      <c r="Y122" s="100">
        <f>Assumptions!$C$13*N122</f>
        <v>0</v>
      </c>
      <c r="AA122" s="67">
        <f t="shared" si="29"/>
        <v>96064540.951431409</v>
      </c>
      <c r="AB122" s="67">
        <f>N122*I122</f>
        <v>0</v>
      </c>
      <c r="AC122" s="67"/>
      <c r="AD122" s="90">
        <f>P122*J122</f>
        <v>18465.076039321288</v>
      </c>
      <c r="AE122" s="90">
        <f>Q122*K122</f>
        <v>162190.37196881554</v>
      </c>
      <c r="AF122" s="67">
        <f>R122*I123</f>
        <v>0</v>
      </c>
      <c r="AG122" s="68">
        <f>S122*I122</f>
        <v>391378.83105548791</v>
      </c>
      <c r="AH122" s="68">
        <f>T122*$I122</f>
        <v>0</v>
      </c>
      <c r="AI122" s="68">
        <f>U122*$I122</f>
        <v>0</v>
      </c>
      <c r="AJ122" s="67">
        <f>V122*I123</f>
        <v>96274855.123875856</v>
      </c>
      <c r="AK122" s="67">
        <f>W122*$I122</f>
        <v>0</v>
      </c>
      <c r="AL122" s="67">
        <f>X122*$I122</f>
        <v>0</v>
      </c>
      <c r="AM122" s="67">
        <f>Y122*$I122</f>
        <v>0</v>
      </c>
      <c r="AN122" s="65">
        <f>NPV(Assumptions!$D$19,AB122:$AB$259)*(1+Assumptions!$D$19)</f>
        <v>31228303.144124556</v>
      </c>
      <c r="AO122" s="68">
        <f t="shared" si="25"/>
        <v>288361.47130665561</v>
      </c>
      <c r="AQ122" s="67">
        <f t="shared" si="30"/>
        <v>97609192.258081049</v>
      </c>
      <c r="AR122" s="95">
        <f>(AQ122+AB122-AC122)*Assumptions!$D$19</f>
        <v>419036.68463707459</v>
      </c>
      <c r="AS122" s="67">
        <f t="shared" si="31"/>
        <v>1572309.1602312338</v>
      </c>
      <c r="AT122" s="67">
        <f t="shared" si="26"/>
        <v>97558802.812800437</v>
      </c>
      <c r="AU122" s="67"/>
      <c r="AV122" s="67"/>
      <c r="AW122" s="67"/>
      <c r="AY122" s="67"/>
      <c r="AZ122" s="70">
        <f t="shared" si="20"/>
        <v>0</v>
      </c>
    </row>
    <row r="123" spans="2:52" x14ac:dyDescent="0.2">
      <c r="B123" s="5">
        <f t="shared" si="16"/>
        <v>116</v>
      </c>
      <c r="C123" s="5">
        <f t="shared" si="17"/>
        <v>116</v>
      </c>
      <c r="D123" s="5">
        <f t="shared" si="18"/>
        <v>9</v>
      </c>
      <c r="E123" s="5">
        <f t="shared" si="19"/>
        <v>55</v>
      </c>
      <c r="F123" s="64">
        <f>1-(1-VLOOKUP($E123,'Annual Mortality Rates'!$B$5:$C$105,2,FALSE))^(1/12)</f>
        <v>1.9186901267576051E-4</v>
      </c>
      <c r="G123" s="75">
        <f>IF(C123&gt;=Assumptions!$H$9*12,100%,1-(1-IF(D123&gt;=7,2%,VLOOKUP($D123,'Annual Lapse Rates'!$B$4:$C$14,2,FALSE)))^(1/12))</f>
        <v>1.6821425527395739E-3</v>
      </c>
      <c r="H123" s="81">
        <f t="shared" si="27"/>
        <v>8</v>
      </c>
      <c r="I123" s="65">
        <f t="shared" si="21"/>
        <v>2986.7520643680123</v>
      </c>
      <c r="J123" s="66">
        <f t="shared" si="22"/>
        <v>0.57306516969758003</v>
      </c>
      <c r="K123" s="66">
        <f t="shared" si="23"/>
        <v>5.0335916753169929</v>
      </c>
      <c r="M123" s="97">
        <f t="shared" si="28"/>
        <v>32233.962863016324</v>
      </c>
      <c r="N123" s="97">
        <f>IF(AND(H123=1,D123&lt;15),Assumptions!$H$4,0)</f>
        <v>0</v>
      </c>
      <c r="O123" s="103"/>
      <c r="P123" s="98">
        <f>$M123*(1+VLOOKUP($H123,Assumptions!$C$22:$D$33,2,FALSE))^(1/12)</f>
        <v>32300.359548842331</v>
      </c>
      <c r="Q123" s="98">
        <f>$M123*(1+VLOOKUP($H123,Assumptions!$C$22:$D$33,2,FALSE))^(1/12)</f>
        <v>32300.359548842331</v>
      </c>
      <c r="R123" s="97">
        <f>IF(AND(H123=12,D123&lt;15),Assumptions!$C$7*M123,0)</f>
        <v>0</v>
      </c>
      <c r="S123" s="99">
        <f>(M123+N123-O123)*Assumptions!$D$17</f>
        <v>131.32515474145259</v>
      </c>
      <c r="T123" s="99">
        <f t="shared" si="24"/>
        <v>0</v>
      </c>
      <c r="U123" s="101"/>
      <c r="V123" s="101">
        <f>IF(C123&gt;=Assumptions!$H$9*12,0,M123+N123-O123+S123-R123)</f>
        <v>32365.288017757775</v>
      </c>
      <c r="W123" s="103"/>
      <c r="X123" s="97">
        <f>IF(AND(H123=1,D123&lt;15),Assumptions!$D$10*N123+Assumptions!$D$11*(1+Assumptions!$D$16)^(B123-1),0)</f>
        <v>0</v>
      </c>
      <c r="Y123" s="100">
        <f>Assumptions!$C$13*N123</f>
        <v>0</v>
      </c>
      <c r="AA123" s="67">
        <f t="shared" si="29"/>
        <v>96274855.123875856</v>
      </c>
      <c r="AB123" s="67">
        <f>N123*I123</f>
        <v>0</v>
      </c>
      <c r="AC123" s="67"/>
      <c r="AD123" s="90">
        <f>P123*J123</f>
        <v>18510.21102615018</v>
      </c>
      <c r="AE123" s="90">
        <f>Q123*K123</f>
        <v>162586.82093479851</v>
      </c>
      <c r="AF123" s="67">
        <f>R123*I124</f>
        <v>0</v>
      </c>
      <c r="AG123" s="68">
        <f>S123*I123</f>
        <v>392235.67702748219</v>
      </c>
      <c r="AH123" s="68">
        <f>T123*$I123</f>
        <v>0</v>
      </c>
      <c r="AI123" s="68">
        <f>U123*$I123</f>
        <v>0</v>
      </c>
      <c r="AJ123" s="67">
        <f>V123*I124</f>
        <v>96485629.737297699</v>
      </c>
      <c r="AK123" s="67">
        <f>W123*$I123</f>
        <v>0</v>
      </c>
      <c r="AL123" s="67">
        <f>X123*$I123</f>
        <v>0</v>
      </c>
      <c r="AM123" s="67">
        <f>Y123*$I123</f>
        <v>0</v>
      </c>
      <c r="AN123" s="65">
        <f>NPV(Assumptions!$D$19,AB123:$AB$259)*(1+Assumptions!$D$19)</f>
        <v>31362366.384620961</v>
      </c>
      <c r="AO123" s="68">
        <f t="shared" si="25"/>
        <v>289599.40835047339</v>
      </c>
      <c r="AQ123" s="67">
        <f t="shared" si="30"/>
        <v>97847164.284107089</v>
      </c>
      <c r="AR123" s="95">
        <f>(AQ123+AB123-AC123)*Assumptions!$D$19</f>
        <v>420058.29957430979</v>
      </c>
      <c r="AS123" s="67">
        <f t="shared" si="31"/>
        <v>1600131.7827780615</v>
      </c>
      <c r="AT123" s="67">
        <f t="shared" si="26"/>
        <v>97796162.111725286</v>
      </c>
      <c r="AU123" s="67"/>
      <c r="AV123" s="67"/>
      <c r="AW123" s="67"/>
      <c r="AY123" s="67"/>
      <c r="AZ123" s="70">
        <f t="shared" si="20"/>
        <v>0</v>
      </c>
    </row>
    <row r="124" spans="2:52" x14ac:dyDescent="0.2">
      <c r="B124" s="5">
        <f t="shared" si="16"/>
        <v>117</v>
      </c>
      <c r="C124" s="5">
        <f t="shared" si="17"/>
        <v>117</v>
      </c>
      <c r="D124" s="5">
        <f t="shared" si="18"/>
        <v>9</v>
      </c>
      <c r="E124" s="5">
        <f t="shared" si="19"/>
        <v>55</v>
      </c>
      <c r="F124" s="64">
        <f>1-(1-VLOOKUP($E124,'Annual Mortality Rates'!$B$5:$C$105,2,FALSE))^(1/12)</f>
        <v>1.9186901267576051E-4</v>
      </c>
      <c r="G124" s="75">
        <f>IF(C124&gt;=Assumptions!$H$9*12,100%,1-(1-IF(D124&gt;=7,2%,VLOOKUP($D124,'Annual Lapse Rates'!$B$4:$C$14,2,FALSE)))^(1/12))</f>
        <v>1.6821425527395739E-3</v>
      </c>
      <c r="H124" s="81">
        <f t="shared" si="27"/>
        <v>9</v>
      </c>
      <c r="I124" s="65">
        <f t="shared" si="21"/>
        <v>2981.1454075229976</v>
      </c>
      <c r="J124" s="66">
        <f t="shared" si="22"/>
        <v>0.57198942598431524</v>
      </c>
      <c r="K124" s="66">
        <f t="shared" si="23"/>
        <v>5.0241427419561999</v>
      </c>
      <c r="M124" s="97">
        <f t="shared" si="28"/>
        <v>32365.288017757775</v>
      </c>
      <c r="N124" s="97">
        <f>IF(AND(H124=1,D124&lt;15),Assumptions!$H$4,0)</f>
        <v>0</v>
      </c>
      <c r="O124" s="103"/>
      <c r="P124" s="98">
        <f>$M124*(1+VLOOKUP($H124,Assumptions!$C$22:$D$33,2,FALSE))^(1/12)</f>
        <v>32440.183546312986</v>
      </c>
      <c r="Q124" s="98">
        <f>$M124*(1+VLOOKUP($H124,Assumptions!$C$22:$D$33,2,FALSE))^(1/12)</f>
        <v>32440.183546312986</v>
      </c>
      <c r="R124" s="97">
        <f>IF(AND(H124=12,D124&lt;15),Assumptions!$C$7*M124,0)</f>
        <v>0</v>
      </c>
      <c r="S124" s="99">
        <f>(M124+N124-O124)*Assumptions!$D$17</f>
        <v>131.86018967777602</v>
      </c>
      <c r="T124" s="99">
        <f t="shared" si="24"/>
        <v>0</v>
      </c>
      <c r="U124" s="101"/>
      <c r="V124" s="101">
        <f>IF(C124&gt;=Assumptions!$H$9*12,0,M124+N124-O124+S124-R124)</f>
        <v>32497.148207435552</v>
      </c>
      <c r="W124" s="103"/>
      <c r="X124" s="97">
        <f>IF(AND(H124=1,D124&lt;15),Assumptions!$D$10*N124+Assumptions!$D$11*(1+Assumptions!$D$16)^(B124-1),0)</f>
        <v>0</v>
      </c>
      <c r="Y124" s="100">
        <f>Assumptions!$C$13*N124</f>
        <v>0</v>
      </c>
      <c r="AA124" s="67">
        <f t="shared" si="29"/>
        <v>96485629.737297699</v>
      </c>
      <c r="AB124" s="67">
        <f>N124*I124</f>
        <v>0</v>
      </c>
      <c r="AC124" s="67"/>
      <c r="AD124" s="90">
        <f>P124*J124</f>
        <v>18555.441965481394</v>
      </c>
      <c r="AE124" s="90">
        <f>Q124*K124</f>
        <v>162984.11271193533</v>
      </c>
      <c r="AF124" s="67">
        <f>R124*I125</f>
        <v>0</v>
      </c>
      <c r="AG124" s="68">
        <f>S124*I124</f>
        <v>393094.39889301336</v>
      </c>
      <c r="AH124" s="68">
        <f>T124*$I124</f>
        <v>0</v>
      </c>
      <c r="AI124" s="68">
        <f>U124*$I124</f>
        <v>0</v>
      </c>
      <c r="AJ124" s="67">
        <f>V124*I125</f>
        <v>96696865.799740762</v>
      </c>
      <c r="AK124" s="67">
        <f>W124*$I124</f>
        <v>0</v>
      </c>
      <c r="AL124" s="67">
        <f>X124*$I124</f>
        <v>0</v>
      </c>
      <c r="AM124" s="67">
        <f>Y124*$I124</f>
        <v>0</v>
      </c>
      <c r="AN124" s="65">
        <f>NPV(Assumptions!$D$19,AB124:$AB$259)*(1+Assumptions!$D$19)</f>
        <v>31497005.1591888</v>
      </c>
      <c r="AO124" s="68">
        <f t="shared" si="25"/>
        <v>290842.65986337583</v>
      </c>
      <c r="AQ124" s="67">
        <f t="shared" si="30"/>
        <v>98085761.520075753</v>
      </c>
      <c r="AR124" s="95">
        <f>(AQ124+AB124-AC124)*Assumptions!$D$19</f>
        <v>421082.59854053345</v>
      </c>
      <c r="AS124" s="67">
        <f t="shared" si="31"/>
        <v>1628119.9824255814</v>
      </c>
      <c r="AT124" s="67">
        <f t="shared" si="26"/>
        <v>98034143.122302964</v>
      </c>
      <c r="AU124" s="67"/>
      <c r="AV124" s="67"/>
      <c r="AW124" s="67"/>
      <c r="AY124" s="67"/>
      <c r="AZ124" s="70">
        <f t="shared" si="20"/>
        <v>0</v>
      </c>
    </row>
    <row r="125" spans="2:52" x14ac:dyDescent="0.2">
      <c r="B125" s="5">
        <f t="shared" si="16"/>
        <v>118</v>
      </c>
      <c r="C125" s="5">
        <f t="shared" si="17"/>
        <v>118</v>
      </c>
      <c r="D125" s="5">
        <f t="shared" si="18"/>
        <v>9</v>
      </c>
      <c r="E125" s="5">
        <f t="shared" si="19"/>
        <v>55</v>
      </c>
      <c r="F125" s="64">
        <f>1-(1-VLOOKUP($E125,'Annual Mortality Rates'!$B$5:$C$105,2,FALSE))^(1/12)</f>
        <v>1.9186901267576051E-4</v>
      </c>
      <c r="G125" s="75">
        <f>IF(C125&gt;=Assumptions!$H$9*12,100%,1-(1-IF(D125&gt;=7,2%,VLOOKUP($D125,'Annual Lapse Rates'!$B$4:$C$14,2,FALSE)))^(1/12))</f>
        <v>1.6821425527395739E-3</v>
      </c>
      <c r="H125" s="81">
        <f t="shared" si="27"/>
        <v>10</v>
      </c>
      <c r="I125" s="65">
        <f t="shared" si="21"/>
        <v>2975.5492753550575</v>
      </c>
      <c r="J125" s="66">
        <f t="shared" si="22"/>
        <v>0.57091570163044947</v>
      </c>
      <c r="K125" s="66">
        <f t="shared" si="23"/>
        <v>5.0147115458985922</v>
      </c>
      <c r="M125" s="97">
        <f t="shared" si="28"/>
        <v>32497.148207435552</v>
      </c>
      <c r="N125" s="97">
        <f>IF(AND(H125=1,D125&lt;15),Assumptions!$H$4,0)</f>
        <v>0</v>
      </c>
      <c r="O125" s="103"/>
      <c r="P125" s="98">
        <f>$M125*(1+VLOOKUP($H125,Assumptions!$C$22:$D$33,2,FALSE))^(1/12)</f>
        <v>32580.587739937127</v>
      </c>
      <c r="Q125" s="98">
        <f>$M125*(1+VLOOKUP($H125,Assumptions!$C$22:$D$33,2,FALSE))^(1/12)</f>
        <v>32580.587739937127</v>
      </c>
      <c r="R125" s="97">
        <f>IF(AND(H125=12,D125&lt;15),Assumptions!$C$7*M125,0)</f>
        <v>0</v>
      </c>
      <c r="S125" s="99">
        <f>(M125+N125-O125)*Assumptions!$D$17</f>
        <v>132.39740441265863</v>
      </c>
      <c r="T125" s="99">
        <f t="shared" si="24"/>
        <v>0</v>
      </c>
      <c r="U125" s="101"/>
      <c r="V125" s="101">
        <f>IF(C125&gt;=Assumptions!$H$9*12,0,M125+N125-O125+S125-R125)</f>
        <v>32629.545611848211</v>
      </c>
      <c r="W125" s="103"/>
      <c r="X125" s="97">
        <f>IF(AND(H125=1,D125&lt;15),Assumptions!$D$10*N125+Assumptions!$D$11*(1+Assumptions!$D$16)^(B125-1),0)</f>
        <v>0</v>
      </c>
      <c r="Y125" s="100">
        <f>Assumptions!$C$13*N125</f>
        <v>0</v>
      </c>
      <c r="AA125" s="67">
        <f t="shared" si="29"/>
        <v>96696865.799740762</v>
      </c>
      <c r="AB125" s="67">
        <f>N125*I125</f>
        <v>0</v>
      </c>
      <c r="AC125" s="67"/>
      <c r="AD125" s="90">
        <f>P125*J125</f>
        <v>18600.769109078625</v>
      </c>
      <c r="AE125" s="90">
        <f>Q125*K125</f>
        <v>163382.24951162483</v>
      </c>
      <c r="AF125" s="67">
        <f>R125*I126</f>
        <v>0</v>
      </c>
      <c r="AG125" s="68">
        <f>S125*I125</f>
        <v>393955.00075897691</v>
      </c>
      <c r="AH125" s="68">
        <f>T125*$I125</f>
        <v>0</v>
      </c>
      <c r="AI125" s="68">
        <f>U125*$I125</f>
        <v>0</v>
      </c>
      <c r="AJ125" s="67">
        <f>V125*I126</f>
        <v>96908564.321455717</v>
      </c>
      <c r="AK125" s="67">
        <f>W125*$I125</f>
        <v>0</v>
      </c>
      <c r="AL125" s="67">
        <f>X125*$I125</f>
        <v>0</v>
      </c>
      <c r="AM125" s="67">
        <f>Y125*$I125</f>
        <v>0</v>
      </c>
      <c r="AN125" s="65">
        <f>NPV(Assumptions!$D$19,AB125:$AB$259)*(1+Assumptions!$D$19)</f>
        <v>31632221.938598335</v>
      </c>
      <c r="AO125" s="68">
        <f t="shared" si="25"/>
        <v>292091.24866040162</v>
      </c>
      <c r="AQ125" s="67">
        <f t="shared" si="30"/>
        <v>98324985.782166347</v>
      </c>
      <c r="AR125" s="95">
        <f>(AQ125+AB125-AC125)*Assumptions!$D$19</f>
        <v>422109.58933261118</v>
      </c>
      <c r="AS125" s="67">
        <f t="shared" si="31"/>
        <v>1656274.5709992156</v>
      </c>
      <c r="AT125" s="67">
        <f t="shared" si="26"/>
        <v>98272747.643794537</v>
      </c>
      <c r="AU125" s="67"/>
      <c r="AV125" s="67"/>
      <c r="AW125" s="67"/>
      <c r="AY125" s="67"/>
      <c r="AZ125" s="70">
        <f t="shared" si="20"/>
        <v>0</v>
      </c>
    </row>
    <row r="126" spans="2:52" x14ac:dyDescent="0.2">
      <c r="B126" s="5">
        <f t="shared" si="16"/>
        <v>119</v>
      </c>
      <c r="C126" s="5">
        <f t="shared" si="17"/>
        <v>119</v>
      </c>
      <c r="D126" s="5">
        <f t="shared" si="18"/>
        <v>9</v>
      </c>
      <c r="E126" s="5">
        <f t="shared" si="19"/>
        <v>55</v>
      </c>
      <c r="F126" s="64">
        <f>1-(1-VLOOKUP($E126,'Annual Mortality Rates'!$B$5:$C$105,2,FALSE))^(1/12)</f>
        <v>1.9186901267576051E-4</v>
      </c>
      <c r="G126" s="75">
        <f>IF(C126&gt;=Assumptions!$H$9*12,100%,1-(1-IF(D126&gt;=7,2%,VLOOKUP($D126,'Annual Lapse Rates'!$B$4:$C$14,2,FALSE)))^(1/12))</f>
        <v>1.6821425527395739E-3</v>
      </c>
      <c r="H126" s="81">
        <f t="shared" si="27"/>
        <v>11</v>
      </c>
      <c r="I126" s="65">
        <f t="shared" si="21"/>
        <v>2969.9636481075286</v>
      </c>
      <c r="J126" s="66">
        <f t="shared" si="22"/>
        <v>0.5698439928452913</v>
      </c>
      <c r="K126" s="66">
        <f t="shared" si="23"/>
        <v>5.0052980538481453</v>
      </c>
      <c r="M126" s="97">
        <f t="shared" si="28"/>
        <v>32629.545611848211</v>
      </c>
      <c r="N126" s="97">
        <f>IF(AND(H126=1,D126&lt;15),Assumptions!$H$4,0)</f>
        <v>0</v>
      </c>
      <c r="O126" s="103"/>
      <c r="P126" s="98">
        <f>$M126*(1+VLOOKUP($H126,Assumptions!$C$22:$D$33,2,FALSE))^(1/12)</f>
        <v>32721.574576647639</v>
      </c>
      <c r="Q126" s="98">
        <f>$M126*(1+VLOOKUP($H126,Assumptions!$C$22:$D$33,2,FALSE))^(1/12)</f>
        <v>32721.574576647639</v>
      </c>
      <c r="R126" s="97">
        <f>IF(AND(H126=12,D126&lt;15),Assumptions!$C$7*M126,0)</f>
        <v>0</v>
      </c>
      <c r="S126" s="99">
        <f>(M126+N126-O126)*Assumptions!$D$17</f>
        <v>132.93680782686957</v>
      </c>
      <c r="T126" s="99">
        <f t="shared" si="24"/>
        <v>0</v>
      </c>
      <c r="U126" s="101"/>
      <c r="V126" s="101">
        <f>IF(C126&gt;=Assumptions!$H$9*12,0,M126+N126-O126+S126-R126)</f>
        <v>32762.482419675081</v>
      </c>
      <c r="W126" s="103"/>
      <c r="X126" s="97">
        <f>IF(AND(H126=1,D126&lt;15),Assumptions!$D$10*N126+Assumptions!$D$11*(1+Assumptions!$D$16)^(B126-1),0)</f>
        <v>0</v>
      </c>
      <c r="Y126" s="100">
        <f>Assumptions!$C$13*N126</f>
        <v>0</v>
      </c>
      <c r="AA126" s="67">
        <f t="shared" si="29"/>
        <v>96908564.321455717</v>
      </c>
      <c r="AB126" s="67">
        <f>N126*I126</f>
        <v>0</v>
      </c>
      <c r="AC126" s="67"/>
      <c r="AD126" s="90">
        <f>P126*J126</f>
        <v>18646.192708941864</v>
      </c>
      <c r="AE126" s="90">
        <f>Q126*K126</f>
        <v>163781.23354734137</v>
      </c>
      <c r="AF126" s="67">
        <f>R126*I127</f>
        <v>0</v>
      </c>
      <c r="AG126" s="68">
        <f>S126*I126</f>
        <v>394817.486741259</v>
      </c>
      <c r="AH126" s="68">
        <f>T126*$I126</f>
        <v>0</v>
      </c>
      <c r="AI126" s="68">
        <f>U126*$I126</f>
        <v>0</v>
      </c>
      <c r="AJ126" s="67">
        <f>V126*I127</f>
        <v>97120726.314905003</v>
      </c>
      <c r="AK126" s="67">
        <f>W126*$I126</f>
        <v>0</v>
      </c>
      <c r="AL126" s="67">
        <f>X126*$I126</f>
        <v>0</v>
      </c>
      <c r="AM126" s="67">
        <f>Y126*$I126</f>
        <v>0</v>
      </c>
      <c r="AN126" s="65">
        <f>NPV(Assumptions!$D$19,AB126:$AB$259)*(1+Assumptions!$D$19)</f>
        <v>31768019.204226837</v>
      </c>
      <c r="AO126" s="68">
        <f t="shared" si="25"/>
        <v>293345.19765453466</v>
      </c>
      <c r="AQ126" s="67">
        <f t="shared" si="30"/>
        <v>98564838.892454937</v>
      </c>
      <c r="AR126" s="95">
        <f>(AQ126+AB126-AC126)*Assumptions!$D$19</f>
        <v>423139.27977272338</v>
      </c>
      <c r="AS126" s="67">
        <f t="shared" si="31"/>
        <v>1684596.3640306799</v>
      </c>
      <c r="AT126" s="67">
        <f t="shared" si="26"/>
        <v>98511977.481281146</v>
      </c>
      <c r="AU126" s="67"/>
      <c r="AV126" s="67"/>
      <c r="AW126" s="67"/>
      <c r="AY126" s="67"/>
      <c r="AZ126" s="70">
        <f t="shared" si="20"/>
        <v>0</v>
      </c>
    </row>
    <row r="127" spans="2:52" x14ac:dyDescent="0.2">
      <c r="B127" s="5">
        <f t="shared" si="16"/>
        <v>120</v>
      </c>
      <c r="C127" s="5">
        <f t="shared" si="17"/>
        <v>120</v>
      </c>
      <c r="D127" s="5">
        <f t="shared" si="18"/>
        <v>9</v>
      </c>
      <c r="E127" s="5">
        <f t="shared" si="19"/>
        <v>55</v>
      </c>
      <c r="F127" s="64">
        <f>1-(1-VLOOKUP($E127,'Annual Mortality Rates'!$B$5:$C$105,2,FALSE))^(1/12)</f>
        <v>1.9186901267576051E-4</v>
      </c>
      <c r="G127" s="75">
        <f>IF(C127&gt;=Assumptions!$H$9*12,100%,1-(1-IF(D127&gt;=7,2%,VLOOKUP($D127,'Annual Lapse Rates'!$B$4:$C$14,2,FALSE)))^(1/12))</f>
        <v>1.6821425527395739E-3</v>
      </c>
      <c r="H127" s="81">
        <f t="shared" si="27"/>
        <v>12</v>
      </c>
      <c r="I127" s="65">
        <f t="shared" si="21"/>
        <v>2964.3885060608354</v>
      </c>
      <c r="J127" s="66">
        <f t="shared" si="22"/>
        <v>0.56877429584526518</v>
      </c>
      <c r="K127" s="66">
        <f t="shared" si="23"/>
        <v>4.9959022325713356</v>
      </c>
      <c r="M127" s="97">
        <f t="shared" si="28"/>
        <v>32762.482419675081</v>
      </c>
      <c r="N127" s="97">
        <f>IF(AND(H127=1,D127&lt;15),Assumptions!$H$4,0)</f>
        <v>0</v>
      </c>
      <c r="O127" s="103"/>
      <c r="P127" s="98">
        <f>$M127*(1+VLOOKUP($H127,Assumptions!$C$22:$D$33,2,FALSE))^(1/12)</f>
        <v>32863.146513211708</v>
      </c>
      <c r="Q127" s="98">
        <f>$M127*(1+VLOOKUP($H127,Assumptions!$C$22:$D$33,2,FALSE))^(1/12)</f>
        <v>32863.146513211708</v>
      </c>
      <c r="R127" s="97">
        <f>IF(AND(H127=12,D127&lt;15),Assumptions!$C$7*M127,0)</f>
        <v>16.38124120983754</v>
      </c>
      <c r="S127" s="99">
        <f>(M127+N127-O127)*Assumptions!$D$17</f>
        <v>133.4784088373593</v>
      </c>
      <c r="T127" s="99">
        <f t="shared" si="24"/>
        <v>0</v>
      </c>
      <c r="U127" s="101"/>
      <c r="V127" s="101">
        <f>IF(C127&gt;=Assumptions!$H$9*12,0,M127+N127-O127+S127-R127)</f>
        <v>32879.579587302607</v>
      </c>
      <c r="W127" s="103"/>
      <c r="X127" s="97">
        <f>IF(AND(H127=1,D127&lt;15),Assumptions!$D$10*N127+Assumptions!$D$11*(1+Assumptions!$D$16)^(B127-1),0)</f>
        <v>0</v>
      </c>
      <c r="Y127" s="100">
        <f>Assumptions!$C$13*N127</f>
        <v>0</v>
      </c>
      <c r="AA127" s="67">
        <f t="shared" si="29"/>
        <v>97120726.314905003</v>
      </c>
      <c r="AB127" s="67">
        <f>N127*I127</f>
        <v>0</v>
      </c>
      <c r="AC127" s="67"/>
      <c r="AD127" s="90">
        <f>P127*J127</f>
        <v>18691.713017311769</v>
      </c>
      <c r="AE127" s="90">
        <f>Q127*K127</f>
        <v>164181.06703467327</v>
      </c>
      <c r="AF127" s="67">
        <f>R127*I128</f>
        <v>48469.206848985777</v>
      </c>
      <c r="AG127" s="68">
        <f>S127*I127</f>
        <v>395681.86096475692</v>
      </c>
      <c r="AH127" s="68">
        <f>T127*$I127</f>
        <v>0</v>
      </c>
      <c r="AI127" s="68">
        <f>U127*$I127</f>
        <v>0</v>
      </c>
      <c r="AJ127" s="67">
        <f>V127*I128</f>
        <v>97284883.587918639</v>
      </c>
      <c r="AK127" s="67">
        <f>W127*$I127</f>
        <v>0</v>
      </c>
      <c r="AL127" s="67">
        <f>X127*$I127</f>
        <v>0</v>
      </c>
      <c r="AM127" s="67">
        <f>Y127*$I127</f>
        <v>0</v>
      </c>
      <c r="AN127" s="65">
        <f>NPV(Assumptions!$D$19,AB127:$AB$259)*(1+Assumptions!$D$19)</f>
        <v>31904399.448104165</v>
      </c>
      <c r="AO127" s="68">
        <f t="shared" si="25"/>
        <v>294604.52985712426</v>
      </c>
      <c r="AQ127" s="67">
        <f t="shared" si="30"/>
        <v>98805322.678935677</v>
      </c>
      <c r="AR127" s="95">
        <f>(AQ127+AB127-AC127)*Assumptions!$D$19</f>
        <v>424171.67770845693</v>
      </c>
      <c r="AS127" s="67">
        <f t="shared" si="31"/>
        <v>1713086.18077438</v>
      </c>
      <c r="AT127" s="67">
        <f t="shared" si="26"/>
        <v>98703365.238835886</v>
      </c>
      <c r="AU127" s="67"/>
      <c r="AV127" s="67"/>
      <c r="AW127" s="67"/>
      <c r="AY127" s="67"/>
      <c r="AZ127" s="70">
        <f t="shared" si="20"/>
        <v>0</v>
      </c>
    </row>
    <row r="128" spans="2:52" x14ac:dyDescent="0.2">
      <c r="B128" s="5">
        <f t="shared" si="16"/>
        <v>121</v>
      </c>
      <c r="C128" s="5">
        <f t="shared" si="17"/>
        <v>121</v>
      </c>
      <c r="D128" s="5">
        <f t="shared" si="18"/>
        <v>10</v>
      </c>
      <c r="E128" s="5">
        <f t="shared" si="19"/>
        <v>56</v>
      </c>
      <c r="F128" s="64">
        <f>1-(1-VLOOKUP($E128,'Annual Mortality Rates'!$B$5:$C$105,2,FALSE))^(1/12)</f>
        <v>2.1274876474763893E-4</v>
      </c>
      <c r="G128" s="75">
        <f>IF(C128&gt;=Assumptions!$H$9*12,100%,1-(1-IF(D128&gt;=7,2%,VLOOKUP($D128,'Annual Lapse Rates'!$B$4:$C$14,2,FALSE)))^(1/12))</f>
        <v>1.6821425527395739E-3</v>
      </c>
      <c r="H128" s="81">
        <f t="shared" si="27"/>
        <v>1</v>
      </c>
      <c r="I128" s="65">
        <f t="shared" si="21"/>
        <v>2958.8238295324186</v>
      </c>
      <c r="J128" s="66">
        <f t="shared" si="22"/>
        <v>0.6294861148389006</v>
      </c>
      <c r="K128" s="66">
        <f t="shared" si="23"/>
        <v>4.9865240488970253</v>
      </c>
      <c r="M128" s="97">
        <f t="shared" si="28"/>
        <v>32879.579587302607</v>
      </c>
      <c r="N128" s="97">
        <f>IF(AND(H128=1,D128&lt;15),Assumptions!$H$4,0)</f>
        <v>2500</v>
      </c>
      <c r="O128" s="103"/>
      <c r="P128" s="98">
        <f>$M128*(1+VLOOKUP($H128,Assumptions!$C$22:$D$33,2,FALSE))^(1/12)</f>
        <v>32888.129738408992</v>
      </c>
      <c r="Q128" s="98">
        <f>$M128*(1+VLOOKUP($H128,Assumptions!$C$22:$D$33,2,FALSE))^(1/12)</f>
        <v>32888.129738408992</v>
      </c>
      <c r="R128" s="97">
        <f>IF(AND(H128=12,D128&lt;15),Assumptions!$C$7*M128,0)</f>
        <v>0</v>
      </c>
      <c r="S128" s="99">
        <f>(M128+N128-O128)*Assumptions!$D$17</f>
        <v>144.14078665210934</v>
      </c>
      <c r="T128" s="99">
        <f t="shared" si="24"/>
        <v>0</v>
      </c>
      <c r="U128" s="101"/>
      <c r="V128" s="101">
        <f>IF(C128&gt;=Assumptions!$H$9*12,0,M128+N128-O128+S128-R128)</f>
        <v>35523.720373954719</v>
      </c>
      <c r="W128" s="103"/>
      <c r="X128" s="97">
        <f>IF(AND(H128=1,D128&lt;15),Assumptions!$D$10*N128+Assumptions!$D$11*(1+Assumptions!$D$16)^(B128-1),0)</f>
        <v>20.423463729965952</v>
      </c>
      <c r="Y128" s="100">
        <f>Assumptions!$C$13*N128</f>
        <v>12.5</v>
      </c>
      <c r="AA128" s="67">
        <f t="shared" si="29"/>
        <v>97284883.587918639</v>
      </c>
      <c r="AB128" s="67">
        <f>N128*I128</f>
        <v>7397059.573831046</v>
      </c>
      <c r="AC128" s="67"/>
      <c r="AD128" s="90">
        <f>P128*J128</f>
        <v>20702.621013348784</v>
      </c>
      <c r="AE128" s="90">
        <f>Q128*K128</f>
        <v>163997.44986382188</v>
      </c>
      <c r="AF128" s="67">
        <f>R128*I129</f>
        <v>0</v>
      </c>
      <c r="AG128" s="68">
        <f>S128*I128</f>
        <v>426487.19435380946</v>
      </c>
      <c r="AH128" s="68">
        <f>T128*$I128</f>
        <v>0</v>
      </c>
      <c r="AI128" s="68">
        <f>U128*$I128</f>
        <v>0</v>
      </c>
      <c r="AJ128" s="67">
        <f>V128*I129</f>
        <v>104908928.78142965</v>
      </c>
      <c r="AK128" s="67">
        <f>W128*$I128</f>
        <v>0</v>
      </c>
      <c r="AL128" s="67">
        <f>X128*$I128</f>
        <v>60429.431165814312</v>
      </c>
      <c r="AM128" s="67">
        <f>Y128*$I128</f>
        <v>36985.297869155234</v>
      </c>
      <c r="AN128" s="65">
        <f>NPV(Assumptions!$D$19,AB128:$AB$259)*(1+Assumptions!$D$19)</f>
        <v>32041365.172958463</v>
      </c>
      <c r="AO128" s="68">
        <f t="shared" si="25"/>
        <v>227564.9813279169</v>
      </c>
      <c r="AQ128" s="67">
        <f t="shared" si="30"/>
        <v>98997969.768693015</v>
      </c>
      <c r="AR128" s="95">
        <f>(AQ128+AB128-AC128)*Assumptions!$D$19</f>
        <v>456754.32124953892</v>
      </c>
      <c r="AS128" s="67">
        <f t="shared" si="31"/>
        <v>1743353.3076701094</v>
      </c>
      <c r="AT128" s="67">
        <f t="shared" si="26"/>
        <v>106424717.10777184</v>
      </c>
      <c r="AU128" s="67"/>
      <c r="AV128" s="67"/>
      <c r="AW128" s="67"/>
      <c r="AY128" s="67"/>
      <c r="AZ128" s="70">
        <f t="shared" si="20"/>
        <v>0</v>
      </c>
    </row>
    <row r="129" spans="2:52" x14ac:dyDescent="0.2">
      <c r="B129" s="5">
        <f t="shared" si="16"/>
        <v>122</v>
      </c>
      <c r="C129" s="5">
        <f t="shared" si="17"/>
        <v>122</v>
      </c>
      <c r="D129" s="5">
        <f t="shared" si="18"/>
        <v>10</v>
      </c>
      <c r="E129" s="5">
        <f t="shared" si="19"/>
        <v>56</v>
      </c>
      <c r="F129" s="64">
        <f>1-(1-VLOOKUP($E129,'Annual Mortality Rates'!$B$5:$C$105,2,FALSE))^(1/12)</f>
        <v>2.1274876474763893E-4</v>
      </c>
      <c r="G129" s="75">
        <f>IF(C129&gt;=Assumptions!$H$9*12,100%,1-(1-IF(D129&gt;=7,2%,VLOOKUP($D129,'Annual Lapse Rates'!$B$4:$C$14,2,FALSE)))^(1/12))</f>
        <v>1.6821425527395739E-3</v>
      </c>
      <c r="H129" s="81">
        <f t="shared" si="27"/>
        <v>2</v>
      </c>
      <c r="I129" s="65">
        <f t="shared" si="21"/>
        <v>2953.2078193686825</v>
      </c>
      <c r="J129" s="66">
        <f t="shared" si="22"/>
        <v>0.62829131561375562</v>
      </c>
      <c r="K129" s="66">
        <f t="shared" si="23"/>
        <v>4.9771634697163449</v>
      </c>
      <c r="M129" s="97">
        <f t="shared" si="28"/>
        <v>35523.720373954719</v>
      </c>
      <c r="N129" s="97">
        <f>IF(AND(H129=1,D129&lt;15),Assumptions!$H$4,0)</f>
        <v>0</v>
      </c>
      <c r="O129" s="103"/>
      <c r="P129" s="98">
        <f>$M129*(1+VLOOKUP($H129,Assumptions!$C$22:$D$33,2,FALSE))^(1/12)</f>
        <v>35542.169521980672</v>
      </c>
      <c r="Q129" s="98">
        <f>$M129*(1+VLOOKUP($H129,Assumptions!$C$22:$D$33,2,FALSE))^(1/12)</f>
        <v>35542.169521980672</v>
      </c>
      <c r="R129" s="97">
        <f>IF(AND(H129=12,D129&lt;15),Assumptions!$C$7*M129,0)</f>
        <v>0</v>
      </c>
      <c r="S129" s="99">
        <f>(M129+N129-O129)*Assumptions!$D$17</f>
        <v>144.72803405920251</v>
      </c>
      <c r="T129" s="99">
        <f t="shared" si="24"/>
        <v>0</v>
      </c>
      <c r="U129" s="101"/>
      <c r="V129" s="101">
        <f>IF(C129&gt;=Assumptions!$H$9*12,0,M129+N129-O129+S129-R129)</f>
        <v>35668.448408013923</v>
      </c>
      <c r="W129" s="103"/>
      <c r="X129" s="97">
        <f>IF(AND(H129=1,D129&lt;15),Assumptions!$D$10*N129+Assumptions!$D$11*(1+Assumptions!$D$16)^(B129-1),0)</f>
        <v>0</v>
      </c>
      <c r="Y129" s="100">
        <f>Assumptions!$C$13*N129</f>
        <v>0</v>
      </c>
      <c r="AA129" s="67">
        <f t="shared" si="29"/>
        <v>104908928.78142965</v>
      </c>
      <c r="AB129" s="67">
        <f>N129*I129</f>
        <v>0</v>
      </c>
      <c r="AC129" s="67"/>
      <c r="AD129" s="90">
        <f>P129*J129</f>
        <v>22330.836448732363</v>
      </c>
      <c r="AE129" s="90">
        <f>Q129*K129</f>
        <v>176899.18777926784</v>
      </c>
      <c r="AF129" s="67">
        <f>R129*I130</f>
        <v>0</v>
      </c>
      <c r="AG129" s="68">
        <f>S129*I129</f>
        <v>427411.96186549385</v>
      </c>
      <c r="AH129" s="68">
        <f>T129*$I129</f>
        <v>0</v>
      </c>
      <c r="AI129" s="68">
        <f>U129*$I129</f>
        <v>0</v>
      </c>
      <c r="AJ129" s="67">
        <f>V129*I130</f>
        <v>105136402.86848116</v>
      </c>
      <c r="AK129" s="67">
        <f>W129*$I129</f>
        <v>0</v>
      </c>
      <c r="AL129" s="67">
        <f>X129*$I129</f>
        <v>0</v>
      </c>
      <c r="AM129" s="67">
        <f>Y129*$I129</f>
        <v>0</v>
      </c>
      <c r="AN129" s="65">
        <f>NPV(Assumptions!$D$19,AB129:$AB$259)*(1+Assumptions!$D$19)</f>
        <v>24750103.709679715</v>
      </c>
      <c r="AO129" s="68">
        <f t="shared" si="25"/>
        <v>228541.9187772405</v>
      </c>
      <c r="AQ129" s="67">
        <f t="shared" si="30"/>
        <v>106652282.08909976</v>
      </c>
      <c r="AR129" s="95">
        <f>(AQ129+AB129-AC129)*Assumptions!$D$19</f>
        <v>457858.70840350533</v>
      </c>
      <c r="AS129" s="67">
        <f t="shared" si="31"/>
        <v>1773800.054208121</v>
      </c>
      <c r="AT129" s="67">
        <f t="shared" si="26"/>
        <v>106681661.00391203</v>
      </c>
      <c r="AU129" s="67"/>
      <c r="AV129" s="67"/>
      <c r="AW129" s="67"/>
      <c r="AY129" s="67"/>
      <c r="AZ129" s="70">
        <f t="shared" si="20"/>
        <v>0</v>
      </c>
    </row>
    <row r="130" spans="2:52" x14ac:dyDescent="0.2">
      <c r="B130" s="5">
        <f t="shared" si="16"/>
        <v>123</v>
      </c>
      <c r="C130" s="5">
        <f t="shared" si="17"/>
        <v>123</v>
      </c>
      <c r="D130" s="5">
        <f t="shared" si="18"/>
        <v>10</v>
      </c>
      <c r="E130" s="5">
        <f t="shared" si="19"/>
        <v>56</v>
      </c>
      <c r="F130" s="64">
        <f>1-(1-VLOOKUP($E130,'Annual Mortality Rates'!$B$5:$C$105,2,FALSE))^(1/12)</f>
        <v>2.1274876474763893E-4</v>
      </c>
      <c r="G130" s="75">
        <f>IF(C130&gt;=Assumptions!$H$9*12,100%,1-(1-IF(D130&gt;=7,2%,VLOOKUP($D130,'Annual Lapse Rates'!$B$4:$C$14,2,FALSE)))^(1/12))</f>
        <v>1.6821425527395739E-3</v>
      </c>
      <c r="H130" s="81">
        <f t="shared" si="27"/>
        <v>3</v>
      </c>
      <c r="I130" s="65">
        <f t="shared" si="21"/>
        <v>2947.6023645833525</v>
      </c>
      <c r="J130" s="66">
        <f t="shared" si="22"/>
        <v>0.62709876203232784</v>
      </c>
      <c r="K130" s="66">
        <f t="shared" si="23"/>
        <v>4.9677165400433063</v>
      </c>
      <c r="M130" s="97">
        <f t="shared" si="28"/>
        <v>35668.448408013923</v>
      </c>
      <c r="N130" s="97">
        <f>IF(AND(H130=1,D130&lt;15),Assumptions!$H$4,0)</f>
        <v>0</v>
      </c>
      <c r="O130" s="103"/>
      <c r="P130" s="98">
        <f>$M130*(1+VLOOKUP($H130,Assumptions!$C$22:$D$33,2,FALSE))^(1/12)</f>
        <v>35696.195359025587</v>
      </c>
      <c r="Q130" s="98">
        <f>$M130*(1+VLOOKUP($H130,Assumptions!$C$22:$D$33,2,FALSE))^(1/12)</f>
        <v>35696.195359025587</v>
      </c>
      <c r="R130" s="97">
        <f>IF(AND(H130=12,D130&lt;15),Assumptions!$C$7*M130,0)</f>
        <v>0</v>
      </c>
      <c r="S130" s="99">
        <f>(M130+N130-O130)*Assumptions!$D$17</f>
        <v>145.31767398492377</v>
      </c>
      <c r="T130" s="99">
        <f t="shared" si="24"/>
        <v>0</v>
      </c>
      <c r="U130" s="101"/>
      <c r="V130" s="101">
        <f>IF(C130&gt;=Assumptions!$H$9*12,0,M130+N130-O130+S130-R130)</f>
        <v>35813.766081998845</v>
      </c>
      <c r="W130" s="103"/>
      <c r="X130" s="97">
        <f>IF(AND(H130=1,D130&lt;15),Assumptions!$D$10*N130+Assumptions!$D$11*(1+Assumptions!$D$16)^(B130-1),0)</f>
        <v>0</v>
      </c>
      <c r="Y130" s="100">
        <f>Assumptions!$C$13*N130</f>
        <v>0</v>
      </c>
      <c r="AA130" s="67">
        <f t="shared" si="29"/>
        <v>105136402.86848116</v>
      </c>
      <c r="AB130" s="67">
        <f>N130*I130</f>
        <v>0</v>
      </c>
      <c r="AC130" s="67"/>
      <c r="AD130" s="90">
        <f>P130*J130</f>
        <v>22385.039918909071</v>
      </c>
      <c r="AE130" s="90">
        <f>Q130*K130</f>
        <v>177328.58010164852</v>
      </c>
      <c r="AF130" s="67">
        <f>R130*I131</f>
        <v>0</v>
      </c>
      <c r="AG130" s="68">
        <f>S130*I130</f>
        <v>428338.71945371403</v>
      </c>
      <c r="AH130" s="68">
        <f>T130*$I130</f>
        <v>0</v>
      </c>
      <c r="AI130" s="68">
        <f>U130*$I130</f>
        <v>0</v>
      </c>
      <c r="AJ130" s="67">
        <f>V130*I131</f>
        <v>105364370.18143433</v>
      </c>
      <c r="AK130" s="67">
        <f>W130*$I130</f>
        <v>0</v>
      </c>
      <c r="AL130" s="67">
        <f>X130*$I130</f>
        <v>0</v>
      </c>
      <c r="AM130" s="67">
        <f>Y130*$I130</f>
        <v>0</v>
      </c>
      <c r="AN130" s="65">
        <f>NPV(Assumptions!$D$19,AB130:$AB$259)*(1+Assumptions!$D$19)</f>
        <v>24856356.011978313</v>
      </c>
      <c r="AO130" s="68">
        <f t="shared" si="25"/>
        <v>229523.05022326048</v>
      </c>
      <c r="AQ130" s="67">
        <f t="shared" si="30"/>
        <v>106910202.92268927</v>
      </c>
      <c r="AR130" s="95">
        <f>(AQ130+AB130-AC130)*Assumptions!$D$19</f>
        <v>458965.96365791227</v>
      </c>
      <c r="AS130" s="67">
        <f t="shared" si="31"/>
        <v>1804427.298412319</v>
      </c>
      <c r="AT130" s="67">
        <f t="shared" si="26"/>
        <v>106939274.4296234</v>
      </c>
      <c r="AU130" s="67"/>
      <c r="AV130" s="67"/>
      <c r="AW130" s="67"/>
      <c r="AY130" s="67"/>
      <c r="AZ130" s="70">
        <f t="shared" si="20"/>
        <v>0</v>
      </c>
    </row>
    <row r="131" spans="2:52" x14ac:dyDescent="0.2">
      <c r="B131" s="5">
        <f t="shared" si="16"/>
        <v>124</v>
      </c>
      <c r="C131" s="5">
        <f t="shared" si="17"/>
        <v>124</v>
      </c>
      <c r="D131" s="5">
        <f t="shared" si="18"/>
        <v>10</v>
      </c>
      <c r="E131" s="5">
        <f t="shared" si="19"/>
        <v>56</v>
      </c>
      <c r="F131" s="64">
        <f>1-(1-VLOOKUP($E131,'Annual Mortality Rates'!$B$5:$C$105,2,FALSE))^(1/12)</f>
        <v>2.1274876474763893E-4</v>
      </c>
      <c r="G131" s="75">
        <f>IF(C131&gt;=Assumptions!$H$9*12,100%,1-(1-IF(D131&gt;=7,2%,VLOOKUP($D131,'Annual Lapse Rates'!$B$4:$C$14,2,FALSE)))^(1/12))</f>
        <v>1.6821425527395739E-3</v>
      </c>
      <c r="H131" s="81">
        <f t="shared" si="27"/>
        <v>4</v>
      </c>
      <c r="I131" s="65">
        <f t="shared" si="21"/>
        <v>2942.0075492812766</v>
      </c>
      <c r="J131" s="66">
        <f t="shared" si="22"/>
        <v>0.62590847198782007</v>
      </c>
      <c r="K131" s="66">
        <f t="shared" si="23"/>
        <v>4.9582873660214446</v>
      </c>
      <c r="M131" s="97">
        <f t="shared" si="28"/>
        <v>35813.766081998845</v>
      </c>
      <c r="N131" s="97">
        <f>IF(AND(H131=1,D131&lt;15),Assumptions!$H$4,0)</f>
        <v>0</v>
      </c>
      <c r="O131" s="103"/>
      <c r="P131" s="98">
        <f>$M131*(1+VLOOKUP($H131,Assumptions!$C$22:$D$33,2,FALSE))^(1/12)</f>
        <v>35850.860047489616</v>
      </c>
      <c r="Q131" s="98">
        <f>$M131*(1+VLOOKUP($H131,Assumptions!$C$22:$D$33,2,FALSE))^(1/12)</f>
        <v>35850.860047489616</v>
      </c>
      <c r="R131" s="97">
        <f>IF(AND(H131=12,D131&lt;15),Assumptions!$C$7*M131,0)</f>
        <v>0</v>
      </c>
      <c r="S131" s="99">
        <f>(M131+N131-O131)*Assumptions!$D$17</f>
        <v>145.90971617669021</v>
      </c>
      <c r="T131" s="99">
        <f t="shared" si="24"/>
        <v>0</v>
      </c>
      <c r="U131" s="101"/>
      <c r="V131" s="101">
        <f>IF(C131&gt;=Assumptions!$H$9*12,0,M131+N131-O131+S131-R131)</f>
        <v>35959.675798175536</v>
      </c>
      <c r="W131" s="103"/>
      <c r="X131" s="97">
        <f>IF(AND(H131=1,D131&lt;15),Assumptions!$D$10*N131+Assumptions!$D$11*(1+Assumptions!$D$16)^(B131-1),0)</f>
        <v>0</v>
      </c>
      <c r="Y131" s="100">
        <f>Assumptions!$C$13*N131</f>
        <v>0</v>
      </c>
      <c r="AA131" s="67">
        <f t="shared" si="29"/>
        <v>105364370.18143433</v>
      </c>
      <c r="AB131" s="67">
        <f>N131*I131</f>
        <v>0</v>
      </c>
      <c r="AC131" s="67"/>
      <c r="AD131" s="90">
        <f>P131*J131</f>
        <v>22439.357031773412</v>
      </c>
      <c r="AE131" s="90">
        <f>Q131*K131</f>
        <v>177758.86643447072</v>
      </c>
      <c r="AF131" s="67">
        <f>R131*I132</f>
        <v>0</v>
      </c>
      <c r="AG131" s="68">
        <f>S131*I131</f>
        <v>429267.48650531098</v>
      </c>
      <c r="AH131" s="68">
        <f>T131*$I131</f>
        <v>0</v>
      </c>
      <c r="AI131" s="68">
        <f>U131*$I131</f>
        <v>0</v>
      </c>
      <c r="AJ131" s="67">
        <f>V131*I132</f>
        <v>105592831.79601131</v>
      </c>
      <c r="AK131" s="67">
        <f>W131*$I131</f>
        <v>0</v>
      </c>
      <c r="AL131" s="67">
        <f>X131*$I131</f>
        <v>0</v>
      </c>
      <c r="AM131" s="67">
        <f>Y131*$I131</f>
        <v>0</v>
      </c>
      <c r="AN131" s="65">
        <f>NPV(Assumptions!$D$19,AB131:$AB$259)*(1+Assumptions!$D$19)</f>
        <v>24963064.455870353</v>
      </c>
      <c r="AO131" s="68">
        <f t="shared" si="25"/>
        <v>230508.3936708227</v>
      </c>
      <c r="AQ131" s="67">
        <f t="shared" si="30"/>
        <v>107168797.47984666</v>
      </c>
      <c r="AR131" s="95">
        <f>(AQ131+AB131-AC131)*Assumptions!$D$19</f>
        <v>460076.11121051072</v>
      </c>
      <c r="AS131" s="67">
        <f t="shared" si="31"/>
        <v>1835235.9231175189</v>
      </c>
      <c r="AT131" s="67">
        <f t="shared" si="26"/>
        <v>107197559.32545801</v>
      </c>
      <c r="AU131" s="67"/>
      <c r="AV131" s="67"/>
      <c r="AW131" s="67"/>
      <c r="AY131" s="67"/>
      <c r="AZ131" s="70">
        <f t="shared" si="20"/>
        <v>0</v>
      </c>
    </row>
    <row r="132" spans="2:52" x14ac:dyDescent="0.2">
      <c r="B132" s="5">
        <f t="shared" si="16"/>
        <v>125</v>
      </c>
      <c r="C132" s="5">
        <f t="shared" si="17"/>
        <v>125</v>
      </c>
      <c r="D132" s="5">
        <f t="shared" si="18"/>
        <v>10</v>
      </c>
      <c r="E132" s="5">
        <f t="shared" si="19"/>
        <v>56</v>
      </c>
      <c r="F132" s="64">
        <f>1-(1-VLOOKUP($E132,'Annual Mortality Rates'!$B$5:$C$105,2,FALSE))^(1/12)</f>
        <v>2.1274876474763893E-4</v>
      </c>
      <c r="G132" s="75">
        <f>IF(C132&gt;=Assumptions!$H$9*12,100%,1-(1-IF(D132&gt;=7,2%,VLOOKUP($D132,'Annual Lapse Rates'!$B$4:$C$14,2,FALSE)))^(1/12))</f>
        <v>1.6821425527395739E-3</v>
      </c>
      <c r="H132" s="81">
        <f t="shared" si="27"/>
        <v>5</v>
      </c>
      <c r="I132" s="65">
        <f t="shared" si="21"/>
        <v>2936.4233534432674</v>
      </c>
      <c r="J132" s="66">
        <f t="shared" si="22"/>
        <v>0.62472044122117465</v>
      </c>
      <c r="K132" s="66">
        <f t="shared" si="23"/>
        <v>4.9488760891271042</v>
      </c>
      <c r="M132" s="97">
        <f t="shared" si="28"/>
        <v>35959.675798175536</v>
      </c>
      <c r="N132" s="97">
        <f>IF(AND(H132=1,D132&lt;15),Assumptions!$H$4,0)</f>
        <v>0</v>
      </c>
      <c r="O132" s="103"/>
      <c r="P132" s="98">
        <f>$M132*(1+VLOOKUP($H132,Assumptions!$C$22:$D$33,2,FALSE))^(1/12)</f>
        <v>36006.166285036474</v>
      </c>
      <c r="Q132" s="98">
        <f>$M132*(1+VLOOKUP($H132,Assumptions!$C$22:$D$33,2,FALSE))^(1/12)</f>
        <v>36006.166285036474</v>
      </c>
      <c r="R132" s="97">
        <f>IF(AND(H132=12,D132&lt;15),Assumptions!$C$7*M132,0)</f>
        <v>0</v>
      </c>
      <c r="S132" s="99">
        <f>(M132+N132-O132)*Assumptions!$D$17</f>
        <v>146.50417042163104</v>
      </c>
      <c r="T132" s="99">
        <f t="shared" si="24"/>
        <v>0</v>
      </c>
      <c r="U132" s="101"/>
      <c r="V132" s="101">
        <f>IF(C132&gt;=Assumptions!$H$9*12,0,M132+N132-O132+S132-R132)</f>
        <v>36106.179968597171</v>
      </c>
      <c r="W132" s="103"/>
      <c r="X132" s="97">
        <f>IF(AND(H132=1,D132&lt;15),Assumptions!$D$10*N132+Assumptions!$D$11*(1+Assumptions!$D$16)^(B132-1),0)</f>
        <v>0</v>
      </c>
      <c r="Y132" s="100">
        <f>Assumptions!$C$13*N132</f>
        <v>0</v>
      </c>
      <c r="AA132" s="67">
        <f t="shared" si="29"/>
        <v>105592831.79601131</v>
      </c>
      <c r="AB132" s="67">
        <f>N132*I132</f>
        <v>0</v>
      </c>
      <c r="AC132" s="67"/>
      <c r="AD132" s="90">
        <f>P132*J132</f>
        <v>22493.788088270969</v>
      </c>
      <c r="AE132" s="90">
        <f>Q132*K132</f>
        <v>178190.0553891515</v>
      </c>
      <c r="AF132" s="67">
        <f>R132*I133</f>
        <v>0</v>
      </c>
      <c r="AG132" s="68">
        <f>S132*I132</f>
        <v>430198.26740290975</v>
      </c>
      <c r="AH132" s="68">
        <f>T132*$I132</f>
        <v>0</v>
      </c>
      <c r="AI132" s="68">
        <f>U132*$I132</f>
        <v>0</v>
      </c>
      <c r="AJ132" s="67">
        <f>V132*I133</f>
        <v>105821788.78401713</v>
      </c>
      <c r="AK132" s="67">
        <f>W132*$I132</f>
        <v>0</v>
      </c>
      <c r="AL132" s="67">
        <f>X132*$I132</f>
        <v>0</v>
      </c>
      <c r="AM132" s="67">
        <f>Y132*$I132</f>
        <v>0</v>
      </c>
      <c r="AN132" s="65">
        <f>NPV(Assumptions!$D$19,AB132:$AB$259)*(1+Assumptions!$D$19)</f>
        <v>25070230.999573648</v>
      </c>
      <c r="AO132" s="68">
        <f t="shared" si="25"/>
        <v>231497.9672020681</v>
      </c>
      <c r="AQ132" s="67">
        <f t="shared" si="30"/>
        <v>107428067.71912883</v>
      </c>
      <c r="AR132" s="95">
        <f>(AQ132+AB132-AC132)*Assumptions!$D$19</f>
        <v>461189.15946939401</v>
      </c>
      <c r="AS132" s="67">
        <f t="shared" si="31"/>
        <v>1866226.8151840032</v>
      </c>
      <c r="AT132" s="67">
        <f t="shared" si="26"/>
        <v>107456517.63199906</v>
      </c>
      <c r="AU132" s="67"/>
      <c r="AV132" s="67"/>
      <c r="AW132" s="67"/>
      <c r="AY132" s="67"/>
      <c r="AZ132" s="70">
        <f t="shared" si="20"/>
        <v>0</v>
      </c>
    </row>
    <row r="133" spans="2:52" x14ac:dyDescent="0.2">
      <c r="B133" s="5">
        <f t="shared" si="16"/>
        <v>126</v>
      </c>
      <c r="C133" s="5">
        <f t="shared" si="17"/>
        <v>126</v>
      </c>
      <c r="D133" s="5">
        <f t="shared" si="18"/>
        <v>10</v>
      </c>
      <c r="E133" s="5">
        <f t="shared" si="19"/>
        <v>56</v>
      </c>
      <c r="F133" s="64">
        <f>1-(1-VLOOKUP($E133,'Annual Mortality Rates'!$B$5:$C$105,2,FALSE))^(1/12)</f>
        <v>2.1274876474763893E-4</v>
      </c>
      <c r="G133" s="75">
        <f>IF(C133&gt;=Assumptions!$H$9*12,100%,1-(1-IF(D133&gt;=7,2%,VLOOKUP($D133,'Annual Lapse Rates'!$B$4:$C$14,2,FALSE)))^(1/12))</f>
        <v>1.6821425527395739E-3</v>
      </c>
      <c r="H133" s="81">
        <f t="shared" si="27"/>
        <v>6</v>
      </c>
      <c r="I133" s="65">
        <f t="shared" si="21"/>
        <v>2930.849756912919</v>
      </c>
      <c r="J133" s="66">
        <f t="shared" si="22"/>
        <v>0.62353466544414138</v>
      </c>
      <c r="K133" s="66">
        <f t="shared" si="23"/>
        <v>4.9394826756851575</v>
      </c>
      <c r="M133" s="97">
        <f t="shared" si="28"/>
        <v>36106.179968597171</v>
      </c>
      <c r="N133" s="97">
        <f>IF(AND(H133=1,D133&lt;15),Assumptions!$H$4,0)</f>
        <v>0</v>
      </c>
      <c r="O133" s="103"/>
      <c r="P133" s="98">
        <f>$M133*(1+VLOOKUP($H133,Assumptions!$C$22:$D$33,2,FALSE))^(1/12)</f>
        <v>36162.116780139229</v>
      </c>
      <c r="Q133" s="98">
        <f>$M133*(1+VLOOKUP($H133,Assumptions!$C$22:$D$33,2,FALSE))^(1/12)</f>
        <v>36162.116780139229</v>
      </c>
      <c r="R133" s="97">
        <f>IF(AND(H133=12,D133&lt;15),Assumptions!$C$7*M133,0)</f>
        <v>0</v>
      </c>
      <c r="S133" s="99">
        <f>(M133+N133-O133)*Assumptions!$D$17</f>
        <v>147.1010465467495</v>
      </c>
      <c r="T133" s="99">
        <f t="shared" si="24"/>
        <v>0</v>
      </c>
      <c r="U133" s="101"/>
      <c r="V133" s="101">
        <f>IF(C133&gt;=Assumptions!$H$9*12,0,M133+N133-O133+S133-R133)</f>
        <v>36253.281015143919</v>
      </c>
      <c r="W133" s="103"/>
      <c r="X133" s="97">
        <f>IF(AND(H133=1,D133&lt;15),Assumptions!$D$10*N133+Assumptions!$D$11*(1+Assumptions!$D$16)^(B133-1),0)</f>
        <v>0</v>
      </c>
      <c r="Y133" s="100">
        <f>Assumptions!$C$13*N133</f>
        <v>0</v>
      </c>
      <c r="AA133" s="67">
        <f t="shared" si="29"/>
        <v>105821788.78401713</v>
      </c>
      <c r="AB133" s="67">
        <f>N133*I133</f>
        <v>0</v>
      </c>
      <c r="AC133" s="67"/>
      <c r="AD133" s="90">
        <f>P133*J133</f>
        <v>22548.333388256084</v>
      </c>
      <c r="AE133" s="90">
        <f>Q133*K133</f>
        <v>178622.14935160126</v>
      </c>
      <c r="AF133" s="67">
        <f>R133*I134</f>
        <v>0</v>
      </c>
      <c r="AG133" s="68">
        <f>S133*I133</f>
        <v>431131.06651317677</v>
      </c>
      <c r="AH133" s="68">
        <f>T133*$I133</f>
        <v>0</v>
      </c>
      <c r="AI133" s="68">
        <f>U133*$I133</f>
        <v>0</v>
      </c>
      <c r="AJ133" s="67">
        <f>V133*I134</f>
        <v>106051242.2195702</v>
      </c>
      <c r="AK133" s="67">
        <f>W133*$I133</f>
        <v>0</v>
      </c>
      <c r="AL133" s="67">
        <f>X133*$I133</f>
        <v>0</v>
      </c>
      <c r="AM133" s="67">
        <f>Y133*$I133</f>
        <v>0</v>
      </c>
      <c r="AN133" s="65">
        <f>NPV(Assumptions!$D$19,AB133:$AB$259)*(1+Assumptions!$D$19)</f>
        <v>25177857.60971269</v>
      </c>
      <c r="AO133" s="68">
        <f t="shared" si="25"/>
        <v>232491.78897676416</v>
      </c>
      <c r="AQ133" s="67">
        <f t="shared" si="30"/>
        <v>107688015.59920113</v>
      </c>
      <c r="AR133" s="95">
        <f>(AQ133+AB133-AC133)*Assumptions!$D$19</f>
        <v>462305.11684312089</v>
      </c>
      <c r="AS133" s="67">
        <f t="shared" si="31"/>
        <v>1897400.8655139471</v>
      </c>
      <c r="AT133" s="67">
        <f t="shared" si="26"/>
        <v>107716151.2961074</v>
      </c>
      <c r="AU133" s="67"/>
      <c r="AV133" s="67"/>
      <c r="AW133" s="67"/>
      <c r="AY133" s="67"/>
      <c r="AZ133" s="70">
        <f t="shared" si="20"/>
        <v>0</v>
      </c>
    </row>
    <row r="134" spans="2:52" x14ac:dyDescent="0.2">
      <c r="B134" s="5">
        <f t="shared" si="16"/>
        <v>127</v>
      </c>
      <c r="C134" s="5">
        <f t="shared" si="17"/>
        <v>127</v>
      </c>
      <c r="D134" s="5">
        <f t="shared" si="18"/>
        <v>10</v>
      </c>
      <c r="E134" s="5">
        <f t="shared" si="19"/>
        <v>56</v>
      </c>
      <c r="F134" s="64">
        <f>1-(1-VLOOKUP($E134,'Annual Mortality Rates'!$B$5:$C$105,2,FALSE))^(1/12)</f>
        <v>2.1274876474763893E-4</v>
      </c>
      <c r="G134" s="75">
        <f>IF(C134&gt;=Assumptions!$H$9*12,100%,1-(1-IF(D134&gt;=7,2%,VLOOKUP($D134,'Annual Lapse Rates'!$B$4:$C$14,2,FALSE)))^(1/12))</f>
        <v>1.6821425527395739E-3</v>
      </c>
      <c r="H134" s="81">
        <f t="shared" si="27"/>
        <v>7</v>
      </c>
      <c r="I134" s="65">
        <f t="shared" si="21"/>
        <v>2925.2867395717894</v>
      </c>
      <c r="J134" s="66">
        <f t="shared" si="22"/>
        <v>0.62235114037654637</v>
      </c>
      <c r="K134" s="66">
        <f t="shared" si="23"/>
        <v>4.9301070917896572</v>
      </c>
      <c r="M134" s="97">
        <f t="shared" si="28"/>
        <v>36253.281015143919</v>
      </c>
      <c r="N134" s="97">
        <f>IF(AND(H134=1,D134&lt;15),Assumptions!$H$4,0)</f>
        <v>0</v>
      </c>
      <c r="O134" s="103"/>
      <c r="P134" s="98">
        <f>$M134*(1+VLOOKUP($H134,Assumptions!$C$22:$D$33,2,FALSE))^(1/12)</f>
        <v>36318.714252129364</v>
      </c>
      <c r="Q134" s="98">
        <f>$M134*(1+VLOOKUP($H134,Assumptions!$C$22:$D$33,2,FALSE))^(1/12)</f>
        <v>36318.714252129364</v>
      </c>
      <c r="R134" s="97">
        <f>IF(AND(H134=12,D134&lt;15),Assumptions!$C$7*M134,0)</f>
        <v>0</v>
      </c>
      <c r="S134" s="99">
        <f>(M134+N134-O134)*Assumptions!$D$17</f>
        <v>147.70035441908516</v>
      </c>
      <c r="T134" s="99">
        <f t="shared" si="24"/>
        <v>0</v>
      </c>
      <c r="U134" s="101"/>
      <c r="V134" s="101">
        <f>IF(C134&gt;=Assumptions!$H$9*12,0,M134+N134-O134+S134-R134)</f>
        <v>36400.981369563007</v>
      </c>
      <c r="W134" s="103"/>
      <c r="X134" s="97">
        <f>IF(AND(H134=1,D134&lt;15),Assumptions!$D$10*N134+Assumptions!$D$11*(1+Assumptions!$D$16)^(B134-1),0)</f>
        <v>0</v>
      </c>
      <c r="Y134" s="100">
        <f>Assumptions!$C$13*N134</f>
        <v>0</v>
      </c>
      <c r="AA134" s="67">
        <f t="shared" si="29"/>
        <v>106051242.2195702</v>
      </c>
      <c r="AB134" s="67">
        <f>N134*I134</f>
        <v>0</v>
      </c>
      <c r="AC134" s="67"/>
      <c r="AD134" s="90">
        <f>P134*J134</f>
        <v>22602.993231822638</v>
      </c>
      <c r="AE134" s="90">
        <f>Q134*K134</f>
        <v>179055.15069910508</v>
      </c>
      <c r="AF134" s="67">
        <f>R134*I135</f>
        <v>0</v>
      </c>
      <c r="AG134" s="68">
        <f>S134*I134</f>
        <v>432065.88821220334</v>
      </c>
      <c r="AH134" s="68">
        <f>T134*$I134</f>
        <v>0</v>
      </c>
      <c r="AI134" s="68">
        <f>U134*$I134</f>
        <v>0</v>
      </c>
      <c r="AJ134" s="67">
        <f>V134*I135</f>
        <v>106281193.17911807</v>
      </c>
      <c r="AK134" s="67">
        <f>W134*$I134</f>
        <v>0</v>
      </c>
      <c r="AL134" s="67">
        <f>X134*$I134</f>
        <v>0</v>
      </c>
      <c r="AM134" s="67">
        <f>Y134*$I134</f>
        <v>0</v>
      </c>
      <c r="AN134" s="65">
        <f>NPV(Assumptions!$D$19,AB134:$AB$259)*(1+Assumptions!$D$19)</f>
        <v>25285946.261354662</v>
      </c>
      <c r="AO134" s="68">
        <f t="shared" si="25"/>
        <v>233489.87723263845</v>
      </c>
      <c r="AQ134" s="67">
        <f t="shared" si="30"/>
        <v>107948643.08508416</v>
      </c>
      <c r="AR134" s="95">
        <f>(AQ134+AB134-AC134)*Assumptions!$D$19</f>
        <v>463423.99176753336</v>
      </c>
      <c r="AS134" s="67">
        <f t="shared" si="31"/>
        <v>1928758.9690692772</v>
      </c>
      <c r="AT134" s="67">
        <f t="shared" si="26"/>
        <v>107976462.2709547</v>
      </c>
      <c r="AU134" s="67"/>
      <c r="AV134" s="67"/>
      <c r="AW134" s="67"/>
      <c r="AY134" s="67"/>
      <c r="AZ134" s="70">
        <f t="shared" si="20"/>
        <v>0</v>
      </c>
    </row>
    <row r="135" spans="2:52" x14ac:dyDescent="0.2">
      <c r="B135" s="5">
        <f t="shared" si="16"/>
        <v>128</v>
      </c>
      <c r="C135" s="5">
        <f t="shared" si="17"/>
        <v>128</v>
      </c>
      <c r="D135" s="5">
        <f t="shared" si="18"/>
        <v>10</v>
      </c>
      <c r="E135" s="5">
        <f t="shared" si="19"/>
        <v>56</v>
      </c>
      <c r="F135" s="64">
        <f>1-(1-VLOOKUP($E135,'Annual Mortality Rates'!$B$5:$C$105,2,FALSE))^(1/12)</f>
        <v>2.1274876474763893E-4</v>
      </c>
      <c r="G135" s="75">
        <f>IF(C135&gt;=Assumptions!$H$9*12,100%,1-(1-IF(D135&gt;=7,2%,VLOOKUP($D135,'Annual Lapse Rates'!$B$4:$C$14,2,FALSE)))^(1/12))</f>
        <v>1.6821425527395739E-3</v>
      </c>
      <c r="H135" s="81">
        <f t="shared" si="27"/>
        <v>8</v>
      </c>
      <c r="I135" s="65">
        <f t="shared" si="21"/>
        <v>2919.7342813396235</v>
      </c>
      <c r="J135" s="66">
        <f t="shared" si="22"/>
        <v>0.62116986174634015</v>
      </c>
      <c r="K135" s="66">
        <f t="shared" si="23"/>
        <v>4.920749303598515</v>
      </c>
      <c r="M135" s="97">
        <f t="shared" si="28"/>
        <v>36400.981369563007</v>
      </c>
      <c r="N135" s="97">
        <f>IF(AND(H135=1,D135&lt;15),Assumptions!$H$4,0)</f>
        <v>0</v>
      </c>
      <c r="O135" s="103"/>
      <c r="P135" s="98">
        <f>$M135*(1+VLOOKUP($H135,Assumptions!$C$22:$D$33,2,FALSE))^(1/12)</f>
        <v>36475.961431245902</v>
      </c>
      <c r="Q135" s="98">
        <f>$M135*(1+VLOOKUP($H135,Assumptions!$C$22:$D$33,2,FALSE))^(1/12)</f>
        <v>36475.961431245902</v>
      </c>
      <c r="R135" s="97">
        <f>IF(AND(H135=12,D135&lt;15),Assumptions!$C$7*M135,0)</f>
        <v>0</v>
      </c>
      <c r="S135" s="99">
        <f>(M135+N135-O135)*Assumptions!$D$17</f>
        <v>148.30210394587726</v>
      </c>
      <c r="T135" s="99">
        <f t="shared" si="24"/>
        <v>0</v>
      </c>
      <c r="U135" s="101"/>
      <c r="V135" s="101">
        <f>IF(C135&gt;=Assumptions!$H$9*12,0,M135+N135-O135+S135-R135)</f>
        <v>36549.283473508884</v>
      </c>
      <c r="W135" s="103"/>
      <c r="X135" s="97">
        <f>IF(AND(H135=1,D135&lt;15),Assumptions!$D$10*N135+Assumptions!$D$11*(1+Assumptions!$D$16)^(B135-1),0)</f>
        <v>0</v>
      </c>
      <c r="Y135" s="100">
        <f>Assumptions!$C$13*N135</f>
        <v>0</v>
      </c>
      <c r="AA135" s="67">
        <f t="shared" si="29"/>
        <v>106281193.17911807</v>
      </c>
      <c r="AB135" s="67">
        <f>N135*I135</f>
        <v>0</v>
      </c>
      <c r="AC135" s="67"/>
      <c r="AD135" s="90">
        <f>P135*J135</f>
        <v>22657.767919311853</v>
      </c>
      <c r="AE135" s="90">
        <f>Q135*K135</f>
        <v>179489.06181088957</v>
      </c>
      <c r="AF135" s="67">
        <f>R135*I136</f>
        <v>0</v>
      </c>
      <c r="AG135" s="68">
        <f>S135*I135</f>
        <v>433002.73688557011</v>
      </c>
      <c r="AH135" s="68">
        <f>T135*$I135</f>
        <v>0</v>
      </c>
      <c r="AI135" s="68">
        <f>U135*$I135</f>
        <v>0</v>
      </c>
      <c r="AJ135" s="67">
        <f>V135*I136</f>
        <v>106511642.74144219</v>
      </c>
      <c r="AK135" s="67">
        <f>W135*$I135</f>
        <v>0</v>
      </c>
      <c r="AL135" s="67">
        <f>X135*$I135</f>
        <v>0</v>
      </c>
      <c r="AM135" s="67">
        <f>Y135*$I135</f>
        <v>0</v>
      </c>
      <c r="AN135" s="65">
        <f>NPV(Assumptions!$D$19,AB135:$AB$259)*(1+Assumptions!$D$19)</f>
        <v>25394498.938045748</v>
      </c>
      <c r="AO135" s="68">
        <f t="shared" si="25"/>
        <v>234492.25028571309</v>
      </c>
      <c r="AQ135" s="67">
        <f t="shared" si="30"/>
        <v>108209952.14818734</v>
      </c>
      <c r="AR135" s="95">
        <f>(AQ135+AB135-AC135)*Assumptions!$D$19</f>
        <v>464545.79270590056</v>
      </c>
      <c r="AS135" s="67">
        <f t="shared" si="31"/>
        <v>1960302.0248896079</v>
      </c>
      <c r="AT135" s="67">
        <f t="shared" si="26"/>
        <v>108237452.51604608</v>
      </c>
      <c r="AU135" s="67"/>
      <c r="AV135" s="67"/>
      <c r="AW135" s="67"/>
      <c r="AY135" s="67"/>
      <c r="AZ135" s="70">
        <f t="shared" si="20"/>
        <v>0</v>
      </c>
    </row>
    <row r="136" spans="2:52" x14ac:dyDescent="0.2">
      <c r="B136" s="5">
        <f t="shared" ref="B136:B199" si="32">B135+1</f>
        <v>129</v>
      </c>
      <c r="C136" s="5">
        <f t="shared" ref="C136:C199" si="33">$C$4+B136</f>
        <v>129</v>
      </c>
      <c r="D136" s="5">
        <f t="shared" ref="D136:D199" si="34">ROUNDDOWN((C136-1)/12,0)</f>
        <v>10</v>
      </c>
      <c r="E136" s="5">
        <f t="shared" ref="E136:E199" si="35">ROUNDDOWN(($E$4+B136)/12,0)</f>
        <v>56</v>
      </c>
      <c r="F136" s="64">
        <f>1-(1-VLOOKUP($E136,'Annual Mortality Rates'!$B$5:$C$105,2,FALSE))^(1/12)</f>
        <v>2.1274876474763893E-4</v>
      </c>
      <c r="G136" s="75">
        <f>IF(C136&gt;=Assumptions!$H$9*12,100%,1-(1-IF(D136&gt;=7,2%,VLOOKUP($D136,'Annual Lapse Rates'!$B$4:$C$14,2,FALSE)))^(1/12))</f>
        <v>1.6821425527395739E-3</v>
      </c>
      <c r="H136" s="81">
        <f t="shared" si="27"/>
        <v>9</v>
      </c>
      <c r="I136" s="65">
        <f t="shared" si="21"/>
        <v>2914.192362174279</v>
      </c>
      <c r="J136" s="66">
        <f t="shared" si="22"/>
        <v>0.61999082528958183</v>
      </c>
      <c r="K136" s="66">
        <f t="shared" si="23"/>
        <v>4.9114092773338793</v>
      </c>
      <c r="M136" s="97">
        <f t="shared" si="28"/>
        <v>36549.283473508884</v>
      </c>
      <c r="N136" s="97">
        <f>IF(AND(H136=1,D136&lt;15),Assumptions!$H$4,0)</f>
        <v>0</v>
      </c>
      <c r="O136" s="103"/>
      <c r="P136" s="98">
        <f>$M136*(1+VLOOKUP($H136,Assumptions!$C$22:$D$33,2,FALSE))^(1/12)</f>
        <v>36633.861058684728</v>
      </c>
      <c r="Q136" s="98">
        <f>$M136*(1+VLOOKUP($H136,Assumptions!$C$22:$D$33,2,FALSE))^(1/12)</f>
        <v>36633.861058684728</v>
      </c>
      <c r="R136" s="97">
        <f>IF(AND(H136=12,D136&lt;15),Assumptions!$C$7*M136,0)</f>
        <v>0</v>
      </c>
      <c r="S136" s="99">
        <f>(M136+N136-O136)*Assumptions!$D$17</f>
        <v>148.90630507472824</v>
      </c>
      <c r="T136" s="99">
        <f t="shared" si="24"/>
        <v>0</v>
      </c>
      <c r="U136" s="101"/>
      <c r="V136" s="101">
        <f>IF(C136&gt;=Assumptions!$H$9*12,0,M136+N136-O136+S136-R136)</f>
        <v>36698.189778583612</v>
      </c>
      <c r="W136" s="103"/>
      <c r="X136" s="97">
        <f>IF(AND(H136=1,D136&lt;15),Assumptions!$D$10*N136+Assumptions!$D$11*(1+Assumptions!$D$16)^(B136-1),0)</f>
        <v>0</v>
      </c>
      <c r="Y136" s="100">
        <f>Assumptions!$C$13*N136</f>
        <v>0</v>
      </c>
      <c r="AA136" s="67">
        <f t="shared" si="29"/>
        <v>106511642.74144219</v>
      </c>
      <c r="AB136" s="67">
        <f>N136*I136</f>
        <v>0</v>
      </c>
      <c r="AC136" s="67"/>
      <c r="AD136" s="90">
        <f>P136*J136</f>
        <v>22712.65775131782</v>
      </c>
      <c r="AE136" s="90">
        <f>Q136*K136</f>
        <v>179923.88506818449</v>
      </c>
      <c r="AF136" s="67">
        <f>R136*I137</f>
        <v>0</v>
      </c>
      <c r="AG136" s="68">
        <f>S136*I136</f>
        <v>433941.61692836613</v>
      </c>
      <c r="AH136" s="68">
        <f>T136*$I136</f>
        <v>0</v>
      </c>
      <c r="AI136" s="68">
        <f>U136*$I136</f>
        <v>0</v>
      </c>
      <c r="AJ136" s="67">
        <f>V136*I137</f>
        <v>106742591.98766319</v>
      </c>
      <c r="AK136" s="67">
        <f>W136*$I136</f>
        <v>0</v>
      </c>
      <c r="AL136" s="67">
        <f>X136*$I136</f>
        <v>0</v>
      </c>
      <c r="AM136" s="67">
        <f>Y136*$I136</f>
        <v>0</v>
      </c>
      <c r="AN136" s="65">
        <f>NPV(Assumptions!$D$19,AB136:$AB$259)*(1+Assumptions!$D$19)</f>
        <v>25503517.631847482</v>
      </c>
      <c r="AO136" s="68">
        <f t="shared" si="25"/>
        <v>235498.92653064104</v>
      </c>
      <c r="AQ136" s="67">
        <f t="shared" si="30"/>
        <v>108471944.76633179</v>
      </c>
      <c r="AR136" s="95">
        <f>(AQ136+AB136-AC136)*Assumptions!$D$19</f>
        <v>465670.52814901707</v>
      </c>
      <c r="AS136" s="67">
        <f t="shared" si="31"/>
        <v>1992030.936110259</v>
      </c>
      <c r="AT136" s="67">
        <f t="shared" si="26"/>
        <v>108499123.99724281</v>
      </c>
      <c r="AU136" s="67"/>
      <c r="AV136" s="67"/>
      <c r="AW136" s="67"/>
      <c r="AY136" s="67"/>
      <c r="AZ136" s="70">
        <f t="shared" ref="AZ136:AZ199" si="36">ROUND(AY136-AU136,3)</f>
        <v>0</v>
      </c>
    </row>
    <row r="137" spans="2:52" x14ac:dyDescent="0.2">
      <c r="B137" s="5">
        <f t="shared" si="32"/>
        <v>130</v>
      </c>
      <c r="C137" s="5">
        <f t="shared" si="33"/>
        <v>130</v>
      </c>
      <c r="D137" s="5">
        <f t="shared" si="34"/>
        <v>10</v>
      </c>
      <c r="E137" s="5">
        <f t="shared" si="35"/>
        <v>56</v>
      </c>
      <c r="F137" s="64">
        <f>1-(1-VLOOKUP($E137,'Annual Mortality Rates'!$B$5:$C$105,2,FALSE))^(1/12)</f>
        <v>2.1274876474763893E-4</v>
      </c>
      <c r="G137" s="75">
        <f>IF(C137&gt;=Assumptions!$H$9*12,100%,1-(1-IF(D137&gt;=7,2%,VLOOKUP($D137,'Annual Lapse Rates'!$B$4:$C$14,2,FALSE)))^(1/12))</f>
        <v>1.6821425527395739E-3</v>
      </c>
      <c r="H137" s="81">
        <f t="shared" si="27"/>
        <v>10</v>
      </c>
      <c r="I137" s="65">
        <f t="shared" ref="I137:I200" si="37">I136-J136-K136</f>
        <v>2908.6609620716554</v>
      </c>
      <c r="J137" s="66">
        <f t="shared" ref="J137:J200" si="38">$I137*F137</f>
        <v>0.61881402675042374</v>
      </c>
      <c r="K137" s="66">
        <f t="shared" ref="K137:K200" si="39">IF(G137=100%,I137-J137,$I136*G137)</f>
        <v>4.9020869792820108</v>
      </c>
      <c r="M137" s="97">
        <f t="shared" si="28"/>
        <v>36698.189778583612</v>
      </c>
      <c r="N137" s="97">
        <f>IF(AND(H137=1,D137&lt;15),Assumptions!$H$4,0)</f>
        <v>0</v>
      </c>
      <c r="O137" s="103"/>
      <c r="P137" s="98">
        <f>$M137*(1+VLOOKUP($H137,Assumptions!$C$22:$D$33,2,FALSE))^(1/12)</f>
        <v>36792.415886648028</v>
      </c>
      <c r="Q137" s="98">
        <f>$M137*(1+VLOOKUP($H137,Assumptions!$C$22:$D$33,2,FALSE))^(1/12)</f>
        <v>36792.415886648028</v>
      </c>
      <c r="R137" s="97">
        <f>IF(AND(H137=12,D137&lt;15),Assumptions!$C$7*M137,0)</f>
        <v>0</v>
      </c>
      <c r="S137" s="99">
        <f>(M137+N137-O137)*Assumptions!$D$17</f>
        <v>149.51296779376838</v>
      </c>
      <c r="T137" s="99">
        <f t="shared" ref="T137:T200" si="40">(M137+S137)*(G137=100%)</f>
        <v>0</v>
      </c>
      <c r="U137" s="101"/>
      <c r="V137" s="101">
        <f>IF(C137&gt;=Assumptions!$H$9*12,0,M137+N137-O137+S137-R137)</f>
        <v>36847.702746377377</v>
      </c>
      <c r="W137" s="103"/>
      <c r="X137" s="97">
        <f>IF(AND(H137=1,D137&lt;15),Assumptions!$D$10*N137+Assumptions!$D$11*(1+Assumptions!$D$16)^(B137-1),0)</f>
        <v>0</v>
      </c>
      <c r="Y137" s="100">
        <f>Assumptions!$C$13*N137</f>
        <v>0</v>
      </c>
      <c r="AA137" s="67">
        <f t="shared" si="29"/>
        <v>106742591.98766319</v>
      </c>
      <c r="AB137" s="67">
        <f>N137*I137</f>
        <v>0</v>
      </c>
      <c r="AC137" s="67"/>
      <c r="AD137" s="90">
        <f>P137*J137</f>
        <v>22767.663028692928</v>
      </c>
      <c r="AE137" s="90">
        <f>Q137*K137</f>
        <v>180359.62285426591</v>
      </c>
      <c r="AF137" s="67">
        <f>R137*I138</f>
        <v>0</v>
      </c>
      <c r="AG137" s="68">
        <f>S137*I137</f>
        <v>434882.53274521074</v>
      </c>
      <c r="AH137" s="68">
        <f>T137*$I137</f>
        <v>0</v>
      </c>
      <c r="AI137" s="68">
        <f>U137*$I137</f>
        <v>0</v>
      </c>
      <c r="AJ137" s="67">
        <f>V137*I138</f>
        <v>106974042.00124593</v>
      </c>
      <c r="AK137" s="67">
        <f>W137*$I137</f>
        <v>0</v>
      </c>
      <c r="AL137" s="67">
        <f>X137*$I137</f>
        <v>0</v>
      </c>
      <c r="AM137" s="67">
        <f>Y137*$I137</f>
        <v>0</v>
      </c>
      <c r="AN137" s="65">
        <f>NPV(Assumptions!$D$19,AB137:$AB$259)*(1+Assumptions!$D$19)</f>
        <v>25613004.343373343</v>
      </c>
      <c r="AO137" s="68">
        <f t="shared" ref="AO137:AO200" si="41">AN138*$AO$4</f>
        <v>236509.92444104343</v>
      </c>
      <c r="AQ137" s="67">
        <f t="shared" si="30"/>
        <v>108734622.92377345</v>
      </c>
      <c r="AR137" s="95">
        <f>(AQ137+AB137-AC137)*Assumptions!$D$19</f>
        <v>466798.20661530225</v>
      </c>
      <c r="AS137" s="67">
        <f t="shared" si="31"/>
        <v>2023946.6099803506</v>
      </c>
      <c r="AT137" s="67">
        <f t="shared" ref="AT137:AT200" si="42">AJ137+AS137-AO137</f>
        <v>108761478.68678524</v>
      </c>
      <c r="AU137" s="67"/>
      <c r="AV137" s="67"/>
      <c r="AW137" s="67"/>
      <c r="AY137" s="67"/>
      <c r="AZ137" s="70">
        <f t="shared" si="36"/>
        <v>0</v>
      </c>
    </row>
    <row r="138" spans="2:52" x14ac:dyDescent="0.2">
      <c r="B138" s="5">
        <f t="shared" si="32"/>
        <v>131</v>
      </c>
      <c r="C138" s="5">
        <f t="shared" si="33"/>
        <v>131</v>
      </c>
      <c r="D138" s="5">
        <f t="shared" si="34"/>
        <v>10</v>
      </c>
      <c r="E138" s="5">
        <f t="shared" si="35"/>
        <v>56</v>
      </c>
      <c r="F138" s="64">
        <f>1-(1-VLOOKUP($E138,'Annual Mortality Rates'!$B$5:$C$105,2,FALSE))^(1/12)</f>
        <v>2.1274876474763893E-4</v>
      </c>
      <c r="G138" s="75">
        <f>IF(C138&gt;=Assumptions!$H$9*12,100%,1-(1-IF(D138&gt;=7,2%,VLOOKUP($D138,'Annual Lapse Rates'!$B$4:$C$14,2,FALSE)))^(1/12))</f>
        <v>1.6821425527395739E-3</v>
      </c>
      <c r="H138" s="81">
        <f t="shared" ref="H138:H201" si="43">IF(H137=12,1,H137+1)</f>
        <v>11</v>
      </c>
      <c r="I138" s="65">
        <f t="shared" si="37"/>
        <v>2903.1400610656228</v>
      </c>
      <c r="J138" s="66">
        <f t="shared" si="38"/>
        <v>0.61763946188109631</v>
      </c>
      <c r="K138" s="66">
        <f t="shared" si="39"/>
        <v>4.8927823757931597</v>
      </c>
      <c r="M138" s="97">
        <f t="shared" ref="M138:M201" si="44">V137</f>
        <v>36847.702746377377</v>
      </c>
      <c r="N138" s="97">
        <f>IF(AND(H138=1,D138&lt;15),Assumptions!$H$4,0)</f>
        <v>0</v>
      </c>
      <c r="O138" s="103"/>
      <c r="P138" s="98">
        <f>$M138*(1+VLOOKUP($H138,Assumptions!$C$22:$D$33,2,FALSE))^(1/12)</f>
        <v>36951.628678393878</v>
      </c>
      <c r="Q138" s="98">
        <f>$M138*(1+VLOOKUP($H138,Assumptions!$C$22:$D$33,2,FALSE))^(1/12)</f>
        <v>36951.628678393878</v>
      </c>
      <c r="R138" s="97">
        <f>IF(AND(H138=12,D138&lt;15),Assumptions!$C$7*M138,0)</f>
        <v>0</v>
      </c>
      <c r="S138" s="99">
        <f>(M138+N138-O138)*Assumptions!$D$17</f>
        <v>150.12210213182084</v>
      </c>
      <c r="T138" s="99">
        <f t="shared" si="40"/>
        <v>0</v>
      </c>
      <c r="U138" s="101"/>
      <c r="V138" s="101">
        <f>IF(C138&gt;=Assumptions!$H$9*12,0,M138+N138-O138+S138-R138)</f>
        <v>36997.824848509197</v>
      </c>
      <c r="W138" s="103"/>
      <c r="X138" s="97">
        <f>IF(AND(H138=1,D138&lt;15),Assumptions!$D$10*N138+Assumptions!$D$11*(1+Assumptions!$D$16)^(B138-1),0)</f>
        <v>0</v>
      </c>
      <c r="Y138" s="100">
        <f>Assumptions!$C$13*N138</f>
        <v>0</v>
      </c>
      <c r="AA138" s="67">
        <f t="shared" ref="AA138:AA201" si="45">AJ137</f>
        <v>106974042.00124593</v>
      </c>
      <c r="AB138" s="67">
        <f>N138*I138</f>
        <v>0</v>
      </c>
      <c r="AC138" s="67"/>
      <c r="AD138" s="90">
        <f>P138*J138</f>
        <v>22822.784052553281</v>
      </c>
      <c r="AE138" s="90">
        <f>Q138*K138</f>
        <v>180796.27755449864</v>
      </c>
      <c r="AF138" s="67">
        <f>R138*I139</f>
        <v>0</v>
      </c>
      <c r="AG138" s="68">
        <f>S138*I138</f>
        <v>435825.488750274</v>
      </c>
      <c r="AH138" s="68">
        <f>T138*$I138</f>
        <v>0</v>
      </c>
      <c r="AI138" s="68">
        <f>U138*$I138</f>
        <v>0</v>
      </c>
      <c r="AJ138" s="67">
        <f>V138*I139</f>
        <v>107205993.86800455</v>
      </c>
      <c r="AK138" s="67">
        <f>W138*$I138</f>
        <v>0</v>
      </c>
      <c r="AL138" s="67">
        <f>X138*$I138</f>
        <v>0</v>
      </c>
      <c r="AM138" s="67">
        <f>Y138*$I138</f>
        <v>0</v>
      </c>
      <c r="AN138" s="65">
        <f>NPV(Assumptions!$D$19,AB138:$AB$259)*(1+Assumptions!$D$19)</f>
        <v>25722961.081825435</v>
      </c>
      <c r="AO138" s="68">
        <f t="shared" si="41"/>
        <v>237525.262569849</v>
      </c>
      <c r="AQ138" s="67">
        <f t="shared" ref="AQ138:AQ201" si="46">AJ137+AS137</f>
        <v>108997988.61122628</v>
      </c>
      <c r="AR138" s="95">
        <f>(AQ138+AB138-AC138)*Assumptions!$D$19</f>
        <v>467928.83665089973</v>
      </c>
      <c r="AS138" s="67">
        <f t="shared" ref="AS138:AS201" si="47">AS137+AR138-AG138</f>
        <v>2056049.9578809764</v>
      </c>
      <c r="AT138" s="67">
        <f t="shared" si="42"/>
        <v>109024518.56331567</v>
      </c>
      <c r="AU138" s="67"/>
      <c r="AV138" s="67"/>
      <c r="AW138" s="67"/>
      <c r="AY138" s="67"/>
      <c r="AZ138" s="70">
        <f t="shared" si="36"/>
        <v>0</v>
      </c>
    </row>
    <row r="139" spans="2:52" x14ac:dyDescent="0.2">
      <c r="B139" s="5">
        <f t="shared" si="32"/>
        <v>132</v>
      </c>
      <c r="C139" s="5">
        <f t="shared" si="33"/>
        <v>132</v>
      </c>
      <c r="D139" s="5">
        <f t="shared" si="34"/>
        <v>10</v>
      </c>
      <c r="E139" s="5">
        <f t="shared" si="35"/>
        <v>56</v>
      </c>
      <c r="F139" s="64">
        <f>1-(1-VLOOKUP($E139,'Annual Mortality Rates'!$B$5:$C$105,2,FALSE))^(1/12)</f>
        <v>2.1274876474763893E-4</v>
      </c>
      <c r="G139" s="75">
        <f>IF(C139&gt;=Assumptions!$H$9*12,100%,1-(1-IF(D139&gt;=7,2%,VLOOKUP($D139,'Annual Lapse Rates'!$B$4:$C$14,2,FALSE)))^(1/12))</f>
        <v>1.6821425527395739E-3</v>
      </c>
      <c r="H139" s="81">
        <f t="shared" si="43"/>
        <v>12</v>
      </c>
      <c r="I139" s="65">
        <f t="shared" si="37"/>
        <v>2897.6296392279487</v>
      </c>
      <c r="J139" s="66">
        <f t="shared" si="38"/>
        <v>0.61646712644189272</v>
      </c>
      <c r="K139" s="66">
        <f t="shared" si="39"/>
        <v>4.8834954332814489</v>
      </c>
      <c r="M139" s="97">
        <f t="shared" si="44"/>
        <v>36997.824848509197</v>
      </c>
      <c r="N139" s="97">
        <f>IF(AND(H139=1,D139&lt;15),Assumptions!$H$4,0)</f>
        <v>0</v>
      </c>
      <c r="O139" s="103"/>
      <c r="P139" s="98">
        <f>$M139*(1+VLOOKUP($H139,Assumptions!$C$22:$D$33,2,FALSE))^(1/12)</f>
        <v>37111.502208285987</v>
      </c>
      <c r="Q139" s="98">
        <f>$M139*(1+VLOOKUP($H139,Assumptions!$C$22:$D$33,2,FALSE))^(1/12)</f>
        <v>37111.502208285987</v>
      </c>
      <c r="R139" s="97">
        <f>IF(AND(H139=12,D139&lt;15),Assumptions!$C$7*M139,0)</f>
        <v>18.498912424254598</v>
      </c>
      <c r="S139" s="99">
        <f>(M139+N139-O139)*Assumptions!$D$17</f>
        <v>150.73371815856737</v>
      </c>
      <c r="T139" s="99">
        <f t="shared" si="40"/>
        <v>0</v>
      </c>
      <c r="U139" s="101"/>
      <c r="V139" s="101">
        <f>IF(C139&gt;=Assumptions!$H$9*12,0,M139+N139-O139+S139-R139)</f>
        <v>37130.059654243509</v>
      </c>
      <c r="W139" s="103"/>
      <c r="X139" s="97">
        <f>IF(AND(H139=1,D139&lt;15),Assumptions!$D$10*N139+Assumptions!$D$11*(1+Assumptions!$D$16)^(B139-1),0)</f>
        <v>0</v>
      </c>
      <c r="Y139" s="100">
        <f>Assumptions!$C$13*N139</f>
        <v>0</v>
      </c>
      <c r="AA139" s="67">
        <f t="shared" si="45"/>
        <v>107205993.86800455</v>
      </c>
      <c r="AB139" s="67">
        <f>N139*I139</f>
        <v>0</v>
      </c>
      <c r="AC139" s="67"/>
      <c r="AD139" s="90">
        <f>P139*J139</f>
        <v>22878.02112428402</v>
      </c>
      <c r="AE139" s="90">
        <f>Q139*K139</f>
        <v>181233.85155637903</v>
      </c>
      <c r="AF139" s="67">
        <f>R139*I140</f>
        <v>53501.253608273269</v>
      </c>
      <c r="AG139" s="68">
        <f>S139*I139</f>
        <v>436770.48936729686</v>
      </c>
      <c r="AH139" s="68">
        <f>T139*$I139</f>
        <v>0</v>
      </c>
      <c r="AI139" s="68">
        <f>U139*$I139</f>
        <v>0</v>
      </c>
      <c r="AJ139" s="67">
        <f>V139*I140</f>
        <v>107384947.42249919</v>
      </c>
      <c r="AK139" s="67">
        <f>W139*$I139</f>
        <v>0</v>
      </c>
      <c r="AL139" s="67">
        <f>X139*$I139</f>
        <v>0</v>
      </c>
      <c r="AM139" s="67">
        <f>Y139*$I139</f>
        <v>0</v>
      </c>
      <c r="AN139" s="65">
        <f>NPV(Assumptions!$D$19,AB139:$AB$259)*(1+Assumptions!$D$19)</f>
        <v>25833389.865031399</v>
      </c>
      <c r="AO139" s="68">
        <f t="shared" si="41"/>
        <v>238544.95954963402</v>
      </c>
      <c r="AQ139" s="67">
        <f t="shared" si="46"/>
        <v>109262043.82588552</v>
      </c>
      <c r="AR139" s="95">
        <f>(AQ139+AB139-AC139)*Assumptions!$D$19</f>
        <v>469062.42682977737</v>
      </c>
      <c r="AS139" s="67">
        <f t="shared" si="47"/>
        <v>2088341.8953434569</v>
      </c>
      <c r="AT139" s="67">
        <f t="shared" si="42"/>
        <v>109234744.35829301</v>
      </c>
      <c r="AU139" s="67"/>
      <c r="AV139" s="67"/>
      <c r="AW139" s="67"/>
      <c r="AY139" s="67"/>
      <c r="AZ139" s="70">
        <f t="shared" si="36"/>
        <v>0</v>
      </c>
    </row>
    <row r="140" spans="2:52" x14ac:dyDescent="0.2">
      <c r="B140" s="5">
        <f t="shared" si="32"/>
        <v>133</v>
      </c>
      <c r="C140" s="5">
        <f t="shared" si="33"/>
        <v>133</v>
      </c>
      <c r="D140" s="5">
        <f t="shared" si="34"/>
        <v>11</v>
      </c>
      <c r="E140" s="5">
        <f t="shared" si="35"/>
        <v>57</v>
      </c>
      <c r="F140" s="64">
        <f>1-(1-VLOOKUP($E140,'Annual Mortality Rates'!$B$5:$C$105,2,FALSE))^(1/12)</f>
        <v>2.3864632065639935E-4</v>
      </c>
      <c r="G140" s="75">
        <f>IF(C140&gt;=Assumptions!$H$9*12,100%,1-(1-IF(D140&gt;=7,2%,VLOOKUP($D140,'Annual Lapse Rates'!$B$4:$C$14,2,FALSE)))^(1/12))</f>
        <v>1.6821425527395739E-3</v>
      </c>
      <c r="H140" s="81">
        <f t="shared" si="43"/>
        <v>1</v>
      </c>
      <c r="I140" s="65">
        <f t="shared" si="37"/>
        <v>2892.1296766682253</v>
      </c>
      <c r="J140" s="66">
        <f t="shared" si="38"/>
        <v>0.69019610619805383</v>
      </c>
      <c r="K140" s="66">
        <f t="shared" si="39"/>
        <v>4.8742261182247519</v>
      </c>
      <c r="M140" s="97">
        <f t="shared" si="44"/>
        <v>37130.059654243509</v>
      </c>
      <c r="N140" s="97">
        <f>IF(AND(H140=1,D140&lt;15),Assumptions!$H$4,0)</f>
        <v>2500</v>
      </c>
      <c r="O140" s="103"/>
      <c r="P140" s="98">
        <f>$M140*(1+VLOOKUP($H140,Assumptions!$C$22:$D$33,2,FALSE))^(1/12)</f>
        <v>37139.715118961052</v>
      </c>
      <c r="Q140" s="98">
        <f>$M140*(1+VLOOKUP($H140,Assumptions!$C$22:$D$33,2,FALSE))^(1/12)</f>
        <v>37139.715118961052</v>
      </c>
      <c r="R140" s="97">
        <f>IF(AND(H140=12,D140&lt;15),Assumptions!$C$7*M140,0)</f>
        <v>0</v>
      </c>
      <c r="S140" s="99">
        <f>(M140+N140-O140)*Assumptions!$D$17</f>
        <v>161.45776858475654</v>
      </c>
      <c r="T140" s="99">
        <f t="shared" si="40"/>
        <v>0</v>
      </c>
      <c r="U140" s="101"/>
      <c r="V140" s="101">
        <f>IF(C140&gt;=Assumptions!$H$9*12,0,M140+N140-O140+S140-R140)</f>
        <v>39791.517422828263</v>
      </c>
      <c r="W140" s="103"/>
      <c r="X140" s="97">
        <f>IF(AND(H140=1,D140&lt;15),Assumptions!$D$10*N140+Assumptions!$D$11*(1+Assumptions!$D$16)^(B140-1),0)</f>
        <v>20.581933004565272</v>
      </c>
      <c r="Y140" s="100">
        <f>Assumptions!$C$13*N140</f>
        <v>12.5</v>
      </c>
      <c r="AA140" s="67">
        <f t="shared" si="45"/>
        <v>107384947.42249919</v>
      </c>
      <c r="AB140" s="67">
        <f>N140*I140</f>
        <v>7230324.1916705631</v>
      </c>
      <c r="AC140" s="67"/>
      <c r="AD140" s="90">
        <f>P140*J140</f>
        <v>25633.686760411907</v>
      </c>
      <c r="AE140" s="90">
        <f>Q140*K140</f>
        <v>181027.36945626666</v>
      </c>
      <c r="AF140" s="67">
        <f>R140*I141</f>
        <v>0</v>
      </c>
      <c r="AG140" s="68">
        <f>S140*I140</f>
        <v>466956.80405260506</v>
      </c>
      <c r="AH140" s="68">
        <f>T140*$I140</f>
        <v>0</v>
      </c>
      <c r="AI140" s="68">
        <f>U140*$I140</f>
        <v>0</v>
      </c>
      <c r="AJ140" s="67">
        <f>V140*I141</f>
        <v>114860811.61433128</v>
      </c>
      <c r="AK140" s="67">
        <f>W140*$I140</f>
        <v>0</v>
      </c>
      <c r="AL140" s="67">
        <f>X140*$I140</f>
        <v>59525.619245700436</v>
      </c>
      <c r="AM140" s="67">
        <f>Y140*$I140</f>
        <v>36151.620958352818</v>
      </c>
      <c r="AN140" s="65">
        <f>NPV(Assumptions!$D$19,AB140:$AB$259)*(1+Assumptions!$D$19)</f>
        <v>25944292.719481397</v>
      </c>
      <c r="AO140" s="68">
        <f t="shared" si="41"/>
        <v>172804.37793115515</v>
      </c>
      <c r="AQ140" s="67">
        <f t="shared" si="46"/>
        <v>109473289.31784265</v>
      </c>
      <c r="AR140" s="95">
        <f>(AQ140+AB140-AC140)*Assumptions!$D$19</f>
        <v>501009.11767502356</v>
      </c>
      <c r="AS140" s="67">
        <f t="shared" si="47"/>
        <v>2122394.2089658752</v>
      </c>
      <c r="AT140" s="67">
        <f t="shared" si="42"/>
        <v>116810401.445366</v>
      </c>
      <c r="AU140" s="67"/>
      <c r="AV140" s="67"/>
      <c r="AW140" s="67"/>
      <c r="AY140" s="67"/>
      <c r="AZ140" s="70">
        <f t="shared" si="36"/>
        <v>0</v>
      </c>
    </row>
    <row r="141" spans="2:52" x14ac:dyDescent="0.2">
      <c r="B141" s="5">
        <f t="shared" si="32"/>
        <v>134</v>
      </c>
      <c r="C141" s="5">
        <f t="shared" si="33"/>
        <v>134</v>
      </c>
      <c r="D141" s="5">
        <f t="shared" si="34"/>
        <v>11</v>
      </c>
      <c r="E141" s="5">
        <f t="shared" si="35"/>
        <v>57</v>
      </c>
      <c r="F141" s="64">
        <f>1-(1-VLOOKUP($E141,'Annual Mortality Rates'!$B$5:$C$105,2,FALSE))^(1/12)</f>
        <v>2.3864632065639935E-4</v>
      </c>
      <c r="G141" s="75">
        <f>IF(C141&gt;=Assumptions!$H$9*12,100%,1-(1-IF(D141&gt;=7,2%,VLOOKUP($D141,'Annual Lapse Rates'!$B$4:$C$14,2,FALSE)))^(1/12))</f>
        <v>1.6821425527395739E-3</v>
      </c>
      <c r="H141" s="81">
        <f t="shared" si="43"/>
        <v>2</v>
      </c>
      <c r="I141" s="65">
        <f t="shared" si="37"/>
        <v>2886.5652544438026</v>
      </c>
      <c r="J141" s="66">
        <f t="shared" si="38"/>
        <v>0.68886817730761674</v>
      </c>
      <c r="K141" s="66">
        <f t="shared" si="39"/>
        <v>4.8649743971645671</v>
      </c>
      <c r="M141" s="97">
        <f t="shared" si="44"/>
        <v>39791.517422828263</v>
      </c>
      <c r="N141" s="97">
        <f>IF(AND(H141=1,D141&lt;15),Assumptions!$H$4,0)</f>
        <v>0</v>
      </c>
      <c r="O141" s="103"/>
      <c r="P141" s="98">
        <f>$M141*(1+VLOOKUP($H141,Assumptions!$C$22:$D$33,2,FALSE))^(1/12)</f>
        <v>39812.183039700118</v>
      </c>
      <c r="Q141" s="98">
        <f>$M141*(1+VLOOKUP($H141,Assumptions!$C$22:$D$33,2,FALSE))^(1/12)</f>
        <v>39812.183039700118</v>
      </c>
      <c r="R141" s="97">
        <f>IF(AND(H141=12,D141&lt;15),Assumptions!$C$7*M141,0)</f>
        <v>0</v>
      </c>
      <c r="S141" s="99">
        <f>(M141+N141-O141)*Assumptions!$D$17</f>
        <v>162.11556751980245</v>
      </c>
      <c r="T141" s="99">
        <f t="shared" si="40"/>
        <v>0</v>
      </c>
      <c r="U141" s="101"/>
      <c r="V141" s="101">
        <f>IF(C141&gt;=Assumptions!$H$9*12,0,M141+N141-O141+S141-R141)</f>
        <v>39953.632990348066</v>
      </c>
      <c r="W141" s="103"/>
      <c r="X141" s="97">
        <f>IF(AND(H141=1,D141&lt;15),Assumptions!$D$10*N141+Assumptions!$D$11*(1+Assumptions!$D$16)^(B141-1),0)</f>
        <v>0</v>
      </c>
      <c r="Y141" s="100">
        <f>Assumptions!$C$13*N141</f>
        <v>0</v>
      </c>
      <c r="AA141" s="67">
        <f t="shared" si="45"/>
        <v>114860811.61433128</v>
      </c>
      <c r="AB141" s="67">
        <f>N141*I141</f>
        <v>0</v>
      </c>
      <c r="AC141" s="67"/>
      <c r="AD141" s="90">
        <f>P141*J141</f>
        <v>27425.345965195433</v>
      </c>
      <c r="AE141" s="90">
        <f>Q141*K141</f>
        <v>193685.25118337048</v>
      </c>
      <c r="AF141" s="67">
        <f>R141*I142</f>
        <v>0</v>
      </c>
      <c r="AG141" s="68">
        <f>S141*I141</f>
        <v>467957.1644071</v>
      </c>
      <c r="AH141" s="68">
        <f>T141*$I141</f>
        <v>0</v>
      </c>
      <c r="AI141" s="68">
        <f>U141*$I141</f>
        <v>0</v>
      </c>
      <c r="AJ141" s="67">
        <f>V141*I142</f>
        <v>115106872.59083174</v>
      </c>
      <c r="AK141" s="67">
        <f>W141*$I141</f>
        <v>0</v>
      </c>
      <c r="AL141" s="67">
        <f>X141*$I141</f>
        <v>0</v>
      </c>
      <c r="AM141" s="67">
        <f>Y141*$I141</f>
        <v>0</v>
      </c>
      <c r="AN141" s="65">
        <f>NPV(Assumptions!$D$19,AB141:$AB$259)*(1+Assumptions!$D$19)</f>
        <v>18794307.675660376</v>
      </c>
      <c r="AO141" s="68">
        <f t="shared" si="41"/>
        <v>173546.22787319325</v>
      </c>
      <c r="AQ141" s="67">
        <f t="shared" si="46"/>
        <v>116983205.82329714</v>
      </c>
      <c r="AR141" s="95">
        <f>(AQ141+AB141-AC141)*Assumptions!$D$19</f>
        <v>502209.40868765948</v>
      </c>
      <c r="AS141" s="67">
        <f t="shared" si="47"/>
        <v>2156646.4532464347</v>
      </c>
      <c r="AT141" s="67">
        <f t="shared" si="42"/>
        <v>117089972.81620498</v>
      </c>
      <c r="AU141" s="67"/>
      <c r="AV141" s="67"/>
      <c r="AW141" s="67"/>
      <c r="AY141" s="67"/>
      <c r="AZ141" s="70">
        <f t="shared" si="36"/>
        <v>0</v>
      </c>
    </row>
    <row r="142" spans="2:52" x14ac:dyDescent="0.2">
      <c r="B142" s="5">
        <f t="shared" si="32"/>
        <v>135</v>
      </c>
      <c r="C142" s="5">
        <f t="shared" si="33"/>
        <v>135</v>
      </c>
      <c r="D142" s="5">
        <f t="shared" si="34"/>
        <v>11</v>
      </c>
      <c r="E142" s="5">
        <f t="shared" si="35"/>
        <v>57</v>
      </c>
      <c r="F142" s="64">
        <f>1-(1-VLOOKUP($E142,'Annual Mortality Rates'!$B$5:$C$105,2,FALSE))^(1/12)</f>
        <v>2.3864632065639935E-4</v>
      </c>
      <c r="G142" s="75">
        <f>IF(C142&gt;=Assumptions!$H$9*12,100%,1-(1-IF(D142&gt;=7,2%,VLOOKUP($D142,'Annual Lapse Rates'!$B$4:$C$14,2,FALSE)))^(1/12))</f>
        <v>1.6821425527395739E-3</v>
      </c>
      <c r="H142" s="81">
        <f t="shared" si="43"/>
        <v>3</v>
      </c>
      <c r="I142" s="65">
        <f t="shared" si="37"/>
        <v>2881.0114118693305</v>
      </c>
      <c r="J142" s="66">
        <f t="shared" si="38"/>
        <v>0.68754277321171409</v>
      </c>
      <c r="K142" s="66">
        <f t="shared" si="39"/>
        <v>4.8556142457594555</v>
      </c>
      <c r="M142" s="97">
        <f t="shared" si="44"/>
        <v>39953.632990348066</v>
      </c>
      <c r="N142" s="97">
        <f>IF(AND(H142=1,D142&lt;15),Assumptions!$H$4,0)</f>
        <v>0</v>
      </c>
      <c r="O142" s="103"/>
      <c r="P142" s="98">
        <f>$M142*(1+VLOOKUP($H142,Assumptions!$C$22:$D$33,2,FALSE))^(1/12)</f>
        <v>39984.713442310538</v>
      </c>
      <c r="Q142" s="98">
        <f>$M142*(1+VLOOKUP($H142,Assumptions!$C$22:$D$33,2,FALSE))^(1/12)</f>
        <v>39984.713442310538</v>
      </c>
      <c r="R142" s="97">
        <f>IF(AND(H142=12,D142&lt;15),Assumptions!$C$7*M142,0)</f>
        <v>0</v>
      </c>
      <c r="S142" s="99">
        <f>(M142+N142-O142)*Assumptions!$D$17</f>
        <v>162.77604640913455</v>
      </c>
      <c r="T142" s="99">
        <f t="shared" si="40"/>
        <v>0</v>
      </c>
      <c r="U142" s="101"/>
      <c r="V142" s="101">
        <f>IF(C142&gt;=Assumptions!$H$9*12,0,M142+N142-O142+S142-R142)</f>
        <v>40116.409036757199</v>
      </c>
      <c r="W142" s="103"/>
      <c r="X142" s="97">
        <f>IF(AND(H142=1,D142&lt;15),Assumptions!$D$10*N142+Assumptions!$D$11*(1+Assumptions!$D$16)^(B142-1),0)</f>
        <v>0</v>
      </c>
      <c r="Y142" s="100">
        <f>Assumptions!$C$13*N142</f>
        <v>0</v>
      </c>
      <c r="AA142" s="67">
        <f t="shared" si="45"/>
        <v>115106872.59083174</v>
      </c>
      <c r="AB142" s="67">
        <f>N142*I142</f>
        <v>0</v>
      </c>
      <c r="AC142" s="67"/>
      <c r="AD142" s="90">
        <f>P142*J142</f>
        <v>27491.200766201891</v>
      </c>
      <c r="AE142" s="90">
        <f>Q142*K142</f>
        <v>194150.34420309265</v>
      </c>
      <c r="AF142" s="67">
        <f>R142*I143</f>
        <v>0</v>
      </c>
      <c r="AG142" s="68">
        <f>S142*I142</f>
        <v>468959.64728368842</v>
      </c>
      <c r="AH142" s="68">
        <f>T142*$I142</f>
        <v>0</v>
      </c>
      <c r="AI142" s="68">
        <f>U142*$I142</f>
        <v>0</v>
      </c>
      <c r="AJ142" s="67">
        <f>V142*I143</f>
        <v>115353460.68378741</v>
      </c>
      <c r="AK142" s="67">
        <f>W142*$I142</f>
        <v>0</v>
      </c>
      <c r="AL142" s="67">
        <f>X142*$I142</f>
        <v>0</v>
      </c>
      <c r="AM142" s="67">
        <f>Y142*$I142</f>
        <v>0</v>
      </c>
      <c r="AN142" s="65">
        <f>NPV(Assumptions!$D$19,AB142:$AB$259)*(1+Assumptions!$D$19)</f>
        <v>18874991.719819196</v>
      </c>
      <c r="AO142" s="68">
        <f t="shared" si="41"/>
        <v>174291.26258024186</v>
      </c>
      <c r="AQ142" s="67">
        <f t="shared" si="46"/>
        <v>117263519.04407817</v>
      </c>
      <c r="AR142" s="95">
        <f>(AQ142+AB142-AC142)*Assumptions!$D$19</f>
        <v>503412.79455715272</v>
      </c>
      <c r="AS142" s="67">
        <f t="shared" si="47"/>
        <v>2191099.6005198993</v>
      </c>
      <c r="AT142" s="67">
        <f t="shared" si="42"/>
        <v>117370269.02172706</v>
      </c>
      <c r="AU142" s="67"/>
      <c r="AV142" s="67"/>
      <c r="AW142" s="67"/>
      <c r="AY142" s="67"/>
      <c r="AZ142" s="70">
        <f t="shared" si="36"/>
        <v>0</v>
      </c>
    </row>
    <row r="143" spans="2:52" x14ac:dyDescent="0.2">
      <c r="B143" s="5">
        <f t="shared" si="32"/>
        <v>136</v>
      </c>
      <c r="C143" s="5">
        <f t="shared" si="33"/>
        <v>136</v>
      </c>
      <c r="D143" s="5">
        <f t="shared" si="34"/>
        <v>11</v>
      </c>
      <c r="E143" s="5">
        <f t="shared" si="35"/>
        <v>57</v>
      </c>
      <c r="F143" s="64">
        <f>1-(1-VLOOKUP($E143,'Annual Mortality Rates'!$B$5:$C$105,2,FALSE))^(1/12)</f>
        <v>2.3864632065639935E-4</v>
      </c>
      <c r="G143" s="75">
        <f>IF(C143&gt;=Assumptions!$H$9*12,100%,1-(1-IF(D143&gt;=7,2%,VLOOKUP($D143,'Annual Lapse Rates'!$B$4:$C$14,2,FALSE)))^(1/12))</f>
        <v>1.6821425527395739E-3</v>
      </c>
      <c r="H143" s="81">
        <f t="shared" si="43"/>
        <v>4</v>
      </c>
      <c r="I143" s="65">
        <f t="shared" si="37"/>
        <v>2875.4682548503592</v>
      </c>
      <c r="J143" s="66">
        <f t="shared" si="38"/>
        <v>0.68621991918431591</v>
      </c>
      <c r="K143" s="66">
        <f t="shared" si="39"/>
        <v>4.8462718908337195</v>
      </c>
      <c r="M143" s="97">
        <f t="shared" si="44"/>
        <v>40116.409036757199</v>
      </c>
      <c r="N143" s="97">
        <f>IF(AND(H143=1,D143&lt;15),Assumptions!$H$4,0)</f>
        <v>0</v>
      </c>
      <c r="O143" s="103"/>
      <c r="P143" s="98">
        <f>$M143*(1+VLOOKUP($H143,Assumptions!$C$22:$D$33,2,FALSE))^(1/12)</f>
        <v>40157.959447541027</v>
      </c>
      <c r="Q143" s="98">
        <f>$M143*(1+VLOOKUP($H143,Assumptions!$C$22:$D$33,2,FALSE))^(1/12)</f>
        <v>40157.959447541027</v>
      </c>
      <c r="R143" s="97">
        <f>IF(AND(H143=12,D143&lt;15),Assumptions!$C$7*M143,0)</f>
        <v>0</v>
      </c>
      <c r="S143" s="99">
        <f>(M143+N143-O143)*Assumptions!$D$17</f>
        <v>163.43921617121825</v>
      </c>
      <c r="T143" s="99">
        <f t="shared" si="40"/>
        <v>0</v>
      </c>
      <c r="U143" s="101"/>
      <c r="V143" s="101">
        <f>IF(C143&gt;=Assumptions!$H$9*12,0,M143+N143-O143+S143-R143)</f>
        <v>40279.848252928416</v>
      </c>
      <c r="W143" s="103"/>
      <c r="X143" s="97">
        <f>IF(AND(H143=1,D143&lt;15),Assumptions!$D$10*N143+Assumptions!$D$11*(1+Assumptions!$D$16)^(B143-1),0)</f>
        <v>0</v>
      </c>
      <c r="Y143" s="100">
        <f>Assumptions!$C$13*N143</f>
        <v>0</v>
      </c>
      <c r="AA143" s="67">
        <f t="shared" si="45"/>
        <v>115353460.68378741</v>
      </c>
      <c r="AB143" s="67">
        <f>N143*I143</f>
        <v>0</v>
      </c>
      <c r="AC143" s="67"/>
      <c r="AD143" s="90">
        <f>P143*J143</f>
        <v>27557.191686698639</v>
      </c>
      <c r="AE143" s="90">
        <f>Q143*K143</f>
        <v>194616.39006385847</v>
      </c>
      <c r="AF143" s="67">
        <f>R143*I144</f>
        <v>0</v>
      </c>
      <c r="AG143" s="68">
        <f>S143*I143</f>
        <v>469964.27769796352</v>
      </c>
      <c r="AH143" s="68">
        <f>T143*$I143</f>
        <v>0</v>
      </c>
      <c r="AI143" s="68">
        <f>U143*$I143</f>
        <v>0</v>
      </c>
      <c r="AJ143" s="67">
        <f>V143*I144</f>
        <v>115600577.03091727</v>
      </c>
      <c r="AK143" s="67">
        <f>W143*$I143</f>
        <v>0</v>
      </c>
      <c r="AL143" s="67">
        <f>X143*$I143</f>
        <v>0</v>
      </c>
      <c r="AM143" s="67">
        <f>Y143*$I143</f>
        <v>0</v>
      </c>
      <c r="AN143" s="65">
        <f>NPV(Assumptions!$D$19,AB143:$AB$259)*(1+Assumptions!$D$19)</f>
        <v>18956022.140928641</v>
      </c>
      <c r="AO143" s="68">
        <f t="shared" si="41"/>
        <v>175039.49572451101</v>
      </c>
      <c r="AQ143" s="67">
        <f t="shared" si="46"/>
        <v>117544560.2843073</v>
      </c>
      <c r="AR143" s="95">
        <f>(AQ143+AB143-AC143)*Assumptions!$D$19</f>
        <v>504619.30581728619</v>
      </c>
      <c r="AS143" s="67">
        <f t="shared" si="47"/>
        <v>2225754.6286392217</v>
      </c>
      <c r="AT143" s="67">
        <f t="shared" si="42"/>
        <v>117651292.16383198</v>
      </c>
      <c r="AU143" s="67"/>
      <c r="AV143" s="67"/>
      <c r="AW143" s="67"/>
      <c r="AY143" s="67"/>
      <c r="AZ143" s="70">
        <f t="shared" si="36"/>
        <v>0</v>
      </c>
    </row>
    <row r="144" spans="2:52" x14ac:dyDescent="0.2">
      <c r="B144" s="5">
        <f t="shared" si="32"/>
        <v>137</v>
      </c>
      <c r="C144" s="5">
        <f t="shared" si="33"/>
        <v>137</v>
      </c>
      <c r="D144" s="5">
        <f t="shared" si="34"/>
        <v>11</v>
      </c>
      <c r="E144" s="5">
        <f t="shared" si="35"/>
        <v>57</v>
      </c>
      <c r="F144" s="64">
        <f>1-(1-VLOOKUP($E144,'Annual Mortality Rates'!$B$5:$C$105,2,FALSE))^(1/12)</f>
        <v>2.3864632065639935E-4</v>
      </c>
      <c r="G144" s="75">
        <f>IF(C144&gt;=Assumptions!$H$9*12,100%,1-(1-IF(D144&gt;=7,2%,VLOOKUP($D144,'Annual Lapse Rates'!$B$4:$C$14,2,FALSE)))^(1/12))</f>
        <v>1.6821425527395739E-3</v>
      </c>
      <c r="H144" s="81">
        <f t="shared" si="43"/>
        <v>5</v>
      </c>
      <c r="I144" s="65">
        <f t="shared" si="37"/>
        <v>2869.9357630403415</v>
      </c>
      <c r="J144" s="66">
        <f t="shared" si="38"/>
        <v>0.68489961036979352</v>
      </c>
      <c r="K144" s="66">
        <f t="shared" si="39"/>
        <v>4.836947510535591</v>
      </c>
      <c r="M144" s="97">
        <f t="shared" si="44"/>
        <v>40279.848252928416</v>
      </c>
      <c r="N144" s="97">
        <f>IF(AND(H144=1,D144&lt;15),Assumptions!$H$4,0)</f>
        <v>0</v>
      </c>
      <c r="O144" s="103"/>
      <c r="P144" s="98">
        <f>$M144*(1+VLOOKUP($H144,Assumptions!$C$22:$D$33,2,FALSE))^(1/12)</f>
        <v>40331.924077150899</v>
      </c>
      <c r="Q144" s="98">
        <f>$M144*(1+VLOOKUP($H144,Assumptions!$C$22:$D$33,2,FALSE))^(1/12)</f>
        <v>40331.924077150899</v>
      </c>
      <c r="R144" s="97">
        <f>IF(AND(H144=12,D144&lt;15),Assumptions!$C$7*M144,0)</f>
        <v>0</v>
      </c>
      <c r="S144" s="99">
        <f>(M144+N144-O144)*Assumptions!$D$17</f>
        <v>164.10508776900224</v>
      </c>
      <c r="T144" s="99">
        <f t="shared" si="40"/>
        <v>0</v>
      </c>
      <c r="U144" s="101"/>
      <c r="V144" s="101">
        <f>IF(C144&gt;=Assumptions!$H$9*12,0,M144+N144-O144+S144-R144)</f>
        <v>40443.953340697415</v>
      </c>
      <c r="W144" s="103"/>
      <c r="X144" s="97">
        <f>IF(AND(H144=1,D144&lt;15),Assumptions!$D$10*N144+Assumptions!$D$11*(1+Assumptions!$D$16)^(B144-1),0)</f>
        <v>0</v>
      </c>
      <c r="Y144" s="100">
        <f>Assumptions!$C$13*N144</f>
        <v>0</v>
      </c>
      <c r="AA144" s="67">
        <f t="shared" si="45"/>
        <v>115600577.03091727</v>
      </c>
      <c r="AB144" s="67">
        <f>N144*I144</f>
        <v>0</v>
      </c>
      <c r="AC144" s="67"/>
      <c r="AD144" s="90">
        <f>P144*J144</f>
        <v>27623.319085904746</v>
      </c>
      <c r="AE144" s="90">
        <f>Q144*K144</f>
        <v>195083.39976008551</v>
      </c>
      <c r="AF144" s="67">
        <f>R144*I145</f>
        <v>0</v>
      </c>
      <c r="AG144" s="68">
        <f>S144*I144</f>
        <v>470971.06028513366</v>
      </c>
      <c r="AH144" s="68">
        <f>T144*$I144</f>
        <v>0</v>
      </c>
      <c r="AI144" s="68">
        <f>U144*$I144</f>
        <v>0</v>
      </c>
      <c r="AJ144" s="67">
        <f>V144*I145</f>
        <v>115848222.76389004</v>
      </c>
      <c r="AK144" s="67">
        <f>W144*$I144</f>
        <v>0</v>
      </c>
      <c r="AL144" s="67">
        <f>X144*$I144</f>
        <v>0</v>
      </c>
      <c r="AM144" s="67">
        <f>Y144*$I144</f>
        <v>0</v>
      </c>
      <c r="AN144" s="65">
        <f>NPV(Assumptions!$D$19,AB144:$AB$259)*(1+Assumptions!$D$19)</f>
        <v>19037400.425986461</v>
      </c>
      <c r="AO144" s="68">
        <f t="shared" si="41"/>
        <v>175790.94103690545</v>
      </c>
      <c r="AQ144" s="67">
        <f t="shared" si="46"/>
        <v>117826331.65955649</v>
      </c>
      <c r="AR144" s="95">
        <f>(AQ144+AB144-AC144)*Assumptions!$D$19</f>
        <v>505828.95155021944</v>
      </c>
      <c r="AS144" s="67">
        <f t="shared" si="47"/>
        <v>2260612.5199043076</v>
      </c>
      <c r="AT144" s="67">
        <f t="shared" si="42"/>
        <v>117933044.34275743</v>
      </c>
      <c r="AU144" s="67"/>
      <c r="AV144" s="67"/>
      <c r="AW144" s="67"/>
      <c r="AY144" s="67"/>
      <c r="AZ144" s="70">
        <f t="shared" si="36"/>
        <v>0</v>
      </c>
    </row>
    <row r="145" spans="2:52" x14ac:dyDescent="0.2">
      <c r="B145" s="5">
        <f t="shared" si="32"/>
        <v>138</v>
      </c>
      <c r="C145" s="5">
        <f t="shared" si="33"/>
        <v>138</v>
      </c>
      <c r="D145" s="5">
        <f t="shared" si="34"/>
        <v>11</v>
      </c>
      <c r="E145" s="5">
        <f t="shared" si="35"/>
        <v>57</v>
      </c>
      <c r="F145" s="64">
        <f>1-(1-VLOOKUP($E145,'Annual Mortality Rates'!$B$5:$C$105,2,FALSE))^(1/12)</f>
        <v>2.3864632065639935E-4</v>
      </c>
      <c r="G145" s="75">
        <f>IF(C145&gt;=Assumptions!$H$9*12,100%,1-(1-IF(D145&gt;=7,2%,VLOOKUP($D145,'Annual Lapse Rates'!$B$4:$C$14,2,FALSE)))^(1/12))</f>
        <v>1.6821425527395739E-3</v>
      </c>
      <c r="H145" s="81">
        <f t="shared" si="43"/>
        <v>6</v>
      </c>
      <c r="I145" s="65">
        <f t="shared" si="37"/>
        <v>2864.413915919436</v>
      </c>
      <c r="J145" s="66">
        <f t="shared" si="38"/>
        <v>0.68358184187116222</v>
      </c>
      <c r="K145" s="66">
        <f t="shared" si="39"/>
        <v>4.8276410706392774</v>
      </c>
      <c r="M145" s="97">
        <f t="shared" si="44"/>
        <v>40443.953340697415</v>
      </c>
      <c r="N145" s="97">
        <f>IF(AND(H145=1,D145&lt;15),Assumptions!$H$4,0)</f>
        <v>0</v>
      </c>
      <c r="O145" s="103"/>
      <c r="P145" s="98">
        <f>$M145*(1+VLOOKUP($H145,Assumptions!$C$22:$D$33,2,FALSE))^(1/12)</f>
        <v>40506.610365007444</v>
      </c>
      <c r="Q145" s="98">
        <f>$M145*(1+VLOOKUP($H145,Assumptions!$C$22:$D$33,2,FALSE))^(1/12)</f>
        <v>40506.610365007444</v>
      </c>
      <c r="R145" s="97">
        <f>IF(AND(H145=12,D145&lt;15),Assumptions!$C$7*M145,0)</f>
        <v>0</v>
      </c>
      <c r="S145" s="99">
        <f>(M145+N145-O145)*Assumptions!$D$17</f>
        <v>164.77367221009962</v>
      </c>
      <c r="T145" s="99">
        <f t="shared" si="40"/>
        <v>0</v>
      </c>
      <c r="U145" s="101"/>
      <c r="V145" s="101">
        <f>IF(C145&gt;=Assumptions!$H$9*12,0,M145+N145-O145+S145-R145)</f>
        <v>40608.727012907511</v>
      </c>
      <c r="W145" s="103"/>
      <c r="X145" s="97">
        <f>IF(AND(H145=1,D145&lt;15),Assumptions!$D$10*N145+Assumptions!$D$11*(1+Assumptions!$D$16)^(B145-1),0)</f>
        <v>0</v>
      </c>
      <c r="Y145" s="100">
        <f>Assumptions!$C$13*N145</f>
        <v>0</v>
      </c>
      <c r="AA145" s="67">
        <f t="shared" si="45"/>
        <v>115848222.76389004</v>
      </c>
      <c r="AB145" s="67">
        <f>N145*I145</f>
        <v>0</v>
      </c>
      <c r="AC145" s="67"/>
      <c r="AD145" s="90">
        <f>P145*J145</f>
        <v>27689.5833212693</v>
      </c>
      <c r="AE145" s="90">
        <f>Q145*K145</f>
        <v>195551.37583049259</v>
      </c>
      <c r="AF145" s="67">
        <f>R145*I146</f>
        <v>0</v>
      </c>
      <c r="AG145" s="68">
        <f>S145*I145</f>
        <v>471979.99965575698</v>
      </c>
      <c r="AH145" s="68">
        <f>T145*$I145</f>
        <v>0</v>
      </c>
      <c r="AI145" s="68">
        <f>U145*$I145</f>
        <v>0</v>
      </c>
      <c r="AJ145" s="67">
        <f>V145*I146</f>
        <v>116096399.01678436</v>
      </c>
      <c r="AK145" s="67">
        <f>W145*$I145</f>
        <v>0</v>
      </c>
      <c r="AL145" s="67">
        <f>X145*$I145</f>
        <v>0</v>
      </c>
      <c r="AM145" s="67">
        <f>Y145*$I145</f>
        <v>0</v>
      </c>
      <c r="AN145" s="65">
        <f>NPV(Assumptions!$D$19,AB145:$AB$259)*(1+Assumptions!$D$19)</f>
        <v>19119128.06837409</v>
      </c>
      <c r="AO145" s="68">
        <f t="shared" si="41"/>
        <v>176545.6123072769</v>
      </c>
      <c r="AQ145" s="67">
        <f t="shared" si="46"/>
        <v>118108835.28379434</v>
      </c>
      <c r="AR145" s="95">
        <f>(AQ145+AB145-AC145)*Assumptions!$D$19</f>
        <v>507041.74083122885</v>
      </c>
      <c r="AS145" s="67">
        <f t="shared" si="47"/>
        <v>2295674.2610797794</v>
      </c>
      <c r="AT145" s="67">
        <f t="shared" si="42"/>
        <v>118215527.66555685</v>
      </c>
      <c r="AU145" s="67"/>
      <c r="AV145" s="67"/>
      <c r="AW145" s="67"/>
      <c r="AY145" s="67"/>
      <c r="AZ145" s="70">
        <f t="shared" si="36"/>
        <v>0</v>
      </c>
    </row>
    <row r="146" spans="2:52" x14ac:dyDescent="0.2">
      <c r="B146" s="5">
        <f t="shared" si="32"/>
        <v>139</v>
      </c>
      <c r="C146" s="5">
        <f t="shared" si="33"/>
        <v>139</v>
      </c>
      <c r="D146" s="5">
        <f t="shared" si="34"/>
        <v>11</v>
      </c>
      <c r="E146" s="5">
        <f t="shared" si="35"/>
        <v>57</v>
      </c>
      <c r="F146" s="64">
        <f>1-(1-VLOOKUP($E146,'Annual Mortality Rates'!$B$5:$C$105,2,FALSE))^(1/12)</f>
        <v>2.3864632065639935E-4</v>
      </c>
      <c r="G146" s="75">
        <f>IF(C146&gt;=Assumptions!$H$9*12,100%,1-(1-IF(D146&gt;=7,2%,VLOOKUP($D146,'Annual Lapse Rates'!$B$4:$C$14,2,FALSE)))^(1/12))</f>
        <v>1.6821425527395739E-3</v>
      </c>
      <c r="H146" s="81">
        <f t="shared" si="43"/>
        <v>7</v>
      </c>
      <c r="I146" s="65">
        <f t="shared" si="37"/>
        <v>2858.9026930069253</v>
      </c>
      <c r="J146" s="66">
        <f t="shared" si="38"/>
        <v>0.68226660880077428</v>
      </c>
      <c r="K146" s="66">
        <f t="shared" si="39"/>
        <v>4.8183525366274793</v>
      </c>
      <c r="M146" s="97">
        <f t="shared" si="44"/>
        <v>40608.727012907511</v>
      </c>
      <c r="N146" s="97">
        <f>IF(AND(H146=1,D146&lt;15),Assumptions!$H$4,0)</f>
        <v>0</v>
      </c>
      <c r="O146" s="103"/>
      <c r="P146" s="98">
        <f>$M146*(1+VLOOKUP($H146,Assumptions!$C$22:$D$33,2,FALSE))^(1/12)</f>
        <v>40682.021357140882</v>
      </c>
      <c r="Q146" s="98">
        <f>$M146*(1+VLOOKUP($H146,Assumptions!$C$22:$D$33,2,FALSE))^(1/12)</f>
        <v>40682.021357140882</v>
      </c>
      <c r="R146" s="97">
        <f>IF(AND(H146=12,D146&lt;15),Assumptions!$C$7*M146,0)</f>
        <v>0</v>
      </c>
      <c r="S146" s="99">
        <f>(M146+N146-O146)*Assumptions!$D$17</f>
        <v>165.44498054696984</v>
      </c>
      <c r="T146" s="99">
        <f t="shared" si="40"/>
        <v>0</v>
      </c>
      <c r="U146" s="101"/>
      <c r="V146" s="101">
        <f>IF(C146&gt;=Assumptions!$H$9*12,0,M146+N146-O146+S146-R146)</f>
        <v>40774.171993454482</v>
      </c>
      <c r="W146" s="103"/>
      <c r="X146" s="97">
        <f>IF(AND(H146=1,D146&lt;15),Assumptions!$D$10*N146+Assumptions!$D$11*(1+Assumptions!$D$16)^(B146-1),0)</f>
        <v>0</v>
      </c>
      <c r="Y146" s="100">
        <f>Assumptions!$C$13*N146</f>
        <v>0</v>
      </c>
      <c r="AA146" s="67">
        <f t="shared" si="45"/>
        <v>116096399.01678436</v>
      </c>
      <c r="AB146" s="67">
        <f>N146*I146</f>
        <v>0</v>
      </c>
      <c r="AC146" s="67"/>
      <c r="AD146" s="90">
        <f>P146*J146</f>
        <v>27755.984750497184</v>
      </c>
      <c r="AE146" s="90">
        <f>Q146*K146</f>
        <v>196020.32080131306</v>
      </c>
      <c r="AF146" s="67">
        <f>R146*I147</f>
        <v>0</v>
      </c>
      <c r="AG146" s="68">
        <f>S146*I146</f>
        <v>472991.10043021047</v>
      </c>
      <c r="AH146" s="68">
        <f>T146*$I146</f>
        <v>0</v>
      </c>
      <c r="AI146" s="68">
        <f>U146*$I146</f>
        <v>0</v>
      </c>
      <c r="AJ146" s="67">
        <f>V146*I147</f>
        <v>116345106.92610838</v>
      </c>
      <c r="AK146" s="67">
        <f>W146*$I146</f>
        <v>0</v>
      </c>
      <c r="AL146" s="67">
        <f>X146*$I146</f>
        <v>0</v>
      </c>
      <c r="AM146" s="67">
        <f>Y146*$I146</f>
        <v>0</v>
      </c>
      <c r="AN146" s="65">
        <f>NPV(Assumptions!$D$19,AB146:$AB$259)*(1+Assumptions!$D$19)</f>
        <v>19201206.567884058</v>
      </c>
      <c r="AO146" s="68">
        <f t="shared" si="41"/>
        <v>177303.5233846769</v>
      </c>
      <c r="AQ146" s="67">
        <f t="shared" si="46"/>
        <v>118392073.27786413</v>
      </c>
      <c r="AR146" s="95">
        <f>(AQ146+AB146-AC146)*Assumptions!$D$19</f>
        <v>508257.68276510376</v>
      </c>
      <c r="AS146" s="67">
        <f t="shared" si="47"/>
        <v>2330940.8434146727</v>
      </c>
      <c r="AT146" s="67">
        <f t="shared" si="42"/>
        <v>118498744.24613838</v>
      </c>
      <c r="AU146" s="67"/>
      <c r="AV146" s="67"/>
      <c r="AW146" s="67"/>
      <c r="AY146" s="67"/>
      <c r="AZ146" s="70">
        <f t="shared" si="36"/>
        <v>0</v>
      </c>
    </row>
    <row r="147" spans="2:52" x14ac:dyDescent="0.2">
      <c r="B147" s="5">
        <f t="shared" si="32"/>
        <v>140</v>
      </c>
      <c r="C147" s="5">
        <f t="shared" si="33"/>
        <v>140</v>
      </c>
      <c r="D147" s="5">
        <f t="shared" si="34"/>
        <v>11</v>
      </c>
      <c r="E147" s="5">
        <f t="shared" si="35"/>
        <v>57</v>
      </c>
      <c r="F147" s="64">
        <f>1-(1-VLOOKUP($E147,'Annual Mortality Rates'!$B$5:$C$105,2,FALSE))^(1/12)</f>
        <v>2.3864632065639935E-4</v>
      </c>
      <c r="G147" s="75">
        <f>IF(C147&gt;=Assumptions!$H$9*12,100%,1-(1-IF(D147&gt;=7,2%,VLOOKUP($D147,'Annual Lapse Rates'!$B$4:$C$14,2,FALSE)))^(1/12))</f>
        <v>1.6821425527395739E-3</v>
      </c>
      <c r="H147" s="81">
        <f t="shared" si="43"/>
        <v>8</v>
      </c>
      <c r="I147" s="65">
        <f t="shared" si="37"/>
        <v>2853.4020738614968</v>
      </c>
      <c r="J147" s="66">
        <f t="shared" si="38"/>
        <v>0.68095390628038566</v>
      </c>
      <c r="K147" s="66">
        <f t="shared" si="39"/>
        <v>4.8090818740487116</v>
      </c>
      <c r="M147" s="97">
        <f t="shared" si="44"/>
        <v>40774.171993454482</v>
      </c>
      <c r="N147" s="97">
        <f>IF(AND(H147=1,D147&lt;15),Assumptions!$H$4,0)</f>
        <v>0</v>
      </c>
      <c r="O147" s="103"/>
      <c r="P147" s="98">
        <f>$M147*(1+VLOOKUP($H147,Assumptions!$C$22:$D$33,2,FALSE))^(1/12)</f>
        <v>40858.160111799407</v>
      </c>
      <c r="Q147" s="98">
        <f>$M147*(1+VLOOKUP($H147,Assumptions!$C$22:$D$33,2,FALSE))^(1/12)</f>
        <v>40858.160111799407</v>
      </c>
      <c r="R147" s="97">
        <f>IF(AND(H147=12,D147&lt;15),Assumptions!$C$7*M147,0)</f>
        <v>0</v>
      </c>
      <c r="S147" s="99">
        <f>(M147+N147-O147)*Assumptions!$D$17</f>
        <v>166.11902387710151</v>
      </c>
      <c r="T147" s="99">
        <f t="shared" si="40"/>
        <v>0</v>
      </c>
      <c r="U147" s="101"/>
      <c r="V147" s="101">
        <f>IF(C147&gt;=Assumptions!$H$9*12,0,M147+N147-O147+S147-R147)</f>
        <v>40940.291017331583</v>
      </c>
      <c r="W147" s="103"/>
      <c r="X147" s="97">
        <f>IF(AND(H147=1,D147&lt;15),Assumptions!$D$10*N147+Assumptions!$D$11*(1+Assumptions!$D$16)^(B147-1),0)</f>
        <v>0</v>
      </c>
      <c r="Y147" s="100">
        <f>Assumptions!$C$13*N147</f>
        <v>0</v>
      </c>
      <c r="AA147" s="67">
        <f t="shared" si="45"/>
        <v>116345106.92610838</v>
      </c>
      <c r="AB147" s="67">
        <f>N147*I147</f>
        <v>0</v>
      </c>
      <c r="AC147" s="67"/>
      <c r="AD147" s="90">
        <f>P147*J147</f>
        <v>27822.523731559246</v>
      </c>
      <c r="AE147" s="90">
        <f>Q147*K147</f>
        <v>196490.23720063461</v>
      </c>
      <c r="AF147" s="67">
        <f>R147*I148</f>
        <v>0</v>
      </c>
      <c r="AG147" s="68">
        <f>S147*I147</f>
        <v>474004.36723876896</v>
      </c>
      <c r="AH147" s="68">
        <f>T147*$I147</f>
        <v>0</v>
      </c>
      <c r="AI147" s="68">
        <f>U147*$I147</f>
        <v>0</v>
      </c>
      <c r="AJ147" s="67">
        <f>V147*I148</f>
        <v>116594347.6308049</v>
      </c>
      <c r="AK147" s="67">
        <f>W147*$I147</f>
        <v>0</v>
      </c>
      <c r="AL147" s="67">
        <f>X147*$I147</f>
        <v>0</v>
      </c>
      <c r="AM147" s="67">
        <f>Y147*$I147</f>
        <v>0</v>
      </c>
      <c r="AN147" s="65">
        <f>NPV(Assumptions!$D$19,AB147:$AB$259)*(1+Assumptions!$D$19)</f>
        <v>19283637.430747505</v>
      </c>
      <c r="AO147" s="68">
        <f t="shared" si="41"/>
        <v>178064.68817761098</v>
      </c>
      <c r="AQ147" s="67">
        <f t="shared" si="46"/>
        <v>118676047.76952305</v>
      </c>
      <c r="AR147" s="95">
        <f>(AQ147+AB147-AC147)*Assumptions!$D$19</f>
        <v>509476.78648631502</v>
      </c>
      <c r="AS147" s="67">
        <f t="shared" si="47"/>
        <v>2366413.2626622189</v>
      </c>
      <c r="AT147" s="67">
        <f t="shared" si="42"/>
        <v>118782696.2052895</v>
      </c>
      <c r="AU147" s="67"/>
      <c r="AV147" s="67"/>
      <c r="AW147" s="67"/>
      <c r="AY147" s="67"/>
      <c r="AZ147" s="70">
        <f t="shared" si="36"/>
        <v>0</v>
      </c>
    </row>
    <row r="148" spans="2:52" x14ac:dyDescent="0.2">
      <c r="B148" s="5">
        <f t="shared" si="32"/>
        <v>141</v>
      </c>
      <c r="C148" s="5">
        <f t="shared" si="33"/>
        <v>141</v>
      </c>
      <c r="D148" s="5">
        <f t="shared" si="34"/>
        <v>11</v>
      </c>
      <c r="E148" s="5">
        <f t="shared" si="35"/>
        <v>57</v>
      </c>
      <c r="F148" s="64">
        <f>1-(1-VLOOKUP($E148,'Annual Mortality Rates'!$B$5:$C$105,2,FALSE))^(1/12)</f>
        <v>2.3864632065639935E-4</v>
      </c>
      <c r="G148" s="75">
        <f>IF(C148&gt;=Assumptions!$H$9*12,100%,1-(1-IF(D148&gt;=7,2%,VLOOKUP($D148,'Annual Lapse Rates'!$B$4:$C$14,2,FALSE)))^(1/12))</f>
        <v>1.6821425527395739E-3</v>
      </c>
      <c r="H148" s="81">
        <f t="shared" si="43"/>
        <v>9</v>
      </c>
      <c r="I148" s="65">
        <f t="shared" si="37"/>
        <v>2847.9120380811673</v>
      </c>
      <c r="J148" s="66">
        <f t="shared" si="38"/>
        <v>0.67964372944113804</v>
      </c>
      <c r="K148" s="66">
        <f t="shared" si="39"/>
        <v>4.7998290485177728</v>
      </c>
      <c r="M148" s="97">
        <f t="shared" si="44"/>
        <v>40940.291017331583</v>
      </c>
      <c r="N148" s="97">
        <f>IF(AND(H148=1,D148&lt;15),Assumptions!$H$4,0)</f>
        <v>0</v>
      </c>
      <c r="O148" s="103"/>
      <c r="P148" s="98">
        <f>$M148*(1+VLOOKUP($H148,Assumptions!$C$22:$D$33,2,FALSE))^(1/12)</f>
        <v>41035.029699504441</v>
      </c>
      <c r="Q148" s="98">
        <f>$M148*(1+VLOOKUP($H148,Assumptions!$C$22:$D$33,2,FALSE))^(1/12)</f>
        <v>41035.029699504441</v>
      </c>
      <c r="R148" s="97">
        <f>IF(AND(H148=12,D148&lt;15),Assumptions!$C$7*M148,0)</f>
        <v>0</v>
      </c>
      <c r="S148" s="99">
        <f>(M148+N148-O148)*Assumptions!$D$17</f>
        <v>166.79581334319565</v>
      </c>
      <c r="T148" s="99">
        <f t="shared" si="40"/>
        <v>0</v>
      </c>
      <c r="U148" s="101"/>
      <c r="V148" s="101">
        <f>IF(C148&gt;=Assumptions!$H$9*12,0,M148+N148-O148+S148-R148)</f>
        <v>41107.08683067478</v>
      </c>
      <c r="W148" s="103"/>
      <c r="X148" s="97">
        <f>IF(AND(H148=1,D148&lt;15),Assumptions!$D$10*N148+Assumptions!$D$11*(1+Assumptions!$D$16)^(B148-1),0)</f>
        <v>0</v>
      </c>
      <c r="Y148" s="100">
        <f>Assumptions!$C$13*N148</f>
        <v>0</v>
      </c>
      <c r="AA148" s="67">
        <f t="shared" si="45"/>
        <v>116594347.6308049</v>
      </c>
      <c r="AB148" s="67">
        <f>N148*I148</f>
        <v>0</v>
      </c>
      <c r="AC148" s="67"/>
      <c r="AD148" s="90">
        <f>P148*J148</f>
        <v>27889.20062269906</v>
      </c>
      <c r="AE148" s="90">
        <f>Q148*K148</f>
        <v>196961.12755847094</v>
      </c>
      <c r="AF148" s="67">
        <f>R148*I149</f>
        <v>0</v>
      </c>
      <c r="AG148" s="68">
        <f>S148*I148</f>
        <v>475019.80472162628</v>
      </c>
      <c r="AH148" s="68">
        <f>T148*$I148</f>
        <v>0</v>
      </c>
      <c r="AI148" s="68">
        <f>U148*$I148</f>
        <v>0</v>
      </c>
      <c r="AJ148" s="67">
        <f>V148*I149</f>
        <v>116844122.27225664</v>
      </c>
      <c r="AK148" s="67">
        <f>W148*$I148</f>
        <v>0</v>
      </c>
      <c r="AL148" s="67">
        <f>X148*$I148</f>
        <v>0</v>
      </c>
      <c r="AM148" s="67">
        <f>Y148*$I148</f>
        <v>0</v>
      </c>
      <c r="AN148" s="65">
        <f>NPV(Assumptions!$D$19,AB148:$AB$259)*(1+Assumptions!$D$19)</f>
        <v>19366422.169661835</v>
      </c>
      <c r="AO148" s="68">
        <f t="shared" si="41"/>
        <v>178829.12065429409</v>
      </c>
      <c r="AQ148" s="67">
        <f t="shared" si="46"/>
        <v>118960760.89346711</v>
      </c>
      <c r="AR148" s="95">
        <f>(AQ148+AB148-AC148)*Assumptions!$D$19</f>
        <v>510699.06115912186</v>
      </c>
      <c r="AS148" s="67">
        <f t="shared" si="47"/>
        <v>2402092.5190997142</v>
      </c>
      <c r="AT148" s="67">
        <f t="shared" si="42"/>
        <v>119067385.67070206</v>
      </c>
      <c r="AU148" s="67"/>
      <c r="AV148" s="67"/>
      <c r="AW148" s="67"/>
      <c r="AY148" s="67"/>
      <c r="AZ148" s="70">
        <f t="shared" si="36"/>
        <v>0</v>
      </c>
    </row>
    <row r="149" spans="2:52" x14ac:dyDescent="0.2">
      <c r="B149" s="5">
        <f t="shared" si="32"/>
        <v>142</v>
      </c>
      <c r="C149" s="5">
        <f t="shared" si="33"/>
        <v>142</v>
      </c>
      <c r="D149" s="5">
        <f t="shared" si="34"/>
        <v>11</v>
      </c>
      <c r="E149" s="5">
        <f t="shared" si="35"/>
        <v>57</v>
      </c>
      <c r="F149" s="64">
        <f>1-(1-VLOOKUP($E149,'Annual Mortality Rates'!$B$5:$C$105,2,FALSE))^(1/12)</f>
        <v>2.3864632065639935E-4</v>
      </c>
      <c r="G149" s="75">
        <f>IF(C149&gt;=Assumptions!$H$9*12,100%,1-(1-IF(D149&gt;=7,2%,VLOOKUP($D149,'Annual Lapse Rates'!$B$4:$C$14,2,FALSE)))^(1/12))</f>
        <v>1.6821425527395739E-3</v>
      </c>
      <c r="H149" s="81">
        <f t="shared" si="43"/>
        <v>10</v>
      </c>
      <c r="I149" s="65">
        <f t="shared" si="37"/>
        <v>2842.4325653032083</v>
      </c>
      <c r="J149" s="66">
        <f t="shared" si="38"/>
        <v>0.67833607342354119</v>
      </c>
      <c r="K149" s="66">
        <f t="shared" si="39"/>
        <v>4.7905940257156177</v>
      </c>
      <c r="M149" s="97">
        <f t="shared" si="44"/>
        <v>41107.08683067478</v>
      </c>
      <c r="N149" s="97">
        <f>IF(AND(H149=1,D149&lt;15),Assumptions!$H$4,0)</f>
        <v>0</v>
      </c>
      <c r="O149" s="103"/>
      <c r="P149" s="98">
        <f>$M149*(1+VLOOKUP($H149,Assumptions!$C$22:$D$33,2,FALSE))^(1/12)</f>
        <v>41212.633203105957</v>
      </c>
      <c r="Q149" s="98">
        <f>$M149*(1+VLOOKUP($H149,Assumptions!$C$22:$D$33,2,FALSE))^(1/12)</f>
        <v>41212.633203105957</v>
      </c>
      <c r="R149" s="97">
        <f>IF(AND(H149=12,D149&lt;15),Assumptions!$C$7*M149,0)</f>
        <v>0</v>
      </c>
      <c r="S149" s="99">
        <f>(M149+N149-O149)*Assumptions!$D$17</f>
        <v>167.47536013335014</v>
      </c>
      <c r="T149" s="99">
        <f t="shared" si="40"/>
        <v>0</v>
      </c>
      <c r="U149" s="101"/>
      <c r="V149" s="101">
        <f>IF(C149&gt;=Assumptions!$H$9*12,0,M149+N149-O149+S149-R149)</f>
        <v>41274.56219080813</v>
      </c>
      <c r="W149" s="103"/>
      <c r="X149" s="97">
        <f>IF(AND(H149=1,D149&lt;15),Assumptions!$D$10*N149+Assumptions!$D$11*(1+Assumptions!$D$16)^(B149-1),0)</f>
        <v>0</v>
      </c>
      <c r="Y149" s="100">
        <f>Assumptions!$C$13*N149</f>
        <v>0</v>
      </c>
      <c r="AA149" s="67">
        <f t="shared" si="45"/>
        <v>116844122.27225664</v>
      </c>
      <c r="AB149" s="67">
        <f>N149*I149</f>
        <v>0</v>
      </c>
      <c r="AC149" s="67"/>
      <c r="AD149" s="90">
        <f>P149*J149</f>
        <v>27956.015782439554</v>
      </c>
      <c r="AE149" s="90">
        <f>Q149*K149</f>
        <v>197432.99440680849</v>
      </c>
      <c r="AF149" s="67">
        <f>R149*I150</f>
        <v>0</v>
      </c>
      <c r="AG149" s="68">
        <f>S149*I149</f>
        <v>476037.41752891708</v>
      </c>
      <c r="AH149" s="68">
        <f>T149*$I149</f>
        <v>0</v>
      </c>
      <c r="AI149" s="68">
        <f>U149*$I149</f>
        <v>0</v>
      </c>
      <c r="AJ149" s="67">
        <f>V149*I150</f>
        <v>117094431.99429147</v>
      </c>
      <c r="AK149" s="67">
        <f>W149*$I149</f>
        <v>0</v>
      </c>
      <c r="AL149" s="67">
        <f>X149*$I149</f>
        <v>0</v>
      </c>
      <c r="AM149" s="67">
        <f>Y149*$I149</f>
        <v>0</v>
      </c>
      <c r="AN149" s="65">
        <f>NPV(Assumptions!$D$19,AB149:$AB$259)*(1+Assumptions!$D$19)</f>
        <v>19449562.303818464</v>
      </c>
      <c r="AO149" s="68">
        <f t="shared" si="41"/>
        <v>179596.8348429066</v>
      </c>
      <c r="AQ149" s="67">
        <f t="shared" si="46"/>
        <v>119246214.79135635</v>
      </c>
      <c r="AR149" s="95">
        <f>(AQ149+AB149-AC149)*Assumptions!$D$19</f>
        <v>511924.51597768004</v>
      </c>
      <c r="AS149" s="67">
        <f t="shared" si="47"/>
        <v>2437979.6175484774</v>
      </c>
      <c r="AT149" s="67">
        <f t="shared" si="42"/>
        <v>119352814.77699704</v>
      </c>
      <c r="AU149" s="67"/>
      <c r="AV149" s="67"/>
      <c r="AW149" s="67"/>
      <c r="AY149" s="67"/>
      <c r="AZ149" s="70">
        <f t="shared" si="36"/>
        <v>0</v>
      </c>
    </row>
    <row r="150" spans="2:52" x14ac:dyDescent="0.2">
      <c r="B150" s="5">
        <f t="shared" si="32"/>
        <v>143</v>
      </c>
      <c r="C150" s="5">
        <f t="shared" si="33"/>
        <v>143</v>
      </c>
      <c r="D150" s="5">
        <f t="shared" si="34"/>
        <v>11</v>
      </c>
      <c r="E150" s="5">
        <f t="shared" si="35"/>
        <v>57</v>
      </c>
      <c r="F150" s="64">
        <f>1-(1-VLOOKUP($E150,'Annual Mortality Rates'!$B$5:$C$105,2,FALSE))^(1/12)</f>
        <v>2.3864632065639935E-4</v>
      </c>
      <c r="G150" s="75">
        <f>IF(C150&gt;=Assumptions!$H$9*12,100%,1-(1-IF(D150&gt;=7,2%,VLOOKUP($D150,'Annual Lapse Rates'!$B$4:$C$14,2,FALSE)))^(1/12))</f>
        <v>1.6821425527395739E-3</v>
      </c>
      <c r="H150" s="81">
        <f t="shared" si="43"/>
        <v>11</v>
      </c>
      <c r="I150" s="65">
        <f t="shared" si="37"/>
        <v>2836.9636352040693</v>
      </c>
      <c r="J150" s="66">
        <f t="shared" si="38"/>
        <v>0.67703093337745468</v>
      </c>
      <c r="K150" s="66">
        <f t="shared" si="39"/>
        <v>4.7813767713892341</v>
      </c>
      <c r="M150" s="97">
        <f t="shared" si="44"/>
        <v>41274.56219080813</v>
      </c>
      <c r="N150" s="97">
        <f>IF(AND(H150=1,D150&lt;15),Assumptions!$H$4,0)</f>
        <v>0</v>
      </c>
      <c r="O150" s="103"/>
      <c r="P150" s="98">
        <f>$M150*(1+VLOOKUP($H150,Assumptions!$C$22:$D$33,2,FALSE))^(1/12)</f>
        <v>41390.973717838118</v>
      </c>
      <c r="Q150" s="98">
        <f>$M150*(1+VLOOKUP($H150,Assumptions!$C$22:$D$33,2,FALSE))^(1/12)</f>
        <v>41390.973717838118</v>
      </c>
      <c r="R150" s="97">
        <f>IF(AND(H150=12,D150&lt;15),Assumptions!$C$7*M150,0)</f>
        <v>0</v>
      </c>
      <c r="S150" s="99">
        <f>(M150+N150-O150)*Assumptions!$D$17</f>
        <v>168.1576754812445</v>
      </c>
      <c r="T150" s="99">
        <f t="shared" si="40"/>
        <v>0</v>
      </c>
      <c r="U150" s="101"/>
      <c r="V150" s="101">
        <f>IF(C150&gt;=Assumptions!$H$9*12,0,M150+N150-O150+S150-R150)</f>
        <v>41442.719866289372</v>
      </c>
      <c r="W150" s="103"/>
      <c r="X150" s="97">
        <f>IF(AND(H150=1,D150&lt;15),Assumptions!$D$10*N150+Assumptions!$D$11*(1+Assumptions!$D$16)^(B150-1),0)</f>
        <v>0</v>
      </c>
      <c r="Y150" s="100">
        <f>Assumptions!$C$13*N150</f>
        <v>0</v>
      </c>
      <c r="AA150" s="67">
        <f t="shared" si="45"/>
        <v>117094431.99429147</v>
      </c>
      <c r="AB150" s="67">
        <f>N150*I150</f>
        <v>0</v>
      </c>
      <c r="AC150" s="67"/>
      <c r="AD150" s="90">
        <f>P150*J150</f>
        <v>28022.969569589637</v>
      </c>
      <c r="AE150" s="90">
        <f>Q150*K150</f>
        <v>197905.84027965346</v>
      </c>
      <c r="AF150" s="67">
        <f>R150*I151</f>
        <v>0</v>
      </c>
      <c r="AG150" s="68">
        <f>S150*I150</f>
        <v>477057.21032073756</v>
      </c>
      <c r="AH150" s="68">
        <f>T150*$I150</f>
        <v>0</v>
      </c>
      <c r="AI150" s="68">
        <f>U150*$I150</f>
        <v>0</v>
      </c>
      <c r="AJ150" s="67">
        <f>V150*I151</f>
        <v>117345277.94318756</v>
      </c>
      <c r="AK150" s="67">
        <f>W150*$I150</f>
        <v>0</v>
      </c>
      <c r="AL150" s="67">
        <f>X150*$I150</f>
        <v>0</v>
      </c>
      <c r="AM150" s="67">
        <f>Y150*$I150</f>
        <v>0</v>
      </c>
      <c r="AN150" s="65">
        <f>NPV(Assumptions!$D$19,AB150:$AB$259)*(1+Assumptions!$D$19)</f>
        <v>19533059.358930703</v>
      </c>
      <c r="AO150" s="68">
        <f t="shared" si="41"/>
        <v>180367.84483185213</v>
      </c>
      <c r="AQ150" s="67">
        <f t="shared" si="46"/>
        <v>119532411.61183995</v>
      </c>
      <c r="AR150" s="95">
        <f>(AQ150+AB150-AC150)*Assumptions!$D$19</f>
        <v>513153.16016614978</v>
      </c>
      <c r="AS150" s="67">
        <f t="shared" si="47"/>
        <v>2474075.5673938897</v>
      </c>
      <c r="AT150" s="67">
        <f t="shared" si="42"/>
        <v>119638985.66574959</v>
      </c>
      <c r="AU150" s="67"/>
      <c r="AV150" s="67"/>
      <c r="AW150" s="67"/>
      <c r="AY150" s="67"/>
      <c r="AZ150" s="70">
        <f t="shared" si="36"/>
        <v>0</v>
      </c>
    </row>
    <row r="151" spans="2:52" x14ac:dyDescent="0.2">
      <c r="B151" s="5">
        <f t="shared" si="32"/>
        <v>144</v>
      </c>
      <c r="C151" s="5">
        <f t="shared" si="33"/>
        <v>144</v>
      </c>
      <c r="D151" s="5">
        <f t="shared" si="34"/>
        <v>11</v>
      </c>
      <c r="E151" s="5">
        <f t="shared" si="35"/>
        <v>57</v>
      </c>
      <c r="F151" s="64">
        <f>1-(1-VLOOKUP($E151,'Annual Mortality Rates'!$B$5:$C$105,2,FALSE))^(1/12)</f>
        <v>2.3864632065639935E-4</v>
      </c>
      <c r="G151" s="75">
        <f>IF(C151&gt;=Assumptions!$H$9*12,100%,1-(1-IF(D151&gt;=7,2%,VLOOKUP($D151,'Annual Lapse Rates'!$B$4:$C$14,2,FALSE)))^(1/12))</f>
        <v>1.6821425527395739E-3</v>
      </c>
      <c r="H151" s="81">
        <f t="shared" si="43"/>
        <v>12</v>
      </c>
      <c r="I151" s="65">
        <f t="shared" si="37"/>
        <v>2831.5052274993027</v>
      </c>
      <c r="J151" s="66">
        <f t="shared" si="38"/>
        <v>0.67572830446206955</v>
      </c>
      <c r="K151" s="66">
        <f t="shared" si="39"/>
        <v>4.7721772513515148</v>
      </c>
      <c r="M151" s="97">
        <f t="shared" si="44"/>
        <v>41442.719866289372</v>
      </c>
      <c r="N151" s="97">
        <f>IF(AND(H151=1,D151&lt;15),Assumptions!$H$4,0)</f>
        <v>0</v>
      </c>
      <c r="O151" s="103"/>
      <c r="P151" s="98">
        <f>$M151*(1+VLOOKUP($H151,Assumptions!$C$22:$D$33,2,FALSE))^(1/12)</f>
        <v>41570.054351374885</v>
      </c>
      <c r="Q151" s="98">
        <f>$M151*(1+VLOOKUP($H151,Assumptions!$C$22:$D$33,2,FALSE))^(1/12)</f>
        <v>41570.054351374885</v>
      </c>
      <c r="R151" s="97">
        <f>IF(AND(H151=12,D151&lt;15),Assumptions!$C$7*M151,0)</f>
        <v>20.721359933144686</v>
      </c>
      <c r="S151" s="99">
        <f>(M151+N151-O151)*Assumptions!$D$17</f>
        <v>168.84277066632563</v>
      </c>
      <c r="T151" s="99">
        <f t="shared" si="40"/>
        <v>0</v>
      </c>
      <c r="U151" s="101"/>
      <c r="V151" s="101">
        <f>IF(C151&gt;=Assumptions!$H$9*12,0,M151+N151-O151+S151-R151)</f>
        <v>41590.841277022555</v>
      </c>
      <c r="W151" s="103"/>
      <c r="X151" s="97">
        <f>IF(AND(H151=1,D151&lt;15),Assumptions!$D$10*N151+Assumptions!$D$11*(1+Assumptions!$D$16)^(B151-1),0)</f>
        <v>0</v>
      </c>
      <c r="Y151" s="100">
        <f>Assumptions!$C$13*N151</f>
        <v>0</v>
      </c>
      <c r="AA151" s="67">
        <f t="shared" si="45"/>
        <v>117345277.94318756</v>
      </c>
      <c r="AB151" s="67">
        <f>N151*I151</f>
        <v>0</v>
      </c>
      <c r="AC151" s="67"/>
      <c r="AD151" s="90">
        <f>P151*J151</f>
        <v>28090.062343250629</v>
      </c>
      <c r="AE151" s="90">
        <f>Q151*K151</f>
        <v>198379.66771307727</v>
      </c>
      <c r="AF151" s="67">
        <f>R151*I152</f>
        <v>58559.750959689991</v>
      </c>
      <c r="AG151" s="68">
        <f>S151*I151</f>
        <v>478079.18776716694</v>
      </c>
      <c r="AH151" s="68">
        <f>T151*$I151</f>
        <v>0</v>
      </c>
      <c r="AI151" s="68">
        <f>U151*$I151</f>
        <v>0</v>
      </c>
      <c r="AJ151" s="67">
        <f>V151*I152</f>
        <v>117538101.51671909</v>
      </c>
      <c r="AK151" s="67">
        <f>W151*$I151</f>
        <v>0</v>
      </c>
      <c r="AL151" s="67">
        <f>X151*$I151</f>
        <v>0</v>
      </c>
      <c r="AM151" s="67">
        <f>Y151*$I151</f>
        <v>0</v>
      </c>
      <c r="AN151" s="65">
        <f>NPV(Assumptions!$D$19,AB151:$AB$259)*(1+Assumptions!$D$19)</f>
        <v>19616914.867261764</v>
      </c>
      <c r="AO151" s="68">
        <f t="shared" si="41"/>
        <v>181142.16477001569</v>
      </c>
      <c r="AQ151" s="67">
        <f t="shared" si="46"/>
        <v>119819353.51058145</v>
      </c>
      <c r="AR151" s="95">
        <f>(AQ151+AB151-AC151)*Assumptions!$D$19</f>
        <v>514385.00297880406</v>
      </c>
      <c r="AS151" s="67">
        <f t="shared" si="47"/>
        <v>2510381.3826055266</v>
      </c>
      <c r="AT151" s="67">
        <f t="shared" si="42"/>
        <v>119867340.73455459</v>
      </c>
      <c r="AU151" s="67"/>
      <c r="AV151" s="67"/>
      <c r="AW151" s="67"/>
      <c r="AY151" s="67"/>
      <c r="AZ151" s="70">
        <f t="shared" si="36"/>
        <v>0</v>
      </c>
    </row>
    <row r="152" spans="2:52" x14ac:dyDescent="0.2">
      <c r="B152" s="5">
        <f t="shared" si="32"/>
        <v>145</v>
      </c>
      <c r="C152" s="5">
        <f t="shared" si="33"/>
        <v>145</v>
      </c>
      <c r="D152" s="5">
        <f t="shared" si="34"/>
        <v>12</v>
      </c>
      <c r="E152" s="5">
        <f t="shared" si="35"/>
        <v>58</v>
      </c>
      <c r="F152" s="64">
        <f>1-(1-VLOOKUP($E152,'Annual Mortality Rates'!$B$5:$C$105,2,FALSE))^(1/12)</f>
        <v>2.6705857925313214E-4</v>
      </c>
      <c r="G152" s="75">
        <f>IF(C152&gt;=Assumptions!$H$9*12,100%,1-(1-IF(D152&gt;=7,2%,VLOOKUP($D152,'Annual Lapse Rates'!$B$4:$C$14,2,FALSE)))^(1/12))</f>
        <v>1.6821425527395739E-3</v>
      </c>
      <c r="H152" s="81">
        <f t="shared" si="43"/>
        <v>1</v>
      </c>
      <c r="I152" s="65">
        <f t="shared" si="37"/>
        <v>2826.0573219434891</v>
      </c>
      <c r="J152" s="66">
        <f t="shared" si="38"/>
        <v>0.75472285328613964</v>
      </c>
      <c r="K152" s="66">
        <f t="shared" si="39"/>
        <v>4.7629954314811247</v>
      </c>
      <c r="M152" s="97">
        <f t="shared" si="44"/>
        <v>41590.841277022555</v>
      </c>
      <c r="N152" s="97">
        <f>IF(AND(H152=1,D152&lt;15),Assumptions!$H$4,0)</f>
        <v>2500</v>
      </c>
      <c r="O152" s="103"/>
      <c r="P152" s="98">
        <f>$M152*(1+VLOOKUP($H152,Assumptions!$C$22:$D$33,2,FALSE))^(1/12)</f>
        <v>41601.656743096748</v>
      </c>
      <c r="Q152" s="98">
        <f>$M152*(1+VLOOKUP($H152,Assumptions!$C$22:$D$33,2,FALSE))^(1/12)</f>
        <v>41601.656743096748</v>
      </c>
      <c r="R152" s="97">
        <f>IF(AND(H152=12,D152&lt;15),Assumptions!$C$7*M152,0)</f>
        <v>0</v>
      </c>
      <c r="S152" s="99">
        <f>(M152+N152-O152)*Assumptions!$D$17</f>
        <v>179.63154508778214</v>
      </c>
      <c r="T152" s="99">
        <f t="shared" si="40"/>
        <v>0</v>
      </c>
      <c r="U152" s="101"/>
      <c r="V152" s="101">
        <f>IF(C152&gt;=Assumptions!$H$9*12,0,M152+N152-O152+S152-R152)</f>
        <v>44270.472822110336</v>
      </c>
      <c r="W152" s="103"/>
      <c r="X152" s="97">
        <f>IF(AND(H152=1,D152&lt;15),Assumptions!$D$10*N152+Assumptions!$D$11*(1+Assumptions!$D$16)^(B152-1),0)</f>
        <v>20.743571664656585</v>
      </c>
      <c r="Y152" s="100">
        <f>Assumptions!$C$13*N152</f>
        <v>12.5</v>
      </c>
      <c r="AA152" s="67">
        <f t="shared" si="45"/>
        <v>117538101.51671909</v>
      </c>
      <c r="AB152" s="67">
        <f>N152*I152</f>
        <v>7065143.3048587227</v>
      </c>
      <c r="AC152" s="67"/>
      <c r="AD152" s="90">
        <f>P152*J152</f>
        <v>31397.721078580547</v>
      </c>
      <c r="AE152" s="90">
        <f>Q152*K152</f>
        <v>198148.50100941575</v>
      </c>
      <c r="AF152" s="67">
        <f>R152*I153</f>
        <v>0</v>
      </c>
      <c r="AG152" s="68">
        <f>S152*I152</f>
        <v>507649.04324734875</v>
      </c>
      <c r="AH152" s="68">
        <f>T152*$I152</f>
        <v>0</v>
      </c>
      <c r="AI152" s="68">
        <f>U152*$I152</f>
        <v>0</v>
      </c>
      <c r="AJ152" s="67">
        <f>V152*I153</f>
        <v>124866621.8674593</v>
      </c>
      <c r="AK152" s="67">
        <f>W152*$I152</f>
        <v>0</v>
      </c>
      <c r="AL152" s="67">
        <f>X152*$I152</f>
        <v>58622.522586162231</v>
      </c>
      <c r="AM152" s="67">
        <f>Y152*$I152</f>
        <v>35325.716524293617</v>
      </c>
      <c r="AN152" s="65">
        <f>NPV(Assumptions!$D$19,AB152:$AB$259)*(1+Assumptions!$D$19)</f>
        <v>19701130.36765286</v>
      </c>
      <c r="AO152" s="68">
        <f t="shared" si="41"/>
        <v>116680.42941759175</v>
      </c>
      <c r="AQ152" s="67">
        <f t="shared" si="46"/>
        <v>120048482.89932461</v>
      </c>
      <c r="AR152" s="95">
        <f>(AQ152+AB152-AC152)*Assumptions!$D$19</f>
        <v>545699.34720863891</v>
      </c>
      <c r="AS152" s="67">
        <f t="shared" si="47"/>
        <v>2548431.6865668166</v>
      </c>
      <c r="AT152" s="67">
        <f t="shared" si="42"/>
        <v>127298373.12460852</v>
      </c>
      <c r="AU152" s="67"/>
      <c r="AV152" s="67"/>
      <c r="AW152" s="67"/>
      <c r="AY152" s="67"/>
      <c r="AZ152" s="70">
        <f t="shared" si="36"/>
        <v>0</v>
      </c>
    </row>
    <row r="153" spans="2:52" x14ac:dyDescent="0.2">
      <c r="B153" s="5">
        <f t="shared" si="32"/>
        <v>146</v>
      </c>
      <c r="C153" s="5">
        <f t="shared" si="33"/>
        <v>146</v>
      </c>
      <c r="D153" s="5">
        <f t="shared" si="34"/>
        <v>12</v>
      </c>
      <c r="E153" s="5">
        <f t="shared" si="35"/>
        <v>58</v>
      </c>
      <c r="F153" s="64">
        <f>1-(1-VLOOKUP($E153,'Annual Mortality Rates'!$B$5:$C$105,2,FALSE))^(1/12)</f>
        <v>2.6705857925313214E-4</v>
      </c>
      <c r="G153" s="75">
        <f>IF(C153&gt;=Assumptions!$H$9*12,100%,1-(1-IF(D153&gt;=7,2%,VLOOKUP($D153,'Annual Lapse Rates'!$B$4:$C$14,2,FALSE)))^(1/12))</f>
        <v>1.6821425527395739E-3</v>
      </c>
      <c r="H153" s="81">
        <f t="shared" si="43"/>
        <v>2</v>
      </c>
      <c r="I153" s="65">
        <f t="shared" si="37"/>
        <v>2820.5396036587217</v>
      </c>
      <c r="J153" s="66">
        <f t="shared" si="38"/>
        <v>0.75324929928029061</v>
      </c>
      <c r="K153" s="66">
        <f t="shared" si="39"/>
        <v>4.7538312777223846</v>
      </c>
      <c r="M153" s="97">
        <f t="shared" si="44"/>
        <v>44270.472822110336</v>
      </c>
      <c r="N153" s="97">
        <f>IF(AND(H153=1,D153&lt;15),Assumptions!$H$4,0)</f>
        <v>0</v>
      </c>
      <c r="O153" s="103"/>
      <c r="P153" s="98">
        <f>$M153*(1+VLOOKUP($H153,Assumptions!$C$22:$D$33,2,FALSE))^(1/12)</f>
        <v>44293.464572345845</v>
      </c>
      <c r="Q153" s="98">
        <f>$M153*(1+VLOOKUP($H153,Assumptions!$C$22:$D$33,2,FALSE))^(1/12)</f>
        <v>44293.464572345845</v>
      </c>
      <c r="R153" s="97">
        <f>IF(AND(H153=12,D153&lt;15),Assumptions!$C$7*M153,0)</f>
        <v>0</v>
      </c>
      <c r="S153" s="99">
        <f>(M153+N153-O153)*Assumptions!$D$17</f>
        <v>180.36338623791775</v>
      </c>
      <c r="T153" s="99">
        <f t="shared" si="40"/>
        <v>0</v>
      </c>
      <c r="U153" s="101"/>
      <c r="V153" s="101">
        <f>IF(C153&gt;=Assumptions!$H$9*12,0,M153+N153-O153+S153-R153)</f>
        <v>44450.836208348257</v>
      </c>
      <c r="W153" s="103"/>
      <c r="X153" s="97">
        <f>IF(AND(H153=1,D153&lt;15),Assumptions!$D$10*N153+Assumptions!$D$11*(1+Assumptions!$D$16)^(B153-1),0)</f>
        <v>0</v>
      </c>
      <c r="Y153" s="100">
        <f>Assumptions!$C$13*N153</f>
        <v>0</v>
      </c>
      <c r="AA153" s="67">
        <f t="shared" si="45"/>
        <v>124866621.8674593</v>
      </c>
      <c r="AB153" s="67">
        <f>N153*I153</f>
        <v>0</v>
      </c>
      <c r="AC153" s="67"/>
      <c r="AD153" s="90">
        <f>P153*J153</f>
        <v>33364.021151815883</v>
      </c>
      <c r="AE153" s="90">
        <f>Q153*K153</f>
        <v>210563.65728270603</v>
      </c>
      <c r="AF153" s="67">
        <f>R153*I154</f>
        <v>0</v>
      </c>
      <c r="AG153" s="68">
        <f>S153*I153</f>
        <v>508722.07393404149</v>
      </c>
      <c r="AH153" s="68">
        <f>T153*$I153</f>
        <v>0</v>
      </c>
      <c r="AI153" s="68">
        <f>U153*$I153</f>
        <v>0</v>
      </c>
      <c r="AJ153" s="67">
        <f>V153*I154</f>
        <v>125130549.60467882</v>
      </c>
      <c r="AK153" s="67">
        <f>W153*$I153</f>
        <v>0</v>
      </c>
      <c r="AL153" s="67">
        <f>X153*$I153</f>
        <v>0</v>
      </c>
      <c r="AM153" s="67">
        <f>Y153*$I153</f>
        <v>0</v>
      </c>
      <c r="AN153" s="65">
        <f>NPV(Assumptions!$D$19,AB153:$AB$259)*(1+Assumptions!$D$19)</f>
        <v>12690233.409920033</v>
      </c>
      <c r="AO153" s="68">
        <f t="shared" si="41"/>
        <v>117181.33900585983</v>
      </c>
      <c r="AQ153" s="67">
        <f t="shared" si="46"/>
        <v>127415053.55402611</v>
      </c>
      <c r="AR153" s="95">
        <f>(AQ153+AB153-AC153)*Assumptions!$D$19</f>
        <v>546993.37612553732</v>
      </c>
      <c r="AS153" s="67">
        <f t="shared" si="47"/>
        <v>2586702.9887583125</v>
      </c>
      <c r="AT153" s="67">
        <f t="shared" si="42"/>
        <v>127600071.25443128</v>
      </c>
      <c r="AU153" s="67"/>
      <c r="AV153" s="67"/>
      <c r="AW153" s="67"/>
      <c r="AY153" s="67"/>
      <c r="AZ153" s="70">
        <f t="shared" si="36"/>
        <v>0</v>
      </c>
    </row>
    <row r="154" spans="2:52" x14ac:dyDescent="0.2">
      <c r="B154" s="5">
        <f t="shared" si="32"/>
        <v>147</v>
      </c>
      <c r="C154" s="5">
        <f t="shared" si="33"/>
        <v>147</v>
      </c>
      <c r="D154" s="5">
        <f t="shared" si="34"/>
        <v>12</v>
      </c>
      <c r="E154" s="5">
        <f t="shared" si="35"/>
        <v>58</v>
      </c>
      <c r="F154" s="64">
        <f>1-(1-VLOOKUP($E154,'Annual Mortality Rates'!$B$5:$C$105,2,FALSE))^(1/12)</f>
        <v>2.6705857925313214E-4</v>
      </c>
      <c r="G154" s="75">
        <f>IF(C154&gt;=Assumptions!$H$9*12,100%,1-(1-IF(D154&gt;=7,2%,VLOOKUP($D154,'Annual Lapse Rates'!$B$4:$C$14,2,FALSE)))^(1/12))</f>
        <v>1.6821425527395739E-3</v>
      </c>
      <c r="H154" s="81">
        <f t="shared" si="43"/>
        <v>3</v>
      </c>
      <c r="I154" s="65">
        <f t="shared" si="37"/>
        <v>2815.0325230817189</v>
      </c>
      <c r="J154" s="66">
        <f t="shared" si="38"/>
        <v>0.75177858616556381</v>
      </c>
      <c r="K154" s="66">
        <f t="shared" si="39"/>
        <v>4.7445496890015484</v>
      </c>
      <c r="M154" s="97">
        <f t="shared" si="44"/>
        <v>44450.836208348257</v>
      </c>
      <c r="N154" s="97">
        <f>IF(AND(H154=1,D154&lt;15),Assumptions!$H$4,0)</f>
        <v>0</v>
      </c>
      <c r="O154" s="103"/>
      <c r="P154" s="98">
        <f>$M154*(1+VLOOKUP($H154,Assumptions!$C$22:$D$33,2,FALSE))^(1/12)</f>
        <v>44485.415093322219</v>
      </c>
      <c r="Q154" s="98">
        <f>$M154*(1+VLOOKUP($H154,Assumptions!$C$22:$D$33,2,FALSE))^(1/12)</f>
        <v>44485.415093322219</v>
      </c>
      <c r="R154" s="97">
        <f>IF(AND(H154=12,D154&lt;15),Assumptions!$C$7*M154,0)</f>
        <v>0</v>
      </c>
      <c r="S154" s="99">
        <f>(M154+N154-O154)*Assumptions!$D$17</f>
        <v>181.09820899948903</v>
      </c>
      <c r="T154" s="99">
        <f t="shared" si="40"/>
        <v>0</v>
      </c>
      <c r="U154" s="101"/>
      <c r="V154" s="101">
        <f>IF(C154&gt;=Assumptions!$H$9*12,0,M154+N154-O154+S154-R154)</f>
        <v>44631.934417347744</v>
      </c>
      <c r="W154" s="103"/>
      <c r="X154" s="97">
        <f>IF(AND(H154=1,D154&lt;15),Assumptions!$D$10*N154+Assumptions!$D$11*(1+Assumptions!$D$16)^(B154-1),0)</f>
        <v>0</v>
      </c>
      <c r="Y154" s="100">
        <f>Assumptions!$C$13*N154</f>
        <v>0</v>
      </c>
      <c r="AA154" s="67">
        <f t="shared" si="45"/>
        <v>125130549.60467882</v>
      </c>
      <c r="AB154" s="67">
        <f>N154*I154</f>
        <v>0</v>
      </c>
      <c r="AC154" s="67"/>
      <c r="AD154" s="90">
        <f>P154*J154</f>
        <v>33443.182463846009</v>
      </c>
      <c r="AE154" s="90">
        <f>Q154*K154</f>
        <v>211063.26234612672</v>
      </c>
      <c r="AF154" s="67">
        <f>R154*I155</f>
        <v>0</v>
      </c>
      <c r="AG154" s="68">
        <f>S154*I154</f>
        <v>509797.34820541204</v>
      </c>
      <c r="AH154" s="68">
        <f>T154*$I154</f>
        <v>0</v>
      </c>
      <c r="AI154" s="68">
        <f>U154*$I154</f>
        <v>0</v>
      </c>
      <c r="AJ154" s="67">
        <f>V154*I155</f>
        <v>125395035.18977076</v>
      </c>
      <c r="AK154" s="67">
        <f>W154*$I154</f>
        <v>0</v>
      </c>
      <c r="AL154" s="67">
        <f>X154*$I154</f>
        <v>0</v>
      </c>
      <c r="AM154" s="67">
        <f>Y154*$I154</f>
        <v>0</v>
      </c>
      <c r="AN154" s="65">
        <f>NPV(Assumptions!$D$19,AB154:$AB$259)*(1+Assumptions!$D$19)</f>
        <v>12744712.636848817</v>
      </c>
      <c r="AO154" s="68">
        <f t="shared" si="41"/>
        <v>117684.39900115739</v>
      </c>
      <c r="AQ154" s="67">
        <f t="shared" si="46"/>
        <v>127717252.59343714</v>
      </c>
      <c r="AR154" s="95">
        <f>(AQ154+AB154-AC154)*Assumptions!$D$19</f>
        <v>548290.71790909069</v>
      </c>
      <c r="AS154" s="67">
        <f t="shared" si="47"/>
        <v>2625196.358461991</v>
      </c>
      <c r="AT154" s="67">
        <f t="shared" si="42"/>
        <v>127902547.1492316</v>
      </c>
      <c r="AU154" s="67"/>
      <c r="AV154" s="67"/>
      <c r="AW154" s="67"/>
      <c r="AY154" s="67"/>
      <c r="AZ154" s="70">
        <f t="shared" si="36"/>
        <v>0</v>
      </c>
    </row>
    <row r="155" spans="2:52" x14ac:dyDescent="0.2">
      <c r="B155" s="5">
        <f t="shared" si="32"/>
        <v>148</v>
      </c>
      <c r="C155" s="5">
        <f t="shared" si="33"/>
        <v>148</v>
      </c>
      <c r="D155" s="5">
        <f t="shared" si="34"/>
        <v>12</v>
      </c>
      <c r="E155" s="5">
        <f t="shared" si="35"/>
        <v>58</v>
      </c>
      <c r="F155" s="64">
        <f>1-(1-VLOOKUP($E155,'Annual Mortality Rates'!$B$5:$C$105,2,FALSE))^(1/12)</f>
        <v>2.6705857925313214E-4</v>
      </c>
      <c r="G155" s="75">
        <f>IF(C155&gt;=Assumptions!$H$9*12,100%,1-(1-IF(D155&gt;=7,2%,VLOOKUP($D155,'Annual Lapse Rates'!$B$4:$C$14,2,FALSE)))^(1/12))</f>
        <v>1.6821425527395739E-3</v>
      </c>
      <c r="H155" s="81">
        <f t="shared" si="43"/>
        <v>4</v>
      </c>
      <c r="I155" s="65">
        <f t="shared" si="37"/>
        <v>2809.536194806552</v>
      </c>
      <c r="J155" s="66">
        <f t="shared" si="38"/>
        <v>0.7503107445452889</v>
      </c>
      <c r="K155" s="66">
        <f t="shared" si="39"/>
        <v>4.7352859944216057</v>
      </c>
      <c r="M155" s="97">
        <f t="shared" si="44"/>
        <v>44631.934417347744</v>
      </c>
      <c r="N155" s="97">
        <f>IF(AND(H155=1,D155&lt;15),Assumptions!$H$4,0)</f>
        <v>0</v>
      </c>
      <c r="O155" s="103"/>
      <c r="P155" s="98">
        <f>$M155*(1+VLOOKUP($H155,Assumptions!$C$22:$D$33,2,FALSE))^(1/12)</f>
        <v>44678.161765548793</v>
      </c>
      <c r="Q155" s="98">
        <f>$M155*(1+VLOOKUP($H155,Assumptions!$C$22:$D$33,2,FALSE))^(1/12)</f>
        <v>44678.161765548793</v>
      </c>
      <c r="R155" s="97">
        <f>IF(AND(H155=12,D155&lt;15),Assumptions!$C$7*M155,0)</f>
        <v>0</v>
      </c>
      <c r="S155" s="99">
        <f>(M155+N155-O155)*Assumptions!$D$17</f>
        <v>181.83602551994997</v>
      </c>
      <c r="T155" s="99">
        <f t="shared" si="40"/>
        <v>0</v>
      </c>
      <c r="U155" s="101"/>
      <c r="V155" s="101">
        <f>IF(C155&gt;=Assumptions!$H$9*12,0,M155+N155-O155+S155-R155)</f>
        <v>44813.770442867695</v>
      </c>
      <c r="W155" s="103"/>
      <c r="X155" s="97">
        <f>IF(AND(H155=1,D155&lt;15),Assumptions!$D$10*N155+Assumptions!$D$11*(1+Assumptions!$D$16)^(B155-1),0)</f>
        <v>0</v>
      </c>
      <c r="Y155" s="100">
        <f>Assumptions!$C$13*N155</f>
        <v>0</v>
      </c>
      <c r="AA155" s="67">
        <f t="shared" si="45"/>
        <v>125395035.18977076</v>
      </c>
      <c r="AB155" s="67">
        <f>N155*I155</f>
        <v>0</v>
      </c>
      <c r="AC155" s="67"/>
      <c r="AD155" s="90">
        <f>P155*J155</f>
        <v>33522.504819223774</v>
      </c>
      <c r="AE155" s="90">
        <f>Q155*K155</f>
        <v>211563.87366490607</v>
      </c>
      <c r="AF155" s="67">
        <f>R155*I156</f>
        <v>0</v>
      </c>
      <c r="AG155" s="68">
        <f>S155*I155</f>
        <v>510874.89521806734</v>
      </c>
      <c r="AH155" s="68">
        <f>T155*$I155</f>
        <v>0</v>
      </c>
      <c r="AI155" s="68">
        <f>U155*$I155</f>
        <v>0</v>
      </c>
      <c r="AJ155" s="67">
        <f>V155*I156</f>
        <v>125660079.81198661</v>
      </c>
      <c r="AK155" s="67">
        <f>W155*$I155</f>
        <v>0</v>
      </c>
      <c r="AL155" s="67">
        <f>X155*$I155</f>
        <v>0</v>
      </c>
      <c r="AM155" s="67">
        <f>Y155*$I155</f>
        <v>0</v>
      </c>
      <c r="AN155" s="65">
        <f>NPV(Assumptions!$D$19,AB155:$AB$259)*(1+Assumptions!$D$19)</f>
        <v>12799425.743334495</v>
      </c>
      <c r="AO155" s="68">
        <f t="shared" si="41"/>
        <v>118189.61863519107</v>
      </c>
      <c r="AQ155" s="67">
        <f t="shared" si="46"/>
        <v>128020231.54823275</v>
      </c>
      <c r="AR155" s="95">
        <f>(AQ155+AB155-AC155)*Assumptions!$D$19</f>
        <v>549591.40787276416</v>
      </c>
      <c r="AS155" s="67">
        <f t="shared" si="47"/>
        <v>2663912.871116688</v>
      </c>
      <c r="AT155" s="67">
        <f t="shared" si="42"/>
        <v>128205803.0644681</v>
      </c>
      <c r="AU155" s="67"/>
      <c r="AV155" s="67"/>
      <c r="AW155" s="67"/>
      <c r="AY155" s="67"/>
      <c r="AZ155" s="70">
        <f t="shared" si="36"/>
        <v>0</v>
      </c>
    </row>
    <row r="156" spans="2:52" x14ac:dyDescent="0.2">
      <c r="B156" s="5">
        <f t="shared" si="32"/>
        <v>149</v>
      </c>
      <c r="C156" s="5">
        <f t="shared" si="33"/>
        <v>149</v>
      </c>
      <c r="D156" s="5">
        <f t="shared" si="34"/>
        <v>12</v>
      </c>
      <c r="E156" s="5">
        <f t="shared" si="35"/>
        <v>58</v>
      </c>
      <c r="F156" s="64">
        <f>1-(1-VLOOKUP($E156,'Annual Mortality Rates'!$B$5:$C$105,2,FALSE))^(1/12)</f>
        <v>2.6705857925313214E-4</v>
      </c>
      <c r="G156" s="75">
        <f>IF(C156&gt;=Assumptions!$H$9*12,100%,1-(1-IF(D156&gt;=7,2%,VLOOKUP($D156,'Annual Lapse Rates'!$B$4:$C$14,2,FALSE)))^(1/12))</f>
        <v>1.6821425527395739E-3</v>
      </c>
      <c r="H156" s="81">
        <f t="shared" si="43"/>
        <v>5</v>
      </c>
      <c r="I156" s="65">
        <f t="shared" si="37"/>
        <v>2804.0505980675848</v>
      </c>
      <c r="J156" s="66">
        <f t="shared" si="38"/>
        <v>0.7488457688738247</v>
      </c>
      <c r="K156" s="66">
        <f t="shared" si="39"/>
        <v>4.7260403867461225</v>
      </c>
      <c r="M156" s="97">
        <f t="shared" si="44"/>
        <v>44813.770442867695</v>
      </c>
      <c r="N156" s="97">
        <f>IF(AND(H156=1,D156&lt;15),Assumptions!$H$4,0)</f>
        <v>0</v>
      </c>
      <c r="O156" s="103"/>
      <c r="P156" s="98">
        <f>$M156*(1+VLOOKUP($H156,Assumptions!$C$22:$D$33,2,FALSE))^(1/12)</f>
        <v>44871.707950915777</v>
      </c>
      <c r="Q156" s="98">
        <f>$M156*(1+VLOOKUP($H156,Assumptions!$C$22:$D$33,2,FALSE))^(1/12)</f>
        <v>44871.707950915777</v>
      </c>
      <c r="R156" s="97">
        <f>IF(AND(H156=12,D156&lt;15),Assumptions!$C$7*M156,0)</f>
        <v>0</v>
      </c>
      <c r="S156" s="99">
        <f>(M156+N156-O156)*Assumptions!$D$17</f>
        <v>182.57684799624488</v>
      </c>
      <c r="T156" s="99">
        <f t="shared" si="40"/>
        <v>0</v>
      </c>
      <c r="U156" s="101"/>
      <c r="V156" s="101">
        <f>IF(C156&gt;=Assumptions!$H$9*12,0,M156+N156-O156+S156-R156)</f>
        <v>44996.347290863938</v>
      </c>
      <c r="W156" s="103"/>
      <c r="X156" s="97">
        <f>IF(AND(H156=1,D156&lt;15),Assumptions!$D$10*N156+Assumptions!$D$11*(1+Assumptions!$D$16)^(B156-1),0)</f>
        <v>0</v>
      </c>
      <c r="Y156" s="100">
        <f>Assumptions!$C$13*N156</f>
        <v>0</v>
      </c>
      <c r="AA156" s="67">
        <f t="shared" si="45"/>
        <v>125660079.81198661</v>
      </c>
      <c r="AB156" s="67">
        <f>N156*I156</f>
        <v>0</v>
      </c>
      <c r="AC156" s="67"/>
      <c r="AD156" s="90">
        <f>P156*J156</f>
        <v>33601.988641185235</v>
      </c>
      <c r="AE156" s="90">
        <f>Q156*K156</f>
        <v>212065.50399830507</v>
      </c>
      <c r="AF156" s="67">
        <f>R156*I157</f>
        <v>0</v>
      </c>
      <c r="AG156" s="68">
        <f>S156*I156</f>
        <v>511954.71981716499</v>
      </c>
      <c r="AH156" s="68">
        <f>T156*$I156</f>
        <v>0</v>
      </c>
      <c r="AI156" s="68">
        <f>U156*$I156</f>
        <v>0</v>
      </c>
      <c r="AJ156" s="67">
        <f>V156*I157</f>
        <v>125925684.65296756</v>
      </c>
      <c r="AK156" s="67">
        <f>W156*$I156</f>
        <v>0</v>
      </c>
      <c r="AL156" s="67">
        <f>X156*$I156</f>
        <v>0</v>
      </c>
      <c r="AM156" s="67">
        <f>Y156*$I156</f>
        <v>0</v>
      </c>
      <c r="AN156" s="65">
        <f>NPV(Assumptions!$D$19,AB156:$AB$259)*(1+Assumptions!$D$19)</f>
        <v>12854373.733423013</v>
      </c>
      <c r="AO156" s="68">
        <f t="shared" si="41"/>
        <v>118697.00717929934</v>
      </c>
      <c r="AQ156" s="67">
        <f t="shared" si="46"/>
        <v>128323992.68310329</v>
      </c>
      <c r="AR156" s="95">
        <f>(AQ156+AB156-AC156)*Assumptions!$D$19</f>
        <v>550895.45573888312</v>
      </c>
      <c r="AS156" s="67">
        <f t="shared" si="47"/>
        <v>2702853.6070384062</v>
      </c>
      <c r="AT156" s="67">
        <f t="shared" si="42"/>
        <v>128509841.25282666</v>
      </c>
      <c r="AU156" s="67"/>
      <c r="AV156" s="67"/>
      <c r="AW156" s="67"/>
      <c r="AY156" s="67"/>
      <c r="AZ156" s="70">
        <f t="shared" si="36"/>
        <v>0</v>
      </c>
    </row>
    <row r="157" spans="2:52" x14ac:dyDescent="0.2">
      <c r="B157" s="5">
        <f t="shared" si="32"/>
        <v>150</v>
      </c>
      <c r="C157" s="5">
        <f t="shared" si="33"/>
        <v>150</v>
      </c>
      <c r="D157" s="5">
        <f t="shared" si="34"/>
        <v>12</v>
      </c>
      <c r="E157" s="5">
        <f t="shared" si="35"/>
        <v>58</v>
      </c>
      <c r="F157" s="64">
        <f>1-(1-VLOOKUP($E157,'Annual Mortality Rates'!$B$5:$C$105,2,FALSE))^(1/12)</f>
        <v>2.6705857925313214E-4</v>
      </c>
      <c r="G157" s="75">
        <f>IF(C157&gt;=Assumptions!$H$9*12,100%,1-(1-IF(D157&gt;=7,2%,VLOOKUP($D157,'Annual Lapse Rates'!$B$4:$C$14,2,FALSE)))^(1/12))</f>
        <v>1.6821425527395739E-3</v>
      </c>
      <c r="H157" s="81">
        <f t="shared" si="43"/>
        <v>6</v>
      </c>
      <c r="I157" s="65">
        <f t="shared" si="37"/>
        <v>2798.5757119119648</v>
      </c>
      <c r="J157" s="66">
        <f t="shared" si="38"/>
        <v>0.74738365355553216</v>
      </c>
      <c r="K157" s="66">
        <f t="shared" si="39"/>
        <v>4.7168128310443365</v>
      </c>
      <c r="M157" s="97">
        <f t="shared" si="44"/>
        <v>44996.347290863938</v>
      </c>
      <c r="N157" s="97">
        <f>IF(AND(H157=1,D157&lt;15),Assumptions!$H$4,0)</f>
        <v>0</v>
      </c>
      <c r="O157" s="103"/>
      <c r="P157" s="98">
        <f>$M157*(1+VLOOKUP($H157,Assumptions!$C$22:$D$33,2,FALSE))^(1/12)</f>
        <v>45066.057024784262</v>
      </c>
      <c r="Q157" s="98">
        <f>$M157*(1+VLOOKUP($H157,Assumptions!$C$22:$D$33,2,FALSE))^(1/12)</f>
        <v>45066.057024784262</v>
      </c>
      <c r="R157" s="97">
        <f>IF(AND(H157=12,D157&lt;15),Assumptions!$C$7*M157,0)</f>
        <v>0</v>
      </c>
      <c r="S157" s="99">
        <f>(M157+N157-O157)*Assumptions!$D$17</f>
        <v>183.32068867500993</v>
      </c>
      <c r="T157" s="99">
        <f t="shared" si="40"/>
        <v>0</v>
      </c>
      <c r="U157" s="101"/>
      <c r="V157" s="101">
        <f>IF(C157&gt;=Assumptions!$H$9*12,0,M157+N157-O157+S157-R157)</f>
        <v>45179.66797953895</v>
      </c>
      <c r="W157" s="103"/>
      <c r="X157" s="97">
        <f>IF(AND(H157=1,D157&lt;15),Assumptions!$D$10*N157+Assumptions!$D$11*(1+Assumptions!$D$16)^(B157-1),0)</f>
        <v>0</v>
      </c>
      <c r="Y157" s="100">
        <f>Assumptions!$C$13*N157</f>
        <v>0</v>
      </c>
      <c r="AA157" s="67">
        <f t="shared" si="45"/>
        <v>125925684.65296756</v>
      </c>
      <c r="AB157" s="67">
        <f>N157*I157</f>
        <v>0</v>
      </c>
      <c r="AC157" s="67"/>
      <c r="AD157" s="90">
        <f>P157*J157</f>
        <v>33681.634350525215</v>
      </c>
      <c r="AE157" s="90">
        <f>Q157*K157</f>
        <v>212568.15601907816</v>
      </c>
      <c r="AF157" s="67">
        <f>R157*I158</f>
        <v>0</v>
      </c>
      <c r="AG157" s="68">
        <f>S157*I157</f>
        <v>513036.82681685762</v>
      </c>
      <c r="AH157" s="68">
        <f>T157*$I157</f>
        <v>0</v>
      </c>
      <c r="AI157" s="68">
        <f>U157*$I157</f>
        <v>0</v>
      </c>
      <c r="AJ157" s="67">
        <f>V157*I158</f>
        <v>126191850.89683522</v>
      </c>
      <c r="AK157" s="67">
        <f>W157*$I157</f>
        <v>0</v>
      </c>
      <c r="AL157" s="67">
        <f>X157*$I157</f>
        <v>0</v>
      </c>
      <c r="AM157" s="67">
        <f>Y157*$I157</f>
        <v>0</v>
      </c>
      <c r="AN157" s="65">
        <f>NPV(Assumptions!$D$19,AB157:$AB$259)*(1+Assumptions!$D$19)</f>
        <v>12909557.615470696</v>
      </c>
      <c r="AO157" s="68">
        <f t="shared" si="41"/>
        <v>119206.57394462249</v>
      </c>
      <c r="AQ157" s="67">
        <f t="shared" si="46"/>
        <v>128628538.26000597</v>
      </c>
      <c r="AR157" s="95">
        <f>(AQ157+AB157-AC157)*Assumptions!$D$19</f>
        <v>552202.87121803965</v>
      </c>
      <c r="AS157" s="67">
        <f t="shared" si="47"/>
        <v>2742019.6514395881</v>
      </c>
      <c r="AT157" s="67">
        <f t="shared" si="42"/>
        <v>128814663.97433019</v>
      </c>
      <c r="AU157" s="67"/>
      <c r="AV157" s="67"/>
      <c r="AW157" s="67"/>
      <c r="AY157" s="67"/>
      <c r="AZ157" s="70">
        <f t="shared" si="36"/>
        <v>0</v>
      </c>
    </row>
    <row r="158" spans="2:52" x14ac:dyDescent="0.2">
      <c r="B158" s="5">
        <f t="shared" si="32"/>
        <v>151</v>
      </c>
      <c r="C158" s="5">
        <f t="shared" si="33"/>
        <v>151</v>
      </c>
      <c r="D158" s="5">
        <f t="shared" si="34"/>
        <v>12</v>
      </c>
      <c r="E158" s="5">
        <f t="shared" si="35"/>
        <v>58</v>
      </c>
      <c r="F158" s="64">
        <f>1-(1-VLOOKUP($E158,'Annual Mortality Rates'!$B$5:$C$105,2,FALSE))^(1/12)</f>
        <v>2.6705857925313214E-4</v>
      </c>
      <c r="G158" s="75">
        <f>IF(C158&gt;=Assumptions!$H$9*12,100%,1-(1-IF(D158&gt;=7,2%,VLOOKUP($D158,'Annual Lapse Rates'!$B$4:$C$14,2,FALSE)))^(1/12))</f>
        <v>1.6821425527395739E-3</v>
      </c>
      <c r="H158" s="81">
        <f t="shared" si="43"/>
        <v>7</v>
      </c>
      <c r="I158" s="65">
        <f t="shared" si="37"/>
        <v>2793.1115154273648</v>
      </c>
      <c r="J158" s="66">
        <f t="shared" si="38"/>
        <v>0.74592439300559488</v>
      </c>
      <c r="K158" s="66">
        <f t="shared" si="39"/>
        <v>4.7076032920705631</v>
      </c>
      <c r="M158" s="97">
        <f t="shared" si="44"/>
        <v>45179.66797953895</v>
      </c>
      <c r="N158" s="97">
        <f>IF(AND(H158=1,D158&lt;15),Assumptions!$H$4,0)</f>
        <v>0</v>
      </c>
      <c r="O158" s="103"/>
      <c r="P158" s="98">
        <f>$M158*(1+VLOOKUP($H158,Assumptions!$C$22:$D$33,2,FALSE))^(1/12)</f>
        <v>45261.212376047341</v>
      </c>
      <c r="Q158" s="98">
        <f>$M158*(1+VLOOKUP($H158,Assumptions!$C$22:$D$33,2,FALSE))^(1/12)</f>
        <v>45261.212376047341</v>
      </c>
      <c r="R158" s="97">
        <f>IF(AND(H158=12,D158&lt;15),Assumptions!$C$7*M158,0)</f>
        <v>0</v>
      </c>
      <c r="S158" s="99">
        <f>(M158+N158-O158)*Assumptions!$D$17</f>
        <v>184.06755985277559</v>
      </c>
      <c r="T158" s="99">
        <f t="shared" si="40"/>
        <v>0</v>
      </c>
      <c r="U158" s="101"/>
      <c r="V158" s="101">
        <f>IF(C158&gt;=Assumptions!$H$9*12,0,M158+N158-O158+S158-R158)</f>
        <v>45363.735539391724</v>
      </c>
      <c r="W158" s="103"/>
      <c r="X158" s="97">
        <f>IF(AND(H158=1,D158&lt;15),Assumptions!$D$10*N158+Assumptions!$D$11*(1+Assumptions!$D$16)^(B158-1),0)</f>
        <v>0</v>
      </c>
      <c r="Y158" s="100">
        <f>Assumptions!$C$13*N158</f>
        <v>0</v>
      </c>
      <c r="AA158" s="67">
        <f t="shared" si="45"/>
        <v>126191850.89683522</v>
      </c>
      <c r="AB158" s="67">
        <f>N158*I158</f>
        <v>0</v>
      </c>
      <c r="AC158" s="67"/>
      <c r="AD158" s="90">
        <f>P158*J158</f>
        <v>33761.442368300428</v>
      </c>
      <c r="AE158" s="90">
        <f>Q158*K158</f>
        <v>213071.83238458537</v>
      </c>
      <c r="AF158" s="67">
        <f>R158*I159</f>
        <v>0</v>
      </c>
      <c r="AG158" s="68">
        <f>S158*I158</f>
        <v>514121.22104140319</v>
      </c>
      <c r="AH158" s="68">
        <f>T158*$I158</f>
        <v>0</v>
      </c>
      <c r="AI158" s="68">
        <f>U158*$I158</f>
        <v>0</v>
      </c>
      <c r="AJ158" s="67">
        <f>V158*I159</f>
        <v>126458579.73021407</v>
      </c>
      <c r="AK158" s="67">
        <f>W158*$I158</f>
        <v>0</v>
      </c>
      <c r="AL158" s="67">
        <f>X158*$I158</f>
        <v>0</v>
      </c>
      <c r="AM158" s="67">
        <f>Y158*$I158</f>
        <v>0</v>
      </c>
      <c r="AN158" s="65">
        <f>NPV(Assumptions!$D$19,AB158:$AB$259)*(1+Assumptions!$D$19)</f>
        <v>12964978.402162742</v>
      </c>
      <c r="AO158" s="68">
        <f t="shared" si="41"/>
        <v>119718.32828227365</v>
      </c>
      <c r="AQ158" s="67">
        <f t="shared" si="46"/>
        <v>128933870.54827482</v>
      </c>
      <c r="AR158" s="95">
        <f>(AQ158+AB158-AC158)*Assumptions!$D$19</f>
        <v>553513.66405249469</v>
      </c>
      <c r="AS158" s="67">
        <f t="shared" si="47"/>
        <v>2781412.0944506796</v>
      </c>
      <c r="AT158" s="67">
        <f t="shared" si="42"/>
        <v>129120273.49638249</v>
      </c>
      <c r="AU158" s="67"/>
      <c r="AV158" s="67"/>
      <c r="AW158" s="67"/>
      <c r="AY158" s="67"/>
      <c r="AZ158" s="70">
        <f t="shared" si="36"/>
        <v>0</v>
      </c>
    </row>
    <row r="159" spans="2:52" x14ac:dyDescent="0.2">
      <c r="B159" s="5">
        <f t="shared" si="32"/>
        <v>152</v>
      </c>
      <c r="C159" s="5">
        <f t="shared" si="33"/>
        <v>152</v>
      </c>
      <c r="D159" s="5">
        <f t="shared" si="34"/>
        <v>12</v>
      </c>
      <c r="E159" s="5">
        <f t="shared" si="35"/>
        <v>58</v>
      </c>
      <c r="F159" s="64">
        <f>1-(1-VLOOKUP($E159,'Annual Mortality Rates'!$B$5:$C$105,2,FALSE))^(1/12)</f>
        <v>2.6705857925313214E-4</v>
      </c>
      <c r="G159" s="75">
        <f>IF(C159&gt;=Assumptions!$H$9*12,100%,1-(1-IF(D159&gt;=7,2%,VLOOKUP($D159,'Annual Lapse Rates'!$B$4:$C$14,2,FALSE)))^(1/12))</f>
        <v>1.6821425527395739E-3</v>
      </c>
      <c r="H159" s="81">
        <f t="shared" si="43"/>
        <v>8</v>
      </c>
      <c r="I159" s="65">
        <f t="shared" si="37"/>
        <v>2787.6579877422887</v>
      </c>
      <c r="J159" s="66">
        <f t="shared" si="38"/>
        <v>0.74446798165010086</v>
      </c>
      <c r="K159" s="66">
        <f t="shared" si="39"/>
        <v>4.6984117346472871</v>
      </c>
      <c r="M159" s="97">
        <f t="shared" si="44"/>
        <v>45363.735539391724</v>
      </c>
      <c r="N159" s="97">
        <f>IF(AND(H159=1,D159&lt;15),Assumptions!$H$4,0)</f>
        <v>0</v>
      </c>
      <c r="O159" s="103"/>
      <c r="P159" s="98">
        <f>$M159*(1+VLOOKUP($H159,Assumptions!$C$22:$D$33,2,FALSE))^(1/12)</f>
        <v>45457.177407191317</v>
      </c>
      <c r="Q159" s="98">
        <f>$M159*(1+VLOOKUP($H159,Assumptions!$C$22:$D$33,2,FALSE))^(1/12)</f>
        <v>45457.177407191317</v>
      </c>
      <c r="R159" s="97">
        <f>IF(AND(H159=12,D159&lt;15),Assumptions!$C$7*M159,0)</f>
        <v>0</v>
      </c>
      <c r="S159" s="99">
        <f>(M159+N159-O159)*Assumptions!$D$17</f>
        <v>184.81747387616988</v>
      </c>
      <c r="T159" s="99">
        <f t="shared" si="40"/>
        <v>0</v>
      </c>
      <c r="U159" s="101"/>
      <c r="V159" s="101">
        <f>IF(C159&gt;=Assumptions!$H$9*12,0,M159+N159-O159+S159-R159)</f>
        <v>45548.55301326789</v>
      </c>
      <c r="W159" s="103"/>
      <c r="X159" s="97">
        <f>IF(AND(H159=1,D159&lt;15),Assumptions!$D$10*N159+Assumptions!$D$11*(1+Assumptions!$D$16)^(B159-1),0)</f>
        <v>0</v>
      </c>
      <c r="Y159" s="100">
        <f>Assumptions!$C$13*N159</f>
        <v>0</v>
      </c>
      <c r="AA159" s="67">
        <f t="shared" si="45"/>
        <v>126458579.73021407</v>
      </c>
      <c r="AB159" s="67">
        <f>N159*I159</f>
        <v>0</v>
      </c>
      <c r="AC159" s="67"/>
      <c r="AD159" s="90">
        <f>P159*J159</f>
        <v>33841.413115842282</v>
      </c>
      <c r="AE159" s="90">
        <f>Q159*K159</f>
        <v>213576.53575389122</v>
      </c>
      <c r="AF159" s="67">
        <f>R159*I160</f>
        <v>0</v>
      </c>
      <c r="AG159" s="68">
        <f>S159*I159</f>
        <v>515207.90732525673</v>
      </c>
      <c r="AH159" s="68">
        <f>T159*$I159</f>
        <v>0</v>
      </c>
      <c r="AI159" s="68">
        <f>U159*$I159</f>
        <v>0</v>
      </c>
      <c r="AJ159" s="67">
        <f>V159*I160</f>
        <v>126725872.34223673</v>
      </c>
      <c r="AK159" s="67">
        <f>W159*$I159</f>
        <v>0</v>
      </c>
      <c r="AL159" s="67">
        <f>X159*$I159</f>
        <v>0</v>
      </c>
      <c r="AM159" s="67">
        <f>Y159*$I159</f>
        <v>0</v>
      </c>
      <c r="AN159" s="65">
        <f>NPV(Assumptions!$D$19,AB159:$AB$259)*(1+Assumptions!$D$19)</f>
        <v>13020637.110531818</v>
      </c>
      <c r="AO159" s="68">
        <f t="shared" si="41"/>
        <v>120232.27958351029</v>
      </c>
      <c r="AQ159" s="67">
        <f t="shared" si="46"/>
        <v>129239991.82466476</v>
      </c>
      <c r="AR159" s="95">
        <f>(AQ159+AB159-AC159)*Assumptions!$D$19</f>
        <v>554827.84401636675</v>
      </c>
      <c r="AS159" s="67">
        <f t="shared" si="47"/>
        <v>2821032.0311417896</v>
      </c>
      <c r="AT159" s="67">
        <f t="shared" si="42"/>
        <v>129426672.093795</v>
      </c>
      <c r="AU159" s="67"/>
      <c r="AV159" s="67"/>
      <c r="AW159" s="67"/>
      <c r="AY159" s="67"/>
      <c r="AZ159" s="70">
        <f t="shared" si="36"/>
        <v>0</v>
      </c>
    </row>
    <row r="160" spans="2:52" x14ac:dyDescent="0.2">
      <c r="B160" s="5">
        <f t="shared" si="32"/>
        <v>153</v>
      </c>
      <c r="C160" s="5">
        <f t="shared" si="33"/>
        <v>153</v>
      </c>
      <c r="D160" s="5">
        <f t="shared" si="34"/>
        <v>12</v>
      </c>
      <c r="E160" s="5">
        <f t="shared" si="35"/>
        <v>58</v>
      </c>
      <c r="F160" s="64">
        <f>1-(1-VLOOKUP($E160,'Annual Mortality Rates'!$B$5:$C$105,2,FALSE))^(1/12)</f>
        <v>2.6705857925313214E-4</v>
      </c>
      <c r="G160" s="75">
        <f>IF(C160&gt;=Assumptions!$H$9*12,100%,1-(1-IF(D160&gt;=7,2%,VLOOKUP($D160,'Annual Lapse Rates'!$B$4:$C$14,2,FALSE)))^(1/12))</f>
        <v>1.6821425527395739E-3</v>
      </c>
      <c r="H160" s="81">
        <f t="shared" si="43"/>
        <v>9</v>
      </c>
      <c r="I160" s="65">
        <f t="shared" si="37"/>
        <v>2782.2151080259914</v>
      </c>
      <c r="J160" s="66">
        <f t="shared" si="38"/>
        <v>0.74301441392602086</v>
      </c>
      <c r="K160" s="66">
        <f t="shared" si="39"/>
        <v>4.6892381236656773</v>
      </c>
      <c r="M160" s="97">
        <f t="shared" si="44"/>
        <v>45548.55301326789</v>
      </c>
      <c r="N160" s="97">
        <f>IF(AND(H160=1,D160&lt;15),Assumptions!$H$4,0)</f>
        <v>0</v>
      </c>
      <c r="O160" s="103"/>
      <c r="P160" s="98">
        <f>$M160*(1+VLOOKUP($H160,Assumptions!$C$22:$D$33,2,FALSE))^(1/12)</f>
        <v>45653.955534357214</v>
      </c>
      <c r="Q160" s="98">
        <f>$M160*(1+VLOOKUP($H160,Assumptions!$C$22:$D$33,2,FALSE))^(1/12)</f>
        <v>45653.955534357214</v>
      </c>
      <c r="R160" s="97">
        <f>IF(AND(H160=12,D160&lt;15),Assumptions!$C$7*M160,0)</f>
        <v>0</v>
      </c>
      <c r="S160" s="99">
        <f>(M160+N160-O160)*Assumptions!$D$17</f>
        <v>185.5704431421226</v>
      </c>
      <c r="T160" s="99">
        <f t="shared" si="40"/>
        <v>0</v>
      </c>
      <c r="U160" s="101"/>
      <c r="V160" s="101">
        <f>IF(C160&gt;=Assumptions!$H$9*12,0,M160+N160-O160+S160-R160)</f>
        <v>45734.123456410016</v>
      </c>
      <c r="W160" s="103"/>
      <c r="X160" s="97">
        <f>IF(AND(H160=1,D160&lt;15),Assumptions!$D$10*N160+Assumptions!$D$11*(1+Assumptions!$D$16)^(B160-1),0)</f>
        <v>0</v>
      </c>
      <c r="Y160" s="100">
        <f>Assumptions!$C$13*N160</f>
        <v>0</v>
      </c>
      <c r="AA160" s="67">
        <f t="shared" si="45"/>
        <v>126725872.34223673</v>
      </c>
      <c r="AB160" s="67">
        <f>N160*I160</f>
        <v>0</v>
      </c>
      <c r="AC160" s="67"/>
      <c r="AD160" s="90">
        <f>P160*J160</f>
        <v>33921.547014765041</v>
      </c>
      <c r="AE160" s="90">
        <f>Q160*K160</f>
        <v>214082.26878784547</v>
      </c>
      <c r="AF160" s="67">
        <f>R160*I161</f>
        <v>0</v>
      </c>
      <c r="AG160" s="68">
        <f>S160*I160</f>
        <v>516296.8905130917</v>
      </c>
      <c r="AH160" s="68">
        <f>T160*$I160</f>
        <v>0</v>
      </c>
      <c r="AI160" s="68">
        <f>U160*$I160</f>
        <v>0</v>
      </c>
      <c r="AJ160" s="67">
        <f>V160*I161</f>
        <v>126993729.92454919</v>
      </c>
      <c r="AK160" s="67">
        <f>W160*$I160</f>
        <v>0</v>
      </c>
      <c r="AL160" s="67">
        <f>X160*$I160</f>
        <v>0</v>
      </c>
      <c r="AM160" s="67">
        <f>Y160*$I160</f>
        <v>0</v>
      </c>
      <c r="AN160" s="65">
        <f>NPV(Assumptions!$D$19,AB160:$AB$259)*(1+Assumptions!$D$19)</f>
        <v>13076534.761976711</v>
      </c>
      <c r="AO160" s="68">
        <f t="shared" si="41"/>
        <v>120748.43727990653</v>
      </c>
      <c r="AQ160" s="67">
        <f t="shared" si="46"/>
        <v>129546904.37337852</v>
      </c>
      <c r="AR160" s="95">
        <f>(AQ160+AB160-AC160)*Assumptions!$D$19</f>
        <v>556145.42091574823</v>
      </c>
      <c r="AS160" s="67">
        <f t="shared" si="47"/>
        <v>2860880.5615444458</v>
      </c>
      <c r="AT160" s="67">
        <f t="shared" si="42"/>
        <v>129733862.04881373</v>
      </c>
      <c r="AU160" s="67"/>
      <c r="AV160" s="67"/>
      <c r="AW160" s="67"/>
      <c r="AY160" s="67"/>
      <c r="AZ160" s="70">
        <f t="shared" si="36"/>
        <v>0</v>
      </c>
    </row>
    <row r="161" spans="2:52" x14ac:dyDescent="0.2">
      <c r="B161" s="5">
        <f t="shared" si="32"/>
        <v>154</v>
      </c>
      <c r="C161" s="5">
        <f t="shared" si="33"/>
        <v>154</v>
      </c>
      <c r="D161" s="5">
        <f t="shared" si="34"/>
        <v>12</v>
      </c>
      <c r="E161" s="5">
        <f t="shared" si="35"/>
        <v>58</v>
      </c>
      <c r="F161" s="64">
        <f>1-(1-VLOOKUP($E161,'Annual Mortality Rates'!$B$5:$C$105,2,FALSE))^(1/12)</f>
        <v>2.6705857925313214E-4</v>
      </c>
      <c r="G161" s="75">
        <f>IF(C161&gt;=Assumptions!$H$9*12,100%,1-(1-IF(D161&gt;=7,2%,VLOOKUP($D161,'Annual Lapse Rates'!$B$4:$C$14,2,FALSE)))^(1/12))</f>
        <v>1.6821425527395739E-3</v>
      </c>
      <c r="H161" s="81">
        <f t="shared" si="43"/>
        <v>10</v>
      </c>
      <c r="I161" s="65">
        <f t="shared" si="37"/>
        <v>2776.7828554883995</v>
      </c>
      <c r="J161" s="66">
        <f t="shared" si="38"/>
        <v>0.74156368428118735</v>
      </c>
      <c r="K161" s="66">
        <f t="shared" si="39"/>
        <v>4.6800824240854508</v>
      </c>
      <c r="M161" s="97">
        <f t="shared" si="44"/>
        <v>45734.123456410016</v>
      </c>
      <c r="N161" s="97">
        <f>IF(AND(H161=1,D161&lt;15),Assumptions!$H$4,0)</f>
        <v>0</v>
      </c>
      <c r="O161" s="103"/>
      <c r="P161" s="98">
        <f>$M161*(1+VLOOKUP($H161,Assumptions!$C$22:$D$33,2,FALSE))^(1/12)</f>
        <v>45851.550187402339</v>
      </c>
      <c r="Q161" s="98">
        <f>$M161*(1+VLOOKUP($H161,Assumptions!$C$22:$D$33,2,FALSE))^(1/12)</f>
        <v>45851.550187402339</v>
      </c>
      <c r="R161" s="97">
        <f>IF(AND(H161=12,D161&lt;15),Assumptions!$C$7*M161,0)</f>
        <v>0</v>
      </c>
      <c r="S161" s="99">
        <f>(M161+N161-O161)*Assumptions!$D$17</f>
        <v>186.32648009807008</v>
      </c>
      <c r="T161" s="99">
        <f t="shared" si="40"/>
        <v>0</v>
      </c>
      <c r="U161" s="101"/>
      <c r="V161" s="101">
        <f>IF(C161&gt;=Assumptions!$H$9*12,0,M161+N161-O161+S161-R161)</f>
        <v>45920.449936508085</v>
      </c>
      <c r="W161" s="103"/>
      <c r="X161" s="97">
        <f>IF(AND(H161=1,D161&lt;15),Assumptions!$D$10*N161+Assumptions!$D$11*(1+Assumptions!$D$16)^(B161-1),0)</f>
        <v>0</v>
      </c>
      <c r="Y161" s="100">
        <f>Assumptions!$C$13*N161</f>
        <v>0</v>
      </c>
      <c r="AA161" s="67">
        <f t="shared" si="45"/>
        <v>126993729.92454919</v>
      </c>
      <c r="AB161" s="67">
        <f>N161*I161</f>
        <v>0</v>
      </c>
      <c r="AC161" s="67"/>
      <c r="AD161" s="90">
        <f>P161*J161</f>
        <v>34001.844486973845</v>
      </c>
      <c r="AE161" s="90">
        <f>Q161*K161</f>
        <v>214589.03414913366</v>
      </c>
      <c r="AF161" s="67">
        <f>R161*I162</f>
        <v>0</v>
      </c>
      <c r="AG161" s="68">
        <f>S161*I161</f>
        <v>517388.17545982148</v>
      </c>
      <c r="AH161" s="68">
        <f>T161*$I161</f>
        <v>0</v>
      </c>
      <c r="AI161" s="68">
        <f>U161*$I161</f>
        <v>0</v>
      </c>
      <c r="AJ161" s="67">
        <f>V161*I162</f>
        <v>127262153.6713163</v>
      </c>
      <c r="AK161" s="67">
        <f>W161*$I161</f>
        <v>0</v>
      </c>
      <c r="AL161" s="67">
        <f>X161*$I161</f>
        <v>0</v>
      </c>
      <c r="AM161" s="67">
        <f>Y161*$I161</f>
        <v>0</v>
      </c>
      <c r="AN161" s="65">
        <f>NPV(Assumptions!$D$19,AB161:$AB$259)*(1+Assumptions!$D$19)</f>
        <v>13132672.382281076</v>
      </c>
      <c r="AO161" s="68">
        <f t="shared" si="41"/>
        <v>121266.8108435264</v>
      </c>
      <c r="AQ161" s="67">
        <f t="shared" si="46"/>
        <v>129854610.48609364</v>
      </c>
      <c r="AR161" s="95">
        <f>(AQ161+AB161-AC161)*Assumptions!$D$19</f>
        <v>557466.40458882053</v>
      </c>
      <c r="AS161" s="67">
        <f t="shared" si="47"/>
        <v>2900958.790673445</v>
      </c>
      <c r="AT161" s="67">
        <f t="shared" si="42"/>
        <v>130041845.65114622</v>
      </c>
      <c r="AU161" s="67"/>
      <c r="AV161" s="67"/>
      <c r="AW161" s="67"/>
      <c r="AY161" s="67"/>
      <c r="AZ161" s="70">
        <f t="shared" si="36"/>
        <v>0</v>
      </c>
    </row>
    <row r="162" spans="2:52" x14ac:dyDescent="0.2">
      <c r="B162" s="5">
        <f t="shared" si="32"/>
        <v>155</v>
      </c>
      <c r="C162" s="5">
        <f t="shared" si="33"/>
        <v>155</v>
      </c>
      <c r="D162" s="5">
        <f t="shared" si="34"/>
        <v>12</v>
      </c>
      <c r="E162" s="5">
        <f t="shared" si="35"/>
        <v>58</v>
      </c>
      <c r="F162" s="64">
        <f>1-(1-VLOOKUP($E162,'Annual Mortality Rates'!$B$5:$C$105,2,FALSE))^(1/12)</f>
        <v>2.6705857925313214E-4</v>
      </c>
      <c r="G162" s="75">
        <f>IF(C162&gt;=Assumptions!$H$9*12,100%,1-(1-IF(D162&gt;=7,2%,VLOOKUP($D162,'Annual Lapse Rates'!$B$4:$C$14,2,FALSE)))^(1/12))</f>
        <v>1.6821425527395739E-3</v>
      </c>
      <c r="H162" s="81">
        <f t="shared" si="43"/>
        <v>11</v>
      </c>
      <c r="I162" s="65">
        <f t="shared" si="37"/>
        <v>2771.361209380033</v>
      </c>
      <c r="J162" s="66">
        <f t="shared" si="38"/>
        <v>0.74011578717427373</v>
      </c>
      <c r="K162" s="66">
        <f t="shared" si="39"/>
        <v>4.6709446009347397</v>
      </c>
      <c r="M162" s="97">
        <f t="shared" si="44"/>
        <v>45920.449936508085</v>
      </c>
      <c r="N162" s="97">
        <f>IF(AND(H162=1,D162&lt;15),Assumptions!$H$4,0)</f>
        <v>0</v>
      </c>
      <c r="O162" s="103"/>
      <c r="P162" s="98">
        <f>$M162*(1+VLOOKUP($H162,Assumptions!$C$22:$D$33,2,FALSE))^(1/12)</f>
        <v>46049.964809962112</v>
      </c>
      <c r="Q162" s="98">
        <f>$M162*(1+VLOOKUP($H162,Assumptions!$C$22:$D$33,2,FALSE))^(1/12)</f>
        <v>46049.964809962112</v>
      </c>
      <c r="R162" s="97">
        <f>IF(AND(H162=12,D162&lt;15),Assumptions!$C$7*M162,0)</f>
        <v>0</v>
      </c>
      <c r="S162" s="99">
        <f>(M162+N162-O162)*Assumptions!$D$17</f>
        <v>187.0855972421611</v>
      </c>
      <c r="T162" s="99">
        <f t="shared" si="40"/>
        <v>0</v>
      </c>
      <c r="U162" s="101"/>
      <c r="V162" s="101">
        <f>IF(C162&gt;=Assumptions!$H$9*12,0,M162+N162-O162+S162-R162)</f>
        <v>46107.535533750248</v>
      </c>
      <c r="W162" s="103"/>
      <c r="X162" s="97">
        <f>IF(AND(H162=1,D162&lt;15),Assumptions!$D$10*N162+Assumptions!$D$11*(1+Assumptions!$D$16)^(B162-1),0)</f>
        <v>0</v>
      </c>
      <c r="Y162" s="100">
        <f>Assumptions!$C$13*N162</f>
        <v>0</v>
      </c>
      <c r="AA162" s="67">
        <f t="shared" si="45"/>
        <v>127262153.6713163</v>
      </c>
      <c r="AB162" s="67">
        <f>N162*I162</f>
        <v>0</v>
      </c>
      <c r="AC162" s="67"/>
      <c r="AD162" s="90">
        <f>P162*J162</f>
        <v>34082.305954672716</v>
      </c>
      <c r="AE162" s="90">
        <f>Q162*K162</f>
        <v>215096.83450232729</v>
      </c>
      <c r="AF162" s="67">
        <f>R162*I163</f>
        <v>0</v>
      </c>
      <c r="AG162" s="68">
        <f>S162*I162</f>
        <v>518481.76703062135</v>
      </c>
      <c r="AH162" s="68">
        <f>T162*$I162</f>
        <v>0</v>
      </c>
      <c r="AI162" s="68">
        <f>U162*$I162</f>
        <v>0</v>
      </c>
      <c r="AJ162" s="67">
        <f>V162*I163</f>
        <v>127531144.77922693</v>
      </c>
      <c r="AK162" s="67">
        <f>W162*$I162</f>
        <v>0</v>
      </c>
      <c r="AL162" s="67">
        <f>X162*$I162</f>
        <v>0</v>
      </c>
      <c r="AM162" s="67">
        <f>Y162*$I162</f>
        <v>0</v>
      </c>
      <c r="AN162" s="65">
        <f>NPV(Assumptions!$D$19,AB162:$AB$259)*(1+Assumptions!$D$19)</f>
        <v>13189051.001632269</v>
      </c>
      <c r="AO162" s="68">
        <f t="shared" si="41"/>
        <v>121787.40978709748</v>
      </c>
      <c r="AQ162" s="67">
        <f t="shared" si="46"/>
        <v>130163112.46198975</v>
      </c>
      <c r="AR162" s="95">
        <f>(AQ162+AB162-AC162)*Assumptions!$D$19</f>
        <v>558790.80490597186</v>
      </c>
      <c r="AS162" s="67">
        <f t="shared" si="47"/>
        <v>2941267.8285487955</v>
      </c>
      <c r="AT162" s="67">
        <f t="shared" si="42"/>
        <v>130350625.19798861</v>
      </c>
      <c r="AU162" s="67"/>
      <c r="AV162" s="67"/>
      <c r="AW162" s="67"/>
      <c r="AY162" s="67"/>
      <c r="AZ162" s="70">
        <f t="shared" si="36"/>
        <v>0</v>
      </c>
    </row>
    <row r="163" spans="2:52" x14ac:dyDescent="0.2">
      <c r="B163" s="5">
        <f t="shared" si="32"/>
        <v>156</v>
      </c>
      <c r="C163" s="5">
        <f t="shared" si="33"/>
        <v>156</v>
      </c>
      <c r="D163" s="5">
        <f t="shared" si="34"/>
        <v>12</v>
      </c>
      <c r="E163" s="5">
        <f t="shared" si="35"/>
        <v>58</v>
      </c>
      <c r="F163" s="64">
        <f>1-(1-VLOOKUP($E163,'Annual Mortality Rates'!$B$5:$C$105,2,FALSE))^(1/12)</f>
        <v>2.6705857925313214E-4</v>
      </c>
      <c r="G163" s="75">
        <f>IF(C163&gt;=Assumptions!$H$9*12,100%,1-(1-IF(D163&gt;=7,2%,VLOOKUP($D163,'Annual Lapse Rates'!$B$4:$C$14,2,FALSE)))^(1/12))</f>
        <v>1.6821425527395739E-3</v>
      </c>
      <c r="H163" s="81">
        <f t="shared" si="43"/>
        <v>12</v>
      </c>
      <c r="I163" s="65">
        <f t="shared" si="37"/>
        <v>2765.9501489919239</v>
      </c>
      <c r="J163" s="66">
        <f t="shared" si="38"/>
        <v>0.73867071707477239</v>
      </c>
      <c r="K163" s="66">
        <f t="shared" si="39"/>
        <v>4.6618246193099617</v>
      </c>
      <c r="M163" s="97">
        <f t="shared" si="44"/>
        <v>46107.535533750248</v>
      </c>
      <c r="N163" s="97">
        <f>IF(AND(H163=1,D163&lt;15),Assumptions!$H$4,0)</f>
        <v>0</v>
      </c>
      <c r="O163" s="103"/>
      <c r="P163" s="98">
        <f>$M163*(1+VLOOKUP($H163,Assumptions!$C$22:$D$33,2,FALSE))^(1/12)</f>
        <v>46249.202859512036</v>
      </c>
      <c r="Q163" s="98">
        <f>$M163*(1+VLOOKUP($H163,Assumptions!$C$22:$D$33,2,FALSE))^(1/12)</f>
        <v>46249.202859512036</v>
      </c>
      <c r="R163" s="97">
        <f>IF(AND(H163=12,D163&lt;15),Assumptions!$C$7*M163,0)</f>
        <v>23.053767766875126</v>
      </c>
      <c r="S163" s="99">
        <f>(M163+N163-O163)*Assumptions!$D$17</f>
        <v>187.84780712346347</v>
      </c>
      <c r="T163" s="99">
        <f t="shared" si="40"/>
        <v>0</v>
      </c>
      <c r="U163" s="101"/>
      <c r="V163" s="101">
        <f>IF(C163&gt;=Assumptions!$H$9*12,0,M163+N163-O163+S163-R163)</f>
        <v>46272.329573106836</v>
      </c>
      <c r="W163" s="103"/>
      <c r="X163" s="97">
        <f>IF(AND(H163=1,D163&lt;15),Assumptions!$D$10*N163+Assumptions!$D$11*(1+Assumptions!$D$16)^(B163-1),0)</f>
        <v>0</v>
      </c>
      <c r="Y163" s="100">
        <f>Assumptions!$C$13*N163</f>
        <v>0</v>
      </c>
      <c r="AA163" s="67">
        <f t="shared" si="45"/>
        <v>127531144.77922693</v>
      </c>
      <c r="AB163" s="67">
        <f>N163*I163</f>
        <v>0</v>
      </c>
      <c r="AC163" s="67"/>
      <c r="AD163" s="90">
        <f>P163*J163</f>
        <v>34162.931840372366</v>
      </c>
      <c r="AE163" s="90">
        <f>Q163*K163</f>
        <v>215605.67251393388</v>
      </c>
      <c r="AF163" s="67">
        <f>R163*I164</f>
        <v>63641.07062430236</v>
      </c>
      <c r="AG163" s="68">
        <f>S163*I163</f>
        <v>519577.67010095</v>
      </c>
      <c r="AH163" s="68">
        <f>T163*$I163</f>
        <v>0</v>
      </c>
      <c r="AI163" s="68">
        <f>U163*$I163</f>
        <v>0</v>
      </c>
      <c r="AJ163" s="67">
        <f>V163*I164</f>
        <v>127737063.37687504</v>
      </c>
      <c r="AK163" s="67">
        <f>W163*$I163</f>
        <v>0</v>
      </c>
      <c r="AL163" s="67">
        <f>X163*$I163</f>
        <v>0</v>
      </c>
      <c r="AM163" s="67">
        <f>Y163*$I163</f>
        <v>0</v>
      </c>
      <c r="AN163" s="65">
        <f>NPV(Assumptions!$D$19,AB163:$AB$259)*(1+Assumptions!$D$19)</f>
        <v>13245671.654640242</v>
      </c>
      <c r="AO163" s="68">
        <f t="shared" si="41"/>
        <v>122310.24366418549</v>
      </c>
      <c r="AQ163" s="67">
        <f t="shared" si="46"/>
        <v>130472412.60777572</v>
      </c>
      <c r="AR163" s="95">
        <f>(AQ163+AB163-AC163)*Assumptions!$D$19</f>
        <v>560118.63176991348</v>
      </c>
      <c r="AS163" s="67">
        <f t="shared" si="47"/>
        <v>2981808.7902177586</v>
      </c>
      <c r="AT163" s="67">
        <f t="shared" si="42"/>
        <v>130596561.92342861</v>
      </c>
      <c r="AU163" s="67"/>
      <c r="AV163" s="67"/>
      <c r="AW163" s="67"/>
      <c r="AY163" s="67"/>
      <c r="AZ163" s="70">
        <f t="shared" si="36"/>
        <v>0</v>
      </c>
    </row>
    <row r="164" spans="2:52" x14ac:dyDescent="0.2">
      <c r="B164" s="5">
        <f t="shared" si="32"/>
        <v>157</v>
      </c>
      <c r="C164" s="5">
        <f t="shared" si="33"/>
        <v>157</v>
      </c>
      <c r="D164" s="5">
        <f t="shared" si="34"/>
        <v>13</v>
      </c>
      <c r="E164" s="5">
        <f t="shared" si="35"/>
        <v>59</v>
      </c>
      <c r="F164" s="64">
        <f>1-(1-VLOOKUP($E164,'Annual Mortality Rates'!$B$5:$C$105,2,FALSE))^(1/12)</f>
        <v>2.9882397117220183E-4</v>
      </c>
      <c r="G164" s="75">
        <f>IF(C164&gt;=Assumptions!$H$9*12,100%,1-(1-IF(D164&gt;=7,2%,VLOOKUP($D164,'Annual Lapse Rates'!$B$4:$C$14,2,FALSE)))^(1/12))</f>
        <v>1.6821425527395739E-3</v>
      </c>
      <c r="H164" s="81">
        <f t="shared" si="43"/>
        <v>1</v>
      </c>
      <c r="I164" s="65">
        <f t="shared" si="37"/>
        <v>2760.5496536555393</v>
      </c>
      <c r="J164" s="66">
        <f t="shared" si="38"/>
        <v>0.82491841012339462</v>
      </c>
      <c r="K164" s="66">
        <f t="shared" si="39"/>
        <v>4.6527224443756801</v>
      </c>
      <c r="M164" s="97">
        <f t="shared" si="44"/>
        <v>46272.329573106836</v>
      </c>
      <c r="N164" s="97">
        <f>IF(AND(H164=1,D164&lt;15),Assumptions!$H$4,0)</f>
        <v>2500</v>
      </c>
      <c r="O164" s="103"/>
      <c r="P164" s="98">
        <f>$M164*(1+VLOOKUP($H164,Assumptions!$C$22:$D$33,2,FALSE))^(1/12)</f>
        <v>46284.362434075876</v>
      </c>
      <c r="Q164" s="98">
        <f>$M164*(1+VLOOKUP($H164,Assumptions!$C$22:$D$33,2,FALSE))^(1/12)</f>
        <v>46284.362434075876</v>
      </c>
      <c r="R164" s="97">
        <f>IF(AND(H164=12,D164&lt;15),Assumptions!$C$7*M164,0)</f>
        <v>0</v>
      </c>
      <c r="S164" s="99">
        <f>(M164+N164-O164)*Assumptions!$D$17</f>
        <v>198.70450789773051</v>
      </c>
      <c r="T164" s="99">
        <f t="shared" si="40"/>
        <v>0</v>
      </c>
      <c r="U164" s="101"/>
      <c r="V164" s="101">
        <f>IF(C164&gt;=Assumptions!$H$9*12,0,M164+N164-O164+S164-R164)</f>
        <v>48971.034081004567</v>
      </c>
      <c r="W164" s="103"/>
      <c r="X164" s="97">
        <f>IF(AND(H164=1,D164&lt;15),Assumptions!$D$10*N164+Assumptions!$D$11*(1+Assumptions!$D$16)^(B164-1),0)</f>
        <v>20.908443097949718</v>
      </c>
      <c r="Y164" s="100">
        <f>Assumptions!$C$13*N164</f>
        <v>12.5</v>
      </c>
      <c r="AA164" s="67">
        <f t="shared" si="45"/>
        <v>127737063.37687504</v>
      </c>
      <c r="AB164" s="67">
        <f>N164*I164</f>
        <v>6901374.1341388477</v>
      </c>
      <c r="AC164" s="67"/>
      <c r="AD164" s="90">
        <f>P164*J164</f>
        <v>38180.822672692841</v>
      </c>
      <c r="AE164" s="90">
        <f>Q164*K164</f>
        <v>215348.29192064342</v>
      </c>
      <c r="AF164" s="67">
        <f>R164*I165</f>
        <v>0</v>
      </c>
      <c r="AG164" s="68">
        <f>S164*I164</f>
        <v>548533.66045687429</v>
      </c>
      <c r="AH164" s="68">
        <f>T164*$I164</f>
        <v>0</v>
      </c>
      <c r="AI164" s="68">
        <f>U164*$I164</f>
        <v>0</v>
      </c>
      <c r="AJ164" s="67">
        <f>V164*I165</f>
        <v>134918725.43450159</v>
      </c>
      <c r="AK164" s="67">
        <f>W164*$I164</f>
        <v>0</v>
      </c>
      <c r="AL164" s="67">
        <f>X164*$I164</f>
        <v>57718.795352521644</v>
      </c>
      <c r="AM164" s="67">
        <f>Y164*$I164</f>
        <v>34506.870670694239</v>
      </c>
      <c r="AN164" s="65">
        <f>NPV(Assumptions!$D$19,AB164:$AB$259)*(1+Assumptions!$D$19)</f>
        <v>13302535.380356528</v>
      </c>
      <c r="AO164" s="68">
        <f t="shared" si="41"/>
        <v>59108.183576659139</v>
      </c>
      <c r="AQ164" s="67">
        <f t="shared" si="46"/>
        <v>130718872.1670928</v>
      </c>
      <c r="AR164" s="95">
        <f>(AQ164+AB164-AC164)*Assumptions!$D$19</f>
        <v>590804.31273860298</v>
      </c>
      <c r="AS164" s="67">
        <f t="shared" si="47"/>
        <v>3024079.4424994872</v>
      </c>
      <c r="AT164" s="67">
        <f t="shared" si="42"/>
        <v>137883696.6934244</v>
      </c>
      <c r="AU164" s="67"/>
      <c r="AV164" s="67"/>
      <c r="AW164" s="67"/>
      <c r="AY164" s="67"/>
      <c r="AZ164" s="70">
        <f t="shared" si="36"/>
        <v>0</v>
      </c>
    </row>
    <row r="165" spans="2:52" x14ac:dyDescent="0.2">
      <c r="B165" s="5">
        <f t="shared" si="32"/>
        <v>158</v>
      </c>
      <c r="C165" s="5">
        <f t="shared" si="33"/>
        <v>158</v>
      </c>
      <c r="D165" s="5">
        <f t="shared" si="34"/>
        <v>13</v>
      </c>
      <c r="E165" s="5">
        <f t="shared" si="35"/>
        <v>59</v>
      </c>
      <c r="F165" s="64">
        <f>1-(1-VLOOKUP($E165,'Annual Mortality Rates'!$B$5:$C$105,2,FALSE))^(1/12)</f>
        <v>2.9882397117220183E-4</v>
      </c>
      <c r="G165" s="75">
        <f>IF(C165&gt;=Assumptions!$H$9*12,100%,1-(1-IF(D165&gt;=7,2%,VLOOKUP($D165,'Annual Lapse Rates'!$B$4:$C$14,2,FALSE)))^(1/12))</f>
        <v>1.6821425527395739E-3</v>
      </c>
      <c r="H165" s="81">
        <f t="shared" si="43"/>
        <v>2</v>
      </c>
      <c r="I165" s="65">
        <f t="shared" si="37"/>
        <v>2755.0720128010403</v>
      </c>
      <c r="J165" s="66">
        <f t="shared" si="38"/>
        <v>0.82328155973059813</v>
      </c>
      <c r="K165" s="66">
        <f t="shared" si="39"/>
        <v>4.6436380413644756</v>
      </c>
      <c r="M165" s="97">
        <f t="shared" si="44"/>
        <v>48971.034081004567</v>
      </c>
      <c r="N165" s="97">
        <f>IF(AND(H165=1,D165&lt;15),Assumptions!$H$4,0)</f>
        <v>0</v>
      </c>
      <c r="O165" s="103"/>
      <c r="P165" s="98">
        <f>$M165*(1+VLOOKUP($H165,Assumptions!$C$22:$D$33,2,FALSE))^(1/12)</f>
        <v>48996.46705500711</v>
      </c>
      <c r="Q165" s="98">
        <f>$M165*(1+VLOOKUP($H165,Assumptions!$C$22:$D$33,2,FALSE))^(1/12)</f>
        <v>48996.46705500711</v>
      </c>
      <c r="R165" s="97">
        <f>IF(AND(H165=12,D165&lt;15),Assumptions!$C$7*M165,0)</f>
        <v>0</v>
      </c>
      <c r="S165" s="99">
        <f>(M165+N165-O165)*Assumptions!$D$17</f>
        <v>199.51405465927479</v>
      </c>
      <c r="T165" s="99">
        <f t="shared" si="40"/>
        <v>0</v>
      </c>
      <c r="U165" s="101"/>
      <c r="V165" s="101">
        <f>IF(C165&gt;=Assumptions!$H$9*12,0,M165+N165-O165+S165-R165)</f>
        <v>49170.548135663841</v>
      </c>
      <c r="W165" s="103"/>
      <c r="X165" s="97">
        <f>IF(AND(H165=1,D165&lt;15),Assumptions!$D$10*N165+Assumptions!$D$11*(1+Assumptions!$D$16)^(B165-1),0)</f>
        <v>0</v>
      </c>
      <c r="Y165" s="100">
        <f>Assumptions!$C$13*N165</f>
        <v>0</v>
      </c>
      <c r="AA165" s="67">
        <f t="shared" si="45"/>
        <v>134918725.43450159</v>
      </c>
      <c r="AB165" s="67">
        <f>N165*I165</f>
        <v>0</v>
      </c>
      <c r="AC165" s="67"/>
      <c r="AD165" s="90">
        <f>P165*J165</f>
        <v>40337.887818335119</v>
      </c>
      <c r="AE165" s="90">
        <f>Q165*K165</f>
        <v>227521.85830909226</v>
      </c>
      <c r="AF165" s="67">
        <f>R165*I166</f>
        <v>0</v>
      </c>
      <c r="AG165" s="68">
        <f>S165*I165</f>
        <v>549675.58815222501</v>
      </c>
      <c r="AH165" s="68">
        <f>T165*$I165</f>
        <v>0</v>
      </c>
      <c r="AI165" s="68">
        <f>U165*$I165</f>
        <v>0</v>
      </c>
      <c r="AJ165" s="67">
        <f>V165*I166</f>
        <v>135199589.58925438</v>
      </c>
      <c r="AK165" s="67">
        <f>W165*$I165</f>
        <v>0</v>
      </c>
      <c r="AL165" s="67">
        <f>X165*$I165</f>
        <v>0</v>
      </c>
      <c r="AM165" s="67">
        <f>Y165*$I165</f>
        <v>0</v>
      </c>
      <c r="AN165" s="65">
        <f>NPV(Assumptions!$D$19,AB165:$AB$259)*(1+Assumptions!$D$19)</f>
        <v>6428641.4591401508</v>
      </c>
      <c r="AO165" s="68">
        <f t="shared" si="41"/>
        <v>59361.935264465275</v>
      </c>
      <c r="AQ165" s="67">
        <f t="shared" si="46"/>
        <v>137942804.87700108</v>
      </c>
      <c r="AR165" s="95">
        <f>(AQ165+AB165-AC165)*Assumptions!$D$19</f>
        <v>592189.05809982156</v>
      </c>
      <c r="AS165" s="67">
        <f t="shared" si="47"/>
        <v>3066592.9124470837</v>
      </c>
      <c r="AT165" s="67">
        <f t="shared" si="42"/>
        <v>138206820.56643701</v>
      </c>
      <c r="AU165" s="67"/>
      <c r="AV165" s="67"/>
      <c r="AW165" s="67"/>
      <c r="AY165" s="67"/>
      <c r="AZ165" s="70">
        <f t="shared" si="36"/>
        <v>0</v>
      </c>
    </row>
    <row r="166" spans="2:52" x14ac:dyDescent="0.2">
      <c r="B166" s="5">
        <f t="shared" si="32"/>
        <v>159</v>
      </c>
      <c r="C166" s="5">
        <f t="shared" si="33"/>
        <v>159</v>
      </c>
      <c r="D166" s="5">
        <f t="shared" si="34"/>
        <v>13</v>
      </c>
      <c r="E166" s="5">
        <f t="shared" si="35"/>
        <v>59</v>
      </c>
      <c r="F166" s="64">
        <f>1-(1-VLOOKUP($E166,'Annual Mortality Rates'!$B$5:$C$105,2,FALSE))^(1/12)</f>
        <v>2.9882397117220183E-4</v>
      </c>
      <c r="G166" s="75">
        <f>IF(C166&gt;=Assumptions!$H$9*12,100%,1-(1-IF(D166&gt;=7,2%,VLOOKUP($D166,'Annual Lapse Rates'!$B$4:$C$14,2,FALSE)))^(1/12))</f>
        <v>1.6821425527395739E-3</v>
      </c>
      <c r="H166" s="81">
        <f t="shared" si="43"/>
        <v>3</v>
      </c>
      <c r="I166" s="65">
        <f t="shared" si="37"/>
        <v>2749.6050931999453</v>
      </c>
      <c r="J166" s="66">
        <f t="shared" si="38"/>
        <v>0.82164791310531982</v>
      </c>
      <c r="K166" s="66">
        <f t="shared" si="39"/>
        <v>4.6344238685944976</v>
      </c>
      <c r="M166" s="97">
        <f t="shared" si="44"/>
        <v>49170.548135663841</v>
      </c>
      <c r="N166" s="97">
        <f>IF(AND(H166=1,D166&lt;15),Assumptions!$H$4,0)</f>
        <v>0</v>
      </c>
      <c r="O166" s="103"/>
      <c r="P166" s="98">
        <f>$M166*(1+VLOOKUP($H166,Assumptions!$C$22:$D$33,2,FALSE))^(1/12)</f>
        <v>49208.798546075035</v>
      </c>
      <c r="Q166" s="98">
        <f>$M166*(1+VLOOKUP($H166,Assumptions!$C$22:$D$33,2,FALSE))^(1/12)</f>
        <v>49208.798546075035</v>
      </c>
      <c r="R166" s="97">
        <f>IF(AND(H166=12,D166&lt;15),Assumptions!$C$7*M166,0)</f>
        <v>0</v>
      </c>
      <c r="S166" s="99">
        <f>(M166+N166-O166)*Assumptions!$D$17</f>
        <v>200.32689961453426</v>
      </c>
      <c r="T166" s="99">
        <f t="shared" si="40"/>
        <v>0</v>
      </c>
      <c r="U166" s="101"/>
      <c r="V166" s="101">
        <f>IF(C166&gt;=Assumptions!$H$9*12,0,M166+N166-O166+S166-R166)</f>
        <v>49370.875035278375</v>
      </c>
      <c r="W166" s="103"/>
      <c r="X166" s="97">
        <f>IF(AND(H166=1,D166&lt;15),Assumptions!$D$10*N166+Assumptions!$D$11*(1+Assumptions!$D$16)^(B166-1),0)</f>
        <v>0</v>
      </c>
      <c r="Y166" s="100">
        <f>Assumptions!$C$13*N166</f>
        <v>0</v>
      </c>
      <c r="AA166" s="67">
        <f t="shared" si="45"/>
        <v>135199589.58925438</v>
      </c>
      <c r="AB166" s="67">
        <f>N166*I166</f>
        <v>0</v>
      </c>
      <c r="AC166" s="67"/>
      <c r="AD166" s="90">
        <f>P166*J166</f>
        <v>40432.306631802647</v>
      </c>
      <c r="AE166" s="90">
        <f>Q166*K166</f>
        <v>228054.43052678835</v>
      </c>
      <c r="AF166" s="67">
        <f>R166*I167</f>
        <v>0</v>
      </c>
      <c r="AG166" s="68">
        <f>S166*I166</f>
        <v>550819.86348507751</v>
      </c>
      <c r="AH166" s="68">
        <f>T166*$I166</f>
        <v>0</v>
      </c>
      <c r="AI166" s="68">
        <f>U166*$I166</f>
        <v>0</v>
      </c>
      <c r="AJ166" s="67">
        <f>V166*I167</f>
        <v>135481038.41462165</v>
      </c>
      <c r="AK166" s="67">
        <f>W166*$I166</f>
        <v>0</v>
      </c>
      <c r="AL166" s="67">
        <f>X166*$I166</f>
        <v>0</v>
      </c>
      <c r="AM166" s="67">
        <f>Y166*$I166</f>
        <v>0</v>
      </c>
      <c r="AN166" s="65">
        <f>NPV(Assumptions!$D$19,AB166:$AB$259)*(1+Assumptions!$D$19)</f>
        <v>6456239.6447355803</v>
      </c>
      <c r="AO166" s="68">
        <f t="shared" si="41"/>
        <v>59616.776309364956</v>
      </c>
      <c r="AQ166" s="67">
        <f t="shared" si="46"/>
        <v>138266182.50170147</v>
      </c>
      <c r="AR166" s="95">
        <f>(AQ166+AB166-AC166)*Assumptions!$D$19</f>
        <v>593577.31964164425</v>
      </c>
      <c r="AS166" s="67">
        <f t="shared" si="47"/>
        <v>3109350.3686036505</v>
      </c>
      <c r="AT166" s="67">
        <f t="shared" si="42"/>
        <v>138530772.00691593</v>
      </c>
      <c r="AU166" s="67"/>
      <c r="AV166" s="67"/>
      <c r="AW166" s="67"/>
      <c r="AY166" s="67"/>
      <c r="AZ166" s="70">
        <f t="shared" si="36"/>
        <v>0</v>
      </c>
    </row>
    <row r="167" spans="2:52" x14ac:dyDescent="0.2">
      <c r="B167" s="5">
        <f t="shared" si="32"/>
        <v>160</v>
      </c>
      <c r="C167" s="5">
        <f t="shared" si="33"/>
        <v>160</v>
      </c>
      <c r="D167" s="5">
        <f t="shared" si="34"/>
        <v>13</v>
      </c>
      <c r="E167" s="5">
        <f t="shared" si="35"/>
        <v>59</v>
      </c>
      <c r="F167" s="64">
        <f>1-(1-VLOOKUP($E167,'Annual Mortality Rates'!$B$5:$C$105,2,FALSE))^(1/12)</f>
        <v>2.9882397117220183E-4</v>
      </c>
      <c r="G167" s="75">
        <f>IF(C167&gt;=Assumptions!$H$9*12,100%,1-(1-IF(D167&gt;=7,2%,VLOOKUP($D167,'Annual Lapse Rates'!$B$4:$C$14,2,FALSE)))^(1/12))</f>
        <v>1.6821425527395739E-3</v>
      </c>
      <c r="H167" s="81">
        <f t="shared" si="43"/>
        <v>4</v>
      </c>
      <c r="I167" s="65">
        <f t="shared" si="37"/>
        <v>2744.1490214182454</v>
      </c>
      <c r="J167" s="66">
        <f t="shared" si="38"/>
        <v>0.82001750806851159</v>
      </c>
      <c r="K167" s="66">
        <f t="shared" si="39"/>
        <v>4.6252277305010896</v>
      </c>
      <c r="M167" s="97">
        <f t="shared" si="44"/>
        <v>49370.875035278375</v>
      </c>
      <c r="N167" s="97">
        <f>IF(AND(H167=1,D167&lt;15),Assumptions!$H$4,0)</f>
        <v>0</v>
      </c>
      <c r="O167" s="103"/>
      <c r="P167" s="98">
        <f>$M167*(1+VLOOKUP($H167,Assumptions!$C$22:$D$33,2,FALSE))^(1/12)</f>
        <v>49422.010722338338</v>
      </c>
      <c r="Q167" s="98">
        <f>$M167*(1+VLOOKUP($H167,Assumptions!$C$22:$D$33,2,FALSE))^(1/12)</f>
        <v>49422.010722338338</v>
      </c>
      <c r="R167" s="97">
        <f>IF(AND(H167=12,D167&lt;15),Assumptions!$C$7*M167,0)</f>
        <v>0</v>
      </c>
      <c r="S167" s="99">
        <f>(M167+N167-O167)*Assumptions!$D$17</f>
        <v>201.14305620075837</v>
      </c>
      <c r="T167" s="99">
        <f t="shared" si="40"/>
        <v>0</v>
      </c>
      <c r="U167" s="101"/>
      <c r="V167" s="101">
        <f>IF(C167&gt;=Assumptions!$H$9*12,0,M167+N167-O167+S167-R167)</f>
        <v>49572.018091479134</v>
      </c>
      <c r="W167" s="103"/>
      <c r="X167" s="97">
        <f>IF(AND(H167=1,D167&lt;15),Assumptions!$D$10*N167+Assumptions!$D$11*(1+Assumptions!$D$16)^(B167-1),0)</f>
        <v>0</v>
      </c>
      <c r="Y167" s="100">
        <f>Assumptions!$C$13*N167</f>
        <v>0</v>
      </c>
      <c r="AA167" s="67">
        <f t="shared" si="45"/>
        <v>135481038.41462165</v>
      </c>
      <c r="AB167" s="67">
        <f>N167*I167</f>
        <v>0</v>
      </c>
      <c r="AC167" s="67"/>
      <c r="AD167" s="90">
        <f>P167*J167</f>
        <v>40526.914076267145</v>
      </c>
      <c r="AE167" s="90">
        <f>Q167*K167</f>
        <v>228588.05449008147</v>
      </c>
      <c r="AF167" s="67">
        <f>R167*I168</f>
        <v>0</v>
      </c>
      <c r="AG167" s="68">
        <f>S167*I167</f>
        <v>551966.52083838626</v>
      </c>
      <c r="AH167" s="68">
        <f>T167*$I167</f>
        <v>0</v>
      </c>
      <c r="AI167" s="68">
        <f>U167*$I167</f>
        <v>0</v>
      </c>
      <c r="AJ167" s="67">
        <f>V167*I168</f>
        <v>135763073.13998112</v>
      </c>
      <c r="AK167" s="67">
        <f>W167*$I167</f>
        <v>0</v>
      </c>
      <c r="AL167" s="67">
        <f>X167*$I167</f>
        <v>0</v>
      </c>
      <c r="AM167" s="67">
        <f>Y167*$I167</f>
        <v>0</v>
      </c>
      <c r="AN167" s="65">
        <f>NPV(Assumptions!$D$19,AB167:$AB$259)*(1+Assumptions!$D$19)</f>
        <v>6483956.3094611662</v>
      </c>
      <c r="AO167" s="68">
        <f t="shared" si="41"/>
        <v>59872.711387972857</v>
      </c>
      <c r="AQ167" s="67">
        <f t="shared" si="46"/>
        <v>138590388.7832253</v>
      </c>
      <c r="AR167" s="95">
        <f>(AQ167+AB167-AC167)*Assumptions!$D$19</f>
        <v>594969.13861079479</v>
      </c>
      <c r="AS167" s="67">
        <f t="shared" si="47"/>
        <v>3152352.9863760588</v>
      </c>
      <c r="AT167" s="67">
        <f t="shared" si="42"/>
        <v>138855553.41496921</v>
      </c>
      <c r="AU167" s="67"/>
      <c r="AV167" s="67"/>
      <c r="AW167" s="67"/>
      <c r="AY167" s="67"/>
      <c r="AZ167" s="70">
        <f t="shared" si="36"/>
        <v>0</v>
      </c>
    </row>
    <row r="168" spans="2:52" x14ac:dyDescent="0.2">
      <c r="B168" s="5">
        <f t="shared" si="32"/>
        <v>161</v>
      </c>
      <c r="C168" s="5">
        <f t="shared" si="33"/>
        <v>161</v>
      </c>
      <c r="D168" s="5">
        <f t="shared" si="34"/>
        <v>13</v>
      </c>
      <c r="E168" s="5">
        <f t="shared" si="35"/>
        <v>59</v>
      </c>
      <c r="F168" s="64">
        <f>1-(1-VLOOKUP($E168,'Annual Mortality Rates'!$B$5:$C$105,2,FALSE))^(1/12)</f>
        <v>2.9882397117220183E-4</v>
      </c>
      <c r="G168" s="75">
        <f>IF(C168&gt;=Assumptions!$H$9*12,100%,1-(1-IF(D168&gt;=7,2%,VLOOKUP($D168,'Annual Lapse Rates'!$B$4:$C$14,2,FALSE)))^(1/12))</f>
        <v>1.6821425527395739E-3</v>
      </c>
      <c r="H168" s="81">
        <f t="shared" si="43"/>
        <v>5</v>
      </c>
      <c r="I168" s="65">
        <f t="shared" si="37"/>
        <v>2738.703776179676</v>
      </c>
      <c r="J168" s="66">
        <f t="shared" si="38"/>
        <v>0.81839033826231578</v>
      </c>
      <c r="K168" s="66">
        <f t="shared" si="39"/>
        <v>4.6160498399862906</v>
      </c>
      <c r="M168" s="97">
        <f t="shared" si="44"/>
        <v>49572.018091479134</v>
      </c>
      <c r="N168" s="97">
        <f>IF(AND(H168=1,D168&lt;15),Assumptions!$H$4,0)</f>
        <v>0</v>
      </c>
      <c r="O168" s="103"/>
      <c r="P168" s="98">
        <f>$M168*(1+VLOOKUP($H168,Assumptions!$C$22:$D$33,2,FALSE))^(1/12)</f>
        <v>49636.107302646858</v>
      </c>
      <c r="Q168" s="98">
        <f>$M168*(1+VLOOKUP($H168,Assumptions!$C$22:$D$33,2,FALSE))^(1/12)</f>
        <v>49636.107302646858</v>
      </c>
      <c r="R168" s="97">
        <f>IF(AND(H168=12,D168&lt;15),Assumptions!$C$7*M168,0)</f>
        <v>0</v>
      </c>
      <c r="S168" s="99">
        <f>(M168+N168-O168)*Assumptions!$D$17</f>
        <v>201.9625379099416</v>
      </c>
      <c r="T168" s="99">
        <f t="shared" si="40"/>
        <v>0</v>
      </c>
      <c r="U168" s="101"/>
      <c r="V168" s="101">
        <f>IF(C168&gt;=Assumptions!$H$9*12,0,M168+N168-O168+S168-R168)</f>
        <v>49773.980629389072</v>
      </c>
      <c r="W168" s="103"/>
      <c r="X168" s="97">
        <f>IF(AND(H168=1,D168&lt;15),Assumptions!$D$10*N168+Assumptions!$D$11*(1+Assumptions!$D$16)^(B168-1),0)</f>
        <v>0</v>
      </c>
      <c r="Y168" s="100">
        <f>Assumptions!$C$13*N168</f>
        <v>0</v>
      </c>
      <c r="AA168" s="67">
        <f t="shared" si="45"/>
        <v>135763073.13998112</v>
      </c>
      <c r="AB168" s="67">
        <f>N168*I168</f>
        <v>0</v>
      </c>
      <c r="AC168" s="67"/>
      <c r="AD168" s="90">
        <f>P168*J168</f>
        <v>40621.710645437764</v>
      </c>
      <c r="AE168" s="90">
        <f>Q168*K168</f>
        <v>229122.74517192537</v>
      </c>
      <c r="AF168" s="67">
        <f>R168*I169</f>
        <v>0</v>
      </c>
      <c r="AG168" s="68">
        <f>S168*I168</f>
        <v>553115.565220788</v>
      </c>
      <c r="AH168" s="68">
        <f>T168*$I168</f>
        <v>0</v>
      </c>
      <c r="AI168" s="68">
        <f>U168*$I168</f>
        <v>0</v>
      </c>
      <c r="AJ168" s="67">
        <f>V168*I169</f>
        <v>136045694.98503816</v>
      </c>
      <c r="AK168" s="67">
        <f>W168*$I168</f>
        <v>0</v>
      </c>
      <c r="AL168" s="67">
        <f>X168*$I168</f>
        <v>0</v>
      </c>
      <c r="AM168" s="67">
        <f>Y168*$I168</f>
        <v>0</v>
      </c>
      <c r="AN168" s="65">
        <f>NPV(Assumptions!$D$19,AB168:$AB$259)*(1+Assumptions!$D$19)</f>
        <v>6511791.9619483249</v>
      </c>
      <c r="AO168" s="68">
        <f t="shared" si="41"/>
        <v>60129.745196980453</v>
      </c>
      <c r="AQ168" s="67">
        <f t="shared" si="46"/>
        <v>138915426.12635717</v>
      </c>
      <c r="AR168" s="95">
        <f>(AQ168+AB168-AC168)*Assumptions!$D$19</f>
        <v>596364.52533102396</v>
      </c>
      <c r="AS168" s="67">
        <f t="shared" si="47"/>
        <v>3195601.9464862947</v>
      </c>
      <c r="AT168" s="67">
        <f t="shared" si="42"/>
        <v>139181167.18632749</v>
      </c>
      <c r="AU168" s="67"/>
      <c r="AV168" s="67"/>
      <c r="AW168" s="67"/>
      <c r="AY168" s="67"/>
      <c r="AZ168" s="70">
        <f t="shared" si="36"/>
        <v>0</v>
      </c>
    </row>
    <row r="169" spans="2:52" x14ac:dyDescent="0.2">
      <c r="B169" s="5">
        <f t="shared" si="32"/>
        <v>162</v>
      </c>
      <c r="C169" s="5">
        <f t="shared" si="33"/>
        <v>162</v>
      </c>
      <c r="D169" s="5">
        <f t="shared" si="34"/>
        <v>13</v>
      </c>
      <c r="E169" s="5">
        <f t="shared" si="35"/>
        <v>59</v>
      </c>
      <c r="F169" s="64">
        <f>1-(1-VLOOKUP($E169,'Annual Mortality Rates'!$B$5:$C$105,2,FALSE))^(1/12)</f>
        <v>2.9882397117220183E-4</v>
      </c>
      <c r="G169" s="75">
        <f>IF(C169&gt;=Assumptions!$H$9*12,100%,1-(1-IF(D169&gt;=7,2%,VLOOKUP($D169,'Annual Lapse Rates'!$B$4:$C$14,2,FALSE)))^(1/12))</f>
        <v>1.6821425527395739E-3</v>
      </c>
      <c r="H169" s="81">
        <f t="shared" si="43"/>
        <v>6</v>
      </c>
      <c r="I169" s="65">
        <f t="shared" si="37"/>
        <v>2733.2693360014273</v>
      </c>
      <c r="J169" s="66">
        <f t="shared" si="38"/>
        <v>0.81676639726715372</v>
      </c>
      <c r="K169" s="66">
        <f t="shared" si="39"/>
        <v>4.6068901612603907</v>
      </c>
      <c r="M169" s="97">
        <f t="shared" si="44"/>
        <v>49773.980629389072</v>
      </c>
      <c r="N169" s="97">
        <f>IF(AND(H169=1,D169&lt;15),Assumptions!$H$4,0)</f>
        <v>0</v>
      </c>
      <c r="O169" s="103"/>
      <c r="P169" s="98">
        <f>$M169*(1+VLOOKUP($H169,Assumptions!$C$22:$D$33,2,FALSE))^(1/12)</f>
        <v>49851.092020751603</v>
      </c>
      <c r="Q169" s="98">
        <f>$M169*(1+VLOOKUP($H169,Assumptions!$C$22:$D$33,2,FALSE))^(1/12)</f>
        <v>49851.092020751603</v>
      </c>
      <c r="R169" s="97">
        <f>IF(AND(H169=12,D169&lt;15),Assumptions!$C$7*M169,0)</f>
        <v>0</v>
      </c>
      <c r="S169" s="99">
        <f>(M169+N169-O169)*Assumptions!$D$17</f>
        <v>202.78535828904646</v>
      </c>
      <c r="T169" s="99">
        <f t="shared" si="40"/>
        <v>0</v>
      </c>
      <c r="U169" s="101"/>
      <c r="V169" s="101">
        <f>IF(C169&gt;=Assumptions!$H$9*12,0,M169+N169-O169+S169-R169)</f>
        <v>49976.765987678118</v>
      </c>
      <c r="W169" s="103"/>
      <c r="X169" s="97">
        <f>IF(AND(H169=1,D169&lt;15),Assumptions!$D$10*N169+Assumptions!$D$11*(1+Assumptions!$D$16)^(B169-1),0)</f>
        <v>0</v>
      </c>
      <c r="Y169" s="100">
        <f>Assumptions!$C$13*N169</f>
        <v>0</v>
      </c>
      <c r="AA169" s="67">
        <f t="shared" si="45"/>
        <v>136045694.98503816</v>
      </c>
      <c r="AB169" s="67">
        <f>N169*I169</f>
        <v>0</v>
      </c>
      <c r="AC169" s="67"/>
      <c r="AD169" s="90">
        <f>P169*J169</f>
        <v>40716.696829622641</v>
      </c>
      <c r="AE169" s="90">
        <f>Q169*K169</f>
        <v>229658.50535848693</v>
      </c>
      <c r="AF169" s="67">
        <f>R169*I170</f>
        <v>0</v>
      </c>
      <c r="AG169" s="68">
        <f>S169*I169</f>
        <v>554267.00160151359</v>
      </c>
      <c r="AH169" s="68">
        <f>T169*$I169</f>
        <v>0</v>
      </c>
      <c r="AI169" s="68">
        <f>U169*$I169</f>
        <v>0</v>
      </c>
      <c r="AJ169" s="67">
        <f>V169*I170</f>
        <v>136328905.17201662</v>
      </c>
      <c r="AK169" s="67">
        <f>W169*$I169</f>
        <v>0</v>
      </c>
      <c r="AL169" s="67">
        <f>X169*$I169</f>
        <v>0</v>
      </c>
      <c r="AM169" s="67">
        <f>Y169*$I169</f>
        <v>0</v>
      </c>
      <c r="AN169" s="65">
        <f>NPV(Assumptions!$D$19,AB169:$AB$259)*(1+Assumptions!$D$19)</f>
        <v>6539747.1130120335</v>
      </c>
      <c r="AO169" s="68">
        <f t="shared" si="41"/>
        <v>60387.882453242077</v>
      </c>
      <c r="AQ169" s="67">
        <f t="shared" si="46"/>
        <v>139241296.93152446</v>
      </c>
      <c r="AR169" s="95">
        <f>(AQ169+AB169-AC169)*Assumptions!$D$19</f>
        <v>597763.49010737683</v>
      </c>
      <c r="AS169" s="67">
        <f t="shared" si="47"/>
        <v>3239098.4349921579</v>
      </c>
      <c r="AT169" s="67">
        <f t="shared" si="42"/>
        <v>139507615.72455555</v>
      </c>
      <c r="AU169" s="67"/>
      <c r="AV169" s="67"/>
      <c r="AW169" s="67"/>
      <c r="AY169" s="67"/>
      <c r="AZ169" s="70">
        <f t="shared" si="36"/>
        <v>0</v>
      </c>
    </row>
    <row r="170" spans="2:52" x14ac:dyDescent="0.2">
      <c r="B170" s="5">
        <f t="shared" si="32"/>
        <v>163</v>
      </c>
      <c r="C170" s="5">
        <f t="shared" si="33"/>
        <v>163</v>
      </c>
      <c r="D170" s="5">
        <f t="shared" si="34"/>
        <v>13</v>
      </c>
      <c r="E170" s="5">
        <f t="shared" si="35"/>
        <v>59</v>
      </c>
      <c r="F170" s="64">
        <f>1-(1-VLOOKUP($E170,'Annual Mortality Rates'!$B$5:$C$105,2,FALSE))^(1/12)</f>
        <v>2.9882397117220183E-4</v>
      </c>
      <c r="G170" s="75">
        <f>IF(C170&gt;=Assumptions!$H$9*12,100%,1-(1-IF(D170&gt;=7,2%,VLOOKUP($D170,'Annual Lapse Rates'!$B$4:$C$14,2,FALSE)))^(1/12))</f>
        <v>1.6821425527395739E-3</v>
      </c>
      <c r="H170" s="81">
        <f t="shared" si="43"/>
        <v>7</v>
      </c>
      <c r="I170" s="65">
        <f t="shared" si="37"/>
        <v>2727.8456794428998</v>
      </c>
      <c r="J170" s="66">
        <f t="shared" si="38"/>
        <v>0.81514567867606047</v>
      </c>
      <c r="K170" s="66">
        <f t="shared" si="39"/>
        <v>4.5977486581862408</v>
      </c>
      <c r="M170" s="97">
        <f t="shared" si="44"/>
        <v>49976.765987678118</v>
      </c>
      <c r="N170" s="97">
        <f>IF(AND(H170=1,D170&lt;15),Assumptions!$H$4,0)</f>
        <v>0</v>
      </c>
      <c r="O170" s="103"/>
      <c r="P170" s="98">
        <f>$M170*(1+VLOOKUP($H170,Assumptions!$C$22:$D$33,2,FALSE))^(1/12)</f>
        <v>50066.968625372399</v>
      </c>
      <c r="Q170" s="98">
        <f>$M170*(1+VLOOKUP($H170,Assumptions!$C$22:$D$33,2,FALSE))^(1/12)</f>
        <v>50066.968625372399</v>
      </c>
      <c r="R170" s="97">
        <f>IF(AND(H170=12,D170&lt;15),Assumptions!$C$7*M170,0)</f>
        <v>0</v>
      </c>
      <c r="S170" s="99">
        <f>(M170+N170-O170)*Assumptions!$D$17</f>
        <v>203.61153094022751</v>
      </c>
      <c r="T170" s="99">
        <f t="shared" si="40"/>
        <v>0</v>
      </c>
      <c r="U170" s="101"/>
      <c r="V170" s="101">
        <f>IF(C170&gt;=Assumptions!$H$9*12,0,M170+N170-O170+S170-R170)</f>
        <v>50180.377518618348</v>
      </c>
      <c r="W170" s="103"/>
      <c r="X170" s="97">
        <f>IF(AND(H170=1,D170&lt;15),Assumptions!$D$10*N170+Assumptions!$D$11*(1+Assumptions!$D$16)^(B170-1),0)</f>
        <v>0</v>
      </c>
      <c r="Y170" s="100">
        <f>Assumptions!$C$13*N170</f>
        <v>0</v>
      </c>
      <c r="AA170" s="67">
        <f t="shared" si="45"/>
        <v>136328905.17201662</v>
      </c>
      <c r="AB170" s="67">
        <f>N170*I170</f>
        <v>0</v>
      </c>
      <c r="AC170" s="67"/>
      <c r="AD170" s="90">
        <f>P170*J170</f>
        <v>40811.87311938221</v>
      </c>
      <c r="AE170" s="90">
        <f>Q170*K170</f>
        <v>230195.33781675858</v>
      </c>
      <c r="AF170" s="67">
        <f>R170*I171</f>
        <v>0</v>
      </c>
      <c r="AG170" s="68">
        <f>S170*I170</f>
        <v>555420.83496005391</v>
      </c>
      <c r="AH170" s="68">
        <f>T170*$I170</f>
        <v>0</v>
      </c>
      <c r="AI170" s="68">
        <f>U170*$I170</f>
        <v>0</v>
      </c>
      <c r="AJ170" s="67">
        <f>V170*I171</f>
        <v>136612704.92568454</v>
      </c>
      <c r="AK170" s="67">
        <f>W170*$I170</f>
        <v>0</v>
      </c>
      <c r="AL170" s="67">
        <f>X170*$I170</f>
        <v>0</v>
      </c>
      <c r="AM170" s="67">
        <f>Y170*$I170</f>
        <v>0</v>
      </c>
      <c r="AN170" s="65">
        <f>NPV(Assumptions!$D$19,AB170:$AB$259)*(1+Assumptions!$D$19)</f>
        <v>6567822.2756601963</v>
      </c>
      <c r="AO170" s="68">
        <f t="shared" si="41"/>
        <v>60647.12789386158</v>
      </c>
      <c r="AQ170" s="67">
        <f t="shared" si="46"/>
        <v>139568003.60700879</v>
      </c>
      <c r="AR170" s="95">
        <f>(AQ170+AB170-AC170)*Assumptions!$D$19</f>
        <v>599166.04327861697</v>
      </c>
      <c r="AS170" s="67">
        <f t="shared" si="47"/>
        <v>3282843.643310721</v>
      </c>
      <c r="AT170" s="67">
        <f t="shared" si="42"/>
        <v>139834901.4411014</v>
      </c>
      <c r="AU170" s="67"/>
      <c r="AV170" s="67"/>
      <c r="AW170" s="67"/>
      <c r="AY170" s="67"/>
      <c r="AZ170" s="70">
        <f t="shared" si="36"/>
        <v>0</v>
      </c>
    </row>
    <row r="171" spans="2:52" x14ac:dyDescent="0.2">
      <c r="B171" s="5">
        <f t="shared" si="32"/>
        <v>164</v>
      </c>
      <c r="C171" s="5">
        <f t="shared" si="33"/>
        <v>164</v>
      </c>
      <c r="D171" s="5">
        <f t="shared" si="34"/>
        <v>13</v>
      </c>
      <c r="E171" s="5">
        <f t="shared" si="35"/>
        <v>59</v>
      </c>
      <c r="F171" s="64">
        <f>1-(1-VLOOKUP($E171,'Annual Mortality Rates'!$B$5:$C$105,2,FALSE))^(1/12)</f>
        <v>2.9882397117220183E-4</v>
      </c>
      <c r="G171" s="75">
        <f>IF(C171&gt;=Assumptions!$H$9*12,100%,1-(1-IF(D171&gt;=7,2%,VLOOKUP($D171,'Annual Lapse Rates'!$B$4:$C$14,2,FALSE)))^(1/12))</f>
        <v>1.6821425527395739E-3</v>
      </c>
      <c r="H171" s="81">
        <f t="shared" si="43"/>
        <v>8</v>
      </c>
      <c r="I171" s="65">
        <f t="shared" si="37"/>
        <v>2722.4327851060375</v>
      </c>
      <c r="J171" s="66">
        <f t="shared" si="38"/>
        <v>0.81352817609478367</v>
      </c>
      <c r="K171" s="66">
        <f t="shared" si="39"/>
        <v>4.5886252946976969</v>
      </c>
      <c r="M171" s="97">
        <f t="shared" si="44"/>
        <v>50180.377518618348</v>
      </c>
      <c r="N171" s="97">
        <f>IF(AND(H171=1,D171&lt;15),Assumptions!$H$4,0)</f>
        <v>0</v>
      </c>
      <c r="O171" s="103"/>
      <c r="P171" s="98">
        <f>$M171*(1+VLOOKUP($H171,Assumptions!$C$22:$D$33,2,FALSE))^(1/12)</f>
        <v>50283.740880265599</v>
      </c>
      <c r="Q171" s="98">
        <f>$M171*(1+VLOOKUP($H171,Assumptions!$C$22:$D$33,2,FALSE))^(1/12)</f>
        <v>50283.740880265599</v>
      </c>
      <c r="R171" s="97">
        <f>IF(AND(H171=12,D171&lt;15),Assumptions!$C$7*M171,0)</f>
        <v>0</v>
      </c>
      <c r="S171" s="99">
        <f>(M171+N171-O171)*Assumptions!$D$17</f>
        <v>204.44106952105616</v>
      </c>
      <c r="T171" s="99">
        <f t="shared" si="40"/>
        <v>0</v>
      </c>
      <c r="U171" s="101"/>
      <c r="V171" s="101">
        <f>IF(C171&gt;=Assumptions!$H$9*12,0,M171+N171-O171+S171-R171)</f>
        <v>50384.818588139402</v>
      </c>
      <c r="W171" s="103"/>
      <c r="X171" s="97">
        <f>IF(AND(H171=1,D171&lt;15),Assumptions!$D$10*N171+Assumptions!$D$11*(1+Assumptions!$D$16)^(B171-1),0)</f>
        <v>0</v>
      </c>
      <c r="Y171" s="100">
        <f>Assumptions!$C$13*N171</f>
        <v>0</v>
      </c>
      <c r="AA171" s="67">
        <f t="shared" si="45"/>
        <v>136612704.92568454</v>
      </c>
      <c r="AB171" s="67">
        <f>N171*I171</f>
        <v>0</v>
      </c>
      <c r="AC171" s="67"/>
      <c r="AD171" s="90">
        <f>P171*J171</f>
        <v>40907.240005545187</v>
      </c>
      <c r="AE171" s="90">
        <f>Q171*K171</f>
        <v>230733.24531521136</v>
      </c>
      <c r="AF171" s="67">
        <f>R171*I172</f>
        <v>0</v>
      </c>
      <c r="AG171" s="68">
        <f>S171*I171</f>
        <v>556577.07028626592</v>
      </c>
      <c r="AH171" s="68">
        <f>T171*$I171</f>
        <v>0</v>
      </c>
      <c r="AI171" s="68">
        <f>U171*$I171</f>
        <v>0</v>
      </c>
      <c r="AJ171" s="67">
        <f>V171*I172</f>
        <v>136897095.47335964</v>
      </c>
      <c r="AK171" s="67">
        <f>W171*$I171</f>
        <v>0</v>
      </c>
      <c r="AL171" s="67">
        <f>X171*$I171</f>
        <v>0</v>
      </c>
      <c r="AM171" s="67">
        <f>Y171*$I171</f>
        <v>0</v>
      </c>
      <c r="AN171" s="65">
        <f>NPV(Assumptions!$D$19,AB171:$AB$259)*(1+Assumptions!$D$19)</f>
        <v>6596017.9651030656</v>
      </c>
      <c r="AO171" s="68">
        <f t="shared" si="41"/>
        <v>60907.486276279189</v>
      </c>
      <c r="AQ171" s="67">
        <f t="shared" si="46"/>
        <v>139895548.56899527</v>
      </c>
      <c r="AR171" s="95">
        <f>(AQ171+AB171-AC171)*Assumptions!$D$19</f>
        <v>600572.19521743734</v>
      </c>
      <c r="AS171" s="67">
        <f t="shared" si="47"/>
        <v>3326838.7682418921</v>
      </c>
      <c r="AT171" s="67">
        <f t="shared" si="42"/>
        <v>140163026.75532526</v>
      </c>
      <c r="AU171" s="67"/>
      <c r="AV171" s="67"/>
      <c r="AW171" s="67"/>
      <c r="AY171" s="67"/>
      <c r="AZ171" s="70">
        <f t="shared" si="36"/>
        <v>0</v>
      </c>
    </row>
    <row r="172" spans="2:52" x14ac:dyDescent="0.2">
      <c r="B172" s="5">
        <f t="shared" si="32"/>
        <v>165</v>
      </c>
      <c r="C172" s="5">
        <f t="shared" si="33"/>
        <v>165</v>
      </c>
      <c r="D172" s="5">
        <f t="shared" si="34"/>
        <v>13</v>
      </c>
      <c r="E172" s="5">
        <f t="shared" si="35"/>
        <v>59</v>
      </c>
      <c r="F172" s="64">
        <f>1-(1-VLOOKUP($E172,'Annual Mortality Rates'!$B$5:$C$105,2,FALSE))^(1/12)</f>
        <v>2.9882397117220183E-4</v>
      </c>
      <c r="G172" s="75">
        <f>IF(C172&gt;=Assumptions!$H$9*12,100%,1-(1-IF(D172&gt;=7,2%,VLOOKUP($D172,'Annual Lapse Rates'!$B$4:$C$14,2,FALSE)))^(1/12))</f>
        <v>1.6821425527395739E-3</v>
      </c>
      <c r="H172" s="81">
        <f t="shared" si="43"/>
        <v>9</v>
      </c>
      <c r="I172" s="65">
        <f t="shared" si="37"/>
        <v>2717.0306316352453</v>
      </c>
      <c r="J172" s="66">
        <f t="shared" si="38"/>
        <v>0.81191388314175983</v>
      </c>
      <c r="K172" s="66">
        <f t="shared" si="39"/>
        <v>4.5795200348001774</v>
      </c>
      <c r="M172" s="97">
        <f t="shared" si="44"/>
        <v>50384.818588139402</v>
      </c>
      <c r="N172" s="97">
        <f>IF(AND(H172=1,D172&lt;15),Assumptions!$H$4,0)</f>
        <v>0</v>
      </c>
      <c r="O172" s="103"/>
      <c r="P172" s="98">
        <f>$M172*(1+VLOOKUP($H172,Assumptions!$C$22:$D$33,2,FALSE))^(1/12)</f>
        <v>50501.412564292084</v>
      </c>
      <c r="Q172" s="98">
        <f>$M172*(1+VLOOKUP($H172,Assumptions!$C$22:$D$33,2,FALSE))^(1/12)</f>
        <v>50501.412564292084</v>
      </c>
      <c r="R172" s="97">
        <f>IF(AND(H172=12,D172&lt;15),Assumptions!$C$7*M172,0)</f>
        <v>0</v>
      </c>
      <c r="S172" s="99">
        <f>(M172+N172-O172)*Assumptions!$D$17</f>
        <v>205.27398774474639</v>
      </c>
      <c r="T172" s="99">
        <f t="shared" si="40"/>
        <v>0</v>
      </c>
      <c r="U172" s="101"/>
      <c r="V172" s="101">
        <f>IF(C172&gt;=Assumptions!$H$9*12,0,M172+N172-O172+S172-R172)</f>
        <v>50590.092575884148</v>
      </c>
      <c r="W172" s="103"/>
      <c r="X172" s="97">
        <f>IF(AND(H172=1,D172&lt;15),Assumptions!$D$10*N172+Assumptions!$D$11*(1+Assumptions!$D$16)^(B172-1),0)</f>
        <v>0</v>
      </c>
      <c r="Y172" s="100">
        <f>Assumptions!$C$13*N172</f>
        <v>0</v>
      </c>
      <c r="AA172" s="67">
        <f t="shared" si="45"/>
        <v>136897095.47335964</v>
      </c>
      <c r="AB172" s="67">
        <f>N172*I172</f>
        <v>0</v>
      </c>
      <c r="AC172" s="67"/>
      <c r="AD172" s="90">
        <f>P172*J172</f>
        <v>41002.797979218441</v>
      </c>
      <c r="AE172" s="90">
        <f>Q172*K172</f>
        <v>231272.230623885</v>
      </c>
      <c r="AF172" s="67">
        <f>R172*I173</f>
        <v>0</v>
      </c>
      <c r="AG172" s="68">
        <f>S172*I172</f>
        <v>557735.71258039388</v>
      </c>
      <c r="AH172" s="68">
        <f>T172*$I172</f>
        <v>0</v>
      </c>
      <c r="AI172" s="68">
        <f>U172*$I172</f>
        <v>0</v>
      </c>
      <c r="AJ172" s="67">
        <f>V172*I173</f>
        <v>137182078.0449146</v>
      </c>
      <c r="AK172" s="67">
        <f>W172*$I172</f>
        <v>0</v>
      </c>
      <c r="AL172" s="67">
        <f>X172*$I172</f>
        <v>0</v>
      </c>
      <c r="AM172" s="67">
        <f>Y172*$I172</f>
        <v>0</v>
      </c>
      <c r="AN172" s="65">
        <f>NPV(Assumptions!$D$19,AB172:$AB$259)*(1+Assumptions!$D$19)</f>
        <v>6624334.6987626916</v>
      </c>
      <c r="AO172" s="68">
        <f t="shared" si="41"/>
        <v>61168.962378358876</v>
      </c>
      <c r="AQ172" s="67">
        <f t="shared" si="46"/>
        <v>140223934.24160153</v>
      </c>
      <c r="AR172" s="95">
        <f>(AQ172+AB172-AC172)*Assumptions!$D$19</f>
        <v>601981.95633058541</v>
      </c>
      <c r="AS172" s="67">
        <f t="shared" si="47"/>
        <v>3371085.0119920834</v>
      </c>
      <c r="AT172" s="67">
        <f t="shared" si="42"/>
        <v>140491994.09452835</v>
      </c>
      <c r="AU172" s="67"/>
      <c r="AV172" s="67"/>
      <c r="AW172" s="67"/>
      <c r="AY172" s="67"/>
      <c r="AZ172" s="70">
        <f t="shared" si="36"/>
        <v>0</v>
      </c>
    </row>
    <row r="173" spans="2:52" x14ac:dyDescent="0.2">
      <c r="B173" s="5">
        <f t="shared" si="32"/>
        <v>166</v>
      </c>
      <c r="C173" s="5">
        <f t="shared" si="33"/>
        <v>166</v>
      </c>
      <c r="D173" s="5">
        <f t="shared" si="34"/>
        <v>13</v>
      </c>
      <c r="E173" s="5">
        <f t="shared" si="35"/>
        <v>59</v>
      </c>
      <c r="F173" s="64">
        <f>1-(1-VLOOKUP($E173,'Annual Mortality Rates'!$B$5:$C$105,2,FALSE))^(1/12)</f>
        <v>2.9882397117220183E-4</v>
      </c>
      <c r="G173" s="75">
        <f>IF(C173&gt;=Assumptions!$H$9*12,100%,1-(1-IF(D173&gt;=7,2%,VLOOKUP($D173,'Annual Lapse Rates'!$B$4:$C$14,2,FALSE)))^(1/12))</f>
        <v>1.6821425527395739E-3</v>
      </c>
      <c r="H173" s="81">
        <f t="shared" si="43"/>
        <v>10</v>
      </c>
      <c r="I173" s="65">
        <f t="shared" si="37"/>
        <v>2711.6391977173034</v>
      </c>
      <c r="J173" s="66">
        <f t="shared" si="38"/>
        <v>0.81030279344808798</v>
      </c>
      <c r="K173" s="66">
        <f t="shared" si="39"/>
        <v>4.5704328425705283</v>
      </c>
      <c r="M173" s="97">
        <f t="shared" si="44"/>
        <v>50590.092575884148</v>
      </c>
      <c r="N173" s="97">
        <f>IF(AND(H173=1,D173&lt;15),Assumptions!$H$4,0)</f>
        <v>0</v>
      </c>
      <c r="O173" s="103"/>
      <c r="P173" s="98">
        <f>$M173*(1+VLOOKUP($H173,Assumptions!$C$22:$D$33,2,FALSE))^(1/12)</f>
        <v>50719.987471485394</v>
      </c>
      <c r="Q173" s="98">
        <f>$M173*(1+VLOOKUP($H173,Assumptions!$C$22:$D$33,2,FALSE))^(1/12)</f>
        <v>50719.987471485394</v>
      </c>
      <c r="R173" s="97">
        <f>IF(AND(H173=12,D173&lt;15),Assumptions!$C$7*M173,0)</f>
        <v>0</v>
      </c>
      <c r="S173" s="99">
        <f>(M173+N173-O173)*Assumptions!$D$17</f>
        <v>206.1102993803816</v>
      </c>
      <c r="T173" s="99">
        <f t="shared" si="40"/>
        <v>0</v>
      </c>
      <c r="U173" s="101"/>
      <c r="V173" s="101">
        <f>IF(C173&gt;=Assumptions!$H$9*12,0,M173+N173-O173+S173-R173)</f>
        <v>50796.202875264527</v>
      </c>
      <c r="W173" s="103"/>
      <c r="X173" s="97">
        <f>IF(AND(H173=1,D173&lt;15),Assumptions!$D$10*N173+Assumptions!$D$11*(1+Assumptions!$D$16)^(B173-1),0)</f>
        <v>0</v>
      </c>
      <c r="Y173" s="100">
        <f>Assumptions!$C$13*N173</f>
        <v>0</v>
      </c>
      <c r="AA173" s="67">
        <f t="shared" si="45"/>
        <v>137182078.0449146</v>
      </c>
      <c r="AB173" s="67">
        <f>N173*I173</f>
        <v>0</v>
      </c>
      <c r="AC173" s="67"/>
      <c r="AD173" s="90">
        <f>P173*J173</f>
        <v>41098.547531796641</v>
      </c>
      <c r="AE173" s="90">
        <f>Q173*K173</f>
        <v>231812.29651444257</v>
      </c>
      <c r="AF173" s="67">
        <f>R173*I174</f>
        <v>0</v>
      </c>
      <c r="AG173" s="68">
        <f>S173*I173</f>
        <v>558896.76685309119</v>
      </c>
      <c r="AH173" s="68">
        <f>T173*$I173</f>
        <v>0</v>
      </c>
      <c r="AI173" s="68">
        <f>U173*$I173</f>
        <v>0</v>
      </c>
      <c r="AJ173" s="67">
        <f>V173*I174</f>
        <v>137467653.87278232</v>
      </c>
      <c r="AK173" s="67">
        <f>W173*$I173</f>
        <v>0</v>
      </c>
      <c r="AL173" s="67">
        <f>X173*$I173</f>
        <v>0</v>
      </c>
      <c r="AM173" s="67">
        <f>Y173*$I173</f>
        <v>0</v>
      </c>
      <c r="AN173" s="65">
        <f>NPV(Assumptions!$D$19,AB173:$AB$259)*(1+Assumptions!$D$19)</f>
        <v>6652772.9962824211</v>
      </c>
      <c r="AO173" s="68">
        <f t="shared" si="41"/>
        <v>61431.560998475972</v>
      </c>
      <c r="AQ173" s="67">
        <f t="shared" si="46"/>
        <v>140553163.0569067</v>
      </c>
      <c r="AR173" s="95">
        <f>(AQ173+AB173-AC173)*Assumptions!$D$19</f>
        <v>603395.33705898758</v>
      </c>
      <c r="AS173" s="67">
        <f t="shared" si="47"/>
        <v>3415583.5821979796</v>
      </c>
      <c r="AT173" s="67">
        <f t="shared" si="42"/>
        <v>140821805.89398184</v>
      </c>
      <c r="AU173" s="67"/>
      <c r="AV173" s="67"/>
      <c r="AW173" s="67"/>
      <c r="AY173" s="67"/>
      <c r="AZ173" s="70">
        <f t="shared" si="36"/>
        <v>0</v>
      </c>
    </row>
    <row r="174" spans="2:52" x14ac:dyDescent="0.2">
      <c r="B174" s="5">
        <f t="shared" si="32"/>
        <v>167</v>
      </c>
      <c r="C174" s="5">
        <f t="shared" si="33"/>
        <v>167</v>
      </c>
      <c r="D174" s="5">
        <f t="shared" si="34"/>
        <v>13</v>
      </c>
      <c r="E174" s="5">
        <f t="shared" si="35"/>
        <v>59</v>
      </c>
      <c r="F174" s="64">
        <f>1-(1-VLOOKUP($E174,'Annual Mortality Rates'!$B$5:$C$105,2,FALSE))^(1/12)</f>
        <v>2.9882397117220183E-4</v>
      </c>
      <c r="G174" s="75">
        <f>IF(C174&gt;=Assumptions!$H$9*12,100%,1-(1-IF(D174&gt;=7,2%,VLOOKUP($D174,'Annual Lapse Rates'!$B$4:$C$14,2,FALSE)))^(1/12))</f>
        <v>1.6821425527395739E-3</v>
      </c>
      <c r="H174" s="81">
        <f t="shared" si="43"/>
        <v>11</v>
      </c>
      <c r="I174" s="65">
        <f t="shared" si="37"/>
        <v>2706.258462081285</v>
      </c>
      <c r="J174" s="66">
        <f t="shared" si="38"/>
        <v>0.80869490065750516</v>
      </c>
      <c r="K174" s="66">
        <f t="shared" si="39"/>
        <v>4.561363682156875</v>
      </c>
      <c r="M174" s="97">
        <f t="shared" si="44"/>
        <v>50796.202875264527</v>
      </c>
      <c r="N174" s="97">
        <f>IF(AND(H174=1,D174&lt;15),Assumptions!$H$4,0)</f>
        <v>0</v>
      </c>
      <c r="O174" s="103"/>
      <c r="P174" s="98">
        <f>$M174*(1+VLOOKUP($H174,Assumptions!$C$22:$D$33,2,FALSE))^(1/12)</f>
        <v>50939.469411120146</v>
      </c>
      <c r="Q174" s="98">
        <f>$M174*(1+VLOOKUP($H174,Assumptions!$C$22:$D$33,2,FALSE))^(1/12)</f>
        <v>50939.469411120146</v>
      </c>
      <c r="R174" s="97">
        <f>IF(AND(H174=12,D174&lt;15),Assumptions!$C$7*M174,0)</f>
        <v>0</v>
      </c>
      <c r="S174" s="99">
        <f>(M174+N174-O174)*Assumptions!$D$17</f>
        <v>206.95001825314208</v>
      </c>
      <c r="T174" s="99">
        <f t="shared" si="40"/>
        <v>0</v>
      </c>
      <c r="U174" s="101"/>
      <c r="V174" s="101">
        <f>IF(C174&gt;=Assumptions!$H$9*12,0,M174+N174-O174+S174-R174)</f>
        <v>51003.152893517668</v>
      </c>
      <c r="W174" s="103"/>
      <c r="X174" s="97">
        <f>IF(AND(H174=1,D174&lt;15),Assumptions!$D$10*N174+Assumptions!$D$11*(1+Assumptions!$D$16)^(B174-1),0)</f>
        <v>0</v>
      </c>
      <c r="Y174" s="100">
        <f>Assumptions!$C$13*N174</f>
        <v>0</v>
      </c>
      <c r="AA174" s="67">
        <f t="shared" si="45"/>
        <v>137467653.87278232</v>
      </c>
      <c r="AB174" s="67">
        <f>N174*I174</f>
        <v>0</v>
      </c>
      <c r="AC174" s="67"/>
      <c r="AD174" s="90">
        <f>P174*J174</f>
        <v>41194.48915497183</v>
      </c>
      <c r="AE174" s="90">
        <f>Q174*K174</f>
        <v>232353.44576022448</v>
      </c>
      <c r="AF174" s="67">
        <f>R174*I175</f>
        <v>0</v>
      </c>
      <c r="AG174" s="68">
        <f>S174*I174</f>
        <v>560060.23812544218</v>
      </c>
      <c r="AH174" s="68">
        <f>T174*$I174</f>
        <v>0</v>
      </c>
      <c r="AI174" s="68">
        <f>U174*$I174</f>
        <v>0</v>
      </c>
      <c r="AJ174" s="67">
        <f>V174*I175</f>
        <v>137753824.19196135</v>
      </c>
      <c r="AK174" s="67">
        <f>W174*$I174</f>
        <v>0</v>
      </c>
      <c r="AL174" s="67">
        <f>X174*$I174</f>
        <v>0</v>
      </c>
      <c r="AM174" s="67">
        <f>Y174*$I174</f>
        <v>0</v>
      </c>
      <c r="AN174" s="65">
        <f>NPV(Assumptions!$D$19,AB174:$AB$259)*(1+Assumptions!$D$19)</f>
        <v>6681333.3795364313</v>
      </c>
      <c r="AO174" s="68">
        <f t="shared" si="41"/>
        <v>61695.286955605297</v>
      </c>
      <c r="AQ174" s="67">
        <f t="shared" si="46"/>
        <v>140883237.45498031</v>
      </c>
      <c r="AR174" s="95">
        <f>(AQ174+AB174-AC174)*Assumptions!$D$19</f>
        <v>604812.34787787276</v>
      </c>
      <c r="AS174" s="67">
        <f t="shared" si="47"/>
        <v>3460335.6919504101</v>
      </c>
      <c r="AT174" s="67">
        <f t="shared" si="42"/>
        <v>141152464.59695616</v>
      </c>
      <c r="AU174" s="67"/>
      <c r="AV174" s="67"/>
      <c r="AW174" s="67"/>
      <c r="AY174" s="67"/>
      <c r="AZ174" s="70">
        <f t="shared" si="36"/>
        <v>0</v>
      </c>
    </row>
    <row r="175" spans="2:52" x14ac:dyDescent="0.2">
      <c r="B175" s="5">
        <f t="shared" si="32"/>
        <v>168</v>
      </c>
      <c r="C175" s="5">
        <f t="shared" si="33"/>
        <v>168</v>
      </c>
      <c r="D175" s="5">
        <f t="shared" si="34"/>
        <v>13</v>
      </c>
      <c r="E175" s="5">
        <f t="shared" si="35"/>
        <v>59</v>
      </c>
      <c r="F175" s="64">
        <f>1-(1-VLOOKUP($E175,'Annual Mortality Rates'!$B$5:$C$105,2,FALSE))^(1/12)</f>
        <v>2.9882397117220183E-4</v>
      </c>
      <c r="G175" s="75">
        <f>IF(C175&gt;=Assumptions!$H$9*12,100%,1-(1-IF(D175&gt;=7,2%,VLOOKUP($D175,'Annual Lapse Rates'!$B$4:$C$14,2,FALSE)))^(1/12))</f>
        <v>1.6821425527395739E-3</v>
      </c>
      <c r="H175" s="81">
        <f t="shared" si="43"/>
        <v>12</v>
      </c>
      <c r="I175" s="65">
        <f t="shared" si="37"/>
        <v>2700.8884034984708</v>
      </c>
      <c r="J175" s="66">
        <f t="shared" si="38"/>
        <v>0.80709019842636121</v>
      </c>
      <c r="K175" s="66">
        <f t="shared" si="39"/>
        <v>4.5523125177784864</v>
      </c>
      <c r="M175" s="97">
        <f t="shared" si="44"/>
        <v>51003.152893517668</v>
      </c>
      <c r="N175" s="97">
        <f>IF(AND(H175=1,D175&lt;15),Assumptions!$H$4,0)</f>
        <v>0</v>
      </c>
      <c r="O175" s="103"/>
      <c r="P175" s="98">
        <f>$M175*(1+VLOOKUP($H175,Assumptions!$C$22:$D$33,2,FALSE))^(1/12)</f>
        <v>51159.862207780519</v>
      </c>
      <c r="Q175" s="98">
        <f>$M175*(1+VLOOKUP($H175,Assumptions!$C$22:$D$33,2,FALSE))^(1/12)</f>
        <v>51159.862207780519</v>
      </c>
      <c r="R175" s="97">
        <f>IF(AND(H175=12,D175&lt;15),Assumptions!$C$7*M175,0)</f>
        <v>25.501576446758836</v>
      </c>
      <c r="S175" s="99">
        <f>(M175+N175-O175)*Assumptions!$D$17</f>
        <v>207.79315824453366</v>
      </c>
      <c r="T175" s="99">
        <f t="shared" si="40"/>
        <v>0</v>
      </c>
      <c r="U175" s="101"/>
      <c r="V175" s="101">
        <f>IF(C175&gt;=Assumptions!$H$9*12,0,M175+N175-O175+S175-R175)</f>
        <v>51185.444475315438</v>
      </c>
      <c r="W175" s="103"/>
      <c r="X175" s="97">
        <f>IF(AND(H175=1,D175&lt;15),Assumptions!$D$10*N175+Assumptions!$D$11*(1+Assumptions!$D$16)^(B175-1),0)</f>
        <v>0</v>
      </c>
      <c r="Y175" s="100">
        <f>Assumptions!$C$13*N175</f>
        <v>0</v>
      </c>
      <c r="AA175" s="67">
        <f t="shared" si="45"/>
        <v>137753824.19196135</v>
      </c>
      <c r="AB175" s="67">
        <f>N175*I175</f>
        <v>0</v>
      </c>
      <c r="AC175" s="67"/>
      <c r="AD175" s="90">
        <f>P175*J175</f>
        <v>41290.623340742874</v>
      </c>
      <c r="AE175" s="90">
        <f>Q175*K175</f>
        <v>232895.68113630178</v>
      </c>
      <c r="AF175" s="67">
        <f>R175*I176</f>
        <v>68740.238877904412</v>
      </c>
      <c r="AG175" s="68">
        <f>S175*I175</f>
        <v>561226.13142898364</v>
      </c>
      <c r="AH175" s="68">
        <f>T175*$I175</f>
        <v>0</v>
      </c>
      <c r="AI175" s="68">
        <f>U175*$I175</f>
        <v>0</v>
      </c>
      <c r="AJ175" s="67">
        <f>V175*I176</f>
        <v>137971850.00114319</v>
      </c>
      <c r="AK175" s="67">
        <f>W175*$I175</f>
        <v>0</v>
      </c>
      <c r="AL175" s="67">
        <f>X175*$I175</f>
        <v>0</v>
      </c>
      <c r="AM175" s="67">
        <f>Y175*$I175</f>
        <v>0</v>
      </c>
      <c r="AN175" s="65">
        <f>NPV(Assumptions!$D$19,AB175:$AB$259)*(1+Assumptions!$D$19)</f>
        <v>6710016.3726393096</v>
      </c>
      <c r="AO175" s="68">
        <f t="shared" si="41"/>
        <v>61960.145089409489</v>
      </c>
      <c r="AQ175" s="67">
        <f t="shared" si="46"/>
        <v>141214159.88391176</v>
      </c>
      <c r="AR175" s="95">
        <f>(AQ175+AB175-AC175)*Assumptions!$D$19</f>
        <v>606232.9992968993</v>
      </c>
      <c r="AS175" s="67">
        <f t="shared" si="47"/>
        <v>3505342.559818326</v>
      </c>
      <c r="AT175" s="67">
        <f t="shared" si="42"/>
        <v>141415232.4158721</v>
      </c>
      <c r="AU175" s="67"/>
      <c r="AV175" s="67"/>
      <c r="AW175" s="67"/>
      <c r="AY175" s="67"/>
      <c r="AZ175" s="70">
        <f t="shared" si="36"/>
        <v>0</v>
      </c>
    </row>
    <row r="176" spans="2:52" x14ac:dyDescent="0.2">
      <c r="B176" s="5">
        <f t="shared" si="32"/>
        <v>169</v>
      </c>
      <c r="C176" s="5">
        <f t="shared" si="33"/>
        <v>169</v>
      </c>
      <c r="D176" s="5">
        <f t="shared" si="34"/>
        <v>14</v>
      </c>
      <c r="E176" s="5">
        <f t="shared" si="35"/>
        <v>60</v>
      </c>
      <c r="F176" s="64">
        <f>1-(1-VLOOKUP($E176,'Annual Mortality Rates'!$B$5:$C$105,2,FALSE))^(1/12)</f>
        <v>3.3143684343883706E-4</v>
      </c>
      <c r="G176" s="75">
        <f>IF(C176&gt;=Assumptions!$H$9*12,100%,1-(1-IF(D176&gt;=7,2%,VLOOKUP($D176,'Annual Lapse Rates'!$B$4:$C$14,2,FALSE)))^(1/12))</f>
        <v>1.6821425527395739E-3</v>
      </c>
      <c r="H176" s="81">
        <f t="shared" si="43"/>
        <v>1</v>
      </c>
      <c r="I176" s="65">
        <f t="shared" si="37"/>
        <v>2695.5290007822659</v>
      </c>
      <c r="J176" s="66">
        <f t="shared" si="38"/>
        <v>0.89339762341711682</v>
      </c>
      <c r="K176" s="66">
        <f t="shared" si="39"/>
        <v>4.5432793137256295</v>
      </c>
      <c r="M176" s="97">
        <f t="shared" si="44"/>
        <v>51185.444475315438</v>
      </c>
      <c r="N176" s="97">
        <f>IF(AND(H176=1,D176&lt;15),Assumptions!$H$4,0)</f>
        <v>2500</v>
      </c>
      <c r="O176" s="103"/>
      <c r="P176" s="98">
        <f>$M176*(1+VLOOKUP($H176,Assumptions!$C$22:$D$33,2,FALSE))^(1/12)</f>
        <v>51198.754964385087</v>
      </c>
      <c r="Q176" s="98">
        <f>$M176*(1+VLOOKUP($H176,Assumptions!$C$22:$D$33,2,FALSE))^(1/12)</f>
        <v>51198.754964385087</v>
      </c>
      <c r="R176" s="97">
        <f>IF(AND(H176=12,D176&lt;15),Assumptions!$C$7*M176,0)</f>
        <v>0</v>
      </c>
      <c r="S176" s="99">
        <f>(M176+N176-O176)*Assumptions!$D$17</f>
        <v>218.72114617261573</v>
      </c>
      <c r="T176" s="99">
        <f t="shared" si="40"/>
        <v>0</v>
      </c>
      <c r="U176" s="101"/>
      <c r="V176" s="101">
        <f>IF(C176&gt;=Assumptions!$H$9*12,0,M176+N176-O176+S176-R176)</f>
        <v>53904.165621488057</v>
      </c>
      <c r="W176" s="103"/>
      <c r="X176" s="97">
        <f>IF(AND(H176=1,D176&lt;15),Assumptions!$D$10*N176+Assumptions!$D$11*(1+Assumptions!$D$16)^(B176-1),0)</f>
        <v>21.076611959908718</v>
      </c>
      <c r="Y176" s="100">
        <f>Assumptions!$C$13*N176</f>
        <v>12.5</v>
      </c>
      <c r="AA176" s="67">
        <f t="shared" si="45"/>
        <v>137971850.00114319</v>
      </c>
      <c r="AB176" s="67">
        <f>N176*I176</f>
        <v>6738822.5019556647</v>
      </c>
      <c r="AC176" s="67"/>
      <c r="AD176" s="90">
        <f>P176*J176</f>
        <v>45740.846007096945</v>
      </c>
      <c r="AE176" s="90">
        <f>Q176*K176</f>
        <v>232610.24431819815</v>
      </c>
      <c r="AF176" s="67">
        <f>R176*I177</f>
        <v>0</v>
      </c>
      <c r="AG176" s="68">
        <f>S176*I176</f>
        <v>589569.19259262283</v>
      </c>
      <c r="AH176" s="68">
        <f>T176*$I176</f>
        <v>0</v>
      </c>
      <c r="AI176" s="68">
        <f>U176*$I176</f>
        <v>0</v>
      </c>
      <c r="AJ176" s="67">
        <f>V176*I177</f>
        <v>145007182.16164121</v>
      </c>
      <c r="AK176" s="67">
        <f>W176*$I176</f>
        <v>0</v>
      </c>
      <c r="AL176" s="67">
        <f>X176*$I176</f>
        <v>56812.618776168303</v>
      </c>
      <c r="AM176" s="67">
        <f>Y176*$I176</f>
        <v>33694.112509778322</v>
      </c>
      <c r="AN176" s="65">
        <f>NPV(Assumptions!$D$19,AB176:$AB$259)*(1+Assumptions!$D$19)</f>
        <v>6738822.5019556647</v>
      </c>
      <c r="AO176" s="68">
        <f t="shared" si="41"/>
        <v>0</v>
      </c>
      <c r="AQ176" s="67">
        <f t="shared" si="46"/>
        <v>141477192.56096151</v>
      </c>
      <c r="AR176" s="95">
        <f>(AQ176+AB176-AC176)*Assumptions!$D$19</f>
        <v>636291.99387152609</v>
      </c>
      <c r="AS176" s="67">
        <f t="shared" si="47"/>
        <v>3552065.3610972296</v>
      </c>
      <c r="AT176" s="67">
        <f t="shared" si="42"/>
        <v>148559247.52273843</v>
      </c>
      <c r="AU176" s="67"/>
      <c r="AV176" s="67"/>
      <c r="AW176" s="67"/>
      <c r="AY176" s="67"/>
      <c r="AZ176" s="70">
        <f t="shared" si="36"/>
        <v>0</v>
      </c>
    </row>
    <row r="177" spans="2:52" x14ac:dyDescent="0.2">
      <c r="B177" s="5">
        <f t="shared" si="32"/>
        <v>170</v>
      </c>
      <c r="C177" s="5">
        <f t="shared" si="33"/>
        <v>170</v>
      </c>
      <c r="D177" s="5">
        <f t="shared" si="34"/>
        <v>14</v>
      </c>
      <c r="E177" s="5">
        <f t="shared" si="35"/>
        <v>60</v>
      </c>
      <c r="F177" s="64">
        <f>1-(1-VLOOKUP($E177,'Annual Mortality Rates'!$B$5:$C$105,2,FALSE))^(1/12)</f>
        <v>3.3143684343883706E-4</v>
      </c>
      <c r="G177" s="75">
        <f>IF(C177&gt;=Assumptions!$H$9*12,100%,1-(1-IF(D177&gt;=7,2%,VLOOKUP($D177,'Annual Lapse Rates'!$B$4:$C$14,2,FALSE)))^(1/12))</f>
        <v>1.6821425527395739E-3</v>
      </c>
      <c r="H177" s="81">
        <f t="shared" si="43"/>
        <v>2</v>
      </c>
      <c r="I177" s="65">
        <f t="shared" si="37"/>
        <v>2690.0923238451232</v>
      </c>
      <c r="J177" s="66">
        <f t="shared" si="38"/>
        <v>0.89159570837427349</v>
      </c>
      <c r="K177" s="66">
        <f t="shared" si="39"/>
        <v>4.5342640343594338</v>
      </c>
      <c r="M177" s="97">
        <f t="shared" si="44"/>
        <v>53904.165621488057</v>
      </c>
      <c r="N177" s="97">
        <f>IF(AND(H177=1,D177&lt;15),Assumptions!$H$4,0)</f>
        <v>0</v>
      </c>
      <c r="O177" s="103"/>
      <c r="P177" s="98">
        <f>$M177*(1+VLOOKUP($H177,Assumptions!$C$22:$D$33,2,FALSE))^(1/12)</f>
        <v>53932.16060400389</v>
      </c>
      <c r="Q177" s="98">
        <f>$M177*(1+VLOOKUP($H177,Assumptions!$C$22:$D$33,2,FALSE))^(1/12)</f>
        <v>53932.16060400389</v>
      </c>
      <c r="R177" s="97">
        <f>IF(AND(H177=12,D177&lt;15),Assumptions!$C$7*M177,0)</f>
        <v>0</v>
      </c>
      <c r="S177" s="99">
        <f>(M177+N177-O177)*Assumptions!$D$17</f>
        <v>219.61224319622443</v>
      </c>
      <c r="T177" s="99">
        <f t="shared" si="40"/>
        <v>0</v>
      </c>
      <c r="U177" s="101"/>
      <c r="V177" s="101">
        <f>IF(C177&gt;=Assumptions!$H$9*12,0,M177+N177-O177+S177-R177)</f>
        <v>54123.777864684278</v>
      </c>
      <c r="W177" s="103"/>
      <c r="X177" s="97">
        <f>IF(AND(H177=1,D177&lt;15),Assumptions!$D$10*N177+Assumptions!$D$11*(1+Assumptions!$D$16)^(B177-1),0)</f>
        <v>0</v>
      </c>
      <c r="Y177" s="100">
        <f>Assumptions!$C$13*N177</f>
        <v>0</v>
      </c>
      <c r="AA177" s="67">
        <f t="shared" si="45"/>
        <v>145007182.16164121</v>
      </c>
      <c r="AB177" s="67">
        <f>N177*I177</f>
        <v>0</v>
      </c>
      <c r="AC177" s="67"/>
      <c r="AD177" s="90">
        <f>P177*J177</f>
        <v>48085.682937881931</v>
      </c>
      <c r="AE177" s="90">
        <f>Q177*K177</f>
        <v>244542.65612203159</v>
      </c>
      <c r="AF177" s="67">
        <f>R177*I178</f>
        <v>0</v>
      </c>
      <c r="AG177" s="68">
        <f>S177*I177</f>
        <v>590777.20964457176</v>
      </c>
      <c r="AH177" s="68">
        <f>T177*$I177</f>
        <v>0</v>
      </c>
      <c r="AI177" s="68">
        <f>U177*$I177</f>
        <v>0</v>
      </c>
      <c r="AJ177" s="67">
        <f>V177*I178</f>
        <v>145304291.34384513</v>
      </c>
      <c r="AK177" s="67">
        <f>W177*$I177</f>
        <v>0</v>
      </c>
      <c r="AL177" s="67">
        <f>X177*$I177</f>
        <v>0</v>
      </c>
      <c r="AM177" s="67">
        <f>Y177*$I177</f>
        <v>0</v>
      </c>
      <c r="AN177" s="65">
        <f>NPV(Assumptions!$D$19,AB177:$AB$259)*(1+Assumptions!$D$19)</f>
        <v>0</v>
      </c>
      <c r="AO177" s="68">
        <f t="shared" si="41"/>
        <v>0</v>
      </c>
      <c r="AQ177" s="67">
        <f t="shared" si="46"/>
        <v>148559247.52273843</v>
      </c>
      <c r="AR177" s="95">
        <f>(AQ177+AB177-AC177)*Assumptions!$D$19</f>
        <v>637765.49230641779</v>
      </c>
      <c r="AS177" s="67">
        <f t="shared" si="47"/>
        <v>3599053.6437590756</v>
      </c>
      <c r="AT177" s="67">
        <f t="shared" si="42"/>
        <v>148903344.9876042</v>
      </c>
      <c r="AU177" s="67"/>
      <c r="AV177" s="67"/>
      <c r="AW177" s="67"/>
      <c r="AY177" s="67"/>
      <c r="AZ177" s="70">
        <f t="shared" si="36"/>
        <v>0</v>
      </c>
    </row>
    <row r="178" spans="2:52" x14ac:dyDescent="0.2">
      <c r="B178" s="5">
        <f t="shared" si="32"/>
        <v>171</v>
      </c>
      <c r="C178" s="5">
        <f t="shared" si="33"/>
        <v>171</v>
      </c>
      <c r="D178" s="5">
        <f t="shared" si="34"/>
        <v>14</v>
      </c>
      <c r="E178" s="5">
        <f t="shared" si="35"/>
        <v>60</v>
      </c>
      <c r="F178" s="64">
        <f>1-(1-VLOOKUP($E178,'Annual Mortality Rates'!$B$5:$C$105,2,FALSE))^(1/12)</f>
        <v>3.3143684343883706E-4</v>
      </c>
      <c r="G178" s="75">
        <f>IF(C178&gt;=Assumptions!$H$9*12,100%,1-(1-IF(D178&gt;=7,2%,VLOOKUP($D178,'Annual Lapse Rates'!$B$4:$C$14,2,FALSE)))^(1/12))</f>
        <v>1.6821425527395739E-3</v>
      </c>
      <c r="H178" s="81">
        <f t="shared" si="43"/>
        <v>3</v>
      </c>
      <c r="I178" s="65">
        <f t="shared" si="37"/>
        <v>2684.6664641023899</v>
      </c>
      <c r="J178" s="66">
        <f t="shared" si="38"/>
        <v>0.88979737854820007</v>
      </c>
      <c r="K178" s="66">
        <f t="shared" si="39"/>
        <v>4.5251187687379684</v>
      </c>
      <c r="M178" s="97">
        <f t="shared" si="44"/>
        <v>54123.777864684278</v>
      </c>
      <c r="N178" s="97">
        <f>IF(AND(H178=1,D178&lt;15),Assumptions!$H$4,0)</f>
        <v>0</v>
      </c>
      <c r="O178" s="103"/>
      <c r="P178" s="98">
        <f>$M178*(1+VLOOKUP($H178,Assumptions!$C$22:$D$33,2,FALSE))^(1/12)</f>
        <v>54165.881457074916</v>
      </c>
      <c r="Q178" s="98">
        <f>$M178*(1+VLOOKUP($H178,Assumptions!$C$22:$D$33,2,FALSE))^(1/12)</f>
        <v>54165.881457074916</v>
      </c>
      <c r="R178" s="97">
        <f>IF(AND(H178=12,D178&lt;15),Assumptions!$C$7*M178,0)</f>
        <v>0</v>
      </c>
      <c r="S178" s="99">
        <f>(M178+N178-O178)*Assumptions!$D$17</f>
        <v>220.50697065941051</v>
      </c>
      <c r="T178" s="99">
        <f t="shared" si="40"/>
        <v>0</v>
      </c>
      <c r="U178" s="101"/>
      <c r="V178" s="101">
        <f>IF(C178&gt;=Assumptions!$H$9*12,0,M178+N178-O178+S178-R178)</f>
        <v>54344.284835343686</v>
      </c>
      <c r="W178" s="103"/>
      <c r="X178" s="97">
        <f>IF(AND(H178=1,D178&lt;15),Assumptions!$D$10*N178+Assumptions!$D$11*(1+Assumptions!$D$16)^(B178-1),0)</f>
        <v>0</v>
      </c>
      <c r="Y178" s="100">
        <f>Assumptions!$C$13*N178</f>
        <v>0</v>
      </c>
      <c r="AA178" s="67">
        <f t="shared" si="45"/>
        <v>145304291.34384513</v>
      </c>
      <c r="AB178" s="67">
        <f>N178*I178</f>
        <v>0</v>
      </c>
      <c r="AC178" s="67"/>
      <c r="AD178" s="90">
        <f>P178*J178</f>
        <v>48196.659327257817</v>
      </c>
      <c r="AE178" s="90">
        <f>Q178*K178</f>
        <v>245107.04680664561</v>
      </c>
      <c r="AF178" s="67">
        <f>R178*I179</f>
        <v>0</v>
      </c>
      <c r="AG178" s="68">
        <f>S178*I178</f>
        <v>591987.6692301291</v>
      </c>
      <c r="AH178" s="68">
        <f>T178*$I178</f>
        <v>0</v>
      </c>
      <c r="AI178" s="68">
        <f>U178*$I178</f>
        <v>0</v>
      </c>
      <c r="AJ178" s="67">
        <f>V178*I179</f>
        <v>145602009.26760763</v>
      </c>
      <c r="AK178" s="67">
        <f>W178*$I178</f>
        <v>0</v>
      </c>
      <c r="AL178" s="67">
        <f>X178*$I178</f>
        <v>0</v>
      </c>
      <c r="AM178" s="67">
        <f>Y178*$I178</f>
        <v>0</v>
      </c>
      <c r="AN178" s="65">
        <f>NPV(Assumptions!$D$19,AB178:$AB$259)*(1+Assumptions!$D$19)</f>
        <v>0</v>
      </c>
      <c r="AO178" s="68">
        <f t="shared" si="41"/>
        <v>0</v>
      </c>
      <c r="AQ178" s="67">
        <f t="shared" si="46"/>
        <v>148903344.9876042</v>
      </c>
      <c r="AR178" s="95">
        <f>(AQ178+AB178-AC178)*Assumptions!$D$19</f>
        <v>639242.70421170781</v>
      </c>
      <c r="AS178" s="67">
        <f t="shared" si="47"/>
        <v>3646308.6787406546</v>
      </c>
      <c r="AT178" s="67">
        <f t="shared" si="42"/>
        <v>149248317.94634828</v>
      </c>
      <c r="AU178" s="67"/>
      <c r="AV178" s="67"/>
      <c r="AW178" s="67"/>
      <c r="AY178" s="67"/>
      <c r="AZ178" s="70">
        <f t="shared" si="36"/>
        <v>0</v>
      </c>
    </row>
    <row r="179" spans="2:52" x14ac:dyDescent="0.2">
      <c r="B179" s="5">
        <f t="shared" si="32"/>
        <v>172</v>
      </c>
      <c r="C179" s="5">
        <f t="shared" si="33"/>
        <v>172</v>
      </c>
      <c r="D179" s="5">
        <f t="shared" si="34"/>
        <v>14</v>
      </c>
      <c r="E179" s="5">
        <f t="shared" si="35"/>
        <v>60</v>
      </c>
      <c r="F179" s="64">
        <f>1-(1-VLOOKUP($E179,'Annual Mortality Rates'!$B$5:$C$105,2,FALSE))^(1/12)</f>
        <v>3.3143684343883706E-4</v>
      </c>
      <c r="G179" s="75">
        <f>IF(C179&gt;=Assumptions!$H$9*12,100%,1-(1-IF(D179&gt;=7,2%,VLOOKUP($D179,'Annual Lapse Rates'!$B$4:$C$14,2,FALSE)))^(1/12))</f>
        <v>1.6821425527395739E-3</v>
      </c>
      <c r="H179" s="81">
        <f t="shared" si="43"/>
        <v>4</v>
      </c>
      <c r="I179" s="65">
        <f t="shared" si="37"/>
        <v>2679.2515479551034</v>
      </c>
      <c r="J179" s="66">
        <f t="shared" si="38"/>
        <v>0.88800267583285741</v>
      </c>
      <c r="K179" s="66">
        <f t="shared" si="39"/>
        <v>4.5159916991795201</v>
      </c>
      <c r="M179" s="97">
        <f t="shared" si="44"/>
        <v>54344.284835343686</v>
      </c>
      <c r="N179" s="97">
        <f>IF(AND(H179=1,D179&lt;15),Assumptions!$H$4,0)</f>
        <v>0</v>
      </c>
      <c r="O179" s="103"/>
      <c r="P179" s="98">
        <f>$M179*(1+VLOOKUP($H179,Assumptions!$C$22:$D$33,2,FALSE))^(1/12)</f>
        <v>54400.571711783523</v>
      </c>
      <c r="Q179" s="98">
        <f>$M179*(1+VLOOKUP($H179,Assumptions!$C$22:$D$33,2,FALSE))^(1/12)</f>
        <v>54400.571711783523</v>
      </c>
      <c r="R179" s="97">
        <f>IF(AND(H179=12,D179&lt;15),Assumptions!$C$7*M179,0)</f>
        <v>0</v>
      </c>
      <c r="S179" s="99">
        <f>(M179+N179-O179)*Assumptions!$D$17</f>
        <v>221.40534335303425</v>
      </c>
      <c r="T179" s="99">
        <f t="shared" si="40"/>
        <v>0</v>
      </c>
      <c r="U179" s="101"/>
      <c r="V179" s="101">
        <f>IF(C179&gt;=Assumptions!$H$9*12,0,M179+N179-O179+S179-R179)</f>
        <v>54565.690178696721</v>
      </c>
      <c r="W179" s="103"/>
      <c r="X179" s="97">
        <f>IF(AND(H179=1,D179&lt;15),Assumptions!$D$10*N179+Assumptions!$D$11*(1+Assumptions!$D$16)^(B179-1),0)</f>
        <v>0</v>
      </c>
      <c r="Y179" s="100">
        <f>Assumptions!$C$13*N179</f>
        <v>0</v>
      </c>
      <c r="AA179" s="67">
        <f t="shared" si="45"/>
        <v>145602009.26760763</v>
      </c>
      <c r="AB179" s="67">
        <f>N179*I179</f>
        <v>0</v>
      </c>
      <c r="AC179" s="67"/>
      <c r="AD179" s="90">
        <f>P179*J179</f>
        <v>48307.853246901017</v>
      </c>
      <c r="AE179" s="90">
        <f>Q179*K179</f>
        <v>245672.53028103462</v>
      </c>
      <c r="AF179" s="67">
        <f>R179*I180</f>
        <v>0</v>
      </c>
      <c r="AG179" s="68">
        <f>S179*I179</f>
        <v>593200.60890414822</v>
      </c>
      <c r="AH179" s="68">
        <f>T179*$I179</f>
        <v>0</v>
      </c>
      <c r="AI179" s="68">
        <f>U179*$I179</f>
        <v>0</v>
      </c>
      <c r="AJ179" s="67">
        <f>V179*I180</f>
        <v>145900337.19371742</v>
      </c>
      <c r="AK179" s="67">
        <f>W179*$I179</f>
        <v>0</v>
      </c>
      <c r="AL179" s="67">
        <f>X179*$I179</f>
        <v>0</v>
      </c>
      <c r="AM179" s="67">
        <f>Y179*$I179</f>
        <v>0</v>
      </c>
      <c r="AN179" s="65">
        <f>NPV(Assumptions!$D$19,AB179:$AB$259)*(1+Assumptions!$D$19)</f>
        <v>0</v>
      </c>
      <c r="AO179" s="68">
        <f t="shared" si="41"/>
        <v>0</v>
      </c>
      <c r="AQ179" s="67">
        <f t="shared" si="46"/>
        <v>149248317.94634828</v>
      </c>
      <c r="AR179" s="95">
        <f>(AQ179+AB179-AC179)*Assumptions!$D$19</f>
        <v>640723.67461600492</v>
      </c>
      <c r="AS179" s="67">
        <f t="shared" si="47"/>
        <v>3693831.744452511</v>
      </c>
      <c r="AT179" s="67">
        <f t="shared" si="42"/>
        <v>149594168.93816993</v>
      </c>
      <c r="AU179" s="67"/>
      <c r="AV179" s="67"/>
      <c r="AW179" s="67"/>
      <c r="AY179" s="67"/>
      <c r="AZ179" s="70">
        <f t="shared" si="36"/>
        <v>0</v>
      </c>
    </row>
    <row r="180" spans="2:52" x14ac:dyDescent="0.2">
      <c r="B180" s="5">
        <f t="shared" si="32"/>
        <v>173</v>
      </c>
      <c r="C180" s="5">
        <f t="shared" si="33"/>
        <v>173</v>
      </c>
      <c r="D180" s="5">
        <f t="shared" si="34"/>
        <v>14</v>
      </c>
      <c r="E180" s="5">
        <f t="shared" si="35"/>
        <v>60</v>
      </c>
      <c r="F180" s="64">
        <f>1-(1-VLOOKUP($E180,'Annual Mortality Rates'!$B$5:$C$105,2,FALSE))^(1/12)</f>
        <v>3.3143684343883706E-4</v>
      </c>
      <c r="G180" s="75">
        <f>IF(C180&gt;=Assumptions!$H$9*12,100%,1-(1-IF(D180&gt;=7,2%,VLOOKUP($D180,'Annual Lapse Rates'!$B$4:$C$14,2,FALSE)))^(1/12))</f>
        <v>1.6821425527395739E-3</v>
      </c>
      <c r="H180" s="81">
        <f t="shared" si="43"/>
        <v>5</v>
      </c>
      <c r="I180" s="65">
        <f t="shared" si="37"/>
        <v>2673.8475535800908</v>
      </c>
      <c r="J180" s="66">
        <f t="shared" si="38"/>
        <v>0.88621159299524199</v>
      </c>
      <c r="K180" s="66">
        <f t="shared" si="39"/>
        <v>4.5068830383086524</v>
      </c>
      <c r="M180" s="97">
        <f t="shared" si="44"/>
        <v>54565.690178696721</v>
      </c>
      <c r="N180" s="97">
        <f>IF(AND(H180=1,D180&lt;15),Assumptions!$H$4,0)</f>
        <v>0</v>
      </c>
      <c r="O180" s="103"/>
      <c r="P180" s="98">
        <f>$M180*(1+VLOOKUP($H180,Assumptions!$C$22:$D$33,2,FALSE))^(1/12)</f>
        <v>54636.235461600503</v>
      </c>
      <c r="Q180" s="98">
        <f>$M180*(1+VLOOKUP($H180,Assumptions!$C$22:$D$33,2,FALSE))^(1/12)</f>
        <v>54636.235461600503</v>
      </c>
      <c r="R180" s="97">
        <f>IF(AND(H180=12,D180&lt;15),Assumptions!$C$7*M180,0)</f>
        <v>0</v>
      </c>
      <c r="S180" s="99">
        <f>(M180+N180-O180)*Assumptions!$D$17</f>
        <v>222.30737612821568</v>
      </c>
      <c r="T180" s="99">
        <f t="shared" si="40"/>
        <v>0</v>
      </c>
      <c r="U180" s="101"/>
      <c r="V180" s="101">
        <f>IF(C180&gt;=Assumptions!$H$9*12,0,M180+N180-O180+S180-R180)</f>
        <v>54787.997554824935</v>
      </c>
      <c r="W180" s="103"/>
      <c r="X180" s="97">
        <f>IF(AND(H180=1,D180&lt;15),Assumptions!$D$10*N180+Assumptions!$D$11*(1+Assumptions!$D$16)^(B180-1),0)</f>
        <v>0</v>
      </c>
      <c r="Y180" s="100">
        <f>Assumptions!$C$13*N180</f>
        <v>0</v>
      </c>
      <c r="AA180" s="67">
        <f t="shared" si="45"/>
        <v>145900337.19371742</v>
      </c>
      <c r="AB180" s="67">
        <f>N180*I180</f>
        <v>0</v>
      </c>
      <c r="AC180" s="67"/>
      <c r="AD180" s="90">
        <f>P180*J180</f>
        <v>48419.26526368811</v>
      </c>
      <c r="AE180" s="90">
        <f>Q180*K180</f>
        <v>246239.122878925</v>
      </c>
      <c r="AF180" s="67">
        <f>R180*I181</f>
        <v>0</v>
      </c>
      <c r="AG180" s="68">
        <f>S180*I180</f>
        <v>594416.03380323853</v>
      </c>
      <c r="AH180" s="68">
        <f>T180*$I180</f>
        <v>0</v>
      </c>
      <c r="AI180" s="68">
        <f>U180*$I180</f>
        <v>0</v>
      </c>
      <c r="AJ180" s="67">
        <f>V180*I181</f>
        <v>146199276.37204784</v>
      </c>
      <c r="AK180" s="67">
        <f>W180*$I180</f>
        <v>0</v>
      </c>
      <c r="AL180" s="67">
        <f>X180*$I180</f>
        <v>0</v>
      </c>
      <c r="AM180" s="67">
        <f>Y180*$I180</f>
        <v>0</v>
      </c>
      <c r="AN180" s="65">
        <f>NPV(Assumptions!$D$19,AB180:$AB$259)*(1+Assumptions!$D$19)</f>
        <v>0</v>
      </c>
      <c r="AO180" s="68">
        <f t="shared" si="41"/>
        <v>0</v>
      </c>
      <c r="AQ180" s="67">
        <f t="shared" si="46"/>
        <v>149594168.93816993</v>
      </c>
      <c r="AR180" s="95">
        <f>(AQ180+AB180-AC180)*Assumptions!$D$19</f>
        <v>642208.41442010249</v>
      </c>
      <c r="AS180" s="67">
        <f t="shared" si="47"/>
        <v>3741624.1250693751</v>
      </c>
      <c r="AT180" s="67">
        <f t="shared" si="42"/>
        <v>149940900.49711722</v>
      </c>
      <c r="AU180" s="67"/>
      <c r="AV180" s="67"/>
      <c r="AW180" s="67"/>
      <c r="AY180" s="67"/>
      <c r="AZ180" s="70">
        <f t="shared" si="36"/>
        <v>0</v>
      </c>
    </row>
    <row r="181" spans="2:52" x14ac:dyDescent="0.2">
      <c r="B181" s="5">
        <f t="shared" si="32"/>
        <v>174</v>
      </c>
      <c r="C181" s="5">
        <f t="shared" si="33"/>
        <v>174</v>
      </c>
      <c r="D181" s="5">
        <f t="shared" si="34"/>
        <v>14</v>
      </c>
      <c r="E181" s="5">
        <f t="shared" si="35"/>
        <v>60</v>
      </c>
      <c r="F181" s="64">
        <f>1-(1-VLOOKUP($E181,'Annual Mortality Rates'!$B$5:$C$105,2,FALSE))^(1/12)</f>
        <v>3.3143684343883706E-4</v>
      </c>
      <c r="G181" s="75">
        <f>IF(C181&gt;=Assumptions!$H$9*12,100%,1-(1-IF(D181&gt;=7,2%,VLOOKUP($D181,'Annual Lapse Rates'!$B$4:$C$14,2,FALSE)))^(1/12))</f>
        <v>1.6821425527395739E-3</v>
      </c>
      <c r="H181" s="81">
        <f t="shared" si="43"/>
        <v>6</v>
      </c>
      <c r="I181" s="65">
        <f t="shared" si="37"/>
        <v>2668.4544589487869</v>
      </c>
      <c r="J181" s="66">
        <f t="shared" si="38"/>
        <v>0.88442412273427573</v>
      </c>
      <c r="K181" s="66">
        <f t="shared" si="39"/>
        <v>4.4977927494156784</v>
      </c>
      <c r="M181" s="97">
        <f t="shared" si="44"/>
        <v>54787.997554824935</v>
      </c>
      <c r="N181" s="97">
        <f>IF(AND(H181=1,D181&lt;15),Assumptions!$H$4,0)</f>
        <v>0</v>
      </c>
      <c r="O181" s="103"/>
      <c r="P181" s="98">
        <f>$M181*(1+VLOOKUP($H181,Assumptions!$C$22:$D$33,2,FALSE))^(1/12)</f>
        <v>54872.876816398901</v>
      </c>
      <c r="Q181" s="98">
        <f>$M181*(1+VLOOKUP($H181,Assumptions!$C$22:$D$33,2,FALSE))^(1/12)</f>
        <v>54872.876816398901</v>
      </c>
      <c r="R181" s="97">
        <f>IF(AND(H181=12,D181&lt;15),Assumptions!$C$7*M181,0)</f>
        <v>0</v>
      </c>
      <c r="S181" s="99">
        <f>(M181+N181-O181)*Assumptions!$D$17</f>
        <v>223.21308389658012</v>
      </c>
      <c r="T181" s="99">
        <f t="shared" si="40"/>
        <v>0</v>
      </c>
      <c r="U181" s="101"/>
      <c r="V181" s="101">
        <f>IF(C181&gt;=Assumptions!$H$9*12,0,M181+N181-O181+S181-R181)</f>
        <v>55011.210638721517</v>
      </c>
      <c r="W181" s="103"/>
      <c r="X181" s="97">
        <f>IF(AND(H181=1,D181&lt;15),Assumptions!$D$10*N181+Assumptions!$D$11*(1+Assumptions!$D$16)^(B181-1),0)</f>
        <v>0</v>
      </c>
      <c r="Y181" s="100">
        <f>Assumptions!$C$13*N181</f>
        <v>0</v>
      </c>
      <c r="AA181" s="67">
        <f t="shared" si="45"/>
        <v>146199276.37204784</v>
      </c>
      <c r="AB181" s="67">
        <f>N181*I181</f>
        <v>0</v>
      </c>
      <c r="AC181" s="67"/>
      <c r="AD181" s="90">
        <f>P181*J181</f>
        <v>48530.895940249575</v>
      </c>
      <c r="AE181" s="90">
        <f>Q181*K181</f>
        <v>246806.82748437865</v>
      </c>
      <c r="AF181" s="67">
        <f>R181*I182</f>
        <v>0</v>
      </c>
      <c r="AG181" s="68">
        <f>S181*I181</f>
        <v>595633.94901953882</v>
      </c>
      <c r="AH181" s="68">
        <f>T181*$I181</f>
        <v>0</v>
      </c>
      <c r="AI181" s="68">
        <f>U181*$I181</f>
        <v>0</v>
      </c>
      <c r="AJ181" s="67">
        <f>V181*I182</f>
        <v>146498828.05501026</v>
      </c>
      <c r="AK181" s="67">
        <f>W181*$I181</f>
        <v>0</v>
      </c>
      <c r="AL181" s="67">
        <f>X181*$I181</f>
        <v>0</v>
      </c>
      <c r="AM181" s="67">
        <f>Y181*$I181</f>
        <v>0</v>
      </c>
      <c r="AN181" s="65">
        <f>NPV(Assumptions!$D$19,AB181:$AB$259)*(1+Assumptions!$D$19)</f>
        <v>0</v>
      </c>
      <c r="AO181" s="68">
        <f t="shared" si="41"/>
        <v>0</v>
      </c>
      <c r="AQ181" s="67">
        <f t="shared" si="46"/>
        <v>149940900.49711722</v>
      </c>
      <c r="AR181" s="95">
        <f>(AQ181+AB181-AC181)*Assumptions!$D$19</f>
        <v>643696.93450267997</v>
      </c>
      <c r="AS181" s="67">
        <f t="shared" si="47"/>
        <v>3789687.1105525163</v>
      </c>
      <c r="AT181" s="67">
        <f t="shared" si="42"/>
        <v>150288515.16556278</v>
      </c>
      <c r="AU181" s="67"/>
      <c r="AV181" s="67"/>
      <c r="AW181" s="67"/>
      <c r="AY181" s="67"/>
      <c r="AZ181" s="70">
        <f t="shared" si="36"/>
        <v>0</v>
      </c>
    </row>
    <row r="182" spans="2:52" x14ac:dyDescent="0.2">
      <c r="B182" s="5">
        <f t="shared" si="32"/>
        <v>175</v>
      </c>
      <c r="C182" s="5">
        <f t="shared" si="33"/>
        <v>175</v>
      </c>
      <c r="D182" s="5">
        <f t="shared" si="34"/>
        <v>14</v>
      </c>
      <c r="E182" s="5">
        <f t="shared" si="35"/>
        <v>60</v>
      </c>
      <c r="F182" s="64">
        <f>1-(1-VLOOKUP($E182,'Annual Mortality Rates'!$B$5:$C$105,2,FALSE))^(1/12)</f>
        <v>3.3143684343883706E-4</v>
      </c>
      <c r="G182" s="75">
        <f>IF(C182&gt;=Assumptions!$H$9*12,100%,1-(1-IF(D182&gt;=7,2%,VLOOKUP($D182,'Annual Lapse Rates'!$B$4:$C$14,2,FALSE)))^(1/12))</f>
        <v>1.6821425527395739E-3</v>
      </c>
      <c r="H182" s="81">
        <f t="shared" si="43"/>
        <v>7</v>
      </c>
      <c r="I182" s="65">
        <f t="shared" si="37"/>
        <v>2663.0722420766369</v>
      </c>
      <c r="J182" s="66">
        <f t="shared" si="38"/>
        <v>0.88264025776346711</v>
      </c>
      <c r="K182" s="66">
        <f t="shared" si="39"/>
        <v>4.4887207954454107</v>
      </c>
      <c r="M182" s="97">
        <f t="shared" si="44"/>
        <v>55011.210638721517</v>
      </c>
      <c r="N182" s="97">
        <f>IF(AND(H182=1,D182&lt;15),Assumptions!$H$4,0)</f>
        <v>0</v>
      </c>
      <c r="O182" s="103"/>
      <c r="P182" s="98">
        <f>$M182*(1+VLOOKUP($H182,Assumptions!$C$22:$D$33,2,FALSE))^(1/12)</f>
        <v>55110.499902528463</v>
      </c>
      <c r="Q182" s="98">
        <f>$M182*(1+VLOOKUP($H182,Assumptions!$C$22:$D$33,2,FALSE))^(1/12)</f>
        <v>55110.499902528463</v>
      </c>
      <c r="R182" s="97">
        <f>IF(AND(H182=12,D182&lt;15),Assumptions!$C$7*M182,0)</f>
        <v>0</v>
      </c>
      <c r="S182" s="99">
        <f>(M182+N182-O182)*Assumptions!$D$17</f>
        <v>224.12248163050467</v>
      </c>
      <c r="T182" s="99">
        <f t="shared" si="40"/>
        <v>0</v>
      </c>
      <c r="U182" s="101"/>
      <c r="V182" s="101">
        <f>IF(C182&gt;=Assumptions!$H$9*12,0,M182+N182-O182+S182-R182)</f>
        <v>55235.333120352021</v>
      </c>
      <c r="W182" s="103"/>
      <c r="X182" s="97">
        <f>IF(AND(H182=1,D182&lt;15),Assumptions!$D$10*N182+Assumptions!$D$11*(1+Assumptions!$D$16)^(B182-1),0)</f>
        <v>0</v>
      </c>
      <c r="Y182" s="100">
        <f>Assumptions!$C$13*N182</f>
        <v>0</v>
      </c>
      <c r="AA182" s="67">
        <f t="shared" si="45"/>
        <v>146498828.05501026</v>
      </c>
      <c r="AB182" s="67">
        <f>N182*I182</f>
        <v>0</v>
      </c>
      <c r="AC182" s="67"/>
      <c r="AD182" s="90">
        <f>P182*J182</f>
        <v>48642.745839441253</v>
      </c>
      <c r="AE182" s="90">
        <f>Q182*K182</f>
        <v>247375.64695987178</v>
      </c>
      <c r="AF182" s="67">
        <f>R182*I183</f>
        <v>0</v>
      </c>
      <c r="AG182" s="68">
        <f>S182*I182</f>
        <v>596854.35965552798</v>
      </c>
      <c r="AH182" s="68">
        <f>T182*$I182</f>
        <v>0</v>
      </c>
      <c r="AI182" s="68">
        <f>U182*$I182</f>
        <v>0</v>
      </c>
      <c r="AJ182" s="67">
        <f>V182*I183</f>
        <v>146798993.49758211</v>
      </c>
      <c r="AK182" s="67">
        <f>W182*$I182</f>
        <v>0</v>
      </c>
      <c r="AL182" s="67">
        <f>X182*$I182</f>
        <v>0</v>
      </c>
      <c r="AM182" s="67">
        <f>Y182*$I182</f>
        <v>0</v>
      </c>
      <c r="AN182" s="65">
        <f>NPV(Assumptions!$D$19,AB182:$AB$259)*(1+Assumptions!$D$19)</f>
        <v>0</v>
      </c>
      <c r="AO182" s="68">
        <f t="shared" si="41"/>
        <v>0</v>
      </c>
      <c r="AQ182" s="67">
        <f t="shared" si="46"/>
        <v>150288515.16556278</v>
      </c>
      <c r="AR182" s="95">
        <f>(AQ182+AB182-AC182)*Assumptions!$D$19</f>
        <v>645189.24577815388</v>
      </c>
      <c r="AS182" s="67">
        <f t="shared" si="47"/>
        <v>3838021.9966751426</v>
      </c>
      <c r="AT182" s="67">
        <f t="shared" si="42"/>
        <v>150637015.49425724</v>
      </c>
      <c r="AU182" s="67"/>
      <c r="AV182" s="67"/>
      <c r="AW182" s="67"/>
      <c r="AY182" s="67"/>
      <c r="AZ182" s="70">
        <f t="shared" si="36"/>
        <v>0</v>
      </c>
    </row>
    <row r="183" spans="2:52" x14ac:dyDescent="0.2">
      <c r="B183" s="5">
        <f t="shared" si="32"/>
        <v>176</v>
      </c>
      <c r="C183" s="5">
        <f t="shared" si="33"/>
        <v>176</v>
      </c>
      <c r="D183" s="5">
        <f t="shared" si="34"/>
        <v>14</v>
      </c>
      <c r="E183" s="5">
        <f t="shared" si="35"/>
        <v>60</v>
      </c>
      <c r="F183" s="64">
        <f>1-(1-VLOOKUP($E183,'Annual Mortality Rates'!$B$5:$C$105,2,FALSE))^(1/12)</f>
        <v>3.3143684343883706E-4</v>
      </c>
      <c r="G183" s="75">
        <f>IF(C183&gt;=Assumptions!$H$9*12,100%,1-(1-IF(D183&gt;=7,2%,VLOOKUP($D183,'Annual Lapse Rates'!$B$4:$C$14,2,FALSE)))^(1/12))</f>
        <v>1.6821425527395739E-3</v>
      </c>
      <c r="H183" s="81">
        <f t="shared" si="43"/>
        <v>8</v>
      </c>
      <c r="I183" s="65">
        <f t="shared" si="37"/>
        <v>2657.7008810234283</v>
      </c>
      <c r="J183" s="66">
        <f t="shared" si="38"/>
        <v>0.88085999081102129</v>
      </c>
      <c r="K183" s="66">
        <f t="shared" si="39"/>
        <v>4.4796671394166943</v>
      </c>
      <c r="M183" s="97">
        <f t="shared" si="44"/>
        <v>55235.333120352021</v>
      </c>
      <c r="N183" s="97">
        <f>IF(AND(H183=1,D183&lt;15),Assumptions!$H$4,0)</f>
        <v>0</v>
      </c>
      <c r="O183" s="103"/>
      <c r="P183" s="98">
        <f>$M183*(1+VLOOKUP($H183,Assumptions!$C$22:$D$33,2,FALSE))^(1/12)</f>
        <v>55349.108862890171</v>
      </c>
      <c r="Q183" s="98">
        <f>$M183*(1+VLOOKUP($H183,Assumptions!$C$22:$D$33,2,FALSE))^(1/12)</f>
        <v>55349.108862890171</v>
      </c>
      <c r="R183" s="97">
        <f>IF(AND(H183=12,D183&lt;15),Assumptions!$C$7*M183,0)</f>
        <v>0</v>
      </c>
      <c r="S183" s="99">
        <f>(M183+N183-O183)*Assumptions!$D$17</f>
        <v>225.03558436336579</v>
      </c>
      <c r="T183" s="99">
        <f t="shared" si="40"/>
        <v>0</v>
      </c>
      <c r="U183" s="101"/>
      <c r="V183" s="101">
        <f>IF(C183&gt;=Assumptions!$H$9*12,0,M183+N183-O183+S183-R183)</f>
        <v>55460.368704715387</v>
      </c>
      <c r="W183" s="103"/>
      <c r="X183" s="97">
        <f>IF(AND(H183=1,D183&lt;15),Assumptions!$D$10*N183+Assumptions!$D$11*(1+Assumptions!$D$16)^(B183-1),0)</f>
        <v>0</v>
      </c>
      <c r="Y183" s="100">
        <f>Assumptions!$C$13*N183</f>
        <v>0</v>
      </c>
      <c r="AA183" s="67">
        <f t="shared" si="45"/>
        <v>146798993.49758211</v>
      </c>
      <c r="AB183" s="67">
        <f>N183*I183</f>
        <v>0</v>
      </c>
      <c r="AC183" s="67"/>
      <c r="AD183" s="90">
        <f>P183*J183</f>
        <v>48754.81552436365</v>
      </c>
      <c r="AE183" s="90">
        <f>Q183*K183</f>
        <v>247945.58416908642</v>
      </c>
      <c r="AF183" s="67">
        <f>R183*I184</f>
        <v>0</v>
      </c>
      <c r="AG183" s="68">
        <f>S183*I183</f>
        <v>598077.27082413924</v>
      </c>
      <c r="AH183" s="68">
        <f>T183*$I183</f>
        <v>0</v>
      </c>
      <c r="AI183" s="68">
        <f>U183*$I183</f>
        <v>0</v>
      </c>
      <c r="AJ183" s="67">
        <f>V183*I184</f>
        <v>147099773.9573122</v>
      </c>
      <c r="AK183" s="67">
        <f>W183*$I183</f>
        <v>0</v>
      </c>
      <c r="AL183" s="67">
        <f>X183*$I183</f>
        <v>0</v>
      </c>
      <c r="AM183" s="67">
        <f>Y183*$I183</f>
        <v>0</v>
      </c>
      <c r="AN183" s="65">
        <f>NPV(Assumptions!$D$19,AB183:$AB$259)*(1+Assumptions!$D$19)</f>
        <v>0</v>
      </c>
      <c r="AO183" s="68">
        <f t="shared" si="41"/>
        <v>0</v>
      </c>
      <c r="AQ183" s="67">
        <f t="shared" si="46"/>
        <v>150637015.49425724</v>
      </c>
      <c r="AR183" s="95">
        <f>(AQ183+AB183-AC183)*Assumptions!$D$19</f>
        <v>646685.35919690796</v>
      </c>
      <c r="AS183" s="67">
        <f t="shared" si="47"/>
        <v>3886630.0850479119</v>
      </c>
      <c r="AT183" s="67">
        <f t="shared" si="42"/>
        <v>150986404.0423601</v>
      </c>
      <c r="AU183" s="67"/>
      <c r="AV183" s="67"/>
      <c r="AW183" s="67"/>
      <c r="AY183" s="67"/>
      <c r="AZ183" s="70">
        <f t="shared" si="36"/>
        <v>0</v>
      </c>
    </row>
    <row r="184" spans="2:52" x14ac:dyDescent="0.2">
      <c r="B184" s="5">
        <f t="shared" si="32"/>
        <v>177</v>
      </c>
      <c r="C184" s="5">
        <f t="shared" si="33"/>
        <v>177</v>
      </c>
      <c r="D184" s="5">
        <f t="shared" si="34"/>
        <v>14</v>
      </c>
      <c r="E184" s="5">
        <f t="shared" si="35"/>
        <v>60</v>
      </c>
      <c r="F184" s="64">
        <f>1-(1-VLOOKUP($E184,'Annual Mortality Rates'!$B$5:$C$105,2,FALSE))^(1/12)</f>
        <v>3.3143684343883706E-4</v>
      </c>
      <c r="G184" s="75">
        <f>IF(C184&gt;=Assumptions!$H$9*12,100%,1-(1-IF(D184&gt;=7,2%,VLOOKUP($D184,'Annual Lapse Rates'!$B$4:$C$14,2,FALSE)))^(1/12))</f>
        <v>1.6821425527395739E-3</v>
      </c>
      <c r="H184" s="81">
        <f t="shared" si="43"/>
        <v>9</v>
      </c>
      <c r="I184" s="65">
        <f t="shared" si="37"/>
        <v>2652.3403538932007</v>
      </c>
      <c r="J184" s="66">
        <f t="shared" si="38"/>
        <v>0.87908331461981049</v>
      </c>
      <c r="K184" s="66">
        <f t="shared" si="39"/>
        <v>4.4706317444229642</v>
      </c>
      <c r="M184" s="97">
        <f t="shared" si="44"/>
        <v>55460.368704715387</v>
      </c>
      <c r="N184" s="97">
        <f>IF(AND(H184=1,D184&lt;15),Assumptions!$H$4,0)</f>
        <v>0</v>
      </c>
      <c r="O184" s="103"/>
      <c r="P184" s="98">
        <f>$M184*(1+VLOOKUP($H184,Assumptions!$C$22:$D$33,2,FALSE))^(1/12)</f>
        <v>55588.707857011133</v>
      </c>
      <c r="Q184" s="98">
        <f>$M184*(1+VLOOKUP($H184,Assumptions!$C$22:$D$33,2,FALSE))^(1/12)</f>
        <v>55588.707857011133</v>
      </c>
      <c r="R184" s="97">
        <f>IF(AND(H184=12,D184&lt;15),Assumptions!$C$7*M184,0)</f>
        <v>0</v>
      </c>
      <c r="S184" s="99">
        <f>(M184+N184-O184)*Assumptions!$D$17</f>
        <v>225.95240718978778</v>
      </c>
      <c r="T184" s="99">
        <f t="shared" si="40"/>
        <v>0</v>
      </c>
      <c r="U184" s="101"/>
      <c r="V184" s="101">
        <f>IF(C184&gt;=Assumptions!$H$9*12,0,M184+N184-O184+S184-R184)</f>
        <v>55686.321111905178</v>
      </c>
      <c r="W184" s="103"/>
      <c r="X184" s="97">
        <f>IF(AND(H184=1,D184&lt;15),Assumptions!$D$10*N184+Assumptions!$D$11*(1+Assumptions!$D$16)^(B184-1),0)</f>
        <v>0</v>
      </c>
      <c r="Y184" s="100">
        <f>Assumptions!$C$13*N184</f>
        <v>0</v>
      </c>
      <c r="AA184" s="67">
        <f t="shared" si="45"/>
        <v>147099773.9573122</v>
      </c>
      <c r="AB184" s="67">
        <f>N184*I184</f>
        <v>0</v>
      </c>
      <c r="AC184" s="67"/>
      <c r="AD184" s="90">
        <f>P184*J184</f>
        <v>48867.105558373652</v>
      </c>
      <c r="AE184" s="90">
        <f>Q184*K184</f>
        <v>248516.64197700823</v>
      </c>
      <c r="AF184" s="67">
        <f>R184*I185</f>
        <v>0</v>
      </c>
      <c r="AG184" s="68">
        <f>S184*I184</f>
        <v>599302.68764878227</v>
      </c>
      <c r="AH184" s="68">
        <f>T184*$I184</f>
        <v>0</v>
      </c>
      <c r="AI184" s="68">
        <f>U184*$I184</f>
        <v>0</v>
      </c>
      <c r="AJ184" s="67">
        <f>V184*I185</f>
        <v>147401170.69432592</v>
      </c>
      <c r="AK184" s="67">
        <f>W184*$I184</f>
        <v>0</v>
      </c>
      <c r="AL184" s="67">
        <f>X184*$I184</f>
        <v>0</v>
      </c>
      <c r="AM184" s="67">
        <f>Y184*$I184</f>
        <v>0</v>
      </c>
      <c r="AN184" s="65">
        <f>NPV(Assumptions!$D$19,AB184:$AB$259)*(1+Assumptions!$D$19)</f>
        <v>0</v>
      </c>
      <c r="AO184" s="68">
        <f t="shared" si="41"/>
        <v>0</v>
      </c>
      <c r="AQ184" s="67">
        <f t="shared" si="46"/>
        <v>150986404.0423601</v>
      </c>
      <c r="AR184" s="95">
        <f>(AQ184+AB184-AC184)*Assumptions!$D$19</f>
        <v>648185.2857454248</v>
      </c>
      <c r="AS184" s="67">
        <f t="shared" si="47"/>
        <v>3935512.6831445545</v>
      </c>
      <c r="AT184" s="67">
        <f t="shared" si="42"/>
        <v>151336683.37747049</v>
      </c>
      <c r="AU184" s="67"/>
      <c r="AV184" s="67"/>
      <c r="AW184" s="67"/>
      <c r="AY184" s="67"/>
      <c r="AZ184" s="70">
        <f t="shared" si="36"/>
        <v>0</v>
      </c>
    </row>
    <row r="185" spans="2:52" x14ac:dyDescent="0.2">
      <c r="B185" s="5">
        <f t="shared" si="32"/>
        <v>178</v>
      </c>
      <c r="C185" s="5">
        <f t="shared" si="33"/>
        <v>178</v>
      </c>
      <c r="D185" s="5">
        <f t="shared" si="34"/>
        <v>14</v>
      </c>
      <c r="E185" s="5">
        <f t="shared" si="35"/>
        <v>60</v>
      </c>
      <c r="F185" s="64">
        <f>1-(1-VLOOKUP($E185,'Annual Mortality Rates'!$B$5:$C$105,2,FALSE))^(1/12)</f>
        <v>3.3143684343883706E-4</v>
      </c>
      <c r="G185" s="75">
        <f>IF(C185&gt;=Assumptions!$H$9*12,100%,1-(1-IF(D185&gt;=7,2%,VLOOKUP($D185,'Annual Lapse Rates'!$B$4:$C$14,2,FALSE)))^(1/12))</f>
        <v>1.6821425527395739E-3</v>
      </c>
      <c r="H185" s="81">
        <f t="shared" si="43"/>
        <v>10</v>
      </c>
      <c r="I185" s="65">
        <f t="shared" si="37"/>
        <v>2646.9906388341578</v>
      </c>
      <c r="J185" s="66">
        <f t="shared" si="38"/>
        <v>0.87731022194734409</v>
      </c>
      <c r="K185" s="66">
        <f t="shared" si="39"/>
        <v>4.4616145736320938</v>
      </c>
      <c r="M185" s="97">
        <f t="shared" si="44"/>
        <v>55686.321111905178</v>
      </c>
      <c r="N185" s="97">
        <f>IF(AND(H185=1,D185&lt;15),Assumptions!$H$4,0)</f>
        <v>0</v>
      </c>
      <c r="O185" s="103"/>
      <c r="P185" s="98">
        <f>$M185*(1+VLOOKUP($H185,Assumptions!$C$22:$D$33,2,FALSE))^(1/12)</f>
        <v>55829.301061119513</v>
      </c>
      <c r="Q185" s="98">
        <f>$M185*(1+VLOOKUP($H185,Assumptions!$C$22:$D$33,2,FALSE))^(1/12)</f>
        <v>55829.301061119513</v>
      </c>
      <c r="R185" s="97">
        <f>IF(AND(H185=12,D185&lt;15),Assumptions!$C$7*M185,0)</f>
        <v>0</v>
      </c>
      <c r="S185" s="99">
        <f>(M185+N185-O185)*Assumptions!$D$17</f>
        <v>226.8729652658923</v>
      </c>
      <c r="T185" s="99">
        <f t="shared" si="40"/>
        <v>0</v>
      </c>
      <c r="U185" s="101"/>
      <c r="V185" s="101">
        <f>IF(C185&gt;=Assumptions!$H$9*12,0,M185+N185-O185+S185-R185)</f>
        <v>55913.194077171072</v>
      </c>
      <c r="W185" s="103"/>
      <c r="X185" s="97">
        <f>IF(AND(H185=1,D185&lt;15),Assumptions!$D$10*N185+Assumptions!$D$11*(1+Assumptions!$D$16)^(B185-1),0)</f>
        <v>0</v>
      </c>
      <c r="Y185" s="100">
        <f>Assumptions!$C$13*N185</f>
        <v>0</v>
      </c>
      <c r="AA185" s="67">
        <f t="shared" si="45"/>
        <v>147401170.69432592</v>
      </c>
      <c r="AB185" s="67">
        <f>N185*I185</f>
        <v>0</v>
      </c>
      <c r="AC185" s="67"/>
      <c r="AD185" s="90">
        <f>P185*J185</f>
        <v>48979.616505095852</v>
      </c>
      <c r="AE185" s="90">
        <f>Q185*K185</f>
        <v>249088.82324998453</v>
      </c>
      <c r="AF185" s="67">
        <f>R185*I186</f>
        <v>0</v>
      </c>
      <c r="AG185" s="68">
        <f>S185*I185</f>
        <v>600530.61526336393</v>
      </c>
      <c r="AH185" s="68">
        <f>T185*$I185</f>
        <v>0</v>
      </c>
      <c r="AI185" s="68">
        <f>U185*$I185</f>
        <v>0</v>
      </c>
      <c r="AJ185" s="67">
        <f>V185*I186</f>
        <v>147703184.97133064</v>
      </c>
      <c r="AK185" s="67">
        <f>W185*$I185</f>
        <v>0</v>
      </c>
      <c r="AL185" s="67">
        <f>X185*$I185</f>
        <v>0</v>
      </c>
      <c r="AM185" s="67">
        <f>Y185*$I185</f>
        <v>0</v>
      </c>
      <c r="AN185" s="65">
        <f>NPV(Assumptions!$D$19,AB185:$AB$259)*(1+Assumptions!$D$19)</f>
        <v>0</v>
      </c>
      <c r="AO185" s="68">
        <f t="shared" si="41"/>
        <v>0</v>
      </c>
      <c r="AQ185" s="67">
        <f t="shared" si="46"/>
        <v>151336683.37747049</v>
      </c>
      <c r="AR185" s="95">
        <f>(AQ185+AB185-AC185)*Assumptions!$D$19</f>
        <v>649689.03644641873</v>
      </c>
      <c r="AS185" s="67">
        <f t="shared" si="47"/>
        <v>3984671.1043276093</v>
      </c>
      <c r="AT185" s="67">
        <f t="shared" si="42"/>
        <v>151687856.07565826</v>
      </c>
      <c r="AU185" s="67"/>
      <c r="AV185" s="67"/>
      <c r="AW185" s="67"/>
      <c r="AY185" s="67"/>
      <c r="AZ185" s="70">
        <f t="shared" si="36"/>
        <v>0</v>
      </c>
    </row>
    <row r="186" spans="2:52" x14ac:dyDescent="0.2">
      <c r="B186" s="5">
        <f t="shared" si="32"/>
        <v>179</v>
      </c>
      <c r="C186" s="5">
        <f t="shared" si="33"/>
        <v>179</v>
      </c>
      <c r="D186" s="5">
        <f t="shared" si="34"/>
        <v>14</v>
      </c>
      <c r="E186" s="5">
        <f t="shared" si="35"/>
        <v>60</v>
      </c>
      <c r="F186" s="64">
        <f>1-(1-VLOOKUP($E186,'Annual Mortality Rates'!$B$5:$C$105,2,FALSE))^(1/12)</f>
        <v>3.3143684343883706E-4</v>
      </c>
      <c r="G186" s="75">
        <f>IF(C186&gt;=Assumptions!$H$9*12,100%,1-(1-IF(D186&gt;=7,2%,VLOOKUP($D186,'Annual Lapse Rates'!$B$4:$C$14,2,FALSE)))^(1/12))</f>
        <v>1.6821425527395739E-3</v>
      </c>
      <c r="H186" s="81">
        <f t="shared" si="43"/>
        <v>11</v>
      </c>
      <c r="I186" s="65">
        <f t="shared" si="37"/>
        <v>2641.6517140385781</v>
      </c>
      <c r="J186" s="66">
        <f t="shared" si="38"/>
        <v>0.87554070556573982</v>
      </c>
      <c r="K186" s="66">
        <f t="shared" si="39"/>
        <v>4.4526155902862454</v>
      </c>
      <c r="M186" s="97">
        <f t="shared" si="44"/>
        <v>55913.194077171072</v>
      </c>
      <c r="N186" s="97">
        <f>IF(AND(H186=1,D186&lt;15),Assumptions!$H$4,0)</f>
        <v>0</v>
      </c>
      <c r="O186" s="103"/>
      <c r="P186" s="98">
        <f>$M186*(1+VLOOKUP($H186,Assumptions!$C$22:$D$33,2,FALSE))^(1/12)</f>
        <v>56070.892668219894</v>
      </c>
      <c r="Q186" s="98">
        <f>$M186*(1+VLOOKUP($H186,Assumptions!$C$22:$D$33,2,FALSE))^(1/12)</f>
        <v>56070.892668219894</v>
      </c>
      <c r="R186" s="97">
        <f>IF(AND(H186=12,D186&lt;15),Assumptions!$C$7*M186,0)</f>
        <v>0</v>
      </c>
      <c r="S186" s="99">
        <f>(M186+N186-O186)*Assumptions!$D$17</f>
        <v>227.79727380954893</v>
      </c>
      <c r="T186" s="99">
        <f t="shared" si="40"/>
        <v>0</v>
      </c>
      <c r="U186" s="101"/>
      <c r="V186" s="101">
        <f>IF(C186&gt;=Assumptions!$H$9*12,0,M186+N186-O186+S186-R186)</f>
        <v>56140.991350980621</v>
      </c>
      <c r="W186" s="103"/>
      <c r="X186" s="97">
        <f>IF(AND(H186=1,D186&lt;15),Assumptions!$D$10*N186+Assumptions!$D$11*(1+Assumptions!$D$16)^(B186-1),0)</f>
        <v>0</v>
      </c>
      <c r="Y186" s="100">
        <f>Assumptions!$C$13*N186</f>
        <v>0</v>
      </c>
      <c r="AA186" s="67">
        <f t="shared" si="45"/>
        <v>147703184.97133064</v>
      </c>
      <c r="AB186" s="67">
        <f>N186*I186</f>
        <v>0</v>
      </c>
      <c r="AC186" s="67"/>
      <c r="AD186" s="90">
        <f>P186*J186</f>
        <v>49092.348928434112</v>
      </c>
      <c r="AE186" s="90">
        <f>Q186*K186</f>
        <v>249662.13085578263</v>
      </c>
      <c r="AF186" s="67">
        <f>R186*I187</f>
        <v>0</v>
      </c>
      <c r="AG186" s="68">
        <f>S186*I186</f>
        <v>601761.05881231022</v>
      </c>
      <c r="AH186" s="68">
        <f>T186*$I186</f>
        <v>0</v>
      </c>
      <c r="AI186" s="68">
        <f>U186*$I186</f>
        <v>0</v>
      </c>
      <c r="AJ186" s="67">
        <f>V186*I187</f>
        <v>148005818.05362085</v>
      </c>
      <c r="AK186" s="67">
        <f>W186*$I186</f>
        <v>0</v>
      </c>
      <c r="AL186" s="67">
        <f>X186*$I186</f>
        <v>0</v>
      </c>
      <c r="AM186" s="67">
        <f>Y186*$I186</f>
        <v>0</v>
      </c>
      <c r="AN186" s="65">
        <f>NPV(Assumptions!$D$19,AB186:$AB$259)*(1+Assumptions!$D$19)</f>
        <v>0</v>
      </c>
      <c r="AO186" s="68">
        <f t="shared" si="41"/>
        <v>0</v>
      </c>
      <c r="AQ186" s="67">
        <f t="shared" si="46"/>
        <v>151687856.07565826</v>
      </c>
      <c r="AR186" s="95">
        <f>(AQ186+AB186-AC186)*Assumptions!$D$19</f>
        <v>651196.6223589686</v>
      </c>
      <c r="AS186" s="67">
        <f t="shared" si="47"/>
        <v>4034106.6678742683</v>
      </c>
      <c r="AT186" s="67">
        <f t="shared" si="42"/>
        <v>152039924.72149512</v>
      </c>
      <c r="AU186" s="67"/>
      <c r="AV186" s="67"/>
      <c r="AW186" s="67"/>
      <c r="AY186" s="67"/>
      <c r="AZ186" s="70">
        <f t="shared" si="36"/>
        <v>0</v>
      </c>
    </row>
    <row r="187" spans="2:52" x14ac:dyDescent="0.2">
      <c r="B187" s="5">
        <f t="shared" si="32"/>
        <v>180</v>
      </c>
      <c r="C187" s="5">
        <f t="shared" si="33"/>
        <v>180</v>
      </c>
      <c r="D187" s="5">
        <f t="shared" si="34"/>
        <v>14</v>
      </c>
      <c r="E187" s="5">
        <f t="shared" si="35"/>
        <v>60</v>
      </c>
      <c r="F187" s="64">
        <f>1-(1-VLOOKUP($E187,'Annual Mortality Rates'!$B$5:$C$105,2,FALSE))^(1/12)</f>
        <v>3.3143684343883706E-4</v>
      </c>
      <c r="G187" s="75">
        <f>IF(C187&gt;=Assumptions!$H$9*12,100%,1-(1-IF(D187&gt;=7,2%,VLOOKUP($D187,'Annual Lapse Rates'!$B$4:$C$14,2,FALSE)))^(1/12))</f>
        <v>1</v>
      </c>
      <c r="H187" s="81">
        <f t="shared" si="43"/>
        <v>12</v>
      </c>
      <c r="I187" s="66">
        <f t="shared" si="37"/>
        <v>2636.3235577427263</v>
      </c>
      <c r="J187" s="66">
        <f t="shared" si="38"/>
        <v>0.87377475826169393</v>
      </c>
      <c r="K187" s="66">
        <f t="shared" si="39"/>
        <v>2635.4497829844645</v>
      </c>
      <c r="M187" s="97">
        <f t="shared" si="44"/>
        <v>56140.991350980621</v>
      </c>
      <c r="N187" s="97">
        <f>IF(AND(H187=1,D187&lt;15),Assumptions!$H$4,0)</f>
        <v>0</v>
      </c>
      <c r="O187" s="103"/>
      <c r="P187" s="98">
        <f>$M187*(1+VLOOKUP($H187,Assumptions!$C$22:$D$33,2,FALSE))^(1/12)</f>
        <v>56313.48688816862</v>
      </c>
      <c r="Q187" s="98">
        <f>$M187*(1+VLOOKUP($H187,Assumptions!$C$22:$D$33,2,FALSE))^(1/12)</f>
        <v>56313.48688816862</v>
      </c>
      <c r="R187" s="97">
        <f>IF(AND(H187=12,D187&lt;15),Assumptions!$C$7*M187,0)</f>
        <v>28.07049567549031</v>
      </c>
      <c r="S187" s="99">
        <f>(M187+N187-O187)*Assumptions!$D$17</f>
        <v>228.72534810062666</v>
      </c>
      <c r="T187" s="99">
        <f t="shared" si="40"/>
        <v>56369.716699081247</v>
      </c>
      <c r="U187" s="101"/>
      <c r="V187" s="101">
        <f>IF(C187&gt;=Assumptions!$H$9*12,0,M187+N187-O187+S187-R187)</f>
        <v>0</v>
      </c>
      <c r="W187" s="103"/>
      <c r="X187" s="97">
        <f>IF(AND(H187=1,D187&lt;15),Assumptions!$D$10*N187+Assumptions!$D$11*(1+Assumptions!$D$16)^(B187-1),0)</f>
        <v>0</v>
      </c>
      <c r="Y187" s="100">
        <f>Assumptions!$C$13*N187</f>
        <v>0</v>
      </c>
      <c r="AA187" s="67">
        <f t="shared" si="45"/>
        <v>148005818.05362085</v>
      </c>
      <c r="AB187" s="67">
        <f>N187*I187</f>
        <v>0</v>
      </c>
      <c r="AC187" s="67"/>
      <c r="AD187" s="90">
        <f>P187*J187</f>
        <v>49205.303392582609</v>
      </c>
      <c r="AE187" s="90">
        <f>Q187*K187</f>
        <v>148411366.79852247</v>
      </c>
      <c r="AF187" s="67">
        <f>R187*I188</f>
        <v>0</v>
      </c>
      <c r="AG187" s="68">
        <f>S187*I187</f>
        <v>602994.02345058764</v>
      </c>
      <c r="AH187" s="68">
        <f>T187*$I187</f>
        <v>148608812.07707143</v>
      </c>
      <c r="AI187" s="68">
        <f>U187*$I187</f>
        <v>0</v>
      </c>
      <c r="AJ187" s="67">
        <f>V187*I188</f>
        <v>0</v>
      </c>
      <c r="AK187" s="67">
        <f>W187*$I187</f>
        <v>0</v>
      </c>
      <c r="AL187" s="67">
        <f>X187*$I187</f>
        <v>0</v>
      </c>
      <c r="AM187" s="67">
        <f>Y187*$I187</f>
        <v>0</v>
      </c>
      <c r="AN187" s="65">
        <f>NPV(Assumptions!$D$19,AB187:$AB$259)*(1+Assumptions!$D$19)</f>
        <v>0</v>
      </c>
      <c r="AO187" s="68">
        <f t="shared" si="41"/>
        <v>0</v>
      </c>
      <c r="AP187" s="71"/>
      <c r="AQ187" s="67">
        <f t="shared" si="46"/>
        <v>152039924.72149512</v>
      </c>
      <c r="AR187" s="95">
        <f>(AQ187+AB187-AC187)*Assumptions!$D$19</f>
        <v>652708.05457865214</v>
      </c>
      <c r="AS187" s="67">
        <f t="shared" si="47"/>
        <v>4083820.6990023321</v>
      </c>
      <c r="AT187" s="67">
        <f t="shared" si="42"/>
        <v>4083820.6990023321</v>
      </c>
      <c r="AU187" s="67"/>
      <c r="AV187" s="67"/>
      <c r="AW187" s="67"/>
      <c r="AY187" s="67"/>
      <c r="AZ187" s="70">
        <f t="shared" si="36"/>
        <v>0</v>
      </c>
    </row>
    <row r="188" spans="2:52" x14ac:dyDescent="0.2">
      <c r="B188" s="5">
        <f t="shared" si="32"/>
        <v>181</v>
      </c>
      <c r="C188" s="5">
        <f t="shared" si="33"/>
        <v>181</v>
      </c>
      <c r="D188" s="5">
        <f t="shared" si="34"/>
        <v>15</v>
      </c>
      <c r="E188" s="5">
        <f t="shared" si="35"/>
        <v>61</v>
      </c>
      <c r="F188" s="64">
        <f>1-(1-VLOOKUP($E188,'Annual Mortality Rates'!$B$5:$C$105,2,FALSE))^(1/12)</f>
        <v>3.6573479451496027E-4</v>
      </c>
      <c r="G188" s="75">
        <f>IF(C188&gt;=Assumptions!$H$9*12,100%,1-(1-IF(D188&gt;=7,2%,VLOOKUP($D188,'Annual Lapse Rates'!$B$4:$C$14,2,FALSE)))^(1/12))</f>
        <v>1</v>
      </c>
      <c r="H188" s="81">
        <f t="shared" si="43"/>
        <v>1</v>
      </c>
      <c r="I188" s="65">
        <f t="shared" si="37"/>
        <v>0</v>
      </c>
      <c r="J188" s="66">
        <f t="shared" si="38"/>
        <v>0</v>
      </c>
      <c r="K188" s="66">
        <f t="shared" si="39"/>
        <v>0</v>
      </c>
      <c r="M188" s="97">
        <f t="shared" si="44"/>
        <v>0</v>
      </c>
      <c r="N188" s="97">
        <f>IF(AND(H188=1,D188&lt;15),Assumptions!$H$4,0)</f>
        <v>0</v>
      </c>
      <c r="O188" s="103"/>
      <c r="P188" s="98">
        <f>$M188*(1+VLOOKUP($H188,Assumptions!$C$22:$D$33,2,FALSE))^(1/12)</f>
        <v>0</v>
      </c>
      <c r="Q188" s="98">
        <f>$M188*(1+VLOOKUP($H188,Assumptions!$C$22:$D$33,2,FALSE))^(1/12)</f>
        <v>0</v>
      </c>
      <c r="R188" s="97">
        <f>IF(AND(H188=12,D188&lt;15),Assumptions!$C$7*M188,0)</f>
        <v>0</v>
      </c>
      <c r="S188" s="99">
        <f>(M188+N188-O188)*Assumptions!$D$17</f>
        <v>0</v>
      </c>
      <c r="T188" s="99">
        <f t="shared" si="40"/>
        <v>0</v>
      </c>
      <c r="U188" s="102"/>
      <c r="V188" s="101">
        <f>IF(C188&gt;=Assumptions!$H$9*12,0,M188+N188-O188+S188-R188)</f>
        <v>0</v>
      </c>
      <c r="W188" s="103"/>
      <c r="X188" s="97">
        <f>IF(AND(H188=1,D188&lt;15),Assumptions!$D$10*N188+Assumptions!$D$11*(1+Assumptions!$D$16)^(B188-1),0)</f>
        <v>0</v>
      </c>
      <c r="Y188" s="100">
        <f>Assumptions!$C$13*N188</f>
        <v>0</v>
      </c>
      <c r="AA188" s="67">
        <f t="shared" si="45"/>
        <v>0</v>
      </c>
      <c r="AB188" s="67">
        <f>N188*I188</f>
        <v>0</v>
      </c>
      <c r="AC188" s="67"/>
      <c r="AD188" s="90">
        <f>P188*J188</f>
        <v>0</v>
      </c>
      <c r="AE188" s="90">
        <f>Q188*K188</f>
        <v>0</v>
      </c>
      <c r="AF188" s="67">
        <f>R188*I189</f>
        <v>0</v>
      </c>
      <c r="AG188" s="68">
        <f>S188*I188</f>
        <v>0</v>
      </c>
      <c r="AH188" s="68">
        <f>T188*$I188</f>
        <v>0</v>
      </c>
      <c r="AI188" s="68">
        <f>U188*$I188</f>
        <v>0</v>
      </c>
      <c r="AJ188" s="67">
        <f>V188*I189</f>
        <v>0</v>
      </c>
      <c r="AK188" s="67">
        <f>W188*$I188</f>
        <v>0</v>
      </c>
      <c r="AL188" s="67">
        <f>X188*$I188</f>
        <v>0</v>
      </c>
      <c r="AM188" s="67">
        <f>Y188*$I188</f>
        <v>0</v>
      </c>
      <c r="AN188" s="65">
        <f>NPV(Assumptions!$D$19,AB188:$AB$259)*(1+Assumptions!$D$19)</f>
        <v>0</v>
      </c>
      <c r="AO188" s="68">
        <f t="shared" si="41"/>
        <v>0</v>
      </c>
      <c r="AQ188" s="67">
        <f t="shared" si="46"/>
        <v>4083820.6990023321</v>
      </c>
      <c r="AR188" s="95">
        <f>(AQ188+AB188-AC188)*Assumptions!$D$19</f>
        <v>17531.859928085021</v>
      </c>
      <c r="AS188" s="67">
        <f t="shared" si="47"/>
        <v>4101352.5589304171</v>
      </c>
      <c r="AT188" s="67">
        <f t="shared" si="42"/>
        <v>4101352.5589304171</v>
      </c>
      <c r="AU188" s="67"/>
      <c r="AV188" s="67"/>
      <c r="AW188" s="67"/>
      <c r="AY188" s="67"/>
      <c r="AZ188" s="70">
        <f t="shared" si="36"/>
        <v>0</v>
      </c>
    </row>
    <row r="189" spans="2:52" x14ac:dyDescent="0.2">
      <c r="B189" s="5">
        <f t="shared" si="32"/>
        <v>182</v>
      </c>
      <c r="C189" s="5">
        <f t="shared" si="33"/>
        <v>182</v>
      </c>
      <c r="D189" s="5">
        <f t="shared" si="34"/>
        <v>15</v>
      </c>
      <c r="E189" s="5">
        <f t="shared" si="35"/>
        <v>61</v>
      </c>
      <c r="F189" s="64">
        <f>1-(1-VLOOKUP($E189,'Annual Mortality Rates'!$B$5:$C$105,2,FALSE))^(1/12)</f>
        <v>3.6573479451496027E-4</v>
      </c>
      <c r="G189" s="75">
        <f>IF(C189&gt;=Assumptions!$H$9*12,100%,1-(1-IF(D189&gt;=7,2%,VLOOKUP($D189,'Annual Lapse Rates'!$B$4:$C$14,2,FALSE)))^(1/12))</f>
        <v>1</v>
      </c>
      <c r="H189" s="81">
        <f t="shared" si="43"/>
        <v>2</v>
      </c>
      <c r="I189" s="65">
        <f t="shared" si="37"/>
        <v>0</v>
      </c>
      <c r="J189" s="66">
        <f t="shared" si="38"/>
        <v>0</v>
      </c>
      <c r="K189" s="66">
        <f t="shared" si="39"/>
        <v>0</v>
      </c>
      <c r="M189" s="97">
        <f t="shared" si="44"/>
        <v>0</v>
      </c>
      <c r="N189" s="97">
        <f>IF(AND(H189=1,D189&lt;15),Assumptions!$H$4,0)</f>
        <v>0</v>
      </c>
      <c r="O189" s="103"/>
      <c r="P189" s="98">
        <f>$M189*(1+VLOOKUP($H189,Assumptions!$C$22:$D$33,2,FALSE))^(1/12)</f>
        <v>0</v>
      </c>
      <c r="Q189" s="98">
        <f>$M189*(1+VLOOKUP($H189,Assumptions!$C$22:$D$33,2,FALSE))^(1/12)</f>
        <v>0</v>
      </c>
      <c r="R189" s="97">
        <f>IF(AND(H189=12,D189&lt;15),Assumptions!$C$7*M189,0)</f>
        <v>0</v>
      </c>
      <c r="S189" s="99">
        <f>(M189+N189-O189)*Assumptions!$D$17</f>
        <v>0</v>
      </c>
      <c r="T189" s="99">
        <f t="shared" si="40"/>
        <v>0</v>
      </c>
      <c r="U189" s="101"/>
      <c r="V189" s="101">
        <f>IF(C189&gt;=Assumptions!$H$9*12,0,M189+N189-O189+S189-R189)</f>
        <v>0</v>
      </c>
      <c r="W189" s="103"/>
      <c r="X189" s="97">
        <f>IF(AND(H189=1,D189&lt;15),Assumptions!$D$10*N189+Assumptions!$D$11*(1+Assumptions!$D$16)^(B189-1),0)</f>
        <v>0</v>
      </c>
      <c r="Y189" s="100">
        <f>Assumptions!$C$13*N189</f>
        <v>0</v>
      </c>
      <c r="AA189" s="67">
        <f t="shared" si="45"/>
        <v>0</v>
      </c>
      <c r="AB189" s="67">
        <f>N189*I189</f>
        <v>0</v>
      </c>
      <c r="AC189" s="67"/>
      <c r="AD189" s="90">
        <f>P189*J189</f>
        <v>0</v>
      </c>
      <c r="AE189" s="90">
        <f>Q189*K189</f>
        <v>0</v>
      </c>
      <c r="AF189" s="67">
        <f>R189*I190</f>
        <v>0</v>
      </c>
      <c r="AG189" s="68">
        <f>S189*I189</f>
        <v>0</v>
      </c>
      <c r="AH189" s="68">
        <f>T189*$I189</f>
        <v>0</v>
      </c>
      <c r="AI189" s="68">
        <f>U189*$I189</f>
        <v>0</v>
      </c>
      <c r="AJ189" s="67">
        <f>V189*I190</f>
        <v>0</v>
      </c>
      <c r="AK189" s="67">
        <f>W189*$I189</f>
        <v>0</v>
      </c>
      <c r="AL189" s="67">
        <f>X189*$I189</f>
        <v>0</v>
      </c>
      <c r="AM189" s="67">
        <f>Y189*$I189</f>
        <v>0</v>
      </c>
      <c r="AN189" s="65">
        <f>NPV(Assumptions!$D$19,AB189:$AB$259)*(1+Assumptions!$D$19)</f>
        <v>0</v>
      </c>
      <c r="AO189" s="68">
        <f t="shared" si="41"/>
        <v>0</v>
      </c>
      <c r="AQ189" s="67">
        <f t="shared" si="46"/>
        <v>4101352.5589304171</v>
      </c>
      <c r="AR189" s="95">
        <f>(AQ189+AB189-AC189)*Assumptions!$D$19</f>
        <v>17607.124278601947</v>
      </c>
      <c r="AS189" s="67">
        <f t="shared" si="47"/>
        <v>4118959.6832090188</v>
      </c>
      <c r="AT189" s="67">
        <f t="shared" si="42"/>
        <v>4118959.6832090188</v>
      </c>
      <c r="AU189" s="67"/>
      <c r="AV189" s="67"/>
      <c r="AW189" s="67"/>
      <c r="AY189" s="67"/>
      <c r="AZ189" s="70">
        <f t="shared" si="36"/>
        <v>0</v>
      </c>
    </row>
    <row r="190" spans="2:52" x14ac:dyDescent="0.2">
      <c r="B190" s="5">
        <f t="shared" si="32"/>
        <v>183</v>
      </c>
      <c r="C190" s="5">
        <f t="shared" si="33"/>
        <v>183</v>
      </c>
      <c r="D190" s="5">
        <f t="shared" si="34"/>
        <v>15</v>
      </c>
      <c r="E190" s="5">
        <f t="shared" si="35"/>
        <v>61</v>
      </c>
      <c r="F190" s="64">
        <f>1-(1-VLOOKUP($E190,'Annual Mortality Rates'!$B$5:$C$105,2,FALSE))^(1/12)</f>
        <v>3.6573479451496027E-4</v>
      </c>
      <c r="G190" s="75">
        <f>IF(C190&gt;=Assumptions!$H$9*12,100%,1-(1-IF(D190&gt;=7,2%,VLOOKUP($D190,'Annual Lapse Rates'!$B$4:$C$14,2,FALSE)))^(1/12))</f>
        <v>1</v>
      </c>
      <c r="H190" s="81">
        <f t="shared" si="43"/>
        <v>3</v>
      </c>
      <c r="I190" s="65">
        <f t="shared" si="37"/>
        <v>0</v>
      </c>
      <c r="J190" s="66">
        <f t="shared" si="38"/>
        <v>0</v>
      </c>
      <c r="K190" s="66">
        <f t="shared" si="39"/>
        <v>0</v>
      </c>
      <c r="M190" s="97">
        <f t="shared" si="44"/>
        <v>0</v>
      </c>
      <c r="N190" s="97">
        <f>IF(AND(H190=1,D190&lt;15),Assumptions!$H$4,0)</f>
        <v>0</v>
      </c>
      <c r="O190" s="103"/>
      <c r="P190" s="98">
        <f>$M190*(1+VLOOKUP($H190,Assumptions!$C$22:$D$33,2,FALSE))^(1/12)</f>
        <v>0</v>
      </c>
      <c r="Q190" s="98">
        <f>$M190*(1+VLOOKUP($H190,Assumptions!$C$22:$D$33,2,FALSE))^(1/12)</f>
        <v>0</v>
      </c>
      <c r="R190" s="97">
        <f>IF(AND(H190=12,D190&lt;15),Assumptions!$C$7*M190,0)</f>
        <v>0</v>
      </c>
      <c r="S190" s="99">
        <f>(M190+N190-O190)*Assumptions!$D$17</f>
        <v>0</v>
      </c>
      <c r="T190" s="99">
        <f t="shared" si="40"/>
        <v>0</v>
      </c>
      <c r="U190" s="101"/>
      <c r="V190" s="101">
        <f>IF(C190&gt;=Assumptions!$H$9*12,0,M190+N190-O190+S190-R190)</f>
        <v>0</v>
      </c>
      <c r="W190" s="103"/>
      <c r="X190" s="97">
        <f>IF(AND(H190=1,D190&lt;15),Assumptions!$D$10*N190+Assumptions!$D$11*(1+Assumptions!$D$16)^(B190-1),0)</f>
        <v>0</v>
      </c>
      <c r="Y190" s="100">
        <f>Assumptions!$C$13*N190</f>
        <v>0</v>
      </c>
      <c r="AA190" s="67">
        <f t="shared" si="45"/>
        <v>0</v>
      </c>
      <c r="AB190" s="67">
        <f>N190*I190</f>
        <v>0</v>
      </c>
      <c r="AC190" s="67"/>
      <c r="AD190" s="90">
        <f>P190*J190</f>
        <v>0</v>
      </c>
      <c r="AE190" s="90">
        <f>Q190*K190</f>
        <v>0</v>
      </c>
      <c r="AF190" s="67">
        <f>R190*I191</f>
        <v>0</v>
      </c>
      <c r="AG190" s="68">
        <f>S190*I190</f>
        <v>0</v>
      </c>
      <c r="AH190" s="68">
        <f>T190*$I190</f>
        <v>0</v>
      </c>
      <c r="AI190" s="68">
        <f>U190*$I190</f>
        <v>0</v>
      </c>
      <c r="AJ190" s="67">
        <f>V190*I191</f>
        <v>0</v>
      </c>
      <c r="AK190" s="67">
        <f>W190*$I190</f>
        <v>0</v>
      </c>
      <c r="AL190" s="67">
        <f>X190*$I190</f>
        <v>0</v>
      </c>
      <c r="AM190" s="67">
        <f>Y190*$I190</f>
        <v>0</v>
      </c>
      <c r="AN190" s="65">
        <f>NPV(Assumptions!$D$19,AB190:$AB$259)*(1+Assumptions!$D$19)</f>
        <v>0</v>
      </c>
      <c r="AO190" s="68">
        <f t="shared" si="41"/>
        <v>0</v>
      </c>
      <c r="AQ190" s="67">
        <f t="shared" si="46"/>
        <v>4118959.6832090188</v>
      </c>
      <c r="AR190" s="95">
        <f>(AQ190+AB190-AC190)*Assumptions!$D$19</f>
        <v>17682.711739301249</v>
      </c>
      <c r="AS190" s="67">
        <f t="shared" si="47"/>
        <v>4136642.39494832</v>
      </c>
      <c r="AT190" s="67">
        <f t="shared" si="42"/>
        <v>4136642.39494832</v>
      </c>
      <c r="AU190" s="67"/>
      <c r="AV190" s="67"/>
      <c r="AW190" s="67"/>
      <c r="AY190" s="67"/>
      <c r="AZ190" s="70">
        <f t="shared" si="36"/>
        <v>0</v>
      </c>
    </row>
    <row r="191" spans="2:52" x14ac:dyDescent="0.2">
      <c r="B191" s="5">
        <f t="shared" si="32"/>
        <v>184</v>
      </c>
      <c r="C191" s="5">
        <f t="shared" si="33"/>
        <v>184</v>
      </c>
      <c r="D191" s="5">
        <f t="shared" si="34"/>
        <v>15</v>
      </c>
      <c r="E191" s="5">
        <f t="shared" si="35"/>
        <v>61</v>
      </c>
      <c r="F191" s="64">
        <f>1-(1-VLOOKUP($E191,'Annual Mortality Rates'!$B$5:$C$105,2,FALSE))^(1/12)</f>
        <v>3.6573479451496027E-4</v>
      </c>
      <c r="G191" s="75">
        <f>IF(C191&gt;=Assumptions!$H$9*12,100%,1-(1-IF(D191&gt;=7,2%,VLOOKUP($D191,'Annual Lapse Rates'!$B$4:$C$14,2,FALSE)))^(1/12))</f>
        <v>1</v>
      </c>
      <c r="H191" s="81">
        <f t="shared" si="43"/>
        <v>4</v>
      </c>
      <c r="I191" s="65">
        <f t="shared" si="37"/>
        <v>0</v>
      </c>
      <c r="J191" s="66">
        <f t="shared" si="38"/>
        <v>0</v>
      </c>
      <c r="K191" s="66">
        <f t="shared" si="39"/>
        <v>0</v>
      </c>
      <c r="M191" s="97">
        <f t="shared" si="44"/>
        <v>0</v>
      </c>
      <c r="N191" s="97">
        <f>IF(AND(H191=1,D191&lt;15),Assumptions!$H$4,0)</f>
        <v>0</v>
      </c>
      <c r="O191" s="103"/>
      <c r="P191" s="98">
        <f>$M191*(1+VLOOKUP($H191,Assumptions!$C$22:$D$33,2,FALSE))^(1/12)</f>
        <v>0</v>
      </c>
      <c r="Q191" s="98">
        <f>$M191*(1+VLOOKUP($H191,Assumptions!$C$22:$D$33,2,FALSE))^(1/12)</f>
        <v>0</v>
      </c>
      <c r="R191" s="97">
        <f>IF(AND(H191=12,D191&lt;15),Assumptions!$C$7*M191,0)</f>
        <v>0</v>
      </c>
      <c r="S191" s="99">
        <f>(M191+N191-O191)*Assumptions!$D$17</f>
        <v>0</v>
      </c>
      <c r="T191" s="99">
        <f t="shared" si="40"/>
        <v>0</v>
      </c>
      <c r="U191" s="101"/>
      <c r="V191" s="101">
        <f>IF(C191&gt;=Assumptions!$H$9*12,0,M191+N191-O191+S191-R191)</f>
        <v>0</v>
      </c>
      <c r="W191" s="103"/>
      <c r="X191" s="97">
        <f>IF(AND(H191=1,D191&lt;15),Assumptions!$D$10*N191+Assumptions!$D$11*(1+Assumptions!$D$16)^(B191-1),0)</f>
        <v>0</v>
      </c>
      <c r="Y191" s="100">
        <f>Assumptions!$C$13*N191</f>
        <v>0</v>
      </c>
      <c r="AA191" s="67">
        <f t="shared" si="45"/>
        <v>0</v>
      </c>
      <c r="AB191" s="67">
        <f>N191*I191</f>
        <v>0</v>
      </c>
      <c r="AC191" s="67"/>
      <c r="AD191" s="90">
        <f>P191*J191</f>
        <v>0</v>
      </c>
      <c r="AE191" s="90">
        <f>Q191*K191</f>
        <v>0</v>
      </c>
      <c r="AF191" s="67">
        <f>R191*I192</f>
        <v>0</v>
      </c>
      <c r="AG191" s="68">
        <f>S191*I191</f>
        <v>0</v>
      </c>
      <c r="AH191" s="68">
        <f>T191*$I191</f>
        <v>0</v>
      </c>
      <c r="AI191" s="68">
        <f>U191*$I191</f>
        <v>0</v>
      </c>
      <c r="AJ191" s="67">
        <f>V191*I192</f>
        <v>0</v>
      </c>
      <c r="AK191" s="67">
        <f>W191*$I191</f>
        <v>0</v>
      </c>
      <c r="AL191" s="67">
        <f>X191*$I191</f>
        <v>0</v>
      </c>
      <c r="AM191" s="67">
        <f>Y191*$I191</f>
        <v>0</v>
      </c>
      <c r="AN191" s="65">
        <f>NPV(Assumptions!$D$19,AB191:$AB$259)*(1+Assumptions!$D$19)</f>
        <v>0</v>
      </c>
      <c r="AO191" s="68">
        <f t="shared" si="41"/>
        <v>0</v>
      </c>
      <c r="AQ191" s="67">
        <f t="shared" si="46"/>
        <v>4136642.39494832</v>
      </c>
      <c r="AR191" s="95">
        <f>(AQ191+AB191-AC191)*Assumptions!$D$19</f>
        <v>17758.623697296334</v>
      </c>
      <c r="AS191" s="67">
        <f t="shared" si="47"/>
        <v>4154401.0186456162</v>
      </c>
      <c r="AT191" s="67">
        <f t="shared" si="42"/>
        <v>4154401.0186456162</v>
      </c>
      <c r="AU191" s="67"/>
      <c r="AV191" s="67"/>
      <c r="AW191" s="67"/>
      <c r="AY191" s="67"/>
      <c r="AZ191" s="70">
        <f t="shared" si="36"/>
        <v>0</v>
      </c>
    </row>
    <row r="192" spans="2:52" x14ac:dyDescent="0.2">
      <c r="B192" s="5">
        <f t="shared" si="32"/>
        <v>185</v>
      </c>
      <c r="C192" s="5">
        <f t="shared" si="33"/>
        <v>185</v>
      </c>
      <c r="D192" s="5">
        <f t="shared" si="34"/>
        <v>15</v>
      </c>
      <c r="E192" s="5">
        <f t="shared" si="35"/>
        <v>61</v>
      </c>
      <c r="F192" s="64">
        <f>1-(1-VLOOKUP($E192,'Annual Mortality Rates'!$B$5:$C$105,2,FALSE))^(1/12)</f>
        <v>3.6573479451496027E-4</v>
      </c>
      <c r="G192" s="75">
        <f>IF(C192&gt;=Assumptions!$H$9*12,100%,1-(1-IF(D192&gt;=7,2%,VLOOKUP($D192,'Annual Lapse Rates'!$B$4:$C$14,2,FALSE)))^(1/12))</f>
        <v>1</v>
      </c>
      <c r="H192" s="81">
        <f t="shared" si="43"/>
        <v>5</v>
      </c>
      <c r="I192" s="65">
        <f t="shared" si="37"/>
        <v>0</v>
      </c>
      <c r="J192" s="66">
        <f t="shared" si="38"/>
        <v>0</v>
      </c>
      <c r="K192" s="66">
        <f t="shared" si="39"/>
        <v>0</v>
      </c>
      <c r="M192" s="97">
        <f t="shared" si="44"/>
        <v>0</v>
      </c>
      <c r="N192" s="97">
        <f>IF(AND(H192=1,D192&lt;15),Assumptions!$H$4,0)</f>
        <v>0</v>
      </c>
      <c r="O192" s="103"/>
      <c r="P192" s="98">
        <f>$M192*(1+VLOOKUP($H192,Assumptions!$C$22:$D$33,2,FALSE))^(1/12)</f>
        <v>0</v>
      </c>
      <c r="Q192" s="98">
        <f>$M192*(1+VLOOKUP($H192,Assumptions!$C$22:$D$33,2,FALSE))^(1/12)</f>
        <v>0</v>
      </c>
      <c r="R192" s="97">
        <f>IF(AND(H192=12,D192&lt;15),Assumptions!$C$7*M192,0)</f>
        <v>0</v>
      </c>
      <c r="S192" s="99">
        <f>(M192+N192-O192)*Assumptions!$D$17</f>
        <v>0</v>
      </c>
      <c r="T192" s="99">
        <f t="shared" si="40"/>
        <v>0</v>
      </c>
      <c r="U192" s="101"/>
      <c r="V192" s="101">
        <f>IF(C192&gt;=Assumptions!$H$9*12,0,M192+N192-O192+S192-R192)</f>
        <v>0</v>
      </c>
      <c r="W192" s="103"/>
      <c r="X192" s="97">
        <f>IF(AND(H192=1,D192&lt;15),Assumptions!$D$10*N192+Assumptions!$D$11*(1+Assumptions!$D$16)^(B192-1),0)</f>
        <v>0</v>
      </c>
      <c r="Y192" s="100">
        <f>Assumptions!$C$13*N192</f>
        <v>0</v>
      </c>
      <c r="AA192" s="67">
        <f t="shared" si="45"/>
        <v>0</v>
      </c>
      <c r="AB192" s="67">
        <f>N192*I192</f>
        <v>0</v>
      </c>
      <c r="AC192" s="67"/>
      <c r="AD192" s="90">
        <f>P192*J192</f>
        <v>0</v>
      </c>
      <c r="AE192" s="90">
        <f>Q192*K192</f>
        <v>0</v>
      </c>
      <c r="AF192" s="67">
        <f>R192*I193</f>
        <v>0</v>
      </c>
      <c r="AG192" s="68">
        <f>S192*I192</f>
        <v>0</v>
      </c>
      <c r="AH192" s="68">
        <f>T192*$I192</f>
        <v>0</v>
      </c>
      <c r="AI192" s="68">
        <f>U192*$I192</f>
        <v>0</v>
      </c>
      <c r="AJ192" s="67">
        <f>V192*I193</f>
        <v>0</v>
      </c>
      <c r="AK192" s="67">
        <f>W192*$I192</f>
        <v>0</v>
      </c>
      <c r="AL192" s="67">
        <f>X192*$I192</f>
        <v>0</v>
      </c>
      <c r="AM192" s="67">
        <f>Y192*$I192</f>
        <v>0</v>
      </c>
      <c r="AN192" s="65">
        <f>NPV(Assumptions!$D$19,AB192:$AB$259)*(1+Assumptions!$D$19)</f>
        <v>0</v>
      </c>
      <c r="AO192" s="68">
        <f t="shared" si="41"/>
        <v>0</v>
      </c>
      <c r="AQ192" s="67">
        <f t="shared" si="46"/>
        <v>4154401.0186456162</v>
      </c>
      <c r="AR192" s="95">
        <f>(AQ192+AB192-AC192)*Assumptions!$D$19</f>
        <v>17834.861545655502</v>
      </c>
      <c r="AS192" s="67">
        <f t="shared" si="47"/>
        <v>4172235.8801912717</v>
      </c>
      <c r="AT192" s="67">
        <f t="shared" si="42"/>
        <v>4172235.8801912717</v>
      </c>
      <c r="AU192" s="67"/>
      <c r="AV192" s="67"/>
      <c r="AW192" s="67"/>
      <c r="AY192" s="67"/>
      <c r="AZ192" s="70">
        <f t="shared" si="36"/>
        <v>0</v>
      </c>
    </row>
    <row r="193" spans="2:52" x14ac:dyDescent="0.2">
      <c r="B193" s="5">
        <f t="shared" si="32"/>
        <v>186</v>
      </c>
      <c r="C193" s="5">
        <f t="shared" si="33"/>
        <v>186</v>
      </c>
      <c r="D193" s="5">
        <f t="shared" si="34"/>
        <v>15</v>
      </c>
      <c r="E193" s="5">
        <f t="shared" si="35"/>
        <v>61</v>
      </c>
      <c r="F193" s="64">
        <f>1-(1-VLOOKUP($E193,'Annual Mortality Rates'!$B$5:$C$105,2,FALSE))^(1/12)</f>
        <v>3.6573479451496027E-4</v>
      </c>
      <c r="G193" s="75">
        <f>IF(C193&gt;=Assumptions!$H$9*12,100%,1-(1-IF(D193&gt;=7,2%,VLOOKUP($D193,'Annual Lapse Rates'!$B$4:$C$14,2,FALSE)))^(1/12))</f>
        <v>1</v>
      </c>
      <c r="H193" s="81">
        <f t="shared" si="43"/>
        <v>6</v>
      </c>
      <c r="I193" s="65">
        <f t="shared" si="37"/>
        <v>0</v>
      </c>
      <c r="J193" s="66">
        <f t="shared" si="38"/>
        <v>0</v>
      </c>
      <c r="K193" s="66">
        <f t="shared" si="39"/>
        <v>0</v>
      </c>
      <c r="M193" s="97">
        <f t="shared" si="44"/>
        <v>0</v>
      </c>
      <c r="N193" s="97">
        <f>IF(AND(H193=1,D193&lt;15),Assumptions!$H$4,0)</f>
        <v>0</v>
      </c>
      <c r="O193" s="103"/>
      <c r="P193" s="98">
        <f>$M193*(1+VLOOKUP($H193,Assumptions!$C$22:$D$33,2,FALSE))^(1/12)</f>
        <v>0</v>
      </c>
      <c r="Q193" s="98">
        <f>$M193*(1+VLOOKUP($H193,Assumptions!$C$22:$D$33,2,FALSE))^(1/12)</f>
        <v>0</v>
      </c>
      <c r="R193" s="97">
        <f>IF(AND(H193=12,D193&lt;15),Assumptions!$C$7*M193,0)</f>
        <v>0</v>
      </c>
      <c r="S193" s="99">
        <f>(M193+N193-O193)*Assumptions!$D$17</f>
        <v>0</v>
      </c>
      <c r="T193" s="99">
        <f t="shared" si="40"/>
        <v>0</v>
      </c>
      <c r="U193" s="101"/>
      <c r="V193" s="101">
        <f>IF(C193&gt;=Assumptions!$H$9*12,0,M193+N193-O193+S193-R193)</f>
        <v>0</v>
      </c>
      <c r="W193" s="103"/>
      <c r="X193" s="97">
        <f>IF(AND(H193=1,D193&lt;15),Assumptions!$D$10*N193+Assumptions!$D$11*(1+Assumptions!$D$16)^(B193-1),0)</f>
        <v>0</v>
      </c>
      <c r="Y193" s="100">
        <f>Assumptions!$C$13*N193</f>
        <v>0</v>
      </c>
      <c r="AA193" s="67">
        <f t="shared" si="45"/>
        <v>0</v>
      </c>
      <c r="AB193" s="67">
        <f>N193*I193</f>
        <v>0</v>
      </c>
      <c r="AC193" s="67"/>
      <c r="AD193" s="90">
        <f>P193*J193</f>
        <v>0</v>
      </c>
      <c r="AE193" s="90">
        <f>Q193*K193</f>
        <v>0</v>
      </c>
      <c r="AF193" s="67">
        <f>R193*I194</f>
        <v>0</v>
      </c>
      <c r="AG193" s="68">
        <f>S193*I193</f>
        <v>0</v>
      </c>
      <c r="AH193" s="68">
        <f>T193*$I193</f>
        <v>0</v>
      </c>
      <c r="AI193" s="68">
        <f>U193*$I193</f>
        <v>0</v>
      </c>
      <c r="AJ193" s="67">
        <f>V193*I194</f>
        <v>0</v>
      </c>
      <c r="AK193" s="67">
        <f>W193*$I193</f>
        <v>0</v>
      </c>
      <c r="AL193" s="67">
        <f>X193*$I193</f>
        <v>0</v>
      </c>
      <c r="AM193" s="67">
        <f>Y193*$I193</f>
        <v>0</v>
      </c>
      <c r="AN193" s="65">
        <f>NPV(Assumptions!$D$19,AB193:$AB$259)*(1+Assumptions!$D$19)</f>
        <v>0</v>
      </c>
      <c r="AO193" s="68">
        <f t="shared" si="41"/>
        <v>0</v>
      </c>
      <c r="AQ193" s="67">
        <f t="shared" si="46"/>
        <v>4172235.8801912717</v>
      </c>
      <c r="AR193" s="95">
        <f>(AQ193+AB193-AC193)*Assumptions!$D$19</f>
        <v>17911.426683427493</v>
      </c>
      <c r="AS193" s="67">
        <f t="shared" si="47"/>
        <v>4190147.306874699</v>
      </c>
      <c r="AT193" s="67">
        <f t="shared" si="42"/>
        <v>4190147.306874699</v>
      </c>
      <c r="AU193" s="67"/>
      <c r="AV193" s="67"/>
      <c r="AW193" s="67"/>
      <c r="AY193" s="67"/>
      <c r="AZ193" s="70">
        <f t="shared" si="36"/>
        <v>0</v>
      </c>
    </row>
    <row r="194" spans="2:52" x14ac:dyDescent="0.2">
      <c r="B194" s="5">
        <f t="shared" si="32"/>
        <v>187</v>
      </c>
      <c r="C194" s="5">
        <f t="shared" si="33"/>
        <v>187</v>
      </c>
      <c r="D194" s="5">
        <f t="shared" si="34"/>
        <v>15</v>
      </c>
      <c r="E194" s="5">
        <f t="shared" si="35"/>
        <v>61</v>
      </c>
      <c r="F194" s="64">
        <f>1-(1-VLOOKUP($E194,'Annual Mortality Rates'!$B$5:$C$105,2,FALSE))^(1/12)</f>
        <v>3.6573479451496027E-4</v>
      </c>
      <c r="G194" s="75">
        <f>IF(C194&gt;=Assumptions!$H$9*12,100%,1-(1-IF(D194&gt;=7,2%,VLOOKUP($D194,'Annual Lapse Rates'!$B$4:$C$14,2,FALSE)))^(1/12))</f>
        <v>1</v>
      </c>
      <c r="H194" s="81">
        <f t="shared" si="43"/>
        <v>7</v>
      </c>
      <c r="I194" s="65">
        <f t="shared" si="37"/>
        <v>0</v>
      </c>
      <c r="J194" s="66">
        <f t="shared" si="38"/>
        <v>0</v>
      </c>
      <c r="K194" s="66">
        <f t="shared" si="39"/>
        <v>0</v>
      </c>
      <c r="M194" s="97">
        <f t="shared" si="44"/>
        <v>0</v>
      </c>
      <c r="N194" s="97">
        <f>IF(AND(H194=1,D194&lt;15),Assumptions!$H$4,0)</f>
        <v>0</v>
      </c>
      <c r="O194" s="103"/>
      <c r="P194" s="98">
        <f>$M194*(1+VLOOKUP($H194,Assumptions!$C$22:$D$33,2,FALSE))^(1/12)</f>
        <v>0</v>
      </c>
      <c r="Q194" s="98">
        <f>$M194*(1+VLOOKUP($H194,Assumptions!$C$22:$D$33,2,FALSE))^(1/12)</f>
        <v>0</v>
      </c>
      <c r="R194" s="97">
        <f>IF(AND(H194=12,D194&lt;15),Assumptions!$C$7*M194,0)</f>
        <v>0</v>
      </c>
      <c r="S194" s="99">
        <f>(M194+N194-O194)*Assumptions!$D$17</f>
        <v>0</v>
      </c>
      <c r="T194" s="99">
        <f t="shared" si="40"/>
        <v>0</v>
      </c>
      <c r="U194" s="101"/>
      <c r="V194" s="101">
        <f>IF(C194&gt;=Assumptions!$H$9*12,0,M194+N194-O194+S194-R194)</f>
        <v>0</v>
      </c>
      <c r="W194" s="103"/>
      <c r="X194" s="97">
        <f>IF(AND(H194=1,D194&lt;15),Assumptions!$D$10*N194+Assumptions!$D$11*(1+Assumptions!$D$16)^(B194-1),0)</f>
        <v>0</v>
      </c>
      <c r="Y194" s="100">
        <f>Assumptions!$C$13*N194</f>
        <v>0</v>
      </c>
      <c r="AA194" s="67">
        <f t="shared" si="45"/>
        <v>0</v>
      </c>
      <c r="AB194" s="67">
        <f>N194*I194</f>
        <v>0</v>
      </c>
      <c r="AC194" s="67"/>
      <c r="AD194" s="90">
        <f>P194*J194</f>
        <v>0</v>
      </c>
      <c r="AE194" s="90">
        <f>Q194*K194</f>
        <v>0</v>
      </c>
      <c r="AF194" s="67">
        <f>R194*I195</f>
        <v>0</v>
      </c>
      <c r="AG194" s="68">
        <f>S194*I194</f>
        <v>0</v>
      </c>
      <c r="AH194" s="68">
        <f>T194*$I194</f>
        <v>0</v>
      </c>
      <c r="AI194" s="68">
        <f>U194*$I194</f>
        <v>0</v>
      </c>
      <c r="AJ194" s="67">
        <f>V194*I195</f>
        <v>0</v>
      </c>
      <c r="AK194" s="67">
        <f>W194*$I194</f>
        <v>0</v>
      </c>
      <c r="AL194" s="67">
        <f>X194*$I194</f>
        <v>0</v>
      </c>
      <c r="AM194" s="67">
        <f>Y194*$I194</f>
        <v>0</v>
      </c>
      <c r="AN194" s="65">
        <f>NPV(Assumptions!$D$19,AB194:$AB$259)*(1+Assumptions!$D$19)</f>
        <v>0</v>
      </c>
      <c r="AO194" s="68">
        <f t="shared" si="41"/>
        <v>0</v>
      </c>
      <c r="AQ194" s="67">
        <f t="shared" si="46"/>
        <v>4190147.306874699</v>
      </c>
      <c r="AR194" s="95">
        <f>(AQ194+AB194-AC194)*Assumptions!$D$19</f>
        <v>17988.320515667172</v>
      </c>
      <c r="AS194" s="67">
        <f t="shared" si="47"/>
        <v>4208135.627390366</v>
      </c>
      <c r="AT194" s="67">
        <f t="shared" si="42"/>
        <v>4208135.627390366</v>
      </c>
      <c r="AU194" s="67"/>
      <c r="AV194" s="67"/>
      <c r="AW194" s="67"/>
      <c r="AY194" s="67"/>
      <c r="AZ194" s="70">
        <f t="shared" si="36"/>
        <v>0</v>
      </c>
    </row>
    <row r="195" spans="2:52" x14ac:dyDescent="0.2">
      <c r="B195" s="5">
        <f t="shared" si="32"/>
        <v>188</v>
      </c>
      <c r="C195" s="5">
        <f t="shared" si="33"/>
        <v>188</v>
      </c>
      <c r="D195" s="5">
        <f t="shared" si="34"/>
        <v>15</v>
      </c>
      <c r="E195" s="5">
        <f t="shared" si="35"/>
        <v>61</v>
      </c>
      <c r="F195" s="64">
        <f>1-(1-VLOOKUP($E195,'Annual Mortality Rates'!$B$5:$C$105,2,FALSE))^(1/12)</f>
        <v>3.6573479451496027E-4</v>
      </c>
      <c r="G195" s="75">
        <f>IF(C195&gt;=Assumptions!$H$9*12,100%,1-(1-IF(D195&gt;=7,2%,VLOOKUP($D195,'Annual Lapse Rates'!$B$4:$C$14,2,FALSE)))^(1/12))</f>
        <v>1</v>
      </c>
      <c r="H195" s="81">
        <f t="shared" si="43"/>
        <v>8</v>
      </c>
      <c r="I195" s="65">
        <f t="shared" si="37"/>
        <v>0</v>
      </c>
      <c r="J195" s="66">
        <f t="shared" si="38"/>
        <v>0</v>
      </c>
      <c r="K195" s="66">
        <f t="shared" si="39"/>
        <v>0</v>
      </c>
      <c r="M195" s="97">
        <f t="shared" si="44"/>
        <v>0</v>
      </c>
      <c r="N195" s="97">
        <f>IF(AND(H195=1,D195&lt;15),Assumptions!$H$4,0)</f>
        <v>0</v>
      </c>
      <c r="O195" s="103"/>
      <c r="P195" s="98">
        <f>$M195*(1+VLOOKUP($H195,Assumptions!$C$22:$D$33,2,FALSE))^(1/12)</f>
        <v>0</v>
      </c>
      <c r="Q195" s="98">
        <f>$M195*(1+VLOOKUP($H195,Assumptions!$C$22:$D$33,2,FALSE))^(1/12)</f>
        <v>0</v>
      </c>
      <c r="R195" s="97">
        <f>IF(AND(H195=12,D195&lt;15),Assumptions!$C$7*M195,0)</f>
        <v>0</v>
      </c>
      <c r="S195" s="99">
        <f>(M195+N195-O195)*Assumptions!$D$17</f>
        <v>0</v>
      </c>
      <c r="T195" s="99">
        <f t="shared" si="40"/>
        <v>0</v>
      </c>
      <c r="U195" s="101"/>
      <c r="V195" s="101">
        <f>IF(C195&gt;=Assumptions!$H$9*12,0,M195+N195-O195+S195-R195)</f>
        <v>0</v>
      </c>
      <c r="W195" s="103"/>
      <c r="X195" s="97">
        <f>IF(AND(H195=1,D195&lt;15),Assumptions!$D$10*N195+Assumptions!$D$11*(1+Assumptions!$D$16)^(B195-1),0)</f>
        <v>0</v>
      </c>
      <c r="Y195" s="100">
        <f>Assumptions!$C$13*N195</f>
        <v>0</v>
      </c>
      <c r="AA195" s="67">
        <f t="shared" si="45"/>
        <v>0</v>
      </c>
      <c r="AB195" s="67">
        <f>N195*I195</f>
        <v>0</v>
      </c>
      <c r="AC195" s="67"/>
      <c r="AD195" s="90">
        <f>P195*J195</f>
        <v>0</v>
      </c>
      <c r="AE195" s="90">
        <f>Q195*K195</f>
        <v>0</v>
      </c>
      <c r="AF195" s="67">
        <f>R195*I196</f>
        <v>0</v>
      </c>
      <c r="AG195" s="68">
        <f>S195*I195</f>
        <v>0</v>
      </c>
      <c r="AH195" s="68">
        <f>T195*$I195</f>
        <v>0</v>
      </c>
      <c r="AI195" s="68">
        <f>U195*$I195</f>
        <v>0</v>
      </c>
      <c r="AJ195" s="67">
        <f>V195*I196</f>
        <v>0</v>
      </c>
      <c r="AK195" s="67">
        <f>W195*$I195</f>
        <v>0</v>
      </c>
      <c r="AL195" s="67">
        <f>X195*$I195</f>
        <v>0</v>
      </c>
      <c r="AM195" s="67">
        <f>Y195*$I195</f>
        <v>0</v>
      </c>
      <c r="AN195" s="65">
        <f>NPV(Assumptions!$D$19,AB195:$AB$259)*(1+Assumptions!$D$19)</f>
        <v>0</v>
      </c>
      <c r="AO195" s="68">
        <f t="shared" si="41"/>
        <v>0</v>
      </c>
      <c r="AQ195" s="67">
        <f t="shared" si="46"/>
        <v>4208135.627390366</v>
      </c>
      <c r="AR195" s="95">
        <f>(AQ195+AB195-AC195)*Assumptions!$D$19</f>
        <v>18065.544453461313</v>
      </c>
      <c r="AS195" s="67">
        <f t="shared" si="47"/>
        <v>4226201.1718438277</v>
      </c>
      <c r="AT195" s="67">
        <f t="shared" si="42"/>
        <v>4226201.1718438277</v>
      </c>
      <c r="AU195" s="67"/>
      <c r="AV195" s="67"/>
      <c r="AW195" s="67"/>
      <c r="AY195" s="67"/>
      <c r="AZ195" s="70">
        <f t="shared" si="36"/>
        <v>0</v>
      </c>
    </row>
    <row r="196" spans="2:52" x14ac:dyDescent="0.2">
      <c r="B196" s="5">
        <f t="shared" si="32"/>
        <v>189</v>
      </c>
      <c r="C196" s="5">
        <f t="shared" si="33"/>
        <v>189</v>
      </c>
      <c r="D196" s="5">
        <f t="shared" si="34"/>
        <v>15</v>
      </c>
      <c r="E196" s="5">
        <f t="shared" si="35"/>
        <v>61</v>
      </c>
      <c r="F196" s="64">
        <f>1-(1-VLOOKUP($E196,'Annual Mortality Rates'!$B$5:$C$105,2,FALSE))^(1/12)</f>
        <v>3.6573479451496027E-4</v>
      </c>
      <c r="G196" s="75">
        <f>IF(C196&gt;=Assumptions!$H$9*12,100%,1-(1-IF(D196&gt;=7,2%,VLOOKUP($D196,'Annual Lapse Rates'!$B$4:$C$14,2,FALSE)))^(1/12))</f>
        <v>1</v>
      </c>
      <c r="H196" s="81">
        <f t="shared" si="43"/>
        <v>9</v>
      </c>
      <c r="I196" s="65">
        <f t="shared" si="37"/>
        <v>0</v>
      </c>
      <c r="J196" s="66">
        <f t="shared" si="38"/>
        <v>0</v>
      </c>
      <c r="K196" s="66">
        <f t="shared" si="39"/>
        <v>0</v>
      </c>
      <c r="M196" s="97">
        <f t="shared" si="44"/>
        <v>0</v>
      </c>
      <c r="N196" s="97">
        <f>IF(AND(H196=1,D196&lt;15),Assumptions!$H$4,0)</f>
        <v>0</v>
      </c>
      <c r="O196" s="103"/>
      <c r="P196" s="98">
        <f>$M196*(1+VLOOKUP($H196,Assumptions!$C$22:$D$33,2,FALSE))^(1/12)</f>
        <v>0</v>
      </c>
      <c r="Q196" s="98">
        <f>$M196*(1+VLOOKUP($H196,Assumptions!$C$22:$D$33,2,FALSE))^(1/12)</f>
        <v>0</v>
      </c>
      <c r="R196" s="97">
        <f>IF(AND(H196=12,D196&lt;15),Assumptions!$C$7*M196,0)</f>
        <v>0</v>
      </c>
      <c r="S196" s="99">
        <f>(M196+N196-O196)*Assumptions!$D$17</f>
        <v>0</v>
      </c>
      <c r="T196" s="99">
        <f t="shared" si="40"/>
        <v>0</v>
      </c>
      <c r="U196" s="101"/>
      <c r="V196" s="101">
        <f>IF(C196&gt;=Assumptions!$H$9*12,0,M196+N196-O196+S196-R196)</f>
        <v>0</v>
      </c>
      <c r="W196" s="103"/>
      <c r="X196" s="97">
        <f>IF(AND(H196=1,D196&lt;15),Assumptions!$D$10*N196+Assumptions!$D$11*(1+Assumptions!$D$16)^(B196-1),0)</f>
        <v>0</v>
      </c>
      <c r="Y196" s="100">
        <f>Assumptions!$C$13*N196</f>
        <v>0</v>
      </c>
      <c r="AA196" s="67">
        <f t="shared" si="45"/>
        <v>0</v>
      </c>
      <c r="AB196" s="67">
        <f>N196*I196</f>
        <v>0</v>
      </c>
      <c r="AC196" s="67"/>
      <c r="AD196" s="90">
        <f>P196*J196</f>
        <v>0</v>
      </c>
      <c r="AE196" s="90">
        <f>Q196*K196</f>
        <v>0</v>
      </c>
      <c r="AF196" s="67">
        <f>R196*I197</f>
        <v>0</v>
      </c>
      <c r="AG196" s="68">
        <f>S196*I196</f>
        <v>0</v>
      </c>
      <c r="AH196" s="68">
        <f>T196*$I196</f>
        <v>0</v>
      </c>
      <c r="AI196" s="68">
        <f>U196*$I196</f>
        <v>0</v>
      </c>
      <c r="AJ196" s="67">
        <f>V196*I197</f>
        <v>0</v>
      </c>
      <c r="AK196" s="67">
        <f>W196*$I196</f>
        <v>0</v>
      </c>
      <c r="AL196" s="67">
        <f>X196*$I196</f>
        <v>0</v>
      </c>
      <c r="AM196" s="67">
        <f>Y196*$I196</f>
        <v>0</v>
      </c>
      <c r="AN196" s="65">
        <f>NPV(Assumptions!$D$19,AB196:$AB$259)*(1+Assumptions!$D$19)</f>
        <v>0</v>
      </c>
      <c r="AO196" s="68">
        <f t="shared" si="41"/>
        <v>0</v>
      </c>
      <c r="AQ196" s="67">
        <f t="shared" si="46"/>
        <v>4226201.1718438277</v>
      </c>
      <c r="AR196" s="95">
        <f>(AQ196+AB196-AC196)*Assumptions!$D$19</f>
        <v>18143.099913954487</v>
      </c>
      <c r="AS196" s="67">
        <f t="shared" si="47"/>
        <v>4244344.2717577824</v>
      </c>
      <c r="AT196" s="67">
        <f t="shared" si="42"/>
        <v>4244344.2717577824</v>
      </c>
      <c r="AU196" s="67"/>
      <c r="AV196" s="67"/>
      <c r="AW196" s="67"/>
      <c r="AY196" s="67"/>
      <c r="AZ196" s="70">
        <f t="shared" si="36"/>
        <v>0</v>
      </c>
    </row>
    <row r="197" spans="2:52" x14ac:dyDescent="0.2">
      <c r="B197" s="5">
        <f t="shared" si="32"/>
        <v>190</v>
      </c>
      <c r="C197" s="5">
        <f t="shared" si="33"/>
        <v>190</v>
      </c>
      <c r="D197" s="5">
        <f t="shared" si="34"/>
        <v>15</v>
      </c>
      <c r="E197" s="5">
        <f t="shared" si="35"/>
        <v>61</v>
      </c>
      <c r="F197" s="64">
        <f>1-(1-VLOOKUP($E197,'Annual Mortality Rates'!$B$5:$C$105,2,FALSE))^(1/12)</f>
        <v>3.6573479451496027E-4</v>
      </c>
      <c r="G197" s="75">
        <f>IF(C197&gt;=Assumptions!$H$9*12,100%,1-(1-IF(D197&gt;=7,2%,VLOOKUP($D197,'Annual Lapse Rates'!$B$4:$C$14,2,FALSE)))^(1/12))</f>
        <v>1</v>
      </c>
      <c r="H197" s="81">
        <f t="shared" si="43"/>
        <v>10</v>
      </c>
      <c r="I197" s="65">
        <f t="shared" si="37"/>
        <v>0</v>
      </c>
      <c r="J197" s="66">
        <f t="shared" si="38"/>
        <v>0</v>
      </c>
      <c r="K197" s="66">
        <f t="shared" si="39"/>
        <v>0</v>
      </c>
      <c r="M197" s="97">
        <f t="shared" si="44"/>
        <v>0</v>
      </c>
      <c r="N197" s="97">
        <f>IF(AND(H197=1,D197&lt;15),Assumptions!$H$4,0)</f>
        <v>0</v>
      </c>
      <c r="O197" s="103"/>
      <c r="P197" s="98">
        <f>$M197*(1+VLOOKUP($H197,Assumptions!$C$22:$D$33,2,FALSE))^(1/12)</f>
        <v>0</v>
      </c>
      <c r="Q197" s="98">
        <f>$M197*(1+VLOOKUP($H197,Assumptions!$C$22:$D$33,2,FALSE))^(1/12)</f>
        <v>0</v>
      </c>
      <c r="R197" s="97">
        <f>IF(AND(H197=12,D197&lt;15),Assumptions!$C$7*M197,0)</f>
        <v>0</v>
      </c>
      <c r="S197" s="99">
        <f>(M197+N197-O197)*Assumptions!$D$17</f>
        <v>0</v>
      </c>
      <c r="T197" s="99">
        <f t="shared" si="40"/>
        <v>0</v>
      </c>
      <c r="U197" s="101"/>
      <c r="V197" s="101">
        <f>IF(C197&gt;=Assumptions!$H$9*12,0,M197+N197-O197+S197-R197)</f>
        <v>0</v>
      </c>
      <c r="W197" s="103"/>
      <c r="X197" s="97">
        <f>IF(AND(H197=1,D197&lt;15),Assumptions!$D$10*N197+Assumptions!$D$11*(1+Assumptions!$D$16)^(B197-1),0)</f>
        <v>0</v>
      </c>
      <c r="Y197" s="100">
        <f>Assumptions!$C$13*N197</f>
        <v>0</v>
      </c>
      <c r="AA197" s="67">
        <f t="shared" si="45"/>
        <v>0</v>
      </c>
      <c r="AB197" s="67">
        <f>N197*I197</f>
        <v>0</v>
      </c>
      <c r="AC197" s="67"/>
      <c r="AD197" s="90">
        <f>P197*J197</f>
        <v>0</v>
      </c>
      <c r="AE197" s="90">
        <f>Q197*K197</f>
        <v>0</v>
      </c>
      <c r="AF197" s="67">
        <f>R197*I198</f>
        <v>0</v>
      </c>
      <c r="AG197" s="68">
        <f>S197*I197</f>
        <v>0</v>
      </c>
      <c r="AH197" s="68">
        <f>T197*$I197</f>
        <v>0</v>
      </c>
      <c r="AI197" s="68">
        <f>U197*$I197</f>
        <v>0</v>
      </c>
      <c r="AJ197" s="67">
        <f>V197*I198</f>
        <v>0</v>
      </c>
      <c r="AK197" s="67">
        <f>W197*$I197</f>
        <v>0</v>
      </c>
      <c r="AL197" s="67">
        <f>X197*$I197</f>
        <v>0</v>
      </c>
      <c r="AM197" s="67">
        <f>Y197*$I197</f>
        <v>0</v>
      </c>
      <c r="AN197" s="65">
        <f>NPV(Assumptions!$D$19,AB197:$AB$259)*(1+Assumptions!$D$19)</f>
        <v>0</v>
      </c>
      <c r="AO197" s="68">
        <f t="shared" si="41"/>
        <v>0</v>
      </c>
      <c r="AQ197" s="67">
        <f t="shared" si="46"/>
        <v>4244344.2717577824</v>
      </c>
      <c r="AR197" s="95">
        <f>(AQ197+AB197-AC197)*Assumptions!$D$19</f>
        <v>18220.988320375076</v>
      </c>
      <c r="AS197" s="67">
        <f t="shared" si="47"/>
        <v>4262565.2600781573</v>
      </c>
      <c r="AT197" s="67">
        <f t="shared" si="42"/>
        <v>4262565.2600781573</v>
      </c>
      <c r="AU197" s="67"/>
      <c r="AV197" s="67"/>
      <c r="AW197" s="67"/>
      <c r="AY197" s="67"/>
      <c r="AZ197" s="70">
        <f t="shared" si="36"/>
        <v>0</v>
      </c>
    </row>
    <row r="198" spans="2:52" x14ac:dyDescent="0.2">
      <c r="B198" s="5">
        <f t="shared" si="32"/>
        <v>191</v>
      </c>
      <c r="C198" s="5">
        <f t="shared" si="33"/>
        <v>191</v>
      </c>
      <c r="D198" s="5">
        <f t="shared" si="34"/>
        <v>15</v>
      </c>
      <c r="E198" s="5">
        <f t="shared" si="35"/>
        <v>61</v>
      </c>
      <c r="F198" s="64">
        <f>1-(1-VLOOKUP($E198,'Annual Mortality Rates'!$B$5:$C$105,2,FALSE))^(1/12)</f>
        <v>3.6573479451496027E-4</v>
      </c>
      <c r="G198" s="75">
        <f>IF(C198&gt;=Assumptions!$H$9*12,100%,1-(1-IF(D198&gt;=7,2%,VLOOKUP($D198,'Annual Lapse Rates'!$B$4:$C$14,2,FALSE)))^(1/12))</f>
        <v>1</v>
      </c>
      <c r="H198" s="81">
        <f t="shared" si="43"/>
        <v>11</v>
      </c>
      <c r="I198" s="65">
        <f t="shared" si="37"/>
        <v>0</v>
      </c>
      <c r="J198" s="66">
        <f t="shared" si="38"/>
        <v>0</v>
      </c>
      <c r="K198" s="66">
        <f t="shared" si="39"/>
        <v>0</v>
      </c>
      <c r="M198" s="97">
        <f t="shared" si="44"/>
        <v>0</v>
      </c>
      <c r="N198" s="97">
        <f>IF(AND(H198=1,D198&lt;15),Assumptions!$H$4,0)</f>
        <v>0</v>
      </c>
      <c r="O198" s="103"/>
      <c r="P198" s="98">
        <f>$M198*(1+VLOOKUP($H198,Assumptions!$C$22:$D$33,2,FALSE))^(1/12)</f>
        <v>0</v>
      </c>
      <c r="Q198" s="98">
        <f>$M198*(1+VLOOKUP($H198,Assumptions!$C$22:$D$33,2,FALSE))^(1/12)</f>
        <v>0</v>
      </c>
      <c r="R198" s="97">
        <f>IF(AND(H198=12,D198&lt;15),Assumptions!$C$7*M198,0)</f>
        <v>0</v>
      </c>
      <c r="S198" s="99">
        <f>(M198+N198-O198)*Assumptions!$D$17</f>
        <v>0</v>
      </c>
      <c r="T198" s="99">
        <f t="shared" si="40"/>
        <v>0</v>
      </c>
      <c r="U198" s="101"/>
      <c r="V198" s="101">
        <f>IF(C198&gt;=Assumptions!$H$9*12,0,M198+N198-O198+S198-R198)</f>
        <v>0</v>
      </c>
      <c r="W198" s="103"/>
      <c r="X198" s="97">
        <f>IF(AND(H198=1,D198&lt;15),Assumptions!$D$10*N198+Assumptions!$D$11*(1+Assumptions!$D$16)^(B198-1),0)</f>
        <v>0</v>
      </c>
      <c r="Y198" s="100">
        <f>Assumptions!$C$13*N198</f>
        <v>0</v>
      </c>
      <c r="AA198" s="67">
        <f t="shared" si="45"/>
        <v>0</v>
      </c>
      <c r="AB198" s="67">
        <f>N198*I198</f>
        <v>0</v>
      </c>
      <c r="AC198" s="67"/>
      <c r="AD198" s="90">
        <f>P198*J198</f>
        <v>0</v>
      </c>
      <c r="AE198" s="90">
        <f>Q198*K198</f>
        <v>0</v>
      </c>
      <c r="AF198" s="67">
        <f>R198*I199</f>
        <v>0</v>
      </c>
      <c r="AG198" s="68">
        <f>S198*I198</f>
        <v>0</v>
      </c>
      <c r="AH198" s="68">
        <f>T198*$I198</f>
        <v>0</v>
      </c>
      <c r="AI198" s="68">
        <f>U198*$I198</f>
        <v>0</v>
      </c>
      <c r="AJ198" s="67">
        <f>V198*I199</f>
        <v>0</v>
      </c>
      <c r="AK198" s="67">
        <f>W198*$I198</f>
        <v>0</v>
      </c>
      <c r="AL198" s="67">
        <f>X198*$I198</f>
        <v>0</v>
      </c>
      <c r="AM198" s="67">
        <f>Y198*$I198</f>
        <v>0</v>
      </c>
      <c r="AN198" s="65">
        <f>NPV(Assumptions!$D$19,AB198:$AB$259)*(1+Assumptions!$D$19)</f>
        <v>0</v>
      </c>
      <c r="AO198" s="68">
        <f t="shared" si="41"/>
        <v>0</v>
      </c>
      <c r="AQ198" s="67">
        <f t="shared" si="46"/>
        <v>4262565.2600781573</v>
      </c>
      <c r="AR198" s="95">
        <f>(AQ198+AB198-AC198)*Assumptions!$D$19</f>
        <v>18299.211102061381</v>
      </c>
      <c r="AS198" s="67">
        <f t="shared" si="47"/>
        <v>4280864.4711802183</v>
      </c>
      <c r="AT198" s="67">
        <f t="shared" si="42"/>
        <v>4280864.4711802183</v>
      </c>
      <c r="AU198" s="67"/>
      <c r="AV198" s="67"/>
      <c r="AW198" s="67"/>
      <c r="AY198" s="67"/>
      <c r="AZ198" s="70">
        <f t="shared" si="36"/>
        <v>0</v>
      </c>
    </row>
    <row r="199" spans="2:52" x14ac:dyDescent="0.2">
      <c r="B199" s="5">
        <f t="shared" si="32"/>
        <v>192</v>
      </c>
      <c r="C199" s="5">
        <f t="shared" si="33"/>
        <v>192</v>
      </c>
      <c r="D199" s="5">
        <f t="shared" si="34"/>
        <v>15</v>
      </c>
      <c r="E199" s="5">
        <f t="shared" si="35"/>
        <v>61</v>
      </c>
      <c r="F199" s="64">
        <f>1-(1-VLOOKUP($E199,'Annual Mortality Rates'!$B$5:$C$105,2,FALSE))^(1/12)</f>
        <v>3.6573479451496027E-4</v>
      </c>
      <c r="G199" s="75">
        <f>IF(C199&gt;=Assumptions!$H$9*12,100%,1-(1-IF(D199&gt;=7,2%,VLOOKUP($D199,'Annual Lapse Rates'!$B$4:$C$14,2,FALSE)))^(1/12))</f>
        <v>1</v>
      </c>
      <c r="H199" s="81">
        <f t="shared" si="43"/>
        <v>12</v>
      </c>
      <c r="I199" s="65">
        <f t="shared" si="37"/>
        <v>0</v>
      </c>
      <c r="J199" s="66">
        <f t="shared" si="38"/>
        <v>0</v>
      </c>
      <c r="K199" s="66">
        <f t="shared" si="39"/>
        <v>0</v>
      </c>
      <c r="M199" s="97">
        <f t="shared" si="44"/>
        <v>0</v>
      </c>
      <c r="N199" s="97">
        <f>IF(AND(H199=1,D199&lt;15),Assumptions!$H$4,0)</f>
        <v>0</v>
      </c>
      <c r="O199" s="103"/>
      <c r="P199" s="98">
        <f>$M199*(1+VLOOKUP($H199,Assumptions!$C$22:$D$33,2,FALSE))^(1/12)</f>
        <v>0</v>
      </c>
      <c r="Q199" s="98">
        <f>$M199*(1+VLOOKUP($H199,Assumptions!$C$22:$D$33,2,FALSE))^(1/12)</f>
        <v>0</v>
      </c>
      <c r="R199" s="97">
        <f>IF(AND(H199=12,D199&lt;15),Assumptions!$C$7*M199,0)</f>
        <v>0</v>
      </c>
      <c r="S199" s="99">
        <f>(M199+N199-O199)*Assumptions!$D$17</f>
        <v>0</v>
      </c>
      <c r="T199" s="99">
        <f t="shared" si="40"/>
        <v>0</v>
      </c>
      <c r="U199" s="101"/>
      <c r="V199" s="101">
        <f>IF(C199&gt;=Assumptions!$H$9*12,0,M199+N199-O199+S199-R199)</f>
        <v>0</v>
      </c>
      <c r="W199" s="103"/>
      <c r="X199" s="97">
        <f>IF(AND(H199=1,D199&lt;15),Assumptions!$D$10*N199+Assumptions!$D$11*(1+Assumptions!$D$16)^(B199-1),0)</f>
        <v>0</v>
      </c>
      <c r="Y199" s="100">
        <f>Assumptions!$C$13*N199</f>
        <v>0</v>
      </c>
      <c r="AA199" s="67">
        <f t="shared" si="45"/>
        <v>0</v>
      </c>
      <c r="AB199" s="67">
        <f>N199*I199</f>
        <v>0</v>
      </c>
      <c r="AC199" s="67"/>
      <c r="AD199" s="90">
        <f>P199*J199</f>
        <v>0</v>
      </c>
      <c r="AE199" s="90">
        <f>Q199*K199</f>
        <v>0</v>
      </c>
      <c r="AF199" s="67">
        <f>R199*I200</f>
        <v>0</v>
      </c>
      <c r="AG199" s="68">
        <f>S199*I199</f>
        <v>0</v>
      </c>
      <c r="AH199" s="68">
        <f>T199*$I199</f>
        <v>0</v>
      </c>
      <c r="AI199" s="68">
        <f>U199*$I199</f>
        <v>0</v>
      </c>
      <c r="AJ199" s="67">
        <f>V199*I200</f>
        <v>0</v>
      </c>
      <c r="AK199" s="67">
        <f>W199*$I199</f>
        <v>0</v>
      </c>
      <c r="AL199" s="67">
        <f>X199*$I199</f>
        <v>0</v>
      </c>
      <c r="AM199" s="67">
        <f>Y199*$I199</f>
        <v>0</v>
      </c>
      <c r="AN199" s="65">
        <f>NPV(Assumptions!$D$19,AB199:$AB$259)*(1+Assumptions!$D$19)</f>
        <v>0</v>
      </c>
      <c r="AO199" s="68">
        <f t="shared" si="41"/>
        <v>0</v>
      </c>
      <c r="AQ199" s="67">
        <f t="shared" si="46"/>
        <v>4280864.4711802183</v>
      </c>
      <c r="AR199" s="95">
        <f>(AQ199+AB199-AC199)*Assumptions!$D$19</f>
        <v>18377.769694487873</v>
      </c>
      <c r="AS199" s="67">
        <f t="shared" si="47"/>
        <v>4299242.2408747058</v>
      </c>
      <c r="AT199" s="67">
        <f t="shared" si="42"/>
        <v>4299242.2408747058</v>
      </c>
      <c r="AU199" s="67"/>
      <c r="AV199" s="67"/>
      <c r="AW199" s="67"/>
      <c r="AY199" s="67"/>
      <c r="AZ199" s="70">
        <f t="shared" si="36"/>
        <v>0</v>
      </c>
    </row>
    <row r="200" spans="2:52" x14ac:dyDescent="0.2">
      <c r="B200" s="5">
        <f t="shared" ref="B200:B259" si="48">B199+1</f>
        <v>193</v>
      </c>
      <c r="C200" s="5">
        <f t="shared" ref="C200:C259" si="49">$C$4+B200</f>
        <v>193</v>
      </c>
      <c r="D200" s="5">
        <f t="shared" ref="D200:D259" si="50">ROUNDDOWN((C200-1)/12,0)</f>
        <v>16</v>
      </c>
      <c r="E200" s="5">
        <f t="shared" ref="E200:E259" si="51">ROUNDDOWN(($E$4+B200)/12,0)</f>
        <v>62</v>
      </c>
      <c r="F200" s="64">
        <f>1-(1-VLOOKUP($E200,'Annual Mortality Rates'!$B$5:$C$105,2,FALSE))^(1/12)</f>
        <v>4.0004569505669441E-4</v>
      </c>
      <c r="G200" s="75">
        <f>IF(C200&gt;=Assumptions!$H$9*12,100%,1-(1-IF(D200&gt;=7,2%,VLOOKUP($D200,'Annual Lapse Rates'!$B$4:$C$14,2,FALSE)))^(1/12))</f>
        <v>1</v>
      </c>
      <c r="H200" s="81">
        <f t="shared" si="43"/>
        <v>1</v>
      </c>
      <c r="I200" s="65">
        <f t="shared" si="37"/>
        <v>0</v>
      </c>
      <c r="J200" s="66">
        <f t="shared" si="38"/>
        <v>0</v>
      </c>
      <c r="K200" s="66">
        <f t="shared" si="39"/>
        <v>0</v>
      </c>
      <c r="M200" s="97">
        <f t="shared" si="44"/>
        <v>0</v>
      </c>
      <c r="N200" s="97">
        <f>IF(AND(H200=1,D200&lt;15),Assumptions!$H$4,0)</f>
        <v>0</v>
      </c>
      <c r="O200" s="103"/>
      <c r="P200" s="98">
        <f>$M200*(1+VLOOKUP($H200,Assumptions!$C$22:$D$33,2,FALSE))^(1/12)</f>
        <v>0</v>
      </c>
      <c r="Q200" s="98">
        <f>$M200*(1+VLOOKUP($H200,Assumptions!$C$22:$D$33,2,FALSE))^(1/12)</f>
        <v>0</v>
      </c>
      <c r="R200" s="97">
        <f>IF(AND(H200=12,D200&lt;15),Assumptions!$C$7*M200,0)</f>
        <v>0</v>
      </c>
      <c r="S200" s="99">
        <f>(M200+N200-O200)*Assumptions!$D$17</f>
        <v>0</v>
      </c>
      <c r="T200" s="99">
        <f t="shared" si="40"/>
        <v>0</v>
      </c>
      <c r="U200" s="101"/>
      <c r="V200" s="101">
        <f>IF(C200&gt;=Assumptions!$H$9*12,0,M200+N200-O200+S200-R200)</f>
        <v>0</v>
      </c>
      <c r="W200" s="103"/>
      <c r="X200" s="97">
        <f>IF(AND(H200=1,D200&lt;15),Assumptions!$D$10*N200+Assumptions!$D$11*(1+Assumptions!$D$16)^(B200-1),0)</f>
        <v>0</v>
      </c>
      <c r="Y200" s="100">
        <f>Assumptions!$C$13*N200</f>
        <v>0</v>
      </c>
      <c r="AA200" s="67">
        <f t="shared" si="45"/>
        <v>0</v>
      </c>
      <c r="AB200" s="67">
        <f>N200*I200</f>
        <v>0</v>
      </c>
      <c r="AC200" s="67"/>
      <c r="AD200" s="90">
        <f>P200*J200</f>
        <v>0</v>
      </c>
      <c r="AE200" s="90">
        <f>Q200*K200</f>
        <v>0</v>
      </c>
      <c r="AF200" s="67">
        <f>R200*I201</f>
        <v>0</v>
      </c>
      <c r="AG200" s="68">
        <f>S200*I200</f>
        <v>0</v>
      </c>
      <c r="AH200" s="68">
        <f>T200*$I200</f>
        <v>0</v>
      </c>
      <c r="AI200" s="68">
        <f>U200*$I200</f>
        <v>0</v>
      </c>
      <c r="AJ200" s="67">
        <f>V200*I201</f>
        <v>0</v>
      </c>
      <c r="AK200" s="67">
        <f>W200*$I200</f>
        <v>0</v>
      </c>
      <c r="AL200" s="67">
        <f>X200*$I200</f>
        <v>0</v>
      </c>
      <c r="AM200" s="67">
        <f>Y200*$I200</f>
        <v>0</v>
      </c>
      <c r="AN200" s="65">
        <f>NPV(Assumptions!$D$19,AB200:$AB$259)*(1+Assumptions!$D$19)</f>
        <v>0</v>
      </c>
      <c r="AO200" s="68">
        <f t="shared" si="41"/>
        <v>0</v>
      </c>
      <c r="AQ200" s="67">
        <f t="shared" si="46"/>
        <v>4299242.2408747058</v>
      </c>
      <c r="AR200" s="95">
        <f>(AQ200+AB200-AC200)*Assumptions!$D$19</f>
        <v>18456.665539291509</v>
      </c>
      <c r="AS200" s="67">
        <f t="shared" si="47"/>
        <v>4317698.9064139975</v>
      </c>
      <c r="AT200" s="67">
        <f t="shared" si="42"/>
        <v>4317698.9064139975</v>
      </c>
      <c r="AU200" s="67"/>
      <c r="AV200" s="67"/>
      <c r="AW200" s="67"/>
      <c r="AY200" s="67"/>
      <c r="AZ200" s="70">
        <f t="shared" ref="AZ200:AZ259" si="52">ROUND(AY200-AU200,3)</f>
        <v>0</v>
      </c>
    </row>
    <row r="201" spans="2:52" x14ac:dyDescent="0.2">
      <c r="B201" s="5">
        <f t="shared" si="48"/>
        <v>194</v>
      </c>
      <c r="C201" s="5">
        <f t="shared" si="49"/>
        <v>194</v>
      </c>
      <c r="D201" s="5">
        <f t="shared" si="50"/>
        <v>16</v>
      </c>
      <c r="E201" s="5">
        <f t="shared" si="51"/>
        <v>62</v>
      </c>
      <c r="F201" s="64">
        <f>1-(1-VLOOKUP($E201,'Annual Mortality Rates'!$B$5:$C$105,2,FALSE))^(1/12)</f>
        <v>4.0004569505669441E-4</v>
      </c>
      <c r="G201" s="75">
        <f>IF(C201&gt;=Assumptions!$H$9*12,100%,1-(1-IF(D201&gt;=7,2%,VLOOKUP($D201,'Annual Lapse Rates'!$B$4:$C$14,2,FALSE)))^(1/12))</f>
        <v>1</v>
      </c>
      <c r="H201" s="81">
        <f t="shared" si="43"/>
        <v>2</v>
      </c>
      <c r="I201" s="65">
        <f t="shared" ref="I201:I259" si="53">I200-J200-K200</f>
        <v>0</v>
      </c>
      <c r="J201" s="66">
        <f t="shared" ref="J201:J259" si="54">$I201*F201</f>
        <v>0</v>
      </c>
      <c r="K201" s="66">
        <f t="shared" ref="K201:K259" si="55">IF(G201=100%,I201-J201,$I200*G201)</f>
        <v>0</v>
      </c>
      <c r="M201" s="97">
        <f t="shared" si="44"/>
        <v>0</v>
      </c>
      <c r="N201" s="97">
        <f>IF(AND(H201=1,D201&lt;15),Assumptions!$H$4,0)</f>
        <v>0</v>
      </c>
      <c r="O201" s="103"/>
      <c r="P201" s="98">
        <f>$M201*(1+VLOOKUP($H201,Assumptions!$C$22:$D$33,2,FALSE))^(1/12)</f>
        <v>0</v>
      </c>
      <c r="Q201" s="98">
        <f>$M201*(1+VLOOKUP($H201,Assumptions!$C$22:$D$33,2,FALSE))^(1/12)</f>
        <v>0</v>
      </c>
      <c r="R201" s="97">
        <f>IF(AND(H201=12,D201&lt;15),Assumptions!$C$7*M201,0)</f>
        <v>0</v>
      </c>
      <c r="S201" s="99">
        <f>(M201+N201-O201)*Assumptions!$D$17</f>
        <v>0</v>
      </c>
      <c r="T201" s="99">
        <f t="shared" ref="T201:T259" si="56">(M201+S201)*(G201=100%)</f>
        <v>0</v>
      </c>
      <c r="U201" s="101"/>
      <c r="V201" s="101">
        <f>IF(C201&gt;=Assumptions!$H$9*12,0,M201+N201-O201+S201-R201)</f>
        <v>0</v>
      </c>
      <c r="W201" s="103"/>
      <c r="X201" s="97">
        <f>IF(AND(H201=1,D201&lt;15),Assumptions!$D$10*N201+Assumptions!$D$11*(1+Assumptions!$D$16)^(B201-1),0)</f>
        <v>0</v>
      </c>
      <c r="Y201" s="100">
        <f>Assumptions!$C$13*N201</f>
        <v>0</v>
      </c>
      <c r="AA201" s="67">
        <f t="shared" si="45"/>
        <v>0</v>
      </c>
      <c r="AB201" s="67">
        <f>N201*I201</f>
        <v>0</v>
      </c>
      <c r="AC201" s="67"/>
      <c r="AD201" s="90">
        <f>P201*J201</f>
        <v>0</v>
      </c>
      <c r="AE201" s="90">
        <f>Q201*K201</f>
        <v>0</v>
      </c>
      <c r="AF201" s="67">
        <f>R201*I202</f>
        <v>0</v>
      </c>
      <c r="AG201" s="68">
        <f>S201*I201</f>
        <v>0</v>
      </c>
      <c r="AH201" s="68">
        <f>T201*$I201</f>
        <v>0</v>
      </c>
      <c r="AI201" s="68">
        <f>U201*$I201</f>
        <v>0</v>
      </c>
      <c r="AJ201" s="67">
        <f>V201*I202</f>
        <v>0</v>
      </c>
      <c r="AK201" s="67">
        <f>W201*$I201</f>
        <v>0</v>
      </c>
      <c r="AL201" s="67">
        <f>X201*$I201</f>
        <v>0</v>
      </c>
      <c r="AM201" s="67">
        <f>Y201*$I201</f>
        <v>0</v>
      </c>
      <c r="AN201" s="65">
        <f>NPV(Assumptions!$D$19,AB201:$AB$259)*(1+Assumptions!$D$19)</f>
        <v>0</v>
      </c>
      <c r="AO201" s="68">
        <f t="shared" ref="AO201:AO259" si="57">AN202*$AO$4</f>
        <v>0</v>
      </c>
      <c r="AQ201" s="67">
        <f t="shared" si="46"/>
        <v>4317698.9064139975</v>
      </c>
      <c r="AR201" s="95">
        <f>(AQ201+AB201-AC201)*Assumptions!$D$19</f>
        <v>18535.900084298206</v>
      </c>
      <c r="AS201" s="67">
        <f t="shared" si="47"/>
        <v>4336234.8064982956</v>
      </c>
      <c r="AT201" s="67">
        <f t="shared" ref="AT201:AT259" si="58">AJ201+AS201-AO201</f>
        <v>4336234.8064982956</v>
      </c>
      <c r="AU201" s="67"/>
      <c r="AV201" s="67"/>
      <c r="AW201" s="67"/>
      <c r="AY201" s="67"/>
      <c r="AZ201" s="70">
        <f t="shared" si="52"/>
        <v>0</v>
      </c>
    </row>
    <row r="202" spans="2:52" x14ac:dyDescent="0.2">
      <c r="B202" s="5">
        <f t="shared" si="48"/>
        <v>195</v>
      </c>
      <c r="C202" s="5">
        <f t="shared" si="49"/>
        <v>195</v>
      </c>
      <c r="D202" s="5">
        <f t="shared" si="50"/>
        <v>16</v>
      </c>
      <c r="E202" s="5">
        <f t="shared" si="51"/>
        <v>62</v>
      </c>
      <c r="F202" s="64">
        <f>1-(1-VLOOKUP($E202,'Annual Mortality Rates'!$B$5:$C$105,2,FALSE))^(1/12)</f>
        <v>4.0004569505669441E-4</v>
      </c>
      <c r="G202" s="75">
        <f>IF(C202&gt;=Assumptions!$H$9*12,100%,1-(1-IF(D202&gt;=7,2%,VLOOKUP($D202,'Annual Lapse Rates'!$B$4:$C$14,2,FALSE)))^(1/12))</f>
        <v>1</v>
      </c>
      <c r="H202" s="81">
        <f t="shared" ref="H202:H259" si="59">IF(H201=12,1,H201+1)</f>
        <v>3</v>
      </c>
      <c r="I202" s="65">
        <f t="shared" si="53"/>
        <v>0</v>
      </c>
      <c r="J202" s="66">
        <f t="shared" si="54"/>
        <v>0</v>
      </c>
      <c r="K202" s="66">
        <f t="shared" si="55"/>
        <v>0</v>
      </c>
      <c r="M202" s="97">
        <f t="shared" ref="M202:M259" si="60">V201</f>
        <v>0</v>
      </c>
      <c r="N202" s="97">
        <f>IF(AND(H202=1,D202&lt;15),Assumptions!$H$4,0)</f>
        <v>0</v>
      </c>
      <c r="O202" s="103"/>
      <c r="P202" s="98">
        <f>$M202*(1+VLOOKUP($H202,Assumptions!$C$22:$D$33,2,FALSE))^(1/12)</f>
        <v>0</v>
      </c>
      <c r="Q202" s="98">
        <f>$M202*(1+VLOOKUP($H202,Assumptions!$C$22:$D$33,2,FALSE))^(1/12)</f>
        <v>0</v>
      </c>
      <c r="R202" s="97">
        <f>IF(AND(H202=12,D202&lt;15),Assumptions!$C$7*M202,0)</f>
        <v>0</v>
      </c>
      <c r="S202" s="99">
        <f>(M202+N202-O202)*Assumptions!$D$17</f>
        <v>0</v>
      </c>
      <c r="T202" s="99">
        <f t="shared" si="56"/>
        <v>0</v>
      </c>
      <c r="U202" s="101"/>
      <c r="V202" s="101">
        <f>IF(C202&gt;=Assumptions!$H$9*12,0,M202+N202-O202+S202-R202)</f>
        <v>0</v>
      </c>
      <c r="W202" s="103"/>
      <c r="X202" s="97">
        <f>IF(AND(H202=1,D202&lt;15),Assumptions!$D$10*N202+Assumptions!$D$11*(1+Assumptions!$D$16)^(B202-1),0)</f>
        <v>0</v>
      </c>
      <c r="Y202" s="100">
        <f>Assumptions!$C$13*N202</f>
        <v>0</v>
      </c>
      <c r="AA202" s="67">
        <f t="shared" ref="AA202:AA259" si="61">AJ201</f>
        <v>0</v>
      </c>
      <c r="AB202" s="67">
        <f>N202*I202</f>
        <v>0</v>
      </c>
      <c r="AC202" s="67"/>
      <c r="AD202" s="90">
        <f>P202*J202</f>
        <v>0</v>
      </c>
      <c r="AE202" s="90">
        <f>Q202*K202</f>
        <v>0</v>
      </c>
      <c r="AF202" s="67">
        <f>R202*I203</f>
        <v>0</v>
      </c>
      <c r="AG202" s="68">
        <f>S202*I202</f>
        <v>0</v>
      </c>
      <c r="AH202" s="68">
        <f>T202*$I202</f>
        <v>0</v>
      </c>
      <c r="AI202" s="68">
        <f>U202*$I202</f>
        <v>0</v>
      </c>
      <c r="AJ202" s="67">
        <f>V202*I203</f>
        <v>0</v>
      </c>
      <c r="AK202" s="67">
        <f>W202*$I202</f>
        <v>0</v>
      </c>
      <c r="AL202" s="67">
        <f>X202*$I202</f>
        <v>0</v>
      </c>
      <c r="AM202" s="67">
        <f>Y202*$I202</f>
        <v>0</v>
      </c>
      <c r="AN202" s="65">
        <f>NPV(Assumptions!$D$19,AB202:$AB$259)*(1+Assumptions!$D$19)</f>
        <v>0</v>
      </c>
      <c r="AO202" s="68">
        <f t="shared" si="57"/>
        <v>0</v>
      </c>
      <c r="AQ202" s="67">
        <f t="shared" ref="AQ202:AQ259" si="62">AJ201+AS201</f>
        <v>4336234.8064982956</v>
      </c>
      <c r="AR202" s="95">
        <f>(AQ202+AB202-AC202)*Assumptions!$D$19</f>
        <v>18615.474783549394</v>
      </c>
      <c r="AS202" s="67">
        <f t="shared" ref="AS202:AS259" si="63">AS201+AR202-AG202</f>
        <v>4354850.2812818447</v>
      </c>
      <c r="AT202" s="67">
        <f t="shared" si="58"/>
        <v>4354850.2812818447</v>
      </c>
      <c r="AU202" s="67"/>
      <c r="AV202" s="67"/>
      <c r="AW202" s="67"/>
      <c r="AY202" s="67"/>
      <c r="AZ202" s="70">
        <f t="shared" si="52"/>
        <v>0</v>
      </c>
    </row>
    <row r="203" spans="2:52" x14ac:dyDescent="0.2">
      <c r="B203" s="5">
        <f t="shared" si="48"/>
        <v>196</v>
      </c>
      <c r="C203" s="5">
        <f t="shared" si="49"/>
        <v>196</v>
      </c>
      <c r="D203" s="5">
        <f t="shared" si="50"/>
        <v>16</v>
      </c>
      <c r="E203" s="5">
        <f t="shared" si="51"/>
        <v>62</v>
      </c>
      <c r="F203" s="64">
        <f>1-(1-VLOOKUP($E203,'Annual Mortality Rates'!$B$5:$C$105,2,FALSE))^(1/12)</f>
        <v>4.0004569505669441E-4</v>
      </c>
      <c r="G203" s="75">
        <f>IF(C203&gt;=Assumptions!$H$9*12,100%,1-(1-IF(D203&gt;=7,2%,VLOOKUP($D203,'Annual Lapse Rates'!$B$4:$C$14,2,FALSE)))^(1/12))</f>
        <v>1</v>
      </c>
      <c r="H203" s="81">
        <f t="shared" si="59"/>
        <v>4</v>
      </c>
      <c r="I203" s="65">
        <f t="shared" si="53"/>
        <v>0</v>
      </c>
      <c r="J203" s="66">
        <f t="shared" si="54"/>
        <v>0</v>
      </c>
      <c r="K203" s="66">
        <f t="shared" si="55"/>
        <v>0</v>
      </c>
      <c r="M203" s="97">
        <f t="shared" si="60"/>
        <v>0</v>
      </c>
      <c r="N203" s="97">
        <f>IF(AND(H203=1,D203&lt;15),Assumptions!$H$4,0)</f>
        <v>0</v>
      </c>
      <c r="O203" s="103"/>
      <c r="P203" s="98">
        <f>$M203*(1+VLOOKUP($H203,Assumptions!$C$22:$D$33,2,FALSE))^(1/12)</f>
        <v>0</v>
      </c>
      <c r="Q203" s="98">
        <f>$M203*(1+VLOOKUP($H203,Assumptions!$C$22:$D$33,2,FALSE))^(1/12)</f>
        <v>0</v>
      </c>
      <c r="R203" s="97">
        <f>IF(AND(H203=12,D203&lt;15),Assumptions!$C$7*M203,0)</f>
        <v>0</v>
      </c>
      <c r="S203" s="99">
        <f>(M203+N203-O203)*Assumptions!$D$17</f>
        <v>0</v>
      </c>
      <c r="T203" s="99">
        <f t="shared" si="56"/>
        <v>0</v>
      </c>
      <c r="U203" s="101"/>
      <c r="V203" s="101">
        <f>IF(C203&gt;=Assumptions!$H$9*12,0,M203+N203-O203+S203-R203)</f>
        <v>0</v>
      </c>
      <c r="W203" s="103"/>
      <c r="X203" s="97">
        <f>IF(AND(H203=1,D203&lt;15),Assumptions!$D$10*N203+Assumptions!$D$11*(1+Assumptions!$D$16)^(B203-1),0)</f>
        <v>0</v>
      </c>
      <c r="Y203" s="100">
        <f>Assumptions!$C$13*N203</f>
        <v>0</v>
      </c>
      <c r="AA203" s="67">
        <f t="shared" si="61"/>
        <v>0</v>
      </c>
      <c r="AB203" s="67">
        <f>N203*I203</f>
        <v>0</v>
      </c>
      <c r="AC203" s="67"/>
      <c r="AD203" s="90">
        <f>P203*J203</f>
        <v>0</v>
      </c>
      <c r="AE203" s="90">
        <f>Q203*K203</f>
        <v>0</v>
      </c>
      <c r="AF203" s="67">
        <f>R203*I204</f>
        <v>0</v>
      </c>
      <c r="AG203" s="68">
        <f>S203*I203</f>
        <v>0</v>
      </c>
      <c r="AH203" s="68">
        <f>T203*$I203</f>
        <v>0</v>
      </c>
      <c r="AI203" s="68">
        <f>U203*$I203</f>
        <v>0</v>
      </c>
      <c r="AJ203" s="67">
        <f>V203*I204</f>
        <v>0</v>
      </c>
      <c r="AK203" s="67">
        <f>W203*$I203</f>
        <v>0</v>
      </c>
      <c r="AL203" s="67">
        <f>X203*$I203</f>
        <v>0</v>
      </c>
      <c r="AM203" s="67">
        <f>Y203*$I203</f>
        <v>0</v>
      </c>
      <c r="AN203" s="65">
        <f>NPV(Assumptions!$D$19,AB203:$AB$259)*(1+Assumptions!$D$19)</f>
        <v>0</v>
      </c>
      <c r="AO203" s="68">
        <f t="shared" si="57"/>
        <v>0</v>
      </c>
      <c r="AQ203" s="67">
        <f t="shared" si="62"/>
        <v>4354850.2812818447</v>
      </c>
      <c r="AR203" s="95">
        <f>(AQ203+AB203-AC203)*Assumptions!$D$19</f>
        <v>18695.39109732872</v>
      </c>
      <c r="AS203" s="67">
        <f t="shared" si="63"/>
        <v>4373545.6723791733</v>
      </c>
      <c r="AT203" s="67">
        <f t="shared" si="58"/>
        <v>4373545.6723791733</v>
      </c>
      <c r="AU203" s="67"/>
      <c r="AV203" s="67"/>
      <c r="AW203" s="67"/>
      <c r="AY203" s="67"/>
      <c r="AZ203" s="70">
        <f t="shared" si="52"/>
        <v>0</v>
      </c>
    </row>
    <row r="204" spans="2:52" x14ac:dyDescent="0.2">
      <c r="B204" s="5">
        <f t="shared" si="48"/>
        <v>197</v>
      </c>
      <c r="C204" s="5">
        <f t="shared" si="49"/>
        <v>197</v>
      </c>
      <c r="D204" s="5">
        <f t="shared" si="50"/>
        <v>16</v>
      </c>
      <c r="E204" s="5">
        <f t="shared" si="51"/>
        <v>62</v>
      </c>
      <c r="F204" s="64">
        <f>1-(1-VLOOKUP($E204,'Annual Mortality Rates'!$B$5:$C$105,2,FALSE))^(1/12)</f>
        <v>4.0004569505669441E-4</v>
      </c>
      <c r="G204" s="75">
        <f>IF(C204&gt;=Assumptions!$H$9*12,100%,1-(1-IF(D204&gt;=7,2%,VLOOKUP($D204,'Annual Lapse Rates'!$B$4:$C$14,2,FALSE)))^(1/12))</f>
        <v>1</v>
      </c>
      <c r="H204" s="81">
        <f t="shared" si="59"/>
        <v>5</v>
      </c>
      <c r="I204" s="65">
        <f t="shared" si="53"/>
        <v>0</v>
      </c>
      <c r="J204" s="66">
        <f t="shared" si="54"/>
        <v>0</v>
      </c>
      <c r="K204" s="66">
        <f t="shared" si="55"/>
        <v>0</v>
      </c>
      <c r="M204" s="97">
        <f t="shared" si="60"/>
        <v>0</v>
      </c>
      <c r="N204" s="97">
        <f>IF(AND(H204=1,D204&lt;15),Assumptions!$H$4,0)</f>
        <v>0</v>
      </c>
      <c r="O204" s="103"/>
      <c r="P204" s="98">
        <f>$M204*(1+VLOOKUP($H204,Assumptions!$C$22:$D$33,2,FALSE))^(1/12)</f>
        <v>0</v>
      </c>
      <c r="Q204" s="98">
        <f>$M204*(1+VLOOKUP($H204,Assumptions!$C$22:$D$33,2,FALSE))^(1/12)</f>
        <v>0</v>
      </c>
      <c r="R204" s="97">
        <f>IF(AND(H204=12,D204&lt;15),Assumptions!$C$7*M204,0)</f>
        <v>0</v>
      </c>
      <c r="S204" s="99">
        <f>(M204+N204-O204)*Assumptions!$D$17</f>
        <v>0</v>
      </c>
      <c r="T204" s="99">
        <f t="shared" si="56"/>
        <v>0</v>
      </c>
      <c r="U204" s="101"/>
      <c r="V204" s="101">
        <f>IF(C204&gt;=Assumptions!$H$9*12,0,M204+N204-O204+S204-R204)</f>
        <v>0</v>
      </c>
      <c r="W204" s="103"/>
      <c r="X204" s="97">
        <f>IF(AND(H204=1,D204&lt;15),Assumptions!$D$10*N204+Assumptions!$D$11*(1+Assumptions!$D$16)^(B204-1),0)</f>
        <v>0</v>
      </c>
      <c r="Y204" s="100">
        <f>Assumptions!$C$13*N204</f>
        <v>0</v>
      </c>
      <c r="AA204" s="67">
        <f t="shared" si="61"/>
        <v>0</v>
      </c>
      <c r="AB204" s="67">
        <f>N204*I204</f>
        <v>0</v>
      </c>
      <c r="AC204" s="67"/>
      <c r="AD204" s="90">
        <f>P204*J204</f>
        <v>0</v>
      </c>
      <c r="AE204" s="90">
        <f>Q204*K204</f>
        <v>0</v>
      </c>
      <c r="AF204" s="67">
        <f>R204*I205</f>
        <v>0</v>
      </c>
      <c r="AG204" s="68">
        <f>S204*I204</f>
        <v>0</v>
      </c>
      <c r="AH204" s="68">
        <f>T204*$I204</f>
        <v>0</v>
      </c>
      <c r="AI204" s="68">
        <f>U204*$I204</f>
        <v>0</v>
      </c>
      <c r="AJ204" s="67">
        <f>V204*I205</f>
        <v>0</v>
      </c>
      <c r="AK204" s="67">
        <f>W204*$I204</f>
        <v>0</v>
      </c>
      <c r="AL204" s="67">
        <f>X204*$I204</f>
        <v>0</v>
      </c>
      <c r="AM204" s="67">
        <f>Y204*$I204</f>
        <v>0</v>
      </c>
      <c r="AN204" s="65">
        <f>NPV(Assumptions!$D$19,AB204:$AB$259)*(1+Assumptions!$D$19)</f>
        <v>0</v>
      </c>
      <c r="AO204" s="68">
        <f t="shared" si="57"/>
        <v>0</v>
      </c>
      <c r="AQ204" s="67">
        <f t="shared" si="62"/>
        <v>4373545.6723791733</v>
      </c>
      <c r="AR204" s="95">
        <f>(AQ204+AB204-AC204)*Assumptions!$D$19</f>
        <v>18775.650492188834</v>
      </c>
      <c r="AS204" s="67">
        <f t="shared" si="63"/>
        <v>4392321.3228713619</v>
      </c>
      <c r="AT204" s="67">
        <f t="shared" si="58"/>
        <v>4392321.3228713619</v>
      </c>
      <c r="AU204" s="67"/>
      <c r="AV204" s="67"/>
      <c r="AW204" s="67"/>
      <c r="AY204" s="67"/>
      <c r="AZ204" s="70">
        <f t="shared" si="52"/>
        <v>0</v>
      </c>
    </row>
    <row r="205" spans="2:52" x14ac:dyDescent="0.2">
      <c r="B205" s="5">
        <f t="shared" si="48"/>
        <v>198</v>
      </c>
      <c r="C205" s="5">
        <f t="shared" si="49"/>
        <v>198</v>
      </c>
      <c r="D205" s="5">
        <f t="shared" si="50"/>
        <v>16</v>
      </c>
      <c r="E205" s="5">
        <f t="shared" si="51"/>
        <v>62</v>
      </c>
      <c r="F205" s="64">
        <f>1-(1-VLOOKUP($E205,'Annual Mortality Rates'!$B$5:$C$105,2,FALSE))^(1/12)</f>
        <v>4.0004569505669441E-4</v>
      </c>
      <c r="G205" s="75">
        <f>IF(C205&gt;=Assumptions!$H$9*12,100%,1-(1-IF(D205&gt;=7,2%,VLOOKUP($D205,'Annual Lapse Rates'!$B$4:$C$14,2,FALSE)))^(1/12))</f>
        <v>1</v>
      </c>
      <c r="H205" s="81">
        <f t="shared" si="59"/>
        <v>6</v>
      </c>
      <c r="I205" s="65">
        <f t="shared" si="53"/>
        <v>0</v>
      </c>
      <c r="J205" s="66">
        <f t="shared" si="54"/>
        <v>0</v>
      </c>
      <c r="K205" s="66">
        <f t="shared" si="55"/>
        <v>0</v>
      </c>
      <c r="M205" s="97">
        <f t="shared" si="60"/>
        <v>0</v>
      </c>
      <c r="N205" s="97">
        <f>IF(AND(H205=1,D205&lt;15),Assumptions!$H$4,0)</f>
        <v>0</v>
      </c>
      <c r="O205" s="103"/>
      <c r="P205" s="98">
        <f>$M205*(1+VLOOKUP($H205,Assumptions!$C$22:$D$33,2,FALSE))^(1/12)</f>
        <v>0</v>
      </c>
      <c r="Q205" s="98">
        <f>$M205*(1+VLOOKUP($H205,Assumptions!$C$22:$D$33,2,FALSE))^(1/12)</f>
        <v>0</v>
      </c>
      <c r="R205" s="97">
        <f>IF(AND(H205=12,D205&lt;15),Assumptions!$C$7*M205,0)</f>
        <v>0</v>
      </c>
      <c r="S205" s="99">
        <f>(M205+N205-O205)*Assumptions!$D$17</f>
        <v>0</v>
      </c>
      <c r="T205" s="99">
        <f t="shared" si="56"/>
        <v>0</v>
      </c>
      <c r="U205" s="101"/>
      <c r="V205" s="101">
        <f>IF(C205&gt;=Assumptions!$H$9*12,0,M205+N205-O205+S205-R205)</f>
        <v>0</v>
      </c>
      <c r="W205" s="103"/>
      <c r="X205" s="97">
        <f>IF(AND(H205=1,D205&lt;15),Assumptions!$D$10*N205+Assumptions!$D$11*(1+Assumptions!$D$16)^(B205-1),0)</f>
        <v>0</v>
      </c>
      <c r="Y205" s="100">
        <f>Assumptions!$C$13*N205</f>
        <v>0</v>
      </c>
      <c r="AA205" s="67">
        <f t="shared" si="61"/>
        <v>0</v>
      </c>
      <c r="AB205" s="67">
        <f>N205*I205</f>
        <v>0</v>
      </c>
      <c r="AC205" s="67"/>
      <c r="AD205" s="90">
        <f>P205*J205</f>
        <v>0</v>
      </c>
      <c r="AE205" s="90">
        <f>Q205*K205</f>
        <v>0</v>
      </c>
      <c r="AF205" s="67">
        <f>R205*I206</f>
        <v>0</v>
      </c>
      <c r="AG205" s="68">
        <f>S205*I205</f>
        <v>0</v>
      </c>
      <c r="AH205" s="68">
        <f>T205*$I205</f>
        <v>0</v>
      </c>
      <c r="AI205" s="68">
        <f>U205*$I205</f>
        <v>0</v>
      </c>
      <c r="AJ205" s="67">
        <f>V205*I206</f>
        <v>0</v>
      </c>
      <c r="AK205" s="67">
        <f>W205*$I205</f>
        <v>0</v>
      </c>
      <c r="AL205" s="67">
        <f>X205*$I205</f>
        <v>0</v>
      </c>
      <c r="AM205" s="67">
        <f>Y205*$I205</f>
        <v>0</v>
      </c>
      <c r="AN205" s="65">
        <f>NPV(Assumptions!$D$19,AB205:$AB$259)*(1+Assumptions!$D$19)</f>
        <v>0</v>
      </c>
      <c r="AO205" s="68">
        <f t="shared" si="57"/>
        <v>0</v>
      </c>
      <c r="AQ205" s="67">
        <f t="shared" si="62"/>
        <v>4392321.3228713619</v>
      </c>
      <c r="AR205" s="95">
        <f>(AQ205+AB205-AC205)*Assumptions!$D$19</f>
        <v>18856.254440978297</v>
      </c>
      <c r="AS205" s="67">
        <f t="shared" si="63"/>
        <v>4411177.57731234</v>
      </c>
      <c r="AT205" s="67">
        <f t="shared" si="58"/>
        <v>4411177.57731234</v>
      </c>
      <c r="AU205" s="67"/>
      <c r="AV205" s="67"/>
      <c r="AW205" s="67"/>
      <c r="AY205" s="67"/>
      <c r="AZ205" s="70">
        <f t="shared" si="52"/>
        <v>0</v>
      </c>
    </row>
    <row r="206" spans="2:52" x14ac:dyDescent="0.2">
      <c r="B206" s="5">
        <f t="shared" si="48"/>
        <v>199</v>
      </c>
      <c r="C206" s="5">
        <f t="shared" si="49"/>
        <v>199</v>
      </c>
      <c r="D206" s="5">
        <f t="shared" si="50"/>
        <v>16</v>
      </c>
      <c r="E206" s="5">
        <f t="shared" si="51"/>
        <v>62</v>
      </c>
      <c r="F206" s="64">
        <f>1-(1-VLOOKUP($E206,'Annual Mortality Rates'!$B$5:$C$105,2,FALSE))^(1/12)</f>
        <v>4.0004569505669441E-4</v>
      </c>
      <c r="G206" s="75">
        <f>IF(C206&gt;=Assumptions!$H$9*12,100%,1-(1-IF(D206&gt;=7,2%,VLOOKUP($D206,'Annual Lapse Rates'!$B$4:$C$14,2,FALSE)))^(1/12))</f>
        <v>1</v>
      </c>
      <c r="H206" s="81">
        <f t="shared" si="59"/>
        <v>7</v>
      </c>
      <c r="I206" s="65">
        <f t="shared" si="53"/>
        <v>0</v>
      </c>
      <c r="J206" s="66">
        <f t="shared" si="54"/>
        <v>0</v>
      </c>
      <c r="K206" s="66">
        <f t="shared" si="55"/>
        <v>0</v>
      </c>
      <c r="M206" s="97">
        <f t="shared" si="60"/>
        <v>0</v>
      </c>
      <c r="N206" s="97">
        <f>IF(AND(H206=1,D206&lt;15),Assumptions!$H$4,0)</f>
        <v>0</v>
      </c>
      <c r="O206" s="103"/>
      <c r="P206" s="98">
        <f>$M206*(1+VLOOKUP($H206,Assumptions!$C$22:$D$33,2,FALSE))^(1/12)</f>
        <v>0</v>
      </c>
      <c r="Q206" s="98">
        <f>$M206*(1+VLOOKUP($H206,Assumptions!$C$22:$D$33,2,FALSE))^(1/12)</f>
        <v>0</v>
      </c>
      <c r="R206" s="97">
        <f>IF(AND(H206=12,D206&lt;15),Assumptions!$C$7*M206,0)</f>
        <v>0</v>
      </c>
      <c r="S206" s="99">
        <f>(M206+N206-O206)*Assumptions!$D$17</f>
        <v>0</v>
      </c>
      <c r="T206" s="99">
        <f t="shared" si="56"/>
        <v>0</v>
      </c>
      <c r="U206" s="101"/>
      <c r="V206" s="101">
        <f>IF(C206&gt;=Assumptions!$H$9*12,0,M206+N206-O206+S206-R206)</f>
        <v>0</v>
      </c>
      <c r="W206" s="103"/>
      <c r="X206" s="97">
        <f>IF(AND(H206=1,D206&lt;15),Assumptions!$D$10*N206+Assumptions!$D$11*(1+Assumptions!$D$16)^(B206-1),0)</f>
        <v>0</v>
      </c>
      <c r="Y206" s="100">
        <f>Assumptions!$C$13*N206</f>
        <v>0</v>
      </c>
      <c r="AA206" s="67">
        <f t="shared" si="61"/>
        <v>0</v>
      </c>
      <c r="AB206" s="67">
        <f>N206*I206</f>
        <v>0</v>
      </c>
      <c r="AC206" s="67"/>
      <c r="AD206" s="90">
        <f>P206*J206</f>
        <v>0</v>
      </c>
      <c r="AE206" s="90">
        <f>Q206*K206</f>
        <v>0</v>
      </c>
      <c r="AF206" s="67">
        <f>R206*I207</f>
        <v>0</v>
      </c>
      <c r="AG206" s="68">
        <f>S206*I206</f>
        <v>0</v>
      </c>
      <c r="AH206" s="68">
        <f>T206*$I206</f>
        <v>0</v>
      </c>
      <c r="AI206" s="68">
        <f>U206*$I206</f>
        <v>0</v>
      </c>
      <c r="AJ206" s="67">
        <f>V206*I207</f>
        <v>0</v>
      </c>
      <c r="AK206" s="67">
        <f>W206*$I206</f>
        <v>0</v>
      </c>
      <c r="AL206" s="67">
        <f>X206*$I206</f>
        <v>0</v>
      </c>
      <c r="AM206" s="67">
        <f>Y206*$I206</f>
        <v>0</v>
      </c>
      <c r="AN206" s="65">
        <f>NPV(Assumptions!$D$19,AB206:$AB$259)*(1+Assumptions!$D$19)</f>
        <v>0</v>
      </c>
      <c r="AO206" s="68">
        <f t="shared" si="57"/>
        <v>0</v>
      </c>
      <c r="AQ206" s="67">
        <f t="shared" si="62"/>
        <v>4411177.57731234</v>
      </c>
      <c r="AR206" s="95">
        <f>(AQ206+AB206-AC206)*Assumptions!$D$19</f>
        <v>18937.204422868617</v>
      </c>
      <c r="AS206" s="67">
        <f t="shared" si="63"/>
        <v>4430114.7817352088</v>
      </c>
      <c r="AT206" s="67">
        <f t="shared" si="58"/>
        <v>4430114.7817352088</v>
      </c>
      <c r="AU206" s="67"/>
      <c r="AV206" s="67"/>
      <c r="AW206" s="67"/>
      <c r="AY206" s="67"/>
      <c r="AZ206" s="70">
        <f t="shared" si="52"/>
        <v>0</v>
      </c>
    </row>
    <row r="207" spans="2:52" x14ac:dyDescent="0.2">
      <c r="B207" s="5">
        <f t="shared" si="48"/>
        <v>200</v>
      </c>
      <c r="C207" s="5">
        <f t="shared" si="49"/>
        <v>200</v>
      </c>
      <c r="D207" s="5">
        <f t="shared" si="50"/>
        <v>16</v>
      </c>
      <c r="E207" s="5">
        <f t="shared" si="51"/>
        <v>62</v>
      </c>
      <c r="F207" s="64">
        <f>1-(1-VLOOKUP($E207,'Annual Mortality Rates'!$B$5:$C$105,2,FALSE))^(1/12)</f>
        <v>4.0004569505669441E-4</v>
      </c>
      <c r="G207" s="75">
        <f>IF(C207&gt;=Assumptions!$H$9*12,100%,1-(1-IF(D207&gt;=7,2%,VLOOKUP($D207,'Annual Lapse Rates'!$B$4:$C$14,2,FALSE)))^(1/12))</f>
        <v>1</v>
      </c>
      <c r="H207" s="81">
        <f t="shared" si="59"/>
        <v>8</v>
      </c>
      <c r="I207" s="65">
        <f t="shared" si="53"/>
        <v>0</v>
      </c>
      <c r="J207" s="66">
        <f t="shared" si="54"/>
        <v>0</v>
      </c>
      <c r="K207" s="66">
        <f t="shared" si="55"/>
        <v>0</v>
      </c>
      <c r="M207" s="97">
        <f t="shared" si="60"/>
        <v>0</v>
      </c>
      <c r="N207" s="97">
        <f>IF(AND(H207=1,D207&lt;15),Assumptions!$H$4,0)</f>
        <v>0</v>
      </c>
      <c r="O207" s="103"/>
      <c r="P207" s="98">
        <f>$M207*(1+VLOOKUP($H207,Assumptions!$C$22:$D$33,2,FALSE))^(1/12)</f>
        <v>0</v>
      </c>
      <c r="Q207" s="98">
        <f>$M207*(1+VLOOKUP($H207,Assumptions!$C$22:$D$33,2,FALSE))^(1/12)</f>
        <v>0</v>
      </c>
      <c r="R207" s="97">
        <f>IF(AND(H207=12,D207&lt;15),Assumptions!$C$7*M207,0)</f>
        <v>0</v>
      </c>
      <c r="S207" s="99">
        <f>(M207+N207-O207)*Assumptions!$D$17</f>
        <v>0</v>
      </c>
      <c r="T207" s="99">
        <f t="shared" si="56"/>
        <v>0</v>
      </c>
      <c r="U207" s="101"/>
      <c r="V207" s="101">
        <f>IF(C207&gt;=Assumptions!$H$9*12,0,M207+N207-O207+S207-R207)</f>
        <v>0</v>
      </c>
      <c r="W207" s="103"/>
      <c r="X207" s="97">
        <f>IF(AND(H207=1,D207&lt;15),Assumptions!$D$10*N207+Assumptions!$D$11*(1+Assumptions!$D$16)^(B207-1),0)</f>
        <v>0</v>
      </c>
      <c r="Y207" s="100">
        <f>Assumptions!$C$13*N207</f>
        <v>0</v>
      </c>
      <c r="AA207" s="67">
        <f t="shared" si="61"/>
        <v>0</v>
      </c>
      <c r="AB207" s="67">
        <f>N207*I207</f>
        <v>0</v>
      </c>
      <c r="AC207" s="67"/>
      <c r="AD207" s="90">
        <f>P207*J207</f>
        <v>0</v>
      </c>
      <c r="AE207" s="90">
        <f>Q207*K207</f>
        <v>0</v>
      </c>
      <c r="AF207" s="67">
        <f>R207*I208</f>
        <v>0</v>
      </c>
      <c r="AG207" s="68">
        <f>S207*I207</f>
        <v>0</v>
      </c>
      <c r="AH207" s="68">
        <f>T207*$I207</f>
        <v>0</v>
      </c>
      <c r="AI207" s="68">
        <f>U207*$I207</f>
        <v>0</v>
      </c>
      <c r="AJ207" s="67">
        <f>V207*I208</f>
        <v>0</v>
      </c>
      <c r="AK207" s="67">
        <f>W207*$I207</f>
        <v>0</v>
      </c>
      <c r="AL207" s="67">
        <f>X207*$I207</f>
        <v>0</v>
      </c>
      <c r="AM207" s="67">
        <f>Y207*$I207</f>
        <v>0</v>
      </c>
      <c r="AN207" s="65">
        <f>NPV(Assumptions!$D$19,AB207:$AB$259)*(1+Assumptions!$D$19)</f>
        <v>0</v>
      </c>
      <c r="AO207" s="68">
        <f t="shared" si="57"/>
        <v>0</v>
      </c>
      <c r="AQ207" s="67">
        <f t="shared" si="62"/>
        <v>4430114.7817352088</v>
      </c>
      <c r="AR207" s="95">
        <f>(AQ207+AB207-AC207)*Assumptions!$D$19</f>
        <v>19018.501923381398</v>
      </c>
      <c r="AS207" s="67">
        <f t="shared" si="63"/>
        <v>4449133.2836585902</v>
      </c>
      <c r="AT207" s="67">
        <f t="shared" si="58"/>
        <v>4449133.2836585902</v>
      </c>
      <c r="AU207" s="67"/>
      <c r="AV207" s="67"/>
      <c r="AW207" s="67"/>
      <c r="AY207" s="67"/>
      <c r="AZ207" s="70">
        <f t="shared" si="52"/>
        <v>0</v>
      </c>
    </row>
    <row r="208" spans="2:52" x14ac:dyDescent="0.2">
      <c r="B208" s="5">
        <f t="shared" si="48"/>
        <v>201</v>
      </c>
      <c r="C208" s="5">
        <f t="shared" si="49"/>
        <v>201</v>
      </c>
      <c r="D208" s="5">
        <f t="shared" si="50"/>
        <v>16</v>
      </c>
      <c r="E208" s="5">
        <f t="shared" si="51"/>
        <v>62</v>
      </c>
      <c r="F208" s="64">
        <f>1-(1-VLOOKUP($E208,'Annual Mortality Rates'!$B$5:$C$105,2,FALSE))^(1/12)</f>
        <v>4.0004569505669441E-4</v>
      </c>
      <c r="G208" s="75">
        <f>IF(C208&gt;=Assumptions!$H$9*12,100%,1-(1-IF(D208&gt;=7,2%,VLOOKUP($D208,'Annual Lapse Rates'!$B$4:$C$14,2,FALSE)))^(1/12))</f>
        <v>1</v>
      </c>
      <c r="H208" s="81">
        <f t="shared" si="59"/>
        <v>9</v>
      </c>
      <c r="I208" s="65">
        <f t="shared" si="53"/>
        <v>0</v>
      </c>
      <c r="J208" s="66">
        <f t="shared" si="54"/>
        <v>0</v>
      </c>
      <c r="K208" s="66">
        <f t="shared" si="55"/>
        <v>0</v>
      </c>
      <c r="M208" s="97">
        <f t="shared" si="60"/>
        <v>0</v>
      </c>
      <c r="N208" s="97">
        <f>IF(AND(H208=1,D208&lt;15),Assumptions!$H$4,0)</f>
        <v>0</v>
      </c>
      <c r="O208" s="103"/>
      <c r="P208" s="98">
        <f>$M208*(1+VLOOKUP($H208,Assumptions!$C$22:$D$33,2,FALSE))^(1/12)</f>
        <v>0</v>
      </c>
      <c r="Q208" s="98">
        <f>$M208*(1+VLOOKUP($H208,Assumptions!$C$22:$D$33,2,FALSE))^(1/12)</f>
        <v>0</v>
      </c>
      <c r="R208" s="97">
        <f>IF(AND(H208=12,D208&lt;15),Assumptions!$C$7*M208,0)</f>
        <v>0</v>
      </c>
      <c r="S208" s="99">
        <f>(M208+N208-O208)*Assumptions!$D$17</f>
        <v>0</v>
      </c>
      <c r="T208" s="99">
        <f t="shared" si="56"/>
        <v>0</v>
      </c>
      <c r="U208" s="101"/>
      <c r="V208" s="101">
        <f>IF(C208&gt;=Assumptions!$H$9*12,0,M208+N208-O208+S208-R208)</f>
        <v>0</v>
      </c>
      <c r="W208" s="103"/>
      <c r="X208" s="97">
        <f>IF(AND(H208=1,D208&lt;15),Assumptions!$D$10*N208+Assumptions!$D$11*(1+Assumptions!$D$16)^(B208-1),0)</f>
        <v>0</v>
      </c>
      <c r="Y208" s="100">
        <f>Assumptions!$C$13*N208</f>
        <v>0</v>
      </c>
      <c r="AA208" s="67">
        <f t="shared" si="61"/>
        <v>0</v>
      </c>
      <c r="AB208" s="67">
        <f>N208*I208</f>
        <v>0</v>
      </c>
      <c r="AC208" s="67"/>
      <c r="AD208" s="90">
        <f>P208*J208</f>
        <v>0</v>
      </c>
      <c r="AE208" s="90">
        <f>Q208*K208</f>
        <v>0</v>
      </c>
      <c r="AF208" s="67">
        <f>R208*I209</f>
        <v>0</v>
      </c>
      <c r="AG208" s="68">
        <f>S208*I208</f>
        <v>0</v>
      </c>
      <c r="AH208" s="68">
        <f>T208*$I208</f>
        <v>0</v>
      </c>
      <c r="AI208" s="68">
        <f>U208*$I208</f>
        <v>0</v>
      </c>
      <c r="AJ208" s="67">
        <f>V208*I209</f>
        <v>0</v>
      </c>
      <c r="AK208" s="67">
        <f>W208*$I208</f>
        <v>0</v>
      </c>
      <c r="AL208" s="67">
        <f>X208*$I208</f>
        <v>0</v>
      </c>
      <c r="AM208" s="67">
        <f>Y208*$I208</f>
        <v>0</v>
      </c>
      <c r="AN208" s="65">
        <f>NPV(Assumptions!$D$19,AB208:$AB$259)*(1+Assumptions!$D$19)</f>
        <v>0</v>
      </c>
      <c r="AO208" s="68">
        <f t="shared" si="57"/>
        <v>0</v>
      </c>
      <c r="AQ208" s="67">
        <f t="shared" si="62"/>
        <v>4449133.2836585902</v>
      </c>
      <c r="AR208" s="95">
        <f>(AQ208+AB208-AC208)*Assumptions!$D$19</f>
        <v>19100.148434415587</v>
      </c>
      <c r="AS208" s="67">
        <f t="shared" si="63"/>
        <v>4468233.4320930056</v>
      </c>
      <c r="AT208" s="67">
        <f t="shared" si="58"/>
        <v>4468233.4320930056</v>
      </c>
      <c r="AU208" s="67"/>
      <c r="AV208" s="67"/>
      <c r="AW208" s="67"/>
      <c r="AY208" s="67"/>
      <c r="AZ208" s="70">
        <f t="shared" si="52"/>
        <v>0</v>
      </c>
    </row>
    <row r="209" spans="2:52" x14ac:dyDescent="0.2">
      <c r="B209" s="5">
        <f t="shared" si="48"/>
        <v>202</v>
      </c>
      <c r="C209" s="5">
        <f t="shared" si="49"/>
        <v>202</v>
      </c>
      <c r="D209" s="5">
        <f t="shared" si="50"/>
        <v>16</v>
      </c>
      <c r="E209" s="5">
        <f t="shared" si="51"/>
        <v>62</v>
      </c>
      <c r="F209" s="64">
        <f>1-(1-VLOOKUP($E209,'Annual Mortality Rates'!$B$5:$C$105,2,FALSE))^(1/12)</f>
        <v>4.0004569505669441E-4</v>
      </c>
      <c r="G209" s="75">
        <f>IF(C209&gt;=Assumptions!$H$9*12,100%,1-(1-IF(D209&gt;=7,2%,VLOOKUP($D209,'Annual Lapse Rates'!$B$4:$C$14,2,FALSE)))^(1/12))</f>
        <v>1</v>
      </c>
      <c r="H209" s="81">
        <f t="shared" si="59"/>
        <v>10</v>
      </c>
      <c r="I209" s="65">
        <f t="shared" si="53"/>
        <v>0</v>
      </c>
      <c r="J209" s="66">
        <f t="shared" si="54"/>
        <v>0</v>
      </c>
      <c r="K209" s="66">
        <f t="shared" si="55"/>
        <v>0</v>
      </c>
      <c r="M209" s="97">
        <f t="shared" si="60"/>
        <v>0</v>
      </c>
      <c r="N209" s="97">
        <f>IF(AND(H209=1,D209&lt;15),Assumptions!$H$4,0)</f>
        <v>0</v>
      </c>
      <c r="O209" s="103"/>
      <c r="P209" s="98">
        <f>$M209*(1+VLOOKUP($H209,Assumptions!$C$22:$D$33,2,FALSE))^(1/12)</f>
        <v>0</v>
      </c>
      <c r="Q209" s="98">
        <f>$M209*(1+VLOOKUP($H209,Assumptions!$C$22:$D$33,2,FALSE))^(1/12)</f>
        <v>0</v>
      </c>
      <c r="R209" s="97">
        <f>IF(AND(H209=12,D209&lt;15),Assumptions!$C$7*M209,0)</f>
        <v>0</v>
      </c>
      <c r="S209" s="99">
        <f>(M209+N209-O209)*Assumptions!$D$17</f>
        <v>0</v>
      </c>
      <c r="T209" s="99">
        <f t="shared" si="56"/>
        <v>0</v>
      </c>
      <c r="U209" s="101"/>
      <c r="V209" s="101">
        <f>IF(C209&gt;=Assumptions!$H$9*12,0,M209+N209-O209+S209-R209)</f>
        <v>0</v>
      </c>
      <c r="W209" s="103"/>
      <c r="X209" s="97">
        <f>IF(AND(H209=1,D209&lt;15),Assumptions!$D$10*N209+Assumptions!$D$11*(1+Assumptions!$D$16)^(B209-1),0)</f>
        <v>0</v>
      </c>
      <c r="Y209" s="100">
        <f>Assumptions!$C$13*N209</f>
        <v>0</v>
      </c>
      <c r="AA209" s="67">
        <f t="shared" si="61"/>
        <v>0</v>
      </c>
      <c r="AB209" s="67">
        <f>N209*I209</f>
        <v>0</v>
      </c>
      <c r="AC209" s="67"/>
      <c r="AD209" s="90">
        <f>P209*J209</f>
        <v>0</v>
      </c>
      <c r="AE209" s="90">
        <f>Q209*K209</f>
        <v>0</v>
      </c>
      <c r="AF209" s="67">
        <f>R209*I210</f>
        <v>0</v>
      </c>
      <c r="AG209" s="68">
        <f>S209*I209</f>
        <v>0</v>
      </c>
      <c r="AH209" s="68">
        <f>T209*$I209</f>
        <v>0</v>
      </c>
      <c r="AI209" s="68">
        <f>U209*$I209</f>
        <v>0</v>
      </c>
      <c r="AJ209" s="67">
        <f>V209*I210</f>
        <v>0</v>
      </c>
      <c r="AK209" s="67">
        <f>W209*$I209</f>
        <v>0</v>
      </c>
      <c r="AL209" s="67">
        <f>X209*$I209</f>
        <v>0</v>
      </c>
      <c r="AM209" s="67">
        <f>Y209*$I209</f>
        <v>0</v>
      </c>
      <c r="AN209" s="65">
        <f>NPV(Assumptions!$D$19,AB209:$AB$259)*(1+Assumptions!$D$19)</f>
        <v>0</v>
      </c>
      <c r="AO209" s="68">
        <f t="shared" si="57"/>
        <v>0</v>
      </c>
      <c r="AQ209" s="67">
        <f t="shared" si="62"/>
        <v>4468233.4320930056</v>
      </c>
      <c r="AR209" s="95">
        <f>(AQ209+AB209-AC209)*Assumptions!$D$19</f>
        <v>19182.145454274862</v>
      </c>
      <c r="AS209" s="67">
        <f t="shared" si="63"/>
        <v>4487415.5775472801</v>
      </c>
      <c r="AT209" s="67">
        <f t="shared" si="58"/>
        <v>4487415.5775472801</v>
      </c>
      <c r="AU209" s="67"/>
      <c r="AV209" s="67"/>
      <c r="AW209" s="67"/>
      <c r="AY209" s="67"/>
      <c r="AZ209" s="70">
        <f t="shared" si="52"/>
        <v>0</v>
      </c>
    </row>
    <row r="210" spans="2:52" x14ac:dyDescent="0.2">
      <c r="B210" s="5">
        <f t="shared" si="48"/>
        <v>203</v>
      </c>
      <c r="C210" s="5">
        <f t="shared" si="49"/>
        <v>203</v>
      </c>
      <c r="D210" s="5">
        <f t="shared" si="50"/>
        <v>16</v>
      </c>
      <c r="E210" s="5">
        <f t="shared" si="51"/>
        <v>62</v>
      </c>
      <c r="F210" s="64">
        <f>1-(1-VLOOKUP($E210,'Annual Mortality Rates'!$B$5:$C$105,2,FALSE))^(1/12)</f>
        <v>4.0004569505669441E-4</v>
      </c>
      <c r="G210" s="75">
        <f>IF(C210&gt;=Assumptions!$H$9*12,100%,1-(1-IF(D210&gt;=7,2%,VLOOKUP($D210,'Annual Lapse Rates'!$B$4:$C$14,2,FALSE)))^(1/12))</f>
        <v>1</v>
      </c>
      <c r="H210" s="81">
        <f t="shared" si="59"/>
        <v>11</v>
      </c>
      <c r="I210" s="65">
        <f t="shared" si="53"/>
        <v>0</v>
      </c>
      <c r="J210" s="66">
        <f t="shared" si="54"/>
        <v>0</v>
      </c>
      <c r="K210" s="66">
        <f t="shared" si="55"/>
        <v>0</v>
      </c>
      <c r="M210" s="97">
        <f t="shared" si="60"/>
        <v>0</v>
      </c>
      <c r="N210" s="97">
        <f>IF(AND(H210=1,D210&lt;15),Assumptions!$H$4,0)</f>
        <v>0</v>
      </c>
      <c r="O210" s="103"/>
      <c r="P210" s="98">
        <f>$M210*(1+VLOOKUP($H210,Assumptions!$C$22:$D$33,2,FALSE))^(1/12)</f>
        <v>0</v>
      </c>
      <c r="Q210" s="98">
        <f>$M210*(1+VLOOKUP($H210,Assumptions!$C$22:$D$33,2,FALSE))^(1/12)</f>
        <v>0</v>
      </c>
      <c r="R210" s="97">
        <f>IF(AND(H210=12,D210&lt;15),Assumptions!$C$7*M210,0)</f>
        <v>0</v>
      </c>
      <c r="S210" s="99">
        <f>(M210+N210-O210)*Assumptions!$D$17</f>
        <v>0</v>
      </c>
      <c r="T210" s="99">
        <f t="shared" si="56"/>
        <v>0</v>
      </c>
      <c r="U210" s="101"/>
      <c r="V210" s="101">
        <f>IF(C210&gt;=Assumptions!$H$9*12,0,M210+N210-O210+S210-R210)</f>
        <v>0</v>
      </c>
      <c r="W210" s="103"/>
      <c r="X210" s="97">
        <f>IF(AND(H210=1,D210&lt;15),Assumptions!$D$10*N210+Assumptions!$D$11*(1+Assumptions!$D$16)^(B210-1),0)</f>
        <v>0</v>
      </c>
      <c r="Y210" s="100">
        <f>Assumptions!$C$13*N210</f>
        <v>0</v>
      </c>
      <c r="AA210" s="67">
        <f t="shared" si="61"/>
        <v>0</v>
      </c>
      <c r="AB210" s="67">
        <f>N210*I210</f>
        <v>0</v>
      </c>
      <c r="AC210" s="67"/>
      <c r="AD210" s="90">
        <f>P210*J210</f>
        <v>0</v>
      </c>
      <c r="AE210" s="90">
        <f>Q210*K210</f>
        <v>0</v>
      </c>
      <c r="AF210" s="67">
        <f>R210*I211</f>
        <v>0</v>
      </c>
      <c r="AG210" s="68">
        <f>S210*I210</f>
        <v>0</v>
      </c>
      <c r="AH210" s="68">
        <f>T210*$I210</f>
        <v>0</v>
      </c>
      <c r="AI210" s="68">
        <f>U210*$I210</f>
        <v>0</v>
      </c>
      <c r="AJ210" s="67">
        <f>V210*I211</f>
        <v>0</v>
      </c>
      <c r="AK210" s="67">
        <f>W210*$I210</f>
        <v>0</v>
      </c>
      <c r="AL210" s="67">
        <f>X210*$I210</f>
        <v>0</v>
      </c>
      <c r="AM210" s="67">
        <f>Y210*$I210</f>
        <v>0</v>
      </c>
      <c r="AN210" s="65">
        <f>NPV(Assumptions!$D$19,AB210:$AB$259)*(1+Assumptions!$D$19)</f>
        <v>0</v>
      </c>
      <c r="AO210" s="68">
        <f t="shared" si="57"/>
        <v>0</v>
      </c>
      <c r="AQ210" s="67">
        <f t="shared" si="62"/>
        <v>4487415.5775472801</v>
      </c>
      <c r="AR210" s="95">
        <f>(AQ210+AB210-AC210)*Assumptions!$D$19</f>
        <v>19264.494487695119</v>
      </c>
      <c r="AS210" s="67">
        <f t="shared" si="63"/>
        <v>4506680.0720349755</v>
      </c>
      <c r="AT210" s="67">
        <f t="shared" si="58"/>
        <v>4506680.0720349755</v>
      </c>
      <c r="AU210" s="67"/>
      <c r="AV210" s="67"/>
      <c r="AW210" s="67"/>
      <c r="AY210" s="67"/>
      <c r="AZ210" s="70">
        <f t="shared" si="52"/>
        <v>0</v>
      </c>
    </row>
    <row r="211" spans="2:52" x14ac:dyDescent="0.2">
      <c r="B211" s="5">
        <f t="shared" si="48"/>
        <v>204</v>
      </c>
      <c r="C211" s="5">
        <f t="shared" si="49"/>
        <v>204</v>
      </c>
      <c r="D211" s="5">
        <f t="shared" si="50"/>
        <v>16</v>
      </c>
      <c r="E211" s="5">
        <f t="shared" si="51"/>
        <v>62</v>
      </c>
      <c r="F211" s="64">
        <f>1-(1-VLOOKUP($E211,'Annual Mortality Rates'!$B$5:$C$105,2,FALSE))^(1/12)</f>
        <v>4.0004569505669441E-4</v>
      </c>
      <c r="G211" s="75">
        <f>IF(C211&gt;=Assumptions!$H$9*12,100%,1-(1-IF(D211&gt;=7,2%,VLOOKUP($D211,'Annual Lapse Rates'!$B$4:$C$14,2,FALSE)))^(1/12))</f>
        <v>1</v>
      </c>
      <c r="H211" s="81">
        <f t="shared" si="59"/>
        <v>12</v>
      </c>
      <c r="I211" s="65">
        <f t="shared" si="53"/>
        <v>0</v>
      </c>
      <c r="J211" s="66">
        <f t="shared" si="54"/>
        <v>0</v>
      </c>
      <c r="K211" s="66">
        <f t="shared" si="55"/>
        <v>0</v>
      </c>
      <c r="M211" s="97">
        <f t="shared" si="60"/>
        <v>0</v>
      </c>
      <c r="N211" s="97">
        <f>IF(AND(H211=1,D211&lt;15),Assumptions!$H$4,0)</f>
        <v>0</v>
      </c>
      <c r="O211" s="103"/>
      <c r="P211" s="98">
        <f>$M211*(1+VLOOKUP($H211,Assumptions!$C$22:$D$33,2,FALSE))^(1/12)</f>
        <v>0</v>
      </c>
      <c r="Q211" s="98">
        <f>$M211*(1+VLOOKUP($H211,Assumptions!$C$22:$D$33,2,FALSE))^(1/12)</f>
        <v>0</v>
      </c>
      <c r="R211" s="97">
        <f>IF(AND(H211=12,D211&lt;15),Assumptions!$C$7*M211,0)</f>
        <v>0</v>
      </c>
      <c r="S211" s="99">
        <f>(M211+N211-O211)*Assumptions!$D$17</f>
        <v>0</v>
      </c>
      <c r="T211" s="99">
        <f t="shared" si="56"/>
        <v>0</v>
      </c>
      <c r="U211" s="101"/>
      <c r="V211" s="101">
        <f>IF(C211&gt;=Assumptions!$H$9*12,0,M211+N211-O211+S211-R211)</f>
        <v>0</v>
      </c>
      <c r="W211" s="103"/>
      <c r="X211" s="97">
        <f>IF(AND(H211=1,D211&lt;15),Assumptions!$D$10*N211+Assumptions!$D$11*(1+Assumptions!$D$16)^(B211-1),0)</f>
        <v>0</v>
      </c>
      <c r="Y211" s="100">
        <f>Assumptions!$C$13*N211</f>
        <v>0</v>
      </c>
      <c r="AA211" s="67">
        <f t="shared" si="61"/>
        <v>0</v>
      </c>
      <c r="AB211" s="67">
        <f>N211*I211</f>
        <v>0</v>
      </c>
      <c r="AC211" s="67"/>
      <c r="AD211" s="90">
        <f>P211*J211</f>
        <v>0</v>
      </c>
      <c r="AE211" s="90">
        <f>Q211*K211</f>
        <v>0</v>
      </c>
      <c r="AF211" s="67">
        <f>R211*I212</f>
        <v>0</v>
      </c>
      <c r="AG211" s="68">
        <f>S211*I211</f>
        <v>0</v>
      </c>
      <c r="AH211" s="68">
        <f>T211*$I211</f>
        <v>0</v>
      </c>
      <c r="AI211" s="68">
        <f>U211*$I211</f>
        <v>0</v>
      </c>
      <c r="AJ211" s="67">
        <f>V211*I212</f>
        <v>0</v>
      </c>
      <c r="AK211" s="67">
        <f>W211*$I211</f>
        <v>0</v>
      </c>
      <c r="AL211" s="67">
        <f>X211*$I211</f>
        <v>0</v>
      </c>
      <c r="AM211" s="67">
        <f>Y211*$I211</f>
        <v>0</v>
      </c>
      <c r="AN211" s="65">
        <f>NPV(Assumptions!$D$19,AB211:$AB$259)*(1+Assumptions!$D$19)</f>
        <v>0</v>
      </c>
      <c r="AO211" s="68">
        <f t="shared" si="57"/>
        <v>0</v>
      </c>
      <c r="AQ211" s="67">
        <f t="shared" si="62"/>
        <v>4506680.0720349755</v>
      </c>
      <c r="AR211" s="95">
        <f>(AQ211+AB211-AC211)*Assumptions!$D$19</f>
        <v>19347.197045872112</v>
      </c>
      <c r="AS211" s="67">
        <f t="shared" si="63"/>
        <v>4526027.2690808475</v>
      </c>
      <c r="AT211" s="67">
        <f t="shared" si="58"/>
        <v>4526027.2690808475</v>
      </c>
      <c r="AU211" s="67"/>
      <c r="AV211" s="67"/>
      <c r="AW211" s="67"/>
      <c r="AY211" s="67"/>
      <c r="AZ211" s="70">
        <f t="shared" si="52"/>
        <v>0</v>
      </c>
    </row>
    <row r="212" spans="2:52" x14ac:dyDescent="0.2">
      <c r="B212" s="5">
        <f t="shared" si="48"/>
        <v>205</v>
      </c>
      <c r="C212" s="5">
        <f t="shared" si="49"/>
        <v>205</v>
      </c>
      <c r="D212" s="5">
        <f t="shared" si="50"/>
        <v>17</v>
      </c>
      <c r="E212" s="5">
        <f t="shared" si="51"/>
        <v>63</v>
      </c>
      <c r="F212" s="64">
        <f>1-(1-VLOOKUP($E212,'Annual Mortality Rates'!$B$5:$C$105,2,FALSE))^(1/12)</f>
        <v>4.3855627899469507E-4</v>
      </c>
      <c r="G212" s="75">
        <f>IF(C212&gt;=Assumptions!$H$9*12,100%,1-(1-IF(D212&gt;=7,2%,VLOOKUP($D212,'Annual Lapse Rates'!$B$4:$C$14,2,FALSE)))^(1/12))</f>
        <v>1</v>
      </c>
      <c r="H212" s="81">
        <f t="shared" si="59"/>
        <v>1</v>
      </c>
      <c r="I212" s="65">
        <f t="shared" si="53"/>
        <v>0</v>
      </c>
      <c r="J212" s="66">
        <f t="shared" si="54"/>
        <v>0</v>
      </c>
      <c r="K212" s="66">
        <f t="shared" si="55"/>
        <v>0</v>
      </c>
      <c r="M212" s="97">
        <f t="shared" si="60"/>
        <v>0</v>
      </c>
      <c r="N212" s="97">
        <f>IF(AND(H212=1,D212&lt;15),Assumptions!$H$4,0)</f>
        <v>0</v>
      </c>
      <c r="O212" s="103"/>
      <c r="P212" s="98">
        <f>$M212*(1+VLOOKUP($H212,Assumptions!$C$22:$D$33,2,FALSE))^(1/12)</f>
        <v>0</v>
      </c>
      <c r="Q212" s="98">
        <f>$M212*(1+VLOOKUP($H212,Assumptions!$C$22:$D$33,2,FALSE))^(1/12)</f>
        <v>0</v>
      </c>
      <c r="R212" s="97">
        <f>IF(AND(H212=12,D212&lt;15),Assumptions!$C$7*M212,0)</f>
        <v>0</v>
      </c>
      <c r="S212" s="99">
        <f>(M212+N212-O212)*Assumptions!$D$17</f>
        <v>0</v>
      </c>
      <c r="T212" s="99">
        <f t="shared" si="56"/>
        <v>0</v>
      </c>
      <c r="U212" s="101"/>
      <c r="V212" s="101">
        <f>IF(C212&gt;=Assumptions!$H$9*12,0,M212+N212-O212+S212-R212)</f>
        <v>0</v>
      </c>
      <c r="W212" s="103"/>
      <c r="X212" s="97">
        <f>IF(AND(H212=1,D212&lt;15),Assumptions!$D$10*N212+Assumptions!$D$11*(1+Assumptions!$D$16)^(B212-1),0)</f>
        <v>0</v>
      </c>
      <c r="Y212" s="100">
        <f>Assumptions!$C$13*N212</f>
        <v>0</v>
      </c>
      <c r="AA212" s="67">
        <f t="shared" si="61"/>
        <v>0</v>
      </c>
      <c r="AB212" s="67">
        <f>N212*I212</f>
        <v>0</v>
      </c>
      <c r="AC212" s="67"/>
      <c r="AD212" s="90">
        <f>P212*J212</f>
        <v>0</v>
      </c>
      <c r="AE212" s="90">
        <f>Q212*K212</f>
        <v>0</v>
      </c>
      <c r="AF212" s="67">
        <f>R212*I213</f>
        <v>0</v>
      </c>
      <c r="AG212" s="68">
        <f>S212*I212</f>
        <v>0</v>
      </c>
      <c r="AH212" s="68">
        <f>T212*$I212</f>
        <v>0</v>
      </c>
      <c r="AI212" s="68">
        <f>U212*$I212</f>
        <v>0</v>
      </c>
      <c r="AJ212" s="67">
        <f>V212*I213</f>
        <v>0</v>
      </c>
      <c r="AK212" s="67">
        <f>W212*$I212</f>
        <v>0</v>
      </c>
      <c r="AL212" s="67">
        <f>X212*$I212</f>
        <v>0</v>
      </c>
      <c r="AM212" s="67">
        <f>Y212*$I212</f>
        <v>0</v>
      </c>
      <c r="AN212" s="65">
        <f>NPV(Assumptions!$D$19,AB212:$AB$259)*(1+Assumptions!$D$19)</f>
        <v>0</v>
      </c>
      <c r="AO212" s="68">
        <f t="shared" si="57"/>
        <v>0</v>
      </c>
      <c r="AQ212" s="67">
        <f t="shared" si="62"/>
        <v>4526027.2690808475</v>
      </c>
      <c r="AR212" s="95">
        <f>(AQ212+AB212-AC212)*Assumptions!$D$19</f>
        <v>19430.254646489138</v>
      </c>
      <c r="AS212" s="67">
        <f t="shared" si="63"/>
        <v>4545457.5237273369</v>
      </c>
      <c r="AT212" s="67">
        <f t="shared" si="58"/>
        <v>4545457.5237273369</v>
      </c>
      <c r="AU212" s="67"/>
      <c r="AV212" s="67"/>
      <c r="AW212" s="67"/>
      <c r="AY212" s="67"/>
      <c r="AZ212" s="70">
        <f t="shared" si="52"/>
        <v>0</v>
      </c>
    </row>
    <row r="213" spans="2:52" x14ac:dyDescent="0.2">
      <c r="B213" s="5">
        <f t="shared" si="48"/>
        <v>206</v>
      </c>
      <c r="C213" s="5">
        <f t="shared" si="49"/>
        <v>206</v>
      </c>
      <c r="D213" s="5">
        <f t="shared" si="50"/>
        <v>17</v>
      </c>
      <c r="E213" s="5">
        <f t="shared" si="51"/>
        <v>63</v>
      </c>
      <c r="F213" s="64">
        <f>1-(1-VLOOKUP($E213,'Annual Mortality Rates'!$B$5:$C$105,2,FALSE))^(1/12)</f>
        <v>4.3855627899469507E-4</v>
      </c>
      <c r="G213" s="75">
        <f>IF(C213&gt;=Assumptions!$H$9*12,100%,1-(1-IF(D213&gt;=7,2%,VLOOKUP($D213,'Annual Lapse Rates'!$B$4:$C$14,2,FALSE)))^(1/12))</f>
        <v>1</v>
      </c>
      <c r="H213" s="81">
        <f t="shared" si="59"/>
        <v>2</v>
      </c>
      <c r="I213" s="65">
        <f t="shared" si="53"/>
        <v>0</v>
      </c>
      <c r="J213" s="66">
        <f t="shared" si="54"/>
        <v>0</v>
      </c>
      <c r="K213" s="66">
        <f t="shared" si="55"/>
        <v>0</v>
      </c>
      <c r="M213" s="97">
        <f t="shared" si="60"/>
        <v>0</v>
      </c>
      <c r="N213" s="97">
        <f>IF(AND(H213=1,D213&lt;15),Assumptions!$H$4,0)</f>
        <v>0</v>
      </c>
      <c r="O213" s="103"/>
      <c r="P213" s="98">
        <f>$M213*(1+VLOOKUP($H213,Assumptions!$C$22:$D$33,2,FALSE))^(1/12)</f>
        <v>0</v>
      </c>
      <c r="Q213" s="98">
        <f>$M213*(1+VLOOKUP($H213,Assumptions!$C$22:$D$33,2,FALSE))^(1/12)</f>
        <v>0</v>
      </c>
      <c r="R213" s="97">
        <f>IF(AND(H213=12,D213&lt;15),Assumptions!$C$7*M213,0)</f>
        <v>0</v>
      </c>
      <c r="S213" s="99">
        <f>(M213+N213-O213)*Assumptions!$D$17</f>
        <v>0</v>
      </c>
      <c r="T213" s="99">
        <f t="shared" si="56"/>
        <v>0</v>
      </c>
      <c r="U213" s="101"/>
      <c r="V213" s="101">
        <f>IF(C213&gt;=Assumptions!$H$9*12,0,M213+N213-O213+S213-R213)</f>
        <v>0</v>
      </c>
      <c r="W213" s="103"/>
      <c r="X213" s="97">
        <f>IF(AND(H213=1,D213&lt;15),Assumptions!$D$10*N213+Assumptions!$D$11*(1+Assumptions!$D$16)^(B213-1),0)</f>
        <v>0</v>
      </c>
      <c r="Y213" s="100">
        <f>Assumptions!$C$13*N213</f>
        <v>0</v>
      </c>
      <c r="AA213" s="67">
        <f t="shared" si="61"/>
        <v>0</v>
      </c>
      <c r="AB213" s="67">
        <f>N213*I213</f>
        <v>0</v>
      </c>
      <c r="AC213" s="67"/>
      <c r="AD213" s="90">
        <f>P213*J213</f>
        <v>0</v>
      </c>
      <c r="AE213" s="90">
        <f>Q213*K213</f>
        <v>0</v>
      </c>
      <c r="AF213" s="67">
        <f>R213*I214</f>
        <v>0</v>
      </c>
      <c r="AG213" s="68">
        <f>S213*I213</f>
        <v>0</v>
      </c>
      <c r="AH213" s="68">
        <f>T213*$I213</f>
        <v>0</v>
      </c>
      <c r="AI213" s="68">
        <f>U213*$I213</f>
        <v>0</v>
      </c>
      <c r="AJ213" s="67">
        <f>V213*I214</f>
        <v>0</v>
      </c>
      <c r="AK213" s="67">
        <f>W213*$I213</f>
        <v>0</v>
      </c>
      <c r="AL213" s="67">
        <f>X213*$I213</f>
        <v>0</v>
      </c>
      <c r="AM213" s="67">
        <f>Y213*$I213</f>
        <v>0</v>
      </c>
      <c r="AN213" s="65">
        <f>NPV(Assumptions!$D$19,AB213:$AB$259)*(1+Assumptions!$D$19)</f>
        <v>0</v>
      </c>
      <c r="AO213" s="68">
        <f t="shared" si="57"/>
        <v>0</v>
      </c>
      <c r="AQ213" s="67">
        <f t="shared" si="62"/>
        <v>4545457.5237273369</v>
      </c>
      <c r="AR213" s="95">
        <f>(AQ213+AB213-AC213)*Assumptions!$D$19</f>
        <v>19513.668813744938</v>
      </c>
      <c r="AS213" s="67">
        <f t="shared" si="63"/>
        <v>4564971.1925410815</v>
      </c>
      <c r="AT213" s="67">
        <f t="shared" si="58"/>
        <v>4564971.1925410815</v>
      </c>
      <c r="AU213" s="67"/>
      <c r="AV213" s="67"/>
      <c r="AW213" s="67"/>
      <c r="AY213" s="67"/>
      <c r="AZ213" s="70">
        <f t="shared" si="52"/>
        <v>0</v>
      </c>
    </row>
    <row r="214" spans="2:52" x14ac:dyDescent="0.2">
      <c r="B214" s="5">
        <f t="shared" si="48"/>
        <v>207</v>
      </c>
      <c r="C214" s="5">
        <f t="shared" si="49"/>
        <v>207</v>
      </c>
      <c r="D214" s="5">
        <f t="shared" si="50"/>
        <v>17</v>
      </c>
      <c r="E214" s="5">
        <f t="shared" si="51"/>
        <v>63</v>
      </c>
      <c r="F214" s="64">
        <f>1-(1-VLOOKUP($E214,'Annual Mortality Rates'!$B$5:$C$105,2,FALSE))^(1/12)</f>
        <v>4.3855627899469507E-4</v>
      </c>
      <c r="G214" s="75">
        <f>IF(C214&gt;=Assumptions!$H$9*12,100%,1-(1-IF(D214&gt;=7,2%,VLOOKUP($D214,'Annual Lapse Rates'!$B$4:$C$14,2,FALSE)))^(1/12))</f>
        <v>1</v>
      </c>
      <c r="H214" s="81">
        <f t="shared" si="59"/>
        <v>3</v>
      </c>
      <c r="I214" s="65">
        <f t="shared" si="53"/>
        <v>0</v>
      </c>
      <c r="J214" s="66">
        <f t="shared" si="54"/>
        <v>0</v>
      </c>
      <c r="K214" s="66">
        <f t="shared" si="55"/>
        <v>0</v>
      </c>
      <c r="M214" s="97">
        <f t="shared" si="60"/>
        <v>0</v>
      </c>
      <c r="N214" s="97">
        <f>IF(AND(H214=1,D214&lt;15),Assumptions!$H$4,0)</f>
        <v>0</v>
      </c>
      <c r="O214" s="103"/>
      <c r="P214" s="98">
        <f>$M214*(1+VLOOKUP($H214,Assumptions!$C$22:$D$33,2,FALSE))^(1/12)</f>
        <v>0</v>
      </c>
      <c r="Q214" s="98">
        <f>$M214*(1+VLOOKUP($H214,Assumptions!$C$22:$D$33,2,FALSE))^(1/12)</f>
        <v>0</v>
      </c>
      <c r="R214" s="97">
        <f>IF(AND(H214=12,D214&lt;15),Assumptions!$C$7*M214,0)</f>
        <v>0</v>
      </c>
      <c r="S214" s="99">
        <f>(M214+N214-O214)*Assumptions!$D$17</f>
        <v>0</v>
      </c>
      <c r="T214" s="99">
        <f t="shared" si="56"/>
        <v>0</v>
      </c>
      <c r="U214" s="101"/>
      <c r="V214" s="101">
        <f>IF(C214&gt;=Assumptions!$H$9*12,0,M214+N214-O214+S214-R214)</f>
        <v>0</v>
      </c>
      <c r="W214" s="103"/>
      <c r="X214" s="97">
        <f>IF(AND(H214=1,D214&lt;15),Assumptions!$D$10*N214+Assumptions!$D$11*(1+Assumptions!$D$16)^(B214-1),0)</f>
        <v>0</v>
      </c>
      <c r="Y214" s="100">
        <f>Assumptions!$C$13*N214</f>
        <v>0</v>
      </c>
      <c r="AA214" s="67">
        <f t="shared" si="61"/>
        <v>0</v>
      </c>
      <c r="AB214" s="67">
        <f>N214*I214</f>
        <v>0</v>
      </c>
      <c r="AC214" s="67"/>
      <c r="AD214" s="90">
        <f>P214*J214</f>
        <v>0</v>
      </c>
      <c r="AE214" s="90">
        <f>Q214*K214</f>
        <v>0</v>
      </c>
      <c r="AF214" s="67">
        <f>R214*I215</f>
        <v>0</v>
      </c>
      <c r="AG214" s="68">
        <f>S214*I214</f>
        <v>0</v>
      </c>
      <c r="AH214" s="68">
        <f>T214*$I214</f>
        <v>0</v>
      </c>
      <c r="AI214" s="68">
        <f>U214*$I214</f>
        <v>0</v>
      </c>
      <c r="AJ214" s="67">
        <f>V214*I215</f>
        <v>0</v>
      </c>
      <c r="AK214" s="67">
        <f>W214*$I214</f>
        <v>0</v>
      </c>
      <c r="AL214" s="67">
        <f>X214*$I214</f>
        <v>0</v>
      </c>
      <c r="AM214" s="67">
        <f>Y214*$I214</f>
        <v>0</v>
      </c>
      <c r="AN214" s="65">
        <f>NPV(Assumptions!$D$19,AB214:$AB$259)*(1+Assumptions!$D$19)</f>
        <v>0</v>
      </c>
      <c r="AO214" s="68">
        <f t="shared" si="57"/>
        <v>0</v>
      </c>
      <c r="AQ214" s="67">
        <f t="shared" si="62"/>
        <v>4564971.1925410815</v>
      </c>
      <c r="AR214" s="95">
        <f>(AQ214+AB214-AC214)*Assumptions!$D$19</f>
        <v>19597.441078381627</v>
      </c>
      <c r="AS214" s="67">
        <f t="shared" si="63"/>
        <v>4584568.6336194631</v>
      </c>
      <c r="AT214" s="67">
        <f t="shared" si="58"/>
        <v>4584568.6336194631</v>
      </c>
      <c r="AU214" s="67"/>
      <c r="AV214" s="67"/>
      <c r="AW214" s="67"/>
      <c r="AY214" s="67"/>
      <c r="AZ214" s="70">
        <f t="shared" si="52"/>
        <v>0</v>
      </c>
    </row>
    <row r="215" spans="2:52" x14ac:dyDescent="0.2">
      <c r="B215" s="5">
        <f t="shared" si="48"/>
        <v>208</v>
      </c>
      <c r="C215" s="5">
        <f t="shared" si="49"/>
        <v>208</v>
      </c>
      <c r="D215" s="5">
        <f t="shared" si="50"/>
        <v>17</v>
      </c>
      <c r="E215" s="5">
        <f t="shared" si="51"/>
        <v>63</v>
      </c>
      <c r="F215" s="64">
        <f>1-(1-VLOOKUP($E215,'Annual Mortality Rates'!$B$5:$C$105,2,FALSE))^(1/12)</f>
        <v>4.3855627899469507E-4</v>
      </c>
      <c r="G215" s="75">
        <f>IF(C215&gt;=Assumptions!$H$9*12,100%,1-(1-IF(D215&gt;=7,2%,VLOOKUP($D215,'Annual Lapse Rates'!$B$4:$C$14,2,FALSE)))^(1/12))</f>
        <v>1</v>
      </c>
      <c r="H215" s="81">
        <f t="shared" si="59"/>
        <v>4</v>
      </c>
      <c r="I215" s="65">
        <f t="shared" si="53"/>
        <v>0</v>
      </c>
      <c r="J215" s="66">
        <f t="shared" si="54"/>
        <v>0</v>
      </c>
      <c r="K215" s="66">
        <f t="shared" si="55"/>
        <v>0</v>
      </c>
      <c r="M215" s="97">
        <f t="shared" si="60"/>
        <v>0</v>
      </c>
      <c r="N215" s="97">
        <f>IF(AND(H215=1,D215&lt;15),Assumptions!$H$4,0)</f>
        <v>0</v>
      </c>
      <c r="O215" s="103"/>
      <c r="P215" s="98">
        <f>$M215*(1+VLOOKUP($H215,Assumptions!$C$22:$D$33,2,FALSE))^(1/12)</f>
        <v>0</v>
      </c>
      <c r="Q215" s="98">
        <f>$M215*(1+VLOOKUP($H215,Assumptions!$C$22:$D$33,2,FALSE))^(1/12)</f>
        <v>0</v>
      </c>
      <c r="R215" s="97">
        <f>IF(AND(H215=12,D215&lt;15),Assumptions!$C$7*M215,0)</f>
        <v>0</v>
      </c>
      <c r="S215" s="99">
        <f>(M215+N215-O215)*Assumptions!$D$17</f>
        <v>0</v>
      </c>
      <c r="T215" s="99">
        <f t="shared" si="56"/>
        <v>0</v>
      </c>
      <c r="U215" s="101"/>
      <c r="V215" s="101">
        <f>IF(C215&gt;=Assumptions!$H$9*12,0,M215+N215-O215+S215-R215)</f>
        <v>0</v>
      </c>
      <c r="W215" s="103"/>
      <c r="X215" s="97">
        <f>IF(AND(H215=1,D215&lt;15),Assumptions!$D$10*N215+Assumptions!$D$11*(1+Assumptions!$D$16)^(B215-1),0)</f>
        <v>0</v>
      </c>
      <c r="Y215" s="100">
        <f>Assumptions!$C$13*N215</f>
        <v>0</v>
      </c>
      <c r="AA215" s="67">
        <f t="shared" si="61"/>
        <v>0</v>
      </c>
      <c r="AB215" s="67">
        <f>N215*I215</f>
        <v>0</v>
      </c>
      <c r="AC215" s="67"/>
      <c r="AD215" s="90">
        <f>P215*J215</f>
        <v>0</v>
      </c>
      <c r="AE215" s="90">
        <f>Q215*K215</f>
        <v>0</v>
      </c>
      <c r="AF215" s="67">
        <f>R215*I216</f>
        <v>0</v>
      </c>
      <c r="AG215" s="68">
        <f>S215*I215</f>
        <v>0</v>
      </c>
      <c r="AH215" s="68">
        <f>T215*$I215</f>
        <v>0</v>
      </c>
      <c r="AI215" s="68">
        <f>U215*$I215</f>
        <v>0</v>
      </c>
      <c r="AJ215" s="67">
        <f>V215*I216</f>
        <v>0</v>
      </c>
      <c r="AK215" s="67">
        <f>W215*$I215</f>
        <v>0</v>
      </c>
      <c r="AL215" s="67">
        <f>X215*$I215</f>
        <v>0</v>
      </c>
      <c r="AM215" s="67">
        <f>Y215*$I215</f>
        <v>0</v>
      </c>
      <c r="AN215" s="65">
        <f>NPV(Assumptions!$D$19,AB215:$AB$259)*(1+Assumptions!$D$19)</f>
        <v>0</v>
      </c>
      <c r="AO215" s="68">
        <f t="shared" si="57"/>
        <v>0</v>
      </c>
      <c r="AQ215" s="67">
        <f t="shared" si="62"/>
        <v>4584568.6336194631</v>
      </c>
      <c r="AR215" s="95">
        <f>(AQ215+AB215-AC215)*Assumptions!$D$19</f>
        <v>19681.572977712814</v>
      </c>
      <c r="AS215" s="67">
        <f t="shared" si="63"/>
        <v>4604250.2065971754</v>
      </c>
      <c r="AT215" s="67">
        <f t="shared" si="58"/>
        <v>4604250.2065971754</v>
      </c>
      <c r="AU215" s="67"/>
      <c r="AV215" s="67"/>
      <c r="AW215" s="67"/>
      <c r="AY215" s="67"/>
      <c r="AZ215" s="70">
        <f t="shared" si="52"/>
        <v>0</v>
      </c>
    </row>
    <row r="216" spans="2:52" x14ac:dyDescent="0.2">
      <c r="B216" s="5">
        <f t="shared" si="48"/>
        <v>209</v>
      </c>
      <c r="C216" s="5">
        <f t="shared" si="49"/>
        <v>209</v>
      </c>
      <c r="D216" s="5">
        <f t="shared" si="50"/>
        <v>17</v>
      </c>
      <c r="E216" s="5">
        <f t="shared" si="51"/>
        <v>63</v>
      </c>
      <c r="F216" s="64">
        <f>1-(1-VLOOKUP($E216,'Annual Mortality Rates'!$B$5:$C$105,2,FALSE))^(1/12)</f>
        <v>4.3855627899469507E-4</v>
      </c>
      <c r="G216" s="75">
        <f>IF(C216&gt;=Assumptions!$H$9*12,100%,1-(1-IF(D216&gt;=7,2%,VLOOKUP($D216,'Annual Lapse Rates'!$B$4:$C$14,2,FALSE)))^(1/12))</f>
        <v>1</v>
      </c>
      <c r="H216" s="81">
        <f t="shared" si="59"/>
        <v>5</v>
      </c>
      <c r="I216" s="65">
        <f t="shared" si="53"/>
        <v>0</v>
      </c>
      <c r="J216" s="66">
        <f t="shared" si="54"/>
        <v>0</v>
      </c>
      <c r="K216" s="66">
        <f t="shared" si="55"/>
        <v>0</v>
      </c>
      <c r="M216" s="97">
        <f t="shared" si="60"/>
        <v>0</v>
      </c>
      <c r="N216" s="97">
        <f>IF(AND(H216=1,D216&lt;15),Assumptions!$H$4,0)</f>
        <v>0</v>
      </c>
      <c r="O216" s="103"/>
      <c r="P216" s="98">
        <f>$M216*(1+VLOOKUP($H216,Assumptions!$C$22:$D$33,2,FALSE))^(1/12)</f>
        <v>0</v>
      </c>
      <c r="Q216" s="98">
        <f>$M216*(1+VLOOKUP($H216,Assumptions!$C$22:$D$33,2,FALSE))^(1/12)</f>
        <v>0</v>
      </c>
      <c r="R216" s="97">
        <f>IF(AND(H216=12,D216&lt;15),Assumptions!$C$7*M216,0)</f>
        <v>0</v>
      </c>
      <c r="S216" s="99">
        <f>(M216+N216-O216)*Assumptions!$D$17</f>
        <v>0</v>
      </c>
      <c r="T216" s="99">
        <f t="shared" si="56"/>
        <v>0</v>
      </c>
      <c r="U216" s="101"/>
      <c r="V216" s="101">
        <f>IF(C216&gt;=Assumptions!$H$9*12,0,M216+N216-O216+S216-R216)</f>
        <v>0</v>
      </c>
      <c r="W216" s="103"/>
      <c r="X216" s="97">
        <f>IF(AND(H216=1,D216&lt;15),Assumptions!$D$10*N216+Assumptions!$D$11*(1+Assumptions!$D$16)^(B216-1),0)</f>
        <v>0</v>
      </c>
      <c r="Y216" s="100">
        <f>Assumptions!$C$13*N216</f>
        <v>0</v>
      </c>
      <c r="AA216" s="67">
        <f t="shared" si="61"/>
        <v>0</v>
      </c>
      <c r="AB216" s="67">
        <f>N216*I216</f>
        <v>0</v>
      </c>
      <c r="AC216" s="67"/>
      <c r="AD216" s="90">
        <f>P216*J216</f>
        <v>0</v>
      </c>
      <c r="AE216" s="90">
        <f>Q216*K216</f>
        <v>0</v>
      </c>
      <c r="AF216" s="67">
        <f>R216*I217</f>
        <v>0</v>
      </c>
      <c r="AG216" s="68">
        <f>S216*I216</f>
        <v>0</v>
      </c>
      <c r="AH216" s="68">
        <f>T216*$I216</f>
        <v>0</v>
      </c>
      <c r="AI216" s="68">
        <f>U216*$I216</f>
        <v>0</v>
      </c>
      <c r="AJ216" s="67">
        <f>V216*I217</f>
        <v>0</v>
      </c>
      <c r="AK216" s="67">
        <f>W216*$I216</f>
        <v>0</v>
      </c>
      <c r="AL216" s="67">
        <f>X216*$I216</f>
        <v>0</v>
      </c>
      <c r="AM216" s="67">
        <f>Y216*$I216</f>
        <v>0</v>
      </c>
      <c r="AN216" s="65">
        <f>NPV(Assumptions!$D$19,AB216:$AB$259)*(1+Assumptions!$D$19)</f>
        <v>0</v>
      </c>
      <c r="AO216" s="68">
        <f t="shared" si="57"/>
        <v>0</v>
      </c>
      <c r="AQ216" s="67">
        <f t="shared" si="62"/>
        <v>4604250.2065971754</v>
      </c>
      <c r="AR216" s="95">
        <f>(AQ216+AB216-AC216)*Assumptions!$D$19</f>
        <v>19766.066055651798</v>
      </c>
      <c r="AS216" s="67">
        <f t="shared" si="63"/>
        <v>4624016.2726528272</v>
      </c>
      <c r="AT216" s="67">
        <f t="shared" si="58"/>
        <v>4624016.2726528272</v>
      </c>
      <c r="AU216" s="67"/>
      <c r="AV216" s="67"/>
      <c r="AW216" s="67"/>
      <c r="AY216" s="67"/>
      <c r="AZ216" s="70">
        <f t="shared" si="52"/>
        <v>0</v>
      </c>
    </row>
    <row r="217" spans="2:52" x14ac:dyDescent="0.2">
      <c r="B217" s="5">
        <f t="shared" si="48"/>
        <v>210</v>
      </c>
      <c r="C217" s="5">
        <f t="shared" si="49"/>
        <v>210</v>
      </c>
      <c r="D217" s="5">
        <f t="shared" si="50"/>
        <v>17</v>
      </c>
      <c r="E217" s="5">
        <f t="shared" si="51"/>
        <v>63</v>
      </c>
      <c r="F217" s="64">
        <f>1-(1-VLOOKUP($E217,'Annual Mortality Rates'!$B$5:$C$105,2,FALSE))^(1/12)</f>
        <v>4.3855627899469507E-4</v>
      </c>
      <c r="G217" s="75">
        <f>IF(C217&gt;=Assumptions!$H$9*12,100%,1-(1-IF(D217&gt;=7,2%,VLOOKUP($D217,'Annual Lapse Rates'!$B$4:$C$14,2,FALSE)))^(1/12))</f>
        <v>1</v>
      </c>
      <c r="H217" s="81">
        <f t="shared" si="59"/>
        <v>6</v>
      </c>
      <c r="I217" s="65">
        <f t="shared" si="53"/>
        <v>0</v>
      </c>
      <c r="J217" s="66">
        <f t="shared" si="54"/>
        <v>0</v>
      </c>
      <c r="K217" s="66">
        <f t="shared" si="55"/>
        <v>0</v>
      </c>
      <c r="M217" s="97">
        <f t="shared" si="60"/>
        <v>0</v>
      </c>
      <c r="N217" s="97">
        <f>IF(AND(H217=1,D217&lt;15),Assumptions!$H$4,0)</f>
        <v>0</v>
      </c>
      <c r="O217" s="103"/>
      <c r="P217" s="98">
        <f>$M217*(1+VLOOKUP($H217,Assumptions!$C$22:$D$33,2,FALSE))^(1/12)</f>
        <v>0</v>
      </c>
      <c r="Q217" s="98">
        <f>$M217*(1+VLOOKUP($H217,Assumptions!$C$22:$D$33,2,FALSE))^(1/12)</f>
        <v>0</v>
      </c>
      <c r="R217" s="97">
        <f>IF(AND(H217=12,D217&lt;15),Assumptions!$C$7*M217,0)</f>
        <v>0</v>
      </c>
      <c r="S217" s="99">
        <f>(M217+N217-O217)*Assumptions!$D$17</f>
        <v>0</v>
      </c>
      <c r="T217" s="99">
        <f t="shared" si="56"/>
        <v>0</v>
      </c>
      <c r="U217" s="101"/>
      <c r="V217" s="101">
        <f>IF(C217&gt;=Assumptions!$H$9*12,0,M217+N217-O217+S217-R217)</f>
        <v>0</v>
      </c>
      <c r="W217" s="103"/>
      <c r="X217" s="97">
        <f>IF(AND(H217=1,D217&lt;15),Assumptions!$D$10*N217+Assumptions!$D$11*(1+Assumptions!$D$16)^(B217-1),0)</f>
        <v>0</v>
      </c>
      <c r="Y217" s="100">
        <f>Assumptions!$C$13*N217</f>
        <v>0</v>
      </c>
      <c r="AA217" s="67">
        <f t="shared" si="61"/>
        <v>0</v>
      </c>
      <c r="AB217" s="67">
        <f>N217*I217</f>
        <v>0</v>
      </c>
      <c r="AC217" s="67"/>
      <c r="AD217" s="90">
        <f>P217*J217</f>
        <v>0</v>
      </c>
      <c r="AE217" s="90">
        <f>Q217*K217</f>
        <v>0</v>
      </c>
      <c r="AF217" s="67">
        <f>R217*I218</f>
        <v>0</v>
      </c>
      <c r="AG217" s="68">
        <f>S217*I217</f>
        <v>0</v>
      </c>
      <c r="AH217" s="68">
        <f>T217*$I217</f>
        <v>0</v>
      </c>
      <c r="AI217" s="68">
        <f>U217*$I217</f>
        <v>0</v>
      </c>
      <c r="AJ217" s="67">
        <f>V217*I218</f>
        <v>0</v>
      </c>
      <c r="AK217" s="67">
        <f>W217*$I217</f>
        <v>0</v>
      </c>
      <c r="AL217" s="67">
        <f>X217*$I217</f>
        <v>0</v>
      </c>
      <c r="AM217" s="67">
        <f>Y217*$I217</f>
        <v>0</v>
      </c>
      <c r="AN217" s="65">
        <f>NPV(Assumptions!$D$19,AB217:$AB$259)*(1+Assumptions!$D$19)</f>
        <v>0</v>
      </c>
      <c r="AO217" s="68">
        <f t="shared" si="57"/>
        <v>0</v>
      </c>
      <c r="AQ217" s="67">
        <f t="shared" si="62"/>
        <v>4624016.2726528272</v>
      </c>
      <c r="AR217" s="95">
        <f>(AQ217+AB217-AC217)*Assumptions!$D$19</f>
        <v>19850.921862739906</v>
      </c>
      <c r="AS217" s="67">
        <f t="shared" si="63"/>
        <v>4643867.1945155673</v>
      </c>
      <c r="AT217" s="67">
        <f t="shared" si="58"/>
        <v>4643867.1945155673</v>
      </c>
      <c r="AU217" s="67"/>
      <c r="AV217" s="67"/>
      <c r="AW217" s="67"/>
      <c r="AY217" s="67"/>
      <c r="AZ217" s="70">
        <f t="shared" si="52"/>
        <v>0</v>
      </c>
    </row>
    <row r="218" spans="2:52" x14ac:dyDescent="0.2">
      <c r="B218" s="5">
        <f t="shared" si="48"/>
        <v>211</v>
      </c>
      <c r="C218" s="5">
        <f t="shared" si="49"/>
        <v>211</v>
      </c>
      <c r="D218" s="5">
        <f t="shared" si="50"/>
        <v>17</v>
      </c>
      <c r="E218" s="5">
        <f t="shared" si="51"/>
        <v>63</v>
      </c>
      <c r="F218" s="64">
        <f>1-(1-VLOOKUP($E218,'Annual Mortality Rates'!$B$5:$C$105,2,FALSE))^(1/12)</f>
        <v>4.3855627899469507E-4</v>
      </c>
      <c r="G218" s="75">
        <f>IF(C218&gt;=Assumptions!$H$9*12,100%,1-(1-IF(D218&gt;=7,2%,VLOOKUP($D218,'Annual Lapse Rates'!$B$4:$C$14,2,FALSE)))^(1/12))</f>
        <v>1</v>
      </c>
      <c r="H218" s="81">
        <f t="shared" si="59"/>
        <v>7</v>
      </c>
      <c r="I218" s="65">
        <f t="shared" si="53"/>
        <v>0</v>
      </c>
      <c r="J218" s="66">
        <f t="shared" si="54"/>
        <v>0</v>
      </c>
      <c r="K218" s="66">
        <f t="shared" si="55"/>
        <v>0</v>
      </c>
      <c r="M218" s="97">
        <f t="shared" si="60"/>
        <v>0</v>
      </c>
      <c r="N218" s="97">
        <f>IF(AND(H218=1,D218&lt;15),Assumptions!$H$4,0)</f>
        <v>0</v>
      </c>
      <c r="O218" s="103"/>
      <c r="P218" s="98">
        <f>$M218*(1+VLOOKUP($H218,Assumptions!$C$22:$D$33,2,FALSE))^(1/12)</f>
        <v>0</v>
      </c>
      <c r="Q218" s="98">
        <f>$M218*(1+VLOOKUP($H218,Assumptions!$C$22:$D$33,2,FALSE))^(1/12)</f>
        <v>0</v>
      </c>
      <c r="R218" s="97">
        <f>IF(AND(H218=12,D218&lt;15),Assumptions!$C$7*M218,0)</f>
        <v>0</v>
      </c>
      <c r="S218" s="99">
        <f>(M218+N218-O218)*Assumptions!$D$17</f>
        <v>0</v>
      </c>
      <c r="T218" s="99">
        <f t="shared" si="56"/>
        <v>0</v>
      </c>
      <c r="U218" s="101"/>
      <c r="V218" s="101">
        <f>IF(C218&gt;=Assumptions!$H$9*12,0,M218+N218-O218+S218-R218)</f>
        <v>0</v>
      </c>
      <c r="W218" s="103"/>
      <c r="X218" s="97">
        <f>IF(AND(H218=1,D218&lt;15),Assumptions!$D$10*N218+Assumptions!$D$11*(1+Assumptions!$D$16)^(B218-1),0)</f>
        <v>0</v>
      </c>
      <c r="Y218" s="100">
        <f>Assumptions!$C$13*N218</f>
        <v>0</v>
      </c>
      <c r="AA218" s="67">
        <f t="shared" si="61"/>
        <v>0</v>
      </c>
      <c r="AB218" s="67">
        <f>N218*I218</f>
        <v>0</v>
      </c>
      <c r="AC218" s="67"/>
      <c r="AD218" s="90">
        <f>P218*J218</f>
        <v>0</v>
      </c>
      <c r="AE218" s="90">
        <f>Q218*K218</f>
        <v>0</v>
      </c>
      <c r="AF218" s="67">
        <f>R218*I219</f>
        <v>0</v>
      </c>
      <c r="AG218" s="68">
        <f>S218*I218</f>
        <v>0</v>
      </c>
      <c r="AH218" s="68">
        <f>T218*$I218</f>
        <v>0</v>
      </c>
      <c r="AI218" s="68">
        <f>U218*$I218</f>
        <v>0</v>
      </c>
      <c r="AJ218" s="67">
        <f>V218*I219</f>
        <v>0</v>
      </c>
      <c r="AK218" s="67">
        <f>W218*$I218</f>
        <v>0</v>
      </c>
      <c r="AL218" s="67">
        <f>X218*$I218</f>
        <v>0</v>
      </c>
      <c r="AM218" s="67">
        <f>Y218*$I218</f>
        <v>0</v>
      </c>
      <c r="AN218" s="65">
        <f>NPV(Assumptions!$D$19,AB218:$AB$259)*(1+Assumptions!$D$19)</f>
        <v>0</v>
      </c>
      <c r="AO218" s="68">
        <f t="shared" si="57"/>
        <v>0</v>
      </c>
      <c r="AQ218" s="67">
        <f t="shared" si="62"/>
        <v>4643867.1945155673</v>
      </c>
      <c r="AR218" s="95">
        <f>(AQ218+AB218-AC218)*Assumptions!$D$19</f>
        <v>19936.141956174943</v>
      </c>
      <c r="AS218" s="67">
        <f t="shared" si="63"/>
        <v>4663803.336471742</v>
      </c>
      <c r="AT218" s="67">
        <f t="shared" si="58"/>
        <v>4663803.336471742</v>
      </c>
      <c r="AU218" s="67"/>
      <c r="AV218" s="67"/>
      <c r="AW218" s="67"/>
      <c r="AY218" s="67"/>
      <c r="AZ218" s="70">
        <f t="shared" si="52"/>
        <v>0</v>
      </c>
    </row>
    <row r="219" spans="2:52" x14ac:dyDescent="0.2">
      <c r="B219" s="5">
        <f t="shared" si="48"/>
        <v>212</v>
      </c>
      <c r="C219" s="5">
        <f t="shared" si="49"/>
        <v>212</v>
      </c>
      <c r="D219" s="5">
        <f t="shared" si="50"/>
        <v>17</v>
      </c>
      <c r="E219" s="5">
        <f t="shared" si="51"/>
        <v>63</v>
      </c>
      <c r="F219" s="64">
        <f>1-(1-VLOOKUP($E219,'Annual Mortality Rates'!$B$5:$C$105,2,FALSE))^(1/12)</f>
        <v>4.3855627899469507E-4</v>
      </c>
      <c r="G219" s="75">
        <f>IF(C219&gt;=Assumptions!$H$9*12,100%,1-(1-IF(D219&gt;=7,2%,VLOOKUP($D219,'Annual Lapse Rates'!$B$4:$C$14,2,FALSE)))^(1/12))</f>
        <v>1</v>
      </c>
      <c r="H219" s="81">
        <f t="shared" si="59"/>
        <v>8</v>
      </c>
      <c r="I219" s="65">
        <f t="shared" si="53"/>
        <v>0</v>
      </c>
      <c r="J219" s="66">
        <f t="shared" si="54"/>
        <v>0</v>
      </c>
      <c r="K219" s="66">
        <f t="shared" si="55"/>
        <v>0</v>
      </c>
      <c r="M219" s="97">
        <f t="shared" si="60"/>
        <v>0</v>
      </c>
      <c r="N219" s="97">
        <f>IF(AND(H219=1,D219&lt;15),Assumptions!$H$4,0)</f>
        <v>0</v>
      </c>
      <c r="O219" s="103"/>
      <c r="P219" s="98">
        <f>$M219*(1+VLOOKUP($H219,Assumptions!$C$22:$D$33,2,FALSE))^(1/12)</f>
        <v>0</v>
      </c>
      <c r="Q219" s="98">
        <f>$M219*(1+VLOOKUP($H219,Assumptions!$C$22:$D$33,2,FALSE))^(1/12)</f>
        <v>0</v>
      </c>
      <c r="R219" s="97">
        <f>IF(AND(H219=12,D219&lt;15),Assumptions!$C$7*M219,0)</f>
        <v>0</v>
      </c>
      <c r="S219" s="99">
        <f>(M219+N219-O219)*Assumptions!$D$17</f>
        <v>0</v>
      </c>
      <c r="T219" s="99">
        <f t="shared" si="56"/>
        <v>0</v>
      </c>
      <c r="U219" s="101"/>
      <c r="V219" s="101">
        <f>IF(C219&gt;=Assumptions!$H$9*12,0,M219+N219-O219+S219-R219)</f>
        <v>0</v>
      </c>
      <c r="W219" s="103"/>
      <c r="X219" s="97">
        <f>IF(AND(H219=1,D219&lt;15),Assumptions!$D$10*N219+Assumptions!$D$11*(1+Assumptions!$D$16)^(B219-1),0)</f>
        <v>0</v>
      </c>
      <c r="Y219" s="100">
        <f>Assumptions!$C$13*N219</f>
        <v>0</v>
      </c>
      <c r="AA219" s="67">
        <f t="shared" si="61"/>
        <v>0</v>
      </c>
      <c r="AB219" s="67">
        <f>N219*I219</f>
        <v>0</v>
      </c>
      <c r="AC219" s="67"/>
      <c r="AD219" s="90">
        <f>P219*J219</f>
        <v>0</v>
      </c>
      <c r="AE219" s="90">
        <f>Q219*K219</f>
        <v>0</v>
      </c>
      <c r="AF219" s="67">
        <f>R219*I220</f>
        <v>0</v>
      </c>
      <c r="AG219" s="68">
        <f>S219*I219</f>
        <v>0</v>
      </c>
      <c r="AH219" s="68">
        <f>T219*$I219</f>
        <v>0</v>
      </c>
      <c r="AI219" s="68">
        <f>U219*$I219</f>
        <v>0</v>
      </c>
      <c r="AJ219" s="67">
        <f>V219*I220</f>
        <v>0</v>
      </c>
      <c r="AK219" s="67">
        <f>W219*$I219</f>
        <v>0</v>
      </c>
      <c r="AL219" s="67">
        <f>X219*$I219</f>
        <v>0</v>
      </c>
      <c r="AM219" s="67">
        <f>Y219*$I219</f>
        <v>0</v>
      </c>
      <c r="AN219" s="65">
        <f>NPV(Assumptions!$D$19,AB219:$AB$259)*(1+Assumptions!$D$19)</f>
        <v>0</v>
      </c>
      <c r="AO219" s="68">
        <f t="shared" si="57"/>
        <v>0</v>
      </c>
      <c r="AQ219" s="67">
        <f t="shared" si="62"/>
        <v>4663803.336471742</v>
      </c>
      <c r="AR219" s="95">
        <f>(AQ219+AB219-AC219)*Assumptions!$D$19</f>
        <v>20021.727899839774</v>
      </c>
      <c r="AS219" s="67">
        <f t="shared" si="63"/>
        <v>4683825.0643715821</v>
      </c>
      <c r="AT219" s="67">
        <f t="shared" si="58"/>
        <v>4683825.0643715821</v>
      </c>
      <c r="AU219" s="67"/>
      <c r="AV219" s="67"/>
      <c r="AW219" s="67"/>
      <c r="AY219" s="67"/>
      <c r="AZ219" s="70">
        <f t="shared" si="52"/>
        <v>0</v>
      </c>
    </row>
    <row r="220" spans="2:52" x14ac:dyDescent="0.2">
      <c r="B220" s="5">
        <f t="shared" si="48"/>
        <v>213</v>
      </c>
      <c r="C220" s="5">
        <f t="shared" si="49"/>
        <v>213</v>
      </c>
      <c r="D220" s="5">
        <f t="shared" si="50"/>
        <v>17</v>
      </c>
      <c r="E220" s="5">
        <f t="shared" si="51"/>
        <v>63</v>
      </c>
      <c r="F220" s="64">
        <f>1-(1-VLOOKUP($E220,'Annual Mortality Rates'!$B$5:$C$105,2,FALSE))^(1/12)</f>
        <v>4.3855627899469507E-4</v>
      </c>
      <c r="G220" s="75">
        <f>IF(C220&gt;=Assumptions!$H$9*12,100%,1-(1-IF(D220&gt;=7,2%,VLOOKUP($D220,'Annual Lapse Rates'!$B$4:$C$14,2,FALSE)))^(1/12))</f>
        <v>1</v>
      </c>
      <c r="H220" s="81">
        <f t="shared" si="59"/>
        <v>9</v>
      </c>
      <c r="I220" s="65">
        <f t="shared" si="53"/>
        <v>0</v>
      </c>
      <c r="J220" s="66">
        <f t="shared" si="54"/>
        <v>0</v>
      </c>
      <c r="K220" s="66">
        <f t="shared" si="55"/>
        <v>0</v>
      </c>
      <c r="M220" s="97">
        <f t="shared" si="60"/>
        <v>0</v>
      </c>
      <c r="N220" s="97">
        <f>IF(AND(H220=1,D220&lt;15),Assumptions!$H$4,0)</f>
        <v>0</v>
      </c>
      <c r="O220" s="103"/>
      <c r="P220" s="98">
        <f>$M220*(1+VLOOKUP($H220,Assumptions!$C$22:$D$33,2,FALSE))^(1/12)</f>
        <v>0</v>
      </c>
      <c r="Q220" s="98">
        <f>$M220*(1+VLOOKUP($H220,Assumptions!$C$22:$D$33,2,FALSE))^(1/12)</f>
        <v>0</v>
      </c>
      <c r="R220" s="97">
        <f>IF(AND(H220=12,D220&lt;15),Assumptions!$C$7*M220,0)</f>
        <v>0</v>
      </c>
      <c r="S220" s="99">
        <f>(M220+N220-O220)*Assumptions!$D$17</f>
        <v>0</v>
      </c>
      <c r="T220" s="99">
        <f t="shared" si="56"/>
        <v>0</v>
      </c>
      <c r="U220" s="101"/>
      <c r="V220" s="101">
        <f>IF(C220&gt;=Assumptions!$H$9*12,0,M220+N220-O220+S220-R220)</f>
        <v>0</v>
      </c>
      <c r="W220" s="103"/>
      <c r="X220" s="97">
        <f>IF(AND(H220=1,D220&lt;15),Assumptions!$D$10*N220+Assumptions!$D$11*(1+Assumptions!$D$16)^(B220-1),0)</f>
        <v>0</v>
      </c>
      <c r="Y220" s="100">
        <f>Assumptions!$C$13*N220</f>
        <v>0</v>
      </c>
      <c r="AA220" s="67">
        <f t="shared" si="61"/>
        <v>0</v>
      </c>
      <c r="AB220" s="67">
        <f>N220*I220</f>
        <v>0</v>
      </c>
      <c r="AC220" s="67"/>
      <c r="AD220" s="90">
        <f>P220*J220</f>
        <v>0</v>
      </c>
      <c r="AE220" s="90">
        <f>Q220*K220</f>
        <v>0</v>
      </c>
      <c r="AF220" s="67">
        <f>R220*I221</f>
        <v>0</v>
      </c>
      <c r="AG220" s="68">
        <f>S220*I220</f>
        <v>0</v>
      </c>
      <c r="AH220" s="68">
        <f>T220*$I220</f>
        <v>0</v>
      </c>
      <c r="AI220" s="68">
        <f>U220*$I220</f>
        <v>0</v>
      </c>
      <c r="AJ220" s="67">
        <f>V220*I221</f>
        <v>0</v>
      </c>
      <c r="AK220" s="67">
        <f>W220*$I220</f>
        <v>0</v>
      </c>
      <c r="AL220" s="67">
        <f>X220*$I220</f>
        <v>0</v>
      </c>
      <c r="AM220" s="67">
        <f>Y220*$I220</f>
        <v>0</v>
      </c>
      <c r="AN220" s="65">
        <f>NPV(Assumptions!$D$19,AB220:$AB$259)*(1+Assumptions!$D$19)</f>
        <v>0</v>
      </c>
      <c r="AO220" s="68">
        <f t="shared" si="57"/>
        <v>0</v>
      </c>
      <c r="AQ220" s="67">
        <f t="shared" si="62"/>
        <v>4683825.0643715821</v>
      </c>
      <c r="AR220" s="95">
        <f>(AQ220+AB220-AC220)*Assumptions!$D$19</f>
        <v>20107.681264331015</v>
      </c>
      <c r="AS220" s="67">
        <f t="shared" si="63"/>
        <v>4703932.7456359128</v>
      </c>
      <c r="AT220" s="67">
        <f t="shared" si="58"/>
        <v>4703932.7456359128</v>
      </c>
      <c r="AU220" s="67"/>
      <c r="AV220" s="67"/>
      <c r="AW220" s="67"/>
      <c r="AY220" s="67"/>
      <c r="AZ220" s="70">
        <f t="shared" si="52"/>
        <v>0</v>
      </c>
    </row>
    <row r="221" spans="2:52" x14ac:dyDescent="0.2">
      <c r="B221" s="5">
        <f t="shared" si="48"/>
        <v>214</v>
      </c>
      <c r="C221" s="5">
        <f t="shared" si="49"/>
        <v>214</v>
      </c>
      <c r="D221" s="5">
        <f t="shared" si="50"/>
        <v>17</v>
      </c>
      <c r="E221" s="5">
        <f t="shared" si="51"/>
        <v>63</v>
      </c>
      <c r="F221" s="64">
        <f>1-(1-VLOOKUP($E221,'Annual Mortality Rates'!$B$5:$C$105,2,FALSE))^(1/12)</f>
        <v>4.3855627899469507E-4</v>
      </c>
      <c r="G221" s="75">
        <f>IF(C221&gt;=Assumptions!$H$9*12,100%,1-(1-IF(D221&gt;=7,2%,VLOOKUP($D221,'Annual Lapse Rates'!$B$4:$C$14,2,FALSE)))^(1/12))</f>
        <v>1</v>
      </c>
      <c r="H221" s="81">
        <f t="shared" si="59"/>
        <v>10</v>
      </c>
      <c r="I221" s="65">
        <f t="shared" si="53"/>
        <v>0</v>
      </c>
      <c r="J221" s="66">
        <f t="shared" si="54"/>
        <v>0</v>
      </c>
      <c r="K221" s="66">
        <f t="shared" si="55"/>
        <v>0</v>
      </c>
      <c r="M221" s="97">
        <f t="shared" si="60"/>
        <v>0</v>
      </c>
      <c r="N221" s="97">
        <f>IF(AND(H221=1,D221&lt;15),Assumptions!$H$4,0)</f>
        <v>0</v>
      </c>
      <c r="O221" s="103"/>
      <c r="P221" s="98">
        <f>$M221*(1+VLOOKUP($H221,Assumptions!$C$22:$D$33,2,FALSE))^(1/12)</f>
        <v>0</v>
      </c>
      <c r="Q221" s="98">
        <f>$M221*(1+VLOOKUP($H221,Assumptions!$C$22:$D$33,2,FALSE))^(1/12)</f>
        <v>0</v>
      </c>
      <c r="R221" s="97">
        <f>IF(AND(H221=12,D221&lt;15),Assumptions!$C$7*M221,0)</f>
        <v>0</v>
      </c>
      <c r="S221" s="99">
        <f>(M221+N221-O221)*Assumptions!$D$17</f>
        <v>0</v>
      </c>
      <c r="T221" s="99">
        <f t="shared" si="56"/>
        <v>0</v>
      </c>
      <c r="U221" s="101"/>
      <c r="V221" s="101">
        <f>IF(C221&gt;=Assumptions!$H$9*12,0,M221+N221-O221+S221-R221)</f>
        <v>0</v>
      </c>
      <c r="W221" s="103"/>
      <c r="X221" s="97">
        <f>IF(AND(H221=1,D221&lt;15),Assumptions!$D$10*N221+Assumptions!$D$11*(1+Assumptions!$D$16)^(B221-1),0)</f>
        <v>0</v>
      </c>
      <c r="Y221" s="100">
        <f>Assumptions!$C$13*N221</f>
        <v>0</v>
      </c>
      <c r="AA221" s="67">
        <f t="shared" si="61"/>
        <v>0</v>
      </c>
      <c r="AB221" s="67">
        <f>N221*I221</f>
        <v>0</v>
      </c>
      <c r="AC221" s="67"/>
      <c r="AD221" s="90">
        <f>P221*J221</f>
        <v>0</v>
      </c>
      <c r="AE221" s="90">
        <f>Q221*K221</f>
        <v>0</v>
      </c>
      <c r="AF221" s="67">
        <f>R221*I222</f>
        <v>0</v>
      </c>
      <c r="AG221" s="68">
        <f>S221*I221</f>
        <v>0</v>
      </c>
      <c r="AH221" s="68">
        <f>T221*$I221</f>
        <v>0</v>
      </c>
      <c r="AI221" s="68">
        <f>U221*$I221</f>
        <v>0</v>
      </c>
      <c r="AJ221" s="67">
        <f>V221*I222</f>
        <v>0</v>
      </c>
      <c r="AK221" s="67">
        <f>W221*$I221</f>
        <v>0</v>
      </c>
      <c r="AL221" s="67">
        <f>X221*$I221</f>
        <v>0</v>
      </c>
      <c r="AM221" s="67">
        <f>Y221*$I221</f>
        <v>0</v>
      </c>
      <c r="AN221" s="65">
        <f>NPV(Assumptions!$D$19,AB221:$AB$259)*(1+Assumptions!$D$19)</f>
        <v>0</v>
      </c>
      <c r="AO221" s="68">
        <f t="shared" si="57"/>
        <v>0</v>
      </c>
      <c r="AQ221" s="67">
        <f t="shared" si="62"/>
        <v>4703932.7456359128</v>
      </c>
      <c r="AR221" s="95">
        <f>(AQ221+AB221-AC221)*Assumptions!$D$19</f>
        <v>20194.003626987866</v>
      </c>
      <c r="AS221" s="67">
        <f t="shared" si="63"/>
        <v>4724126.749262901</v>
      </c>
      <c r="AT221" s="67">
        <f t="shared" si="58"/>
        <v>4724126.749262901</v>
      </c>
      <c r="AU221" s="67"/>
      <c r="AV221" s="67"/>
      <c r="AW221" s="67"/>
      <c r="AY221" s="67"/>
      <c r="AZ221" s="70">
        <f t="shared" si="52"/>
        <v>0</v>
      </c>
    </row>
    <row r="222" spans="2:52" x14ac:dyDescent="0.2">
      <c r="B222" s="5">
        <f t="shared" si="48"/>
        <v>215</v>
      </c>
      <c r="C222" s="5">
        <f t="shared" si="49"/>
        <v>215</v>
      </c>
      <c r="D222" s="5">
        <f t="shared" si="50"/>
        <v>17</v>
      </c>
      <c r="E222" s="5">
        <f t="shared" si="51"/>
        <v>63</v>
      </c>
      <c r="F222" s="64">
        <f>1-(1-VLOOKUP($E222,'Annual Mortality Rates'!$B$5:$C$105,2,FALSE))^(1/12)</f>
        <v>4.3855627899469507E-4</v>
      </c>
      <c r="G222" s="75">
        <f>IF(C222&gt;=Assumptions!$H$9*12,100%,1-(1-IF(D222&gt;=7,2%,VLOOKUP($D222,'Annual Lapse Rates'!$B$4:$C$14,2,FALSE)))^(1/12))</f>
        <v>1</v>
      </c>
      <c r="H222" s="81">
        <f t="shared" si="59"/>
        <v>11</v>
      </c>
      <c r="I222" s="65">
        <f t="shared" si="53"/>
        <v>0</v>
      </c>
      <c r="J222" s="66">
        <f t="shared" si="54"/>
        <v>0</v>
      </c>
      <c r="K222" s="66">
        <f t="shared" si="55"/>
        <v>0</v>
      </c>
      <c r="M222" s="97">
        <f t="shared" si="60"/>
        <v>0</v>
      </c>
      <c r="N222" s="97">
        <f>IF(AND(H222=1,D222&lt;15),Assumptions!$H$4,0)</f>
        <v>0</v>
      </c>
      <c r="O222" s="103"/>
      <c r="P222" s="98">
        <f>$M222*(1+VLOOKUP($H222,Assumptions!$C$22:$D$33,2,FALSE))^(1/12)</f>
        <v>0</v>
      </c>
      <c r="Q222" s="98">
        <f>$M222*(1+VLOOKUP($H222,Assumptions!$C$22:$D$33,2,FALSE))^(1/12)</f>
        <v>0</v>
      </c>
      <c r="R222" s="97">
        <f>IF(AND(H222=12,D222&lt;15),Assumptions!$C$7*M222,0)</f>
        <v>0</v>
      </c>
      <c r="S222" s="99">
        <f>(M222+N222-O222)*Assumptions!$D$17</f>
        <v>0</v>
      </c>
      <c r="T222" s="99">
        <f t="shared" si="56"/>
        <v>0</v>
      </c>
      <c r="U222" s="101"/>
      <c r="V222" s="101">
        <f>IF(C222&gt;=Assumptions!$H$9*12,0,M222+N222-O222+S222-R222)</f>
        <v>0</v>
      </c>
      <c r="W222" s="103"/>
      <c r="X222" s="97">
        <f>IF(AND(H222=1,D222&lt;15),Assumptions!$D$10*N222+Assumptions!$D$11*(1+Assumptions!$D$16)^(B222-1),0)</f>
        <v>0</v>
      </c>
      <c r="Y222" s="100">
        <f>Assumptions!$C$13*N222</f>
        <v>0</v>
      </c>
      <c r="AA222" s="67">
        <f t="shared" si="61"/>
        <v>0</v>
      </c>
      <c r="AB222" s="67">
        <f>N222*I222</f>
        <v>0</v>
      </c>
      <c r="AC222" s="67"/>
      <c r="AD222" s="90">
        <f>P222*J222</f>
        <v>0</v>
      </c>
      <c r="AE222" s="90">
        <f>Q222*K222</f>
        <v>0</v>
      </c>
      <c r="AF222" s="67">
        <f>R222*I223</f>
        <v>0</v>
      </c>
      <c r="AG222" s="68">
        <f>S222*I222</f>
        <v>0</v>
      </c>
      <c r="AH222" s="68">
        <f>T222*$I222</f>
        <v>0</v>
      </c>
      <c r="AI222" s="68">
        <f>U222*$I222</f>
        <v>0</v>
      </c>
      <c r="AJ222" s="67">
        <f>V222*I223</f>
        <v>0</v>
      </c>
      <c r="AK222" s="67">
        <f>W222*$I222</f>
        <v>0</v>
      </c>
      <c r="AL222" s="67">
        <f>X222*$I222</f>
        <v>0</v>
      </c>
      <c r="AM222" s="67">
        <f>Y222*$I222</f>
        <v>0</v>
      </c>
      <c r="AN222" s="65">
        <f>NPV(Assumptions!$D$19,AB222:$AB$259)*(1+Assumptions!$D$19)</f>
        <v>0</v>
      </c>
      <c r="AO222" s="68">
        <f t="shared" si="57"/>
        <v>0</v>
      </c>
      <c r="AQ222" s="67">
        <f t="shared" si="62"/>
        <v>4724126.749262901</v>
      </c>
      <c r="AR222" s="95">
        <f>(AQ222+AB222-AC222)*Assumptions!$D$19</f>
        <v>20280.696571921046</v>
      </c>
      <c r="AS222" s="67">
        <f t="shared" si="63"/>
        <v>4744407.445834822</v>
      </c>
      <c r="AT222" s="67">
        <f t="shared" si="58"/>
        <v>4744407.445834822</v>
      </c>
      <c r="AU222" s="67"/>
      <c r="AV222" s="67"/>
      <c r="AW222" s="67"/>
      <c r="AY222" s="67"/>
      <c r="AZ222" s="70">
        <f t="shared" si="52"/>
        <v>0</v>
      </c>
    </row>
    <row r="223" spans="2:52" x14ac:dyDescent="0.2">
      <c r="B223" s="5">
        <f t="shared" si="48"/>
        <v>216</v>
      </c>
      <c r="C223" s="5">
        <f t="shared" si="49"/>
        <v>216</v>
      </c>
      <c r="D223" s="5">
        <f t="shared" si="50"/>
        <v>17</v>
      </c>
      <c r="E223" s="5">
        <f t="shared" si="51"/>
        <v>63</v>
      </c>
      <c r="F223" s="64">
        <f>1-(1-VLOOKUP($E223,'Annual Mortality Rates'!$B$5:$C$105,2,FALSE))^(1/12)</f>
        <v>4.3855627899469507E-4</v>
      </c>
      <c r="G223" s="75">
        <f>IF(C223&gt;=Assumptions!$H$9*12,100%,1-(1-IF(D223&gt;=7,2%,VLOOKUP($D223,'Annual Lapse Rates'!$B$4:$C$14,2,FALSE)))^(1/12))</f>
        <v>1</v>
      </c>
      <c r="H223" s="81">
        <f t="shared" si="59"/>
        <v>12</v>
      </c>
      <c r="I223" s="65">
        <f t="shared" si="53"/>
        <v>0</v>
      </c>
      <c r="J223" s="66">
        <f t="shared" si="54"/>
        <v>0</v>
      </c>
      <c r="K223" s="66">
        <f t="shared" si="55"/>
        <v>0</v>
      </c>
      <c r="M223" s="97">
        <f t="shared" si="60"/>
        <v>0</v>
      </c>
      <c r="N223" s="97">
        <f>IF(AND(H223=1,D223&lt;15),Assumptions!$H$4,0)</f>
        <v>0</v>
      </c>
      <c r="O223" s="103"/>
      <c r="P223" s="98">
        <f>$M223*(1+VLOOKUP($H223,Assumptions!$C$22:$D$33,2,FALSE))^(1/12)</f>
        <v>0</v>
      </c>
      <c r="Q223" s="98">
        <f>$M223*(1+VLOOKUP($H223,Assumptions!$C$22:$D$33,2,FALSE))^(1/12)</f>
        <v>0</v>
      </c>
      <c r="R223" s="97">
        <f>IF(AND(H223=12,D223&lt;15),Assumptions!$C$7*M223,0)</f>
        <v>0</v>
      </c>
      <c r="S223" s="99">
        <f>(M223+N223-O223)*Assumptions!$D$17</f>
        <v>0</v>
      </c>
      <c r="T223" s="99">
        <f t="shared" si="56"/>
        <v>0</v>
      </c>
      <c r="U223" s="101"/>
      <c r="V223" s="101">
        <f>IF(C223&gt;=Assumptions!$H$9*12,0,M223+N223-O223+S223-R223)</f>
        <v>0</v>
      </c>
      <c r="W223" s="103"/>
      <c r="X223" s="97">
        <f>IF(AND(H223=1,D223&lt;15),Assumptions!$D$10*N223+Assumptions!$D$11*(1+Assumptions!$D$16)^(B223-1),0)</f>
        <v>0</v>
      </c>
      <c r="Y223" s="100">
        <f>Assumptions!$C$13*N223</f>
        <v>0</v>
      </c>
      <c r="AA223" s="67">
        <f t="shared" si="61"/>
        <v>0</v>
      </c>
      <c r="AB223" s="67">
        <f>N223*I223</f>
        <v>0</v>
      </c>
      <c r="AC223" s="67"/>
      <c r="AD223" s="90">
        <f>P223*J223</f>
        <v>0</v>
      </c>
      <c r="AE223" s="90">
        <f>Q223*K223</f>
        <v>0</v>
      </c>
      <c r="AF223" s="67">
        <f>R223*I224</f>
        <v>0</v>
      </c>
      <c r="AG223" s="68">
        <f>S223*I223</f>
        <v>0</v>
      </c>
      <c r="AH223" s="68">
        <f>T223*$I223</f>
        <v>0</v>
      </c>
      <c r="AI223" s="68">
        <f>U223*$I223</f>
        <v>0</v>
      </c>
      <c r="AJ223" s="67">
        <f>V223*I224</f>
        <v>0</v>
      </c>
      <c r="AK223" s="67">
        <f>W223*$I223</f>
        <v>0</v>
      </c>
      <c r="AL223" s="67">
        <f>X223*$I223</f>
        <v>0</v>
      </c>
      <c r="AM223" s="67">
        <f>Y223*$I223</f>
        <v>0</v>
      </c>
      <c r="AN223" s="65">
        <f>NPV(Assumptions!$D$19,AB223:$AB$259)*(1+Assumptions!$D$19)</f>
        <v>0</v>
      </c>
      <c r="AO223" s="68">
        <f t="shared" si="57"/>
        <v>0</v>
      </c>
      <c r="AQ223" s="67">
        <f t="shared" si="62"/>
        <v>4744407.445834822</v>
      </c>
      <c r="AR223" s="95">
        <f>(AQ223+AB223-AC223)*Assumptions!$D$19</f>
        <v>20367.761690041872</v>
      </c>
      <c r="AS223" s="67">
        <f t="shared" si="63"/>
        <v>4764775.207524864</v>
      </c>
      <c r="AT223" s="67">
        <f t="shared" si="58"/>
        <v>4764775.207524864</v>
      </c>
      <c r="AU223" s="67"/>
      <c r="AV223" s="67"/>
      <c r="AW223" s="67"/>
      <c r="AY223" s="67"/>
      <c r="AZ223" s="70">
        <f t="shared" si="52"/>
        <v>0</v>
      </c>
    </row>
    <row r="224" spans="2:52" x14ac:dyDescent="0.2">
      <c r="B224" s="5">
        <f t="shared" si="48"/>
        <v>217</v>
      </c>
      <c r="C224" s="5">
        <f t="shared" si="49"/>
        <v>217</v>
      </c>
      <c r="D224" s="5">
        <f t="shared" si="50"/>
        <v>18</v>
      </c>
      <c r="E224" s="5">
        <f t="shared" si="51"/>
        <v>64</v>
      </c>
      <c r="F224" s="64">
        <f>1-(1-VLOOKUP($E224,'Annual Mortality Rates'!$B$5:$C$105,2,FALSE))^(1/12)</f>
        <v>4.8378519100333861E-4</v>
      </c>
      <c r="G224" s="75">
        <f>IF(C224&gt;=Assumptions!$H$9*12,100%,1-(1-IF(D224&gt;=7,2%,VLOOKUP($D224,'Annual Lapse Rates'!$B$4:$C$14,2,FALSE)))^(1/12))</f>
        <v>1</v>
      </c>
      <c r="H224" s="81">
        <f t="shared" si="59"/>
        <v>1</v>
      </c>
      <c r="I224" s="65">
        <f t="shared" si="53"/>
        <v>0</v>
      </c>
      <c r="J224" s="66">
        <f t="shared" si="54"/>
        <v>0</v>
      </c>
      <c r="K224" s="66">
        <f t="shared" si="55"/>
        <v>0</v>
      </c>
      <c r="M224" s="97">
        <f t="shared" si="60"/>
        <v>0</v>
      </c>
      <c r="N224" s="97">
        <f>IF(AND(H224=1,D224&lt;15),Assumptions!$H$4,0)</f>
        <v>0</v>
      </c>
      <c r="O224" s="103"/>
      <c r="P224" s="98">
        <f>$M224*(1+VLOOKUP($H224,Assumptions!$C$22:$D$33,2,FALSE))^(1/12)</f>
        <v>0</v>
      </c>
      <c r="Q224" s="98">
        <f>$M224*(1+VLOOKUP($H224,Assumptions!$C$22:$D$33,2,FALSE))^(1/12)</f>
        <v>0</v>
      </c>
      <c r="R224" s="97">
        <f>IF(AND(H224=12,D224&lt;15),Assumptions!$C$7*M224,0)</f>
        <v>0</v>
      </c>
      <c r="S224" s="99">
        <f>(M224+N224-O224)*Assumptions!$D$17</f>
        <v>0</v>
      </c>
      <c r="T224" s="99">
        <f t="shared" si="56"/>
        <v>0</v>
      </c>
      <c r="U224" s="101"/>
      <c r="V224" s="101">
        <f>IF(C224&gt;=Assumptions!$H$9*12,0,M224+N224-O224+S224-R224)</f>
        <v>0</v>
      </c>
      <c r="W224" s="103"/>
      <c r="X224" s="97">
        <f>IF(AND(H224=1,D224&lt;15),Assumptions!$D$10*N224+Assumptions!$D$11*(1+Assumptions!$D$16)^(B224-1),0)</f>
        <v>0</v>
      </c>
      <c r="Y224" s="100">
        <f>Assumptions!$C$13*N224</f>
        <v>0</v>
      </c>
      <c r="AA224" s="67">
        <f t="shared" si="61"/>
        <v>0</v>
      </c>
      <c r="AB224" s="67">
        <f>N224*I224</f>
        <v>0</v>
      </c>
      <c r="AC224" s="67"/>
      <c r="AD224" s="90">
        <f>P224*J224</f>
        <v>0</v>
      </c>
      <c r="AE224" s="90">
        <f>Q224*K224</f>
        <v>0</v>
      </c>
      <c r="AF224" s="67">
        <f>R224*I225</f>
        <v>0</v>
      </c>
      <c r="AG224" s="68">
        <f>S224*I224</f>
        <v>0</v>
      </c>
      <c r="AH224" s="68">
        <f>T224*$I224</f>
        <v>0</v>
      </c>
      <c r="AI224" s="68">
        <f>U224*$I224</f>
        <v>0</v>
      </c>
      <c r="AJ224" s="67">
        <f>V224*I225</f>
        <v>0</v>
      </c>
      <c r="AK224" s="67">
        <f>W224*$I224</f>
        <v>0</v>
      </c>
      <c r="AL224" s="67">
        <f>X224*$I224</f>
        <v>0</v>
      </c>
      <c r="AM224" s="67">
        <f>Y224*$I224</f>
        <v>0</v>
      </c>
      <c r="AN224" s="65">
        <f>NPV(Assumptions!$D$19,AB224:$AB$259)*(1+Assumptions!$D$19)</f>
        <v>0</v>
      </c>
      <c r="AO224" s="68">
        <f t="shared" si="57"/>
        <v>0</v>
      </c>
      <c r="AQ224" s="67">
        <f t="shared" si="62"/>
        <v>4764775.207524864</v>
      </c>
      <c r="AR224" s="95">
        <f>(AQ224+AB224-AC224)*Assumptions!$D$19</f>
        <v>20455.200579091448</v>
      </c>
      <c r="AS224" s="67">
        <f t="shared" si="63"/>
        <v>4785230.4081039559</v>
      </c>
      <c r="AT224" s="67">
        <f t="shared" si="58"/>
        <v>4785230.4081039559</v>
      </c>
      <c r="AU224" s="67"/>
      <c r="AV224" s="67"/>
      <c r="AW224" s="67"/>
      <c r="AY224" s="67"/>
      <c r="AZ224" s="70">
        <f t="shared" si="52"/>
        <v>0</v>
      </c>
    </row>
    <row r="225" spans="2:52" x14ac:dyDescent="0.2">
      <c r="B225" s="5">
        <f t="shared" si="48"/>
        <v>218</v>
      </c>
      <c r="C225" s="5">
        <f t="shared" si="49"/>
        <v>218</v>
      </c>
      <c r="D225" s="5">
        <f t="shared" si="50"/>
        <v>18</v>
      </c>
      <c r="E225" s="5">
        <f t="shared" si="51"/>
        <v>64</v>
      </c>
      <c r="F225" s="64">
        <f>1-(1-VLOOKUP($E225,'Annual Mortality Rates'!$B$5:$C$105,2,FALSE))^(1/12)</f>
        <v>4.8378519100333861E-4</v>
      </c>
      <c r="G225" s="75">
        <f>IF(C225&gt;=Assumptions!$H$9*12,100%,1-(1-IF(D225&gt;=7,2%,VLOOKUP($D225,'Annual Lapse Rates'!$B$4:$C$14,2,FALSE)))^(1/12))</f>
        <v>1</v>
      </c>
      <c r="H225" s="81">
        <f t="shared" si="59"/>
        <v>2</v>
      </c>
      <c r="I225" s="65">
        <f t="shared" si="53"/>
        <v>0</v>
      </c>
      <c r="J225" s="66">
        <f t="shared" si="54"/>
        <v>0</v>
      </c>
      <c r="K225" s="66">
        <f t="shared" si="55"/>
        <v>0</v>
      </c>
      <c r="M225" s="97">
        <f t="shared" si="60"/>
        <v>0</v>
      </c>
      <c r="N225" s="97">
        <f>IF(AND(H225=1,D225&lt;15),Assumptions!$H$4,0)</f>
        <v>0</v>
      </c>
      <c r="O225" s="103"/>
      <c r="P225" s="98">
        <f>$M225*(1+VLOOKUP($H225,Assumptions!$C$22:$D$33,2,FALSE))^(1/12)</f>
        <v>0</v>
      </c>
      <c r="Q225" s="98">
        <f>$M225*(1+VLOOKUP($H225,Assumptions!$C$22:$D$33,2,FALSE))^(1/12)</f>
        <v>0</v>
      </c>
      <c r="R225" s="97">
        <f>IF(AND(H225=12,D225&lt;15),Assumptions!$C$7*M225,0)</f>
        <v>0</v>
      </c>
      <c r="S225" s="99">
        <f>(M225+N225-O225)*Assumptions!$D$17</f>
        <v>0</v>
      </c>
      <c r="T225" s="99">
        <f t="shared" si="56"/>
        <v>0</v>
      </c>
      <c r="U225" s="101"/>
      <c r="V225" s="101">
        <f>IF(C225&gt;=Assumptions!$H$9*12,0,M225+N225-O225+S225-R225)</f>
        <v>0</v>
      </c>
      <c r="W225" s="103"/>
      <c r="X225" s="97">
        <f>IF(AND(H225=1,D225&lt;15),Assumptions!$D$10*N225+Assumptions!$D$11*(1+Assumptions!$D$16)^(B225-1),0)</f>
        <v>0</v>
      </c>
      <c r="Y225" s="100">
        <f>Assumptions!$C$13*N225</f>
        <v>0</v>
      </c>
      <c r="AA225" s="67">
        <f t="shared" si="61"/>
        <v>0</v>
      </c>
      <c r="AB225" s="67">
        <f>N225*I225</f>
        <v>0</v>
      </c>
      <c r="AC225" s="67"/>
      <c r="AD225" s="90">
        <f>P225*J225</f>
        <v>0</v>
      </c>
      <c r="AE225" s="90">
        <f>Q225*K225</f>
        <v>0</v>
      </c>
      <c r="AF225" s="67">
        <f>R225*I226</f>
        <v>0</v>
      </c>
      <c r="AG225" s="68">
        <f>S225*I225</f>
        <v>0</v>
      </c>
      <c r="AH225" s="68">
        <f>T225*$I225</f>
        <v>0</v>
      </c>
      <c r="AI225" s="68">
        <f>U225*$I225</f>
        <v>0</v>
      </c>
      <c r="AJ225" s="67">
        <f>V225*I226</f>
        <v>0</v>
      </c>
      <c r="AK225" s="67">
        <f>W225*$I225</f>
        <v>0</v>
      </c>
      <c r="AL225" s="67">
        <f>X225*$I225</f>
        <v>0</v>
      </c>
      <c r="AM225" s="67">
        <f>Y225*$I225</f>
        <v>0</v>
      </c>
      <c r="AN225" s="65">
        <f>NPV(Assumptions!$D$19,AB225:$AB$259)*(1+Assumptions!$D$19)</f>
        <v>0</v>
      </c>
      <c r="AO225" s="68">
        <f t="shared" si="57"/>
        <v>0</v>
      </c>
      <c r="AQ225" s="67">
        <f t="shared" si="62"/>
        <v>4785230.4081039559</v>
      </c>
      <c r="AR225" s="95">
        <f>(AQ225+AB225-AC225)*Assumptions!$D$19</f>
        <v>20543.014843669993</v>
      </c>
      <c r="AS225" s="67">
        <f t="shared" si="63"/>
        <v>4805773.4229476256</v>
      </c>
      <c r="AT225" s="67">
        <f t="shared" si="58"/>
        <v>4805773.4229476256</v>
      </c>
      <c r="AU225" s="67"/>
      <c r="AV225" s="67"/>
      <c r="AW225" s="67"/>
      <c r="AY225" s="67"/>
      <c r="AZ225" s="70">
        <f t="shared" si="52"/>
        <v>0</v>
      </c>
    </row>
    <row r="226" spans="2:52" x14ac:dyDescent="0.2">
      <c r="B226" s="5">
        <f t="shared" si="48"/>
        <v>219</v>
      </c>
      <c r="C226" s="5">
        <f t="shared" si="49"/>
        <v>219</v>
      </c>
      <c r="D226" s="5">
        <f t="shared" si="50"/>
        <v>18</v>
      </c>
      <c r="E226" s="5">
        <f t="shared" si="51"/>
        <v>64</v>
      </c>
      <c r="F226" s="64">
        <f>1-(1-VLOOKUP($E226,'Annual Mortality Rates'!$B$5:$C$105,2,FALSE))^(1/12)</f>
        <v>4.8378519100333861E-4</v>
      </c>
      <c r="G226" s="75">
        <f>IF(C226&gt;=Assumptions!$H$9*12,100%,1-(1-IF(D226&gt;=7,2%,VLOOKUP($D226,'Annual Lapse Rates'!$B$4:$C$14,2,FALSE)))^(1/12))</f>
        <v>1</v>
      </c>
      <c r="H226" s="81">
        <f t="shared" si="59"/>
        <v>3</v>
      </c>
      <c r="I226" s="65">
        <f t="shared" si="53"/>
        <v>0</v>
      </c>
      <c r="J226" s="66">
        <f t="shared" si="54"/>
        <v>0</v>
      </c>
      <c r="K226" s="66">
        <f t="shared" si="55"/>
        <v>0</v>
      </c>
      <c r="M226" s="97">
        <f t="shared" si="60"/>
        <v>0</v>
      </c>
      <c r="N226" s="97">
        <f>IF(AND(H226=1,D226&lt;15),Assumptions!$H$4,0)</f>
        <v>0</v>
      </c>
      <c r="O226" s="103"/>
      <c r="P226" s="98">
        <f>$M226*(1+VLOOKUP($H226,Assumptions!$C$22:$D$33,2,FALSE))^(1/12)</f>
        <v>0</v>
      </c>
      <c r="Q226" s="98">
        <f>$M226*(1+VLOOKUP($H226,Assumptions!$C$22:$D$33,2,FALSE))^(1/12)</f>
        <v>0</v>
      </c>
      <c r="R226" s="97">
        <f>IF(AND(H226=12,D226&lt;15),Assumptions!$C$7*M226,0)</f>
        <v>0</v>
      </c>
      <c r="S226" s="99">
        <f>(M226+N226-O226)*Assumptions!$D$17</f>
        <v>0</v>
      </c>
      <c r="T226" s="99">
        <f t="shared" si="56"/>
        <v>0</v>
      </c>
      <c r="U226" s="101"/>
      <c r="V226" s="101">
        <f>IF(C226&gt;=Assumptions!$H$9*12,0,M226+N226-O226+S226-R226)</f>
        <v>0</v>
      </c>
      <c r="W226" s="103"/>
      <c r="X226" s="97">
        <f>IF(AND(H226=1,D226&lt;15),Assumptions!$D$10*N226+Assumptions!$D$11*(1+Assumptions!$D$16)^(B226-1),0)</f>
        <v>0</v>
      </c>
      <c r="Y226" s="100">
        <f>Assumptions!$C$13*N226</f>
        <v>0</v>
      </c>
      <c r="AA226" s="67">
        <f t="shared" si="61"/>
        <v>0</v>
      </c>
      <c r="AB226" s="67">
        <f>N226*I226</f>
        <v>0</v>
      </c>
      <c r="AC226" s="67"/>
      <c r="AD226" s="90">
        <f>P226*J226</f>
        <v>0</v>
      </c>
      <c r="AE226" s="90">
        <f>Q226*K226</f>
        <v>0</v>
      </c>
      <c r="AF226" s="67">
        <f>R226*I227</f>
        <v>0</v>
      </c>
      <c r="AG226" s="68">
        <f>S226*I226</f>
        <v>0</v>
      </c>
      <c r="AH226" s="68">
        <f>T226*$I226</f>
        <v>0</v>
      </c>
      <c r="AI226" s="68">
        <f>U226*$I226</f>
        <v>0</v>
      </c>
      <c r="AJ226" s="67">
        <f>V226*I227</f>
        <v>0</v>
      </c>
      <c r="AK226" s="67">
        <f>W226*$I226</f>
        <v>0</v>
      </c>
      <c r="AL226" s="67">
        <f>X226*$I226</f>
        <v>0</v>
      </c>
      <c r="AM226" s="67">
        <f>Y226*$I226</f>
        <v>0</v>
      </c>
      <c r="AN226" s="65">
        <f>NPV(Assumptions!$D$19,AB226:$AB$259)*(1+Assumptions!$D$19)</f>
        <v>0</v>
      </c>
      <c r="AO226" s="68">
        <f t="shared" si="57"/>
        <v>0</v>
      </c>
      <c r="AQ226" s="67">
        <f t="shared" si="62"/>
        <v>4805773.4229476256</v>
      </c>
      <c r="AR226" s="95">
        <f>(AQ226+AB226-AC226)*Assumptions!$D$19</f>
        <v>20631.206095266269</v>
      </c>
      <c r="AS226" s="67">
        <f t="shared" si="63"/>
        <v>4826404.6290428918</v>
      </c>
      <c r="AT226" s="67">
        <f t="shared" si="58"/>
        <v>4826404.6290428918</v>
      </c>
      <c r="AU226" s="67"/>
      <c r="AV226" s="67"/>
      <c r="AW226" s="67"/>
      <c r="AY226" s="67"/>
      <c r="AZ226" s="70">
        <f t="shared" si="52"/>
        <v>0</v>
      </c>
    </row>
    <row r="227" spans="2:52" x14ac:dyDescent="0.2">
      <c r="B227" s="5">
        <f t="shared" si="48"/>
        <v>220</v>
      </c>
      <c r="C227" s="5">
        <f t="shared" si="49"/>
        <v>220</v>
      </c>
      <c r="D227" s="5">
        <f t="shared" si="50"/>
        <v>18</v>
      </c>
      <c r="E227" s="5">
        <f t="shared" si="51"/>
        <v>64</v>
      </c>
      <c r="F227" s="64">
        <f>1-(1-VLOOKUP($E227,'Annual Mortality Rates'!$B$5:$C$105,2,FALSE))^(1/12)</f>
        <v>4.8378519100333861E-4</v>
      </c>
      <c r="G227" s="75">
        <f>IF(C227&gt;=Assumptions!$H$9*12,100%,1-(1-IF(D227&gt;=7,2%,VLOOKUP($D227,'Annual Lapse Rates'!$B$4:$C$14,2,FALSE)))^(1/12))</f>
        <v>1</v>
      </c>
      <c r="H227" s="81">
        <f t="shared" si="59"/>
        <v>4</v>
      </c>
      <c r="I227" s="65">
        <f t="shared" si="53"/>
        <v>0</v>
      </c>
      <c r="J227" s="66">
        <f t="shared" si="54"/>
        <v>0</v>
      </c>
      <c r="K227" s="66">
        <f t="shared" si="55"/>
        <v>0</v>
      </c>
      <c r="M227" s="97">
        <f t="shared" si="60"/>
        <v>0</v>
      </c>
      <c r="N227" s="97">
        <f>IF(AND(H227=1,D227&lt;15),Assumptions!$H$4,0)</f>
        <v>0</v>
      </c>
      <c r="O227" s="103"/>
      <c r="P227" s="98">
        <f>$M227*(1+VLOOKUP($H227,Assumptions!$C$22:$D$33,2,FALSE))^(1/12)</f>
        <v>0</v>
      </c>
      <c r="Q227" s="98">
        <f>$M227*(1+VLOOKUP($H227,Assumptions!$C$22:$D$33,2,FALSE))^(1/12)</f>
        <v>0</v>
      </c>
      <c r="R227" s="97">
        <f>IF(AND(H227=12,D227&lt;15),Assumptions!$C$7*M227,0)</f>
        <v>0</v>
      </c>
      <c r="S227" s="99">
        <f>(M227+N227-O227)*Assumptions!$D$17</f>
        <v>0</v>
      </c>
      <c r="T227" s="99">
        <f t="shared" si="56"/>
        <v>0</v>
      </c>
      <c r="U227" s="101"/>
      <c r="V227" s="101">
        <f>IF(C227&gt;=Assumptions!$H$9*12,0,M227+N227-O227+S227-R227)</f>
        <v>0</v>
      </c>
      <c r="W227" s="103"/>
      <c r="X227" s="97">
        <f>IF(AND(H227=1,D227&lt;15),Assumptions!$D$10*N227+Assumptions!$D$11*(1+Assumptions!$D$16)^(B227-1),0)</f>
        <v>0</v>
      </c>
      <c r="Y227" s="100">
        <f>Assumptions!$C$13*N227</f>
        <v>0</v>
      </c>
      <c r="AA227" s="67">
        <f t="shared" si="61"/>
        <v>0</v>
      </c>
      <c r="AB227" s="67">
        <f>N227*I227</f>
        <v>0</v>
      </c>
      <c r="AC227" s="67"/>
      <c r="AD227" s="90">
        <f>P227*J227</f>
        <v>0</v>
      </c>
      <c r="AE227" s="90">
        <f>Q227*K227</f>
        <v>0</v>
      </c>
      <c r="AF227" s="67">
        <f>R227*I228</f>
        <v>0</v>
      </c>
      <c r="AG227" s="68">
        <f>S227*I227</f>
        <v>0</v>
      </c>
      <c r="AH227" s="68">
        <f>T227*$I227</f>
        <v>0</v>
      </c>
      <c r="AI227" s="68">
        <f>U227*$I227</f>
        <v>0</v>
      </c>
      <c r="AJ227" s="67">
        <f>V227*I228</f>
        <v>0</v>
      </c>
      <c r="AK227" s="67">
        <f>W227*$I227</f>
        <v>0</v>
      </c>
      <c r="AL227" s="67">
        <f>X227*$I227</f>
        <v>0</v>
      </c>
      <c r="AM227" s="67">
        <f>Y227*$I227</f>
        <v>0</v>
      </c>
      <c r="AN227" s="65">
        <f>NPV(Assumptions!$D$19,AB227:$AB$259)*(1+Assumptions!$D$19)</f>
        <v>0</v>
      </c>
      <c r="AO227" s="68">
        <f t="shared" si="57"/>
        <v>0</v>
      </c>
      <c r="AQ227" s="67">
        <f t="shared" si="62"/>
        <v>4826404.6290428918</v>
      </c>
      <c r="AR227" s="95">
        <f>(AQ227+AB227-AC227)*Assumptions!$D$19</f>
        <v>20719.775952287175</v>
      </c>
      <c r="AS227" s="67">
        <f t="shared" si="63"/>
        <v>4847124.4049951788</v>
      </c>
      <c r="AT227" s="67">
        <f t="shared" si="58"/>
        <v>4847124.4049951788</v>
      </c>
      <c r="AU227" s="67"/>
      <c r="AV227" s="67"/>
      <c r="AW227" s="67"/>
      <c r="AY227" s="67"/>
      <c r="AZ227" s="70">
        <f t="shared" si="52"/>
        <v>0</v>
      </c>
    </row>
    <row r="228" spans="2:52" x14ac:dyDescent="0.2">
      <c r="B228" s="5">
        <f t="shared" si="48"/>
        <v>221</v>
      </c>
      <c r="C228" s="5">
        <f t="shared" si="49"/>
        <v>221</v>
      </c>
      <c r="D228" s="5">
        <f t="shared" si="50"/>
        <v>18</v>
      </c>
      <c r="E228" s="5">
        <f t="shared" si="51"/>
        <v>64</v>
      </c>
      <c r="F228" s="64">
        <f>1-(1-VLOOKUP($E228,'Annual Mortality Rates'!$B$5:$C$105,2,FALSE))^(1/12)</f>
        <v>4.8378519100333861E-4</v>
      </c>
      <c r="G228" s="75">
        <f>IF(C228&gt;=Assumptions!$H$9*12,100%,1-(1-IF(D228&gt;=7,2%,VLOOKUP($D228,'Annual Lapse Rates'!$B$4:$C$14,2,FALSE)))^(1/12))</f>
        <v>1</v>
      </c>
      <c r="H228" s="81">
        <f t="shared" si="59"/>
        <v>5</v>
      </c>
      <c r="I228" s="65">
        <f t="shared" si="53"/>
        <v>0</v>
      </c>
      <c r="J228" s="66">
        <f t="shared" si="54"/>
        <v>0</v>
      </c>
      <c r="K228" s="66">
        <f t="shared" si="55"/>
        <v>0</v>
      </c>
      <c r="M228" s="97">
        <f t="shared" si="60"/>
        <v>0</v>
      </c>
      <c r="N228" s="97">
        <f>IF(AND(H228=1,D228&lt;15),Assumptions!$H$4,0)</f>
        <v>0</v>
      </c>
      <c r="O228" s="103"/>
      <c r="P228" s="98">
        <f>$M228*(1+VLOOKUP($H228,Assumptions!$C$22:$D$33,2,FALSE))^(1/12)</f>
        <v>0</v>
      </c>
      <c r="Q228" s="98">
        <f>$M228*(1+VLOOKUP($H228,Assumptions!$C$22:$D$33,2,FALSE))^(1/12)</f>
        <v>0</v>
      </c>
      <c r="R228" s="97">
        <f>IF(AND(H228=12,D228&lt;15),Assumptions!$C$7*M228,0)</f>
        <v>0</v>
      </c>
      <c r="S228" s="99">
        <f>(M228+N228-O228)*Assumptions!$D$17</f>
        <v>0</v>
      </c>
      <c r="T228" s="99">
        <f t="shared" si="56"/>
        <v>0</v>
      </c>
      <c r="U228" s="101"/>
      <c r="V228" s="101">
        <f>IF(C228&gt;=Assumptions!$H$9*12,0,M228+N228-O228+S228-R228)</f>
        <v>0</v>
      </c>
      <c r="W228" s="103"/>
      <c r="X228" s="97">
        <f>IF(AND(H228=1,D228&lt;15),Assumptions!$D$10*N228+Assumptions!$D$11*(1+Assumptions!$D$16)^(B228-1),0)</f>
        <v>0</v>
      </c>
      <c r="Y228" s="100">
        <f>Assumptions!$C$13*N228</f>
        <v>0</v>
      </c>
      <c r="AA228" s="67">
        <f t="shared" si="61"/>
        <v>0</v>
      </c>
      <c r="AB228" s="67">
        <f>N228*I228</f>
        <v>0</v>
      </c>
      <c r="AC228" s="67"/>
      <c r="AD228" s="90">
        <f>P228*J228</f>
        <v>0</v>
      </c>
      <c r="AE228" s="90">
        <f>Q228*K228</f>
        <v>0</v>
      </c>
      <c r="AF228" s="67">
        <f>R228*I229</f>
        <v>0</v>
      </c>
      <c r="AG228" s="68">
        <f>S228*I228</f>
        <v>0</v>
      </c>
      <c r="AH228" s="68">
        <f>T228*$I228</f>
        <v>0</v>
      </c>
      <c r="AI228" s="68">
        <f>U228*$I228</f>
        <v>0</v>
      </c>
      <c r="AJ228" s="67">
        <f>V228*I229</f>
        <v>0</v>
      </c>
      <c r="AK228" s="67">
        <f>W228*$I228</f>
        <v>0</v>
      </c>
      <c r="AL228" s="67">
        <f>X228*$I228</f>
        <v>0</v>
      </c>
      <c r="AM228" s="67">
        <f>Y228*$I228</f>
        <v>0</v>
      </c>
      <c r="AN228" s="65">
        <f>NPV(Assumptions!$D$19,AB228:$AB$259)*(1+Assumptions!$D$19)</f>
        <v>0</v>
      </c>
      <c r="AO228" s="68">
        <f t="shared" si="57"/>
        <v>0</v>
      </c>
      <c r="AQ228" s="67">
        <f t="shared" si="62"/>
        <v>4847124.4049951788</v>
      </c>
      <c r="AR228" s="95">
        <f>(AQ228+AB228-AC228)*Assumptions!$D$19</f>
        <v>20808.72604008744</v>
      </c>
      <c r="AS228" s="67">
        <f t="shared" si="63"/>
        <v>4867933.1310352664</v>
      </c>
      <c r="AT228" s="67">
        <f t="shared" si="58"/>
        <v>4867933.1310352664</v>
      </c>
      <c r="AU228" s="67"/>
      <c r="AV228" s="67"/>
      <c r="AW228" s="67"/>
      <c r="AY228" s="67"/>
      <c r="AZ228" s="70">
        <f t="shared" si="52"/>
        <v>0</v>
      </c>
    </row>
    <row r="229" spans="2:52" x14ac:dyDescent="0.2">
      <c r="B229" s="5">
        <f t="shared" si="48"/>
        <v>222</v>
      </c>
      <c r="C229" s="5">
        <f t="shared" si="49"/>
        <v>222</v>
      </c>
      <c r="D229" s="5">
        <f t="shared" si="50"/>
        <v>18</v>
      </c>
      <c r="E229" s="5">
        <f t="shared" si="51"/>
        <v>64</v>
      </c>
      <c r="F229" s="64">
        <f>1-(1-VLOOKUP($E229,'Annual Mortality Rates'!$B$5:$C$105,2,FALSE))^(1/12)</f>
        <v>4.8378519100333861E-4</v>
      </c>
      <c r="G229" s="75">
        <f>IF(C229&gt;=Assumptions!$H$9*12,100%,1-(1-IF(D229&gt;=7,2%,VLOOKUP($D229,'Annual Lapse Rates'!$B$4:$C$14,2,FALSE)))^(1/12))</f>
        <v>1</v>
      </c>
      <c r="H229" s="81">
        <f t="shared" si="59"/>
        <v>6</v>
      </c>
      <c r="I229" s="65">
        <f t="shared" si="53"/>
        <v>0</v>
      </c>
      <c r="J229" s="66">
        <f t="shared" si="54"/>
        <v>0</v>
      </c>
      <c r="K229" s="66">
        <f t="shared" si="55"/>
        <v>0</v>
      </c>
      <c r="M229" s="97">
        <f t="shared" si="60"/>
        <v>0</v>
      </c>
      <c r="N229" s="97">
        <f>IF(AND(H229=1,D229&lt;15),Assumptions!$H$4,0)</f>
        <v>0</v>
      </c>
      <c r="O229" s="103"/>
      <c r="P229" s="98">
        <f>$M229*(1+VLOOKUP($H229,Assumptions!$C$22:$D$33,2,FALSE))^(1/12)</f>
        <v>0</v>
      </c>
      <c r="Q229" s="98">
        <f>$M229*(1+VLOOKUP($H229,Assumptions!$C$22:$D$33,2,FALSE))^(1/12)</f>
        <v>0</v>
      </c>
      <c r="R229" s="97">
        <f>IF(AND(H229=12,D229&lt;15),Assumptions!$C$7*M229,0)</f>
        <v>0</v>
      </c>
      <c r="S229" s="99">
        <f>(M229+N229-O229)*Assumptions!$D$17</f>
        <v>0</v>
      </c>
      <c r="T229" s="99">
        <f t="shared" si="56"/>
        <v>0</v>
      </c>
      <c r="U229" s="101"/>
      <c r="V229" s="101">
        <f>IF(C229&gt;=Assumptions!$H$9*12,0,M229+N229-O229+S229-R229)</f>
        <v>0</v>
      </c>
      <c r="W229" s="103"/>
      <c r="X229" s="97">
        <f>IF(AND(H229=1,D229&lt;15),Assumptions!$D$10*N229+Assumptions!$D$11*(1+Assumptions!$D$16)^(B229-1),0)</f>
        <v>0</v>
      </c>
      <c r="Y229" s="100">
        <f>Assumptions!$C$13*N229</f>
        <v>0</v>
      </c>
      <c r="AA229" s="67">
        <f t="shared" si="61"/>
        <v>0</v>
      </c>
      <c r="AB229" s="67">
        <f>N229*I229</f>
        <v>0</v>
      </c>
      <c r="AC229" s="67"/>
      <c r="AD229" s="90">
        <f>P229*J229</f>
        <v>0</v>
      </c>
      <c r="AE229" s="90">
        <f>Q229*K229</f>
        <v>0</v>
      </c>
      <c r="AF229" s="67">
        <f>R229*I230</f>
        <v>0</v>
      </c>
      <c r="AG229" s="68">
        <f>S229*I229</f>
        <v>0</v>
      </c>
      <c r="AH229" s="68">
        <f>T229*$I229</f>
        <v>0</v>
      </c>
      <c r="AI229" s="68">
        <f>U229*$I229</f>
        <v>0</v>
      </c>
      <c r="AJ229" s="67">
        <f>V229*I230</f>
        <v>0</v>
      </c>
      <c r="AK229" s="67">
        <f>W229*$I229</f>
        <v>0</v>
      </c>
      <c r="AL229" s="67">
        <f>X229*$I229</f>
        <v>0</v>
      </c>
      <c r="AM229" s="67">
        <f>Y229*$I229</f>
        <v>0</v>
      </c>
      <c r="AN229" s="65">
        <f>NPV(Assumptions!$D$19,AB229:$AB$259)*(1+Assumptions!$D$19)</f>
        <v>0</v>
      </c>
      <c r="AO229" s="68">
        <f t="shared" si="57"/>
        <v>0</v>
      </c>
      <c r="AQ229" s="67">
        <f t="shared" si="62"/>
        <v>4867933.1310352664</v>
      </c>
      <c r="AR229" s="95">
        <f>(AQ229+AB229-AC229)*Assumptions!$D$19</f>
        <v>20898.057990999449</v>
      </c>
      <c r="AS229" s="67">
        <f t="shared" si="63"/>
        <v>4888831.1890262663</v>
      </c>
      <c r="AT229" s="67">
        <f t="shared" si="58"/>
        <v>4888831.1890262663</v>
      </c>
      <c r="AU229" s="67"/>
      <c r="AV229" s="67"/>
      <c r="AW229" s="67"/>
      <c r="AY229" s="67"/>
      <c r="AZ229" s="70">
        <f t="shared" si="52"/>
        <v>0</v>
      </c>
    </row>
    <row r="230" spans="2:52" x14ac:dyDescent="0.2">
      <c r="B230" s="5">
        <f t="shared" si="48"/>
        <v>223</v>
      </c>
      <c r="C230" s="5">
        <f t="shared" si="49"/>
        <v>223</v>
      </c>
      <c r="D230" s="5">
        <f t="shared" si="50"/>
        <v>18</v>
      </c>
      <c r="E230" s="5">
        <f t="shared" si="51"/>
        <v>64</v>
      </c>
      <c r="F230" s="64">
        <f>1-(1-VLOOKUP($E230,'Annual Mortality Rates'!$B$5:$C$105,2,FALSE))^(1/12)</f>
        <v>4.8378519100333861E-4</v>
      </c>
      <c r="G230" s="75">
        <f>IF(C230&gt;=Assumptions!$H$9*12,100%,1-(1-IF(D230&gt;=7,2%,VLOOKUP($D230,'Annual Lapse Rates'!$B$4:$C$14,2,FALSE)))^(1/12))</f>
        <v>1</v>
      </c>
      <c r="H230" s="81">
        <f t="shared" si="59"/>
        <v>7</v>
      </c>
      <c r="I230" s="65">
        <f t="shared" si="53"/>
        <v>0</v>
      </c>
      <c r="J230" s="66">
        <f t="shared" si="54"/>
        <v>0</v>
      </c>
      <c r="K230" s="66">
        <f t="shared" si="55"/>
        <v>0</v>
      </c>
      <c r="M230" s="97">
        <f t="shared" si="60"/>
        <v>0</v>
      </c>
      <c r="N230" s="97">
        <f>IF(AND(H230=1,D230&lt;15),Assumptions!$H$4,0)</f>
        <v>0</v>
      </c>
      <c r="O230" s="103"/>
      <c r="P230" s="98">
        <f>$M230*(1+VLOOKUP($H230,Assumptions!$C$22:$D$33,2,FALSE))^(1/12)</f>
        <v>0</v>
      </c>
      <c r="Q230" s="98">
        <f>$M230*(1+VLOOKUP($H230,Assumptions!$C$22:$D$33,2,FALSE))^(1/12)</f>
        <v>0</v>
      </c>
      <c r="R230" s="97">
        <f>IF(AND(H230=12,D230&lt;15),Assumptions!$C$7*M230,0)</f>
        <v>0</v>
      </c>
      <c r="S230" s="99">
        <f>(M230+N230-O230)*Assumptions!$D$17</f>
        <v>0</v>
      </c>
      <c r="T230" s="99">
        <f t="shared" si="56"/>
        <v>0</v>
      </c>
      <c r="U230" s="101"/>
      <c r="V230" s="101">
        <f>IF(C230&gt;=Assumptions!$H$9*12,0,M230+N230-O230+S230-R230)</f>
        <v>0</v>
      </c>
      <c r="W230" s="103"/>
      <c r="X230" s="97">
        <f>IF(AND(H230=1,D230&lt;15),Assumptions!$D$10*N230+Assumptions!$D$11*(1+Assumptions!$D$16)^(B230-1),0)</f>
        <v>0</v>
      </c>
      <c r="Y230" s="100">
        <f>Assumptions!$C$13*N230</f>
        <v>0</v>
      </c>
      <c r="AA230" s="67">
        <f t="shared" si="61"/>
        <v>0</v>
      </c>
      <c r="AB230" s="67">
        <f>N230*I230</f>
        <v>0</v>
      </c>
      <c r="AC230" s="67"/>
      <c r="AD230" s="90">
        <f>P230*J230</f>
        <v>0</v>
      </c>
      <c r="AE230" s="90">
        <f>Q230*K230</f>
        <v>0</v>
      </c>
      <c r="AF230" s="67">
        <f>R230*I231</f>
        <v>0</v>
      </c>
      <c r="AG230" s="68">
        <f>S230*I230</f>
        <v>0</v>
      </c>
      <c r="AH230" s="68">
        <f>T230*$I230</f>
        <v>0</v>
      </c>
      <c r="AI230" s="68">
        <f>U230*$I230</f>
        <v>0</v>
      </c>
      <c r="AJ230" s="67">
        <f>V230*I231</f>
        <v>0</v>
      </c>
      <c r="AK230" s="67">
        <f>W230*$I230</f>
        <v>0</v>
      </c>
      <c r="AL230" s="67">
        <f>X230*$I230</f>
        <v>0</v>
      </c>
      <c r="AM230" s="67">
        <f>Y230*$I230</f>
        <v>0</v>
      </c>
      <c r="AN230" s="65">
        <f>NPV(Assumptions!$D$19,AB230:$AB$259)*(1+Assumptions!$D$19)</f>
        <v>0</v>
      </c>
      <c r="AO230" s="68">
        <f t="shared" si="57"/>
        <v>0</v>
      </c>
      <c r="AQ230" s="67">
        <f t="shared" si="62"/>
        <v>4888831.1890262663</v>
      </c>
      <c r="AR230" s="95">
        <f>(AQ230+AB230-AC230)*Assumptions!$D$19</f>
        <v>20987.773444363185</v>
      </c>
      <c r="AS230" s="67">
        <f t="shared" si="63"/>
        <v>4909818.9624706293</v>
      </c>
      <c r="AT230" s="67">
        <f t="shared" si="58"/>
        <v>4909818.9624706293</v>
      </c>
      <c r="AU230" s="67"/>
      <c r="AV230" s="67"/>
      <c r="AW230" s="67"/>
      <c r="AY230" s="67"/>
      <c r="AZ230" s="70">
        <f t="shared" si="52"/>
        <v>0</v>
      </c>
    </row>
    <row r="231" spans="2:52" x14ac:dyDescent="0.2">
      <c r="B231" s="5">
        <f t="shared" si="48"/>
        <v>224</v>
      </c>
      <c r="C231" s="5">
        <f t="shared" si="49"/>
        <v>224</v>
      </c>
      <c r="D231" s="5">
        <f t="shared" si="50"/>
        <v>18</v>
      </c>
      <c r="E231" s="5">
        <f t="shared" si="51"/>
        <v>64</v>
      </c>
      <c r="F231" s="64">
        <f>1-(1-VLOOKUP($E231,'Annual Mortality Rates'!$B$5:$C$105,2,FALSE))^(1/12)</f>
        <v>4.8378519100333861E-4</v>
      </c>
      <c r="G231" s="75">
        <f>IF(C231&gt;=Assumptions!$H$9*12,100%,1-(1-IF(D231&gt;=7,2%,VLOOKUP($D231,'Annual Lapse Rates'!$B$4:$C$14,2,FALSE)))^(1/12))</f>
        <v>1</v>
      </c>
      <c r="H231" s="81">
        <f t="shared" si="59"/>
        <v>8</v>
      </c>
      <c r="I231" s="65">
        <f t="shared" si="53"/>
        <v>0</v>
      </c>
      <c r="J231" s="66">
        <f t="shared" si="54"/>
        <v>0</v>
      </c>
      <c r="K231" s="66">
        <f t="shared" si="55"/>
        <v>0</v>
      </c>
      <c r="M231" s="97">
        <f t="shared" si="60"/>
        <v>0</v>
      </c>
      <c r="N231" s="97">
        <f>IF(AND(H231=1,D231&lt;15),Assumptions!$H$4,0)</f>
        <v>0</v>
      </c>
      <c r="O231" s="103"/>
      <c r="P231" s="98">
        <f>$M231*(1+VLOOKUP($H231,Assumptions!$C$22:$D$33,2,FALSE))^(1/12)</f>
        <v>0</v>
      </c>
      <c r="Q231" s="98">
        <f>$M231*(1+VLOOKUP($H231,Assumptions!$C$22:$D$33,2,FALSE))^(1/12)</f>
        <v>0</v>
      </c>
      <c r="R231" s="97">
        <f>IF(AND(H231=12,D231&lt;15),Assumptions!$C$7*M231,0)</f>
        <v>0</v>
      </c>
      <c r="S231" s="99">
        <f>(M231+N231-O231)*Assumptions!$D$17</f>
        <v>0</v>
      </c>
      <c r="T231" s="99">
        <f t="shared" si="56"/>
        <v>0</v>
      </c>
      <c r="U231" s="101"/>
      <c r="V231" s="101">
        <f>IF(C231&gt;=Assumptions!$H$9*12,0,M231+N231-O231+S231-R231)</f>
        <v>0</v>
      </c>
      <c r="W231" s="103"/>
      <c r="X231" s="97">
        <f>IF(AND(H231=1,D231&lt;15),Assumptions!$D$10*N231+Assumptions!$D$11*(1+Assumptions!$D$16)^(B231-1),0)</f>
        <v>0</v>
      </c>
      <c r="Y231" s="100">
        <f>Assumptions!$C$13*N231</f>
        <v>0</v>
      </c>
      <c r="AA231" s="67">
        <f t="shared" si="61"/>
        <v>0</v>
      </c>
      <c r="AB231" s="67">
        <f>N231*I231</f>
        <v>0</v>
      </c>
      <c r="AC231" s="67"/>
      <c r="AD231" s="90">
        <f>P231*J231</f>
        <v>0</v>
      </c>
      <c r="AE231" s="90">
        <f>Q231*K231</f>
        <v>0</v>
      </c>
      <c r="AF231" s="67">
        <f>R231*I232</f>
        <v>0</v>
      </c>
      <c r="AG231" s="68">
        <f>S231*I231</f>
        <v>0</v>
      </c>
      <c r="AH231" s="68">
        <f>T231*$I231</f>
        <v>0</v>
      </c>
      <c r="AI231" s="68">
        <f>U231*$I231</f>
        <v>0</v>
      </c>
      <c r="AJ231" s="67">
        <f>V231*I232</f>
        <v>0</v>
      </c>
      <c r="AK231" s="67">
        <f>W231*$I231</f>
        <v>0</v>
      </c>
      <c r="AL231" s="67">
        <f>X231*$I231</f>
        <v>0</v>
      </c>
      <c r="AM231" s="67">
        <f>Y231*$I231</f>
        <v>0</v>
      </c>
      <c r="AN231" s="65">
        <f>NPV(Assumptions!$D$19,AB231:$AB$259)*(1+Assumptions!$D$19)</f>
        <v>0</v>
      </c>
      <c r="AO231" s="68">
        <f t="shared" si="57"/>
        <v>0</v>
      </c>
      <c r="AQ231" s="67">
        <f t="shared" si="62"/>
        <v>4909818.9624706293</v>
      </c>
      <c r="AR231" s="95">
        <f>(AQ231+AB231-AC231)*Assumptions!$D$19</f>
        <v>21077.874046556331</v>
      </c>
      <c r="AS231" s="67">
        <f t="shared" si="63"/>
        <v>4930896.8365171859</v>
      </c>
      <c r="AT231" s="67">
        <f t="shared" si="58"/>
        <v>4930896.8365171859</v>
      </c>
      <c r="AU231" s="67"/>
      <c r="AV231" s="67"/>
      <c r="AW231" s="67"/>
      <c r="AY231" s="67"/>
      <c r="AZ231" s="70">
        <f t="shared" si="52"/>
        <v>0</v>
      </c>
    </row>
    <row r="232" spans="2:52" x14ac:dyDescent="0.2">
      <c r="B232" s="5">
        <f t="shared" si="48"/>
        <v>225</v>
      </c>
      <c r="C232" s="5">
        <f t="shared" si="49"/>
        <v>225</v>
      </c>
      <c r="D232" s="5">
        <f t="shared" si="50"/>
        <v>18</v>
      </c>
      <c r="E232" s="5">
        <f t="shared" si="51"/>
        <v>64</v>
      </c>
      <c r="F232" s="64">
        <f>1-(1-VLOOKUP($E232,'Annual Mortality Rates'!$B$5:$C$105,2,FALSE))^(1/12)</f>
        <v>4.8378519100333861E-4</v>
      </c>
      <c r="G232" s="75">
        <f>IF(C232&gt;=Assumptions!$H$9*12,100%,1-(1-IF(D232&gt;=7,2%,VLOOKUP($D232,'Annual Lapse Rates'!$B$4:$C$14,2,FALSE)))^(1/12))</f>
        <v>1</v>
      </c>
      <c r="H232" s="81">
        <f t="shared" si="59"/>
        <v>9</v>
      </c>
      <c r="I232" s="65">
        <f t="shared" si="53"/>
        <v>0</v>
      </c>
      <c r="J232" s="66">
        <f t="shared" si="54"/>
        <v>0</v>
      </c>
      <c r="K232" s="66">
        <f t="shared" si="55"/>
        <v>0</v>
      </c>
      <c r="M232" s="97">
        <f t="shared" si="60"/>
        <v>0</v>
      </c>
      <c r="N232" s="97">
        <f>IF(AND(H232=1,D232&lt;15),Assumptions!$H$4,0)</f>
        <v>0</v>
      </c>
      <c r="O232" s="103"/>
      <c r="P232" s="98">
        <f>$M232*(1+VLOOKUP($H232,Assumptions!$C$22:$D$33,2,FALSE))^(1/12)</f>
        <v>0</v>
      </c>
      <c r="Q232" s="98">
        <f>$M232*(1+VLOOKUP($H232,Assumptions!$C$22:$D$33,2,FALSE))^(1/12)</f>
        <v>0</v>
      </c>
      <c r="R232" s="97">
        <f>IF(AND(H232=12,D232&lt;15),Assumptions!$C$7*M232,0)</f>
        <v>0</v>
      </c>
      <c r="S232" s="99">
        <f>(M232+N232-O232)*Assumptions!$D$17</f>
        <v>0</v>
      </c>
      <c r="T232" s="99">
        <f t="shared" si="56"/>
        <v>0</v>
      </c>
      <c r="U232" s="101"/>
      <c r="V232" s="101">
        <f>IF(C232&gt;=Assumptions!$H$9*12,0,M232+N232-O232+S232-R232)</f>
        <v>0</v>
      </c>
      <c r="W232" s="103"/>
      <c r="X232" s="97">
        <f>IF(AND(H232=1,D232&lt;15),Assumptions!$D$10*N232+Assumptions!$D$11*(1+Assumptions!$D$16)^(B232-1),0)</f>
        <v>0</v>
      </c>
      <c r="Y232" s="100">
        <f>Assumptions!$C$13*N232</f>
        <v>0</v>
      </c>
      <c r="AA232" s="67">
        <f t="shared" si="61"/>
        <v>0</v>
      </c>
      <c r="AB232" s="67">
        <f>N232*I232</f>
        <v>0</v>
      </c>
      <c r="AC232" s="67"/>
      <c r="AD232" s="90">
        <f>P232*J232</f>
        <v>0</v>
      </c>
      <c r="AE232" s="90">
        <f>Q232*K232</f>
        <v>0</v>
      </c>
      <c r="AF232" s="67">
        <f>R232*I233</f>
        <v>0</v>
      </c>
      <c r="AG232" s="68">
        <f>S232*I232</f>
        <v>0</v>
      </c>
      <c r="AH232" s="68">
        <f>T232*$I232</f>
        <v>0</v>
      </c>
      <c r="AI232" s="68">
        <f>U232*$I232</f>
        <v>0</v>
      </c>
      <c r="AJ232" s="67">
        <f>V232*I233</f>
        <v>0</v>
      </c>
      <c r="AK232" s="67">
        <f>W232*$I232</f>
        <v>0</v>
      </c>
      <c r="AL232" s="67">
        <f>X232*$I232</f>
        <v>0</v>
      </c>
      <c r="AM232" s="67">
        <f>Y232*$I232</f>
        <v>0</v>
      </c>
      <c r="AN232" s="65">
        <f>NPV(Assumptions!$D$19,AB232:$AB$259)*(1+Assumptions!$D$19)</f>
        <v>0</v>
      </c>
      <c r="AO232" s="68">
        <f t="shared" si="57"/>
        <v>0</v>
      </c>
      <c r="AQ232" s="67">
        <f t="shared" si="62"/>
        <v>4930896.8365171859</v>
      </c>
      <c r="AR232" s="95">
        <f>(AQ232+AB232-AC232)*Assumptions!$D$19</f>
        <v>21168.361451024488</v>
      </c>
      <c r="AS232" s="67">
        <f t="shared" si="63"/>
        <v>4952065.1979682101</v>
      </c>
      <c r="AT232" s="67">
        <f t="shared" si="58"/>
        <v>4952065.1979682101</v>
      </c>
      <c r="AU232" s="67"/>
      <c r="AV232" s="67"/>
      <c r="AW232" s="67"/>
      <c r="AY232" s="67"/>
      <c r="AZ232" s="70">
        <f t="shared" si="52"/>
        <v>0</v>
      </c>
    </row>
    <row r="233" spans="2:52" x14ac:dyDescent="0.2">
      <c r="B233" s="5">
        <f t="shared" si="48"/>
        <v>226</v>
      </c>
      <c r="C233" s="5">
        <f t="shared" si="49"/>
        <v>226</v>
      </c>
      <c r="D233" s="5">
        <f t="shared" si="50"/>
        <v>18</v>
      </c>
      <c r="E233" s="5">
        <f t="shared" si="51"/>
        <v>64</v>
      </c>
      <c r="F233" s="64">
        <f>1-(1-VLOOKUP($E233,'Annual Mortality Rates'!$B$5:$C$105,2,FALSE))^(1/12)</f>
        <v>4.8378519100333861E-4</v>
      </c>
      <c r="G233" s="75">
        <f>IF(C233&gt;=Assumptions!$H$9*12,100%,1-(1-IF(D233&gt;=7,2%,VLOOKUP($D233,'Annual Lapse Rates'!$B$4:$C$14,2,FALSE)))^(1/12))</f>
        <v>1</v>
      </c>
      <c r="H233" s="81">
        <f t="shared" si="59"/>
        <v>10</v>
      </c>
      <c r="I233" s="65">
        <f t="shared" si="53"/>
        <v>0</v>
      </c>
      <c r="J233" s="66">
        <f t="shared" si="54"/>
        <v>0</v>
      </c>
      <c r="K233" s="66">
        <f t="shared" si="55"/>
        <v>0</v>
      </c>
      <c r="M233" s="97">
        <f t="shared" si="60"/>
        <v>0</v>
      </c>
      <c r="N233" s="97">
        <f>IF(AND(H233=1,D233&lt;15),Assumptions!$H$4,0)</f>
        <v>0</v>
      </c>
      <c r="O233" s="103"/>
      <c r="P233" s="98">
        <f>$M233*(1+VLOOKUP($H233,Assumptions!$C$22:$D$33,2,FALSE))^(1/12)</f>
        <v>0</v>
      </c>
      <c r="Q233" s="98">
        <f>$M233*(1+VLOOKUP($H233,Assumptions!$C$22:$D$33,2,FALSE))^(1/12)</f>
        <v>0</v>
      </c>
      <c r="R233" s="97">
        <f>IF(AND(H233=12,D233&lt;15),Assumptions!$C$7*M233,0)</f>
        <v>0</v>
      </c>
      <c r="S233" s="99">
        <f>(M233+N233-O233)*Assumptions!$D$17</f>
        <v>0</v>
      </c>
      <c r="T233" s="99">
        <f t="shared" si="56"/>
        <v>0</v>
      </c>
      <c r="U233" s="101"/>
      <c r="V233" s="101">
        <f>IF(C233&gt;=Assumptions!$H$9*12,0,M233+N233-O233+S233-R233)</f>
        <v>0</v>
      </c>
      <c r="W233" s="103"/>
      <c r="X233" s="97">
        <f>IF(AND(H233=1,D233&lt;15),Assumptions!$D$10*N233+Assumptions!$D$11*(1+Assumptions!$D$16)^(B233-1),0)</f>
        <v>0</v>
      </c>
      <c r="Y233" s="100">
        <f>Assumptions!$C$13*N233</f>
        <v>0</v>
      </c>
      <c r="AA233" s="67">
        <f t="shared" si="61"/>
        <v>0</v>
      </c>
      <c r="AB233" s="67">
        <f>N233*I233</f>
        <v>0</v>
      </c>
      <c r="AC233" s="67"/>
      <c r="AD233" s="90">
        <f>P233*J233</f>
        <v>0</v>
      </c>
      <c r="AE233" s="90">
        <f>Q233*K233</f>
        <v>0</v>
      </c>
      <c r="AF233" s="67">
        <f>R233*I234</f>
        <v>0</v>
      </c>
      <c r="AG233" s="68">
        <f>S233*I233</f>
        <v>0</v>
      </c>
      <c r="AH233" s="68">
        <f>T233*$I233</f>
        <v>0</v>
      </c>
      <c r="AI233" s="68">
        <f>U233*$I233</f>
        <v>0</v>
      </c>
      <c r="AJ233" s="67">
        <f>V233*I234</f>
        <v>0</v>
      </c>
      <c r="AK233" s="67">
        <f>W233*$I233</f>
        <v>0</v>
      </c>
      <c r="AL233" s="67">
        <f>X233*$I233</f>
        <v>0</v>
      </c>
      <c r="AM233" s="67">
        <f>Y233*$I233</f>
        <v>0</v>
      </c>
      <c r="AN233" s="65">
        <f>NPV(Assumptions!$D$19,AB233:$AB$259)*(1+Assumptions!$D$19)</f>
        <v>0</v>
      </c>
      <c r="AO233" s="68">
        <f t="shared" si="57"/>
        <v>0</v>
      </c>
      <c r="AQ233" s="67">
        <f t="shared" si="62"/>
        <v>4952065.1979682101</v>
      </c>
      <c r="AR233" s="95">
        <f>(AQ233+AB233-AC233)*Assumptions!$D$19</f>
        <v>21259.237318311487</v>
      </c>
      <c r="AS233" s="67">
        <f t="shared" si="63"/>
        <v>4973324.4352865219</v>
      </c>
      <c r="AT233" s="67">
        <f t="shared" si="58"/>
        <v>4973324.4352865219</v>
      </c>
      <c r="AU233" s="67"/>
      <c r="AV233" s="67"/>
      <c r="AW233" s="67"/>
      <c r="AY233" s="67"/>
      <c r="AZ233" s="70">
        <f t="shared" si="52"/>
        <v>0</v>
      </c>
    </row>
    <row r="234" spans="2:52" x14ac:dyDescent="0.2">
      <c r="B234" s="5">
        <f t="shared" si="48"/>
        <v>227</v>
      </c>
      <c r="C234" s="5">
        <f t="shared" si="49"/>
        <v>227</v>
      </c>
      <c r="D234" s="5">
        <f t="shared" si="50"/>
        <v>18</v>
      </c>
      <c r="E234" s="5">
        <f t="shared" si="51"/>
        <v>64</v>
      </c>
      <c r="F234" s="64">
        <f>1-(1-VLOOKUP($E234,'Annual Mortality Rates'!$B$5:$C$105,2,FALSE))^(1/12)</f>
        <v>4.8378519100333861E-4</v>
      </c>
      <c r="G234" s="75">
        <f>IF(C234&gt;=Assumptions!$H$9*12,100%,1-(1-IF(D234&gt;=7,2%,VLOOKUP($D234,'Annual Lapse Rates'!$B$4:$C$14,2,FALSE)))^(1/12))</f>
        <v>1</v>
      </c>
      <c r="H234" s="81">
        <f t="shared" si="59"/>
        <v>11</v>
      </c>
      <c r="I234" s="65">
        <f t="shared" si="53"/>
        <v>0</v>
      </c>
      <c r="J234" s="66">
        <f t="shared" si="54"/>
        <v>0</v>
      </c>
      <c r="K234" s="66">
        <f t="shared" si="55"/>
        <v>0</v>
      </c>
      <c r="M234" s="97">
        <f t="shared" si="60"/>
        <v>0</v>
      </c>
      <c r="N234" s="97">
        <f>IF(AND(H234=1,D234&lt;15),Assumptions!$H$4,0)</f>
        <v>0</v>
      </c>
      <c r="O234" s="103"/>
      <c r="P234" s="98">
        <f>$M234*(1+VLOOKUP($H234,Assumptions!$C$22:$D$33,2,FALSE))^(1/12)</f>
        <v>0</v>
      </c>
      <c r="Q234" s="98">
        <f>$M234*(1+VLOOKUP($H234,Assumptions!$C$22:$D$33,2,FALSE))^(1/12)</f>
        <v>0</v>
      </c>
      <c r="R234" s="97">
        <f>IF(AND(H234=12,D234&lt;15),Assumptions!$C$7*M234,0)</f>
        <v>0</v>
      </c>
      <c r="S234" s="99">
        <f>(M234+N234-O234)*Assumptions!$D$17</f>
        <v>0</v>
      </c>
      <c r="T234" s="99">
        <f t="shared" si="56"/>
        <v>0</v>
      </c>
      <c r="U234" s="101"/>
      <c r="V234" s="101">
        <f>IF(C234&gt;=Assumptions!$H$9*12,0,M234+N234-O234+S234-R234)</f>
        <v>0</v>
      </c>
      <c r="W234" s="103"/>
      <c r="X234" s="97">
        <f>IF(AND(H234=1,D234&lt;15),Assumptions!$D$10*N234+Assumptions!$D$11*(1+Assumptions!$D$16)^(B234-1),0)</f>
        <v>0</v>
      </c>
      <c r="Y234" s="100">
        <f>Assumptions!$C$13*N234</f>
        <v>0</v>
      </c>
      <c r="AA234" s="67">
        <f t="shared" si="61"/>
        <v>0</v>
      </c>
      <c r="AB234" s="67">
        <f>N234*I234</f>
        <v>0</v>
      </c>
      <c r="AC234" s="67"/>
      <c r="AD234" s="90">
        <f>P234*J234</f>
        <v>0</v>
      </c>
      <c r="AE234" s="90">
        <f>Q234*K234</f>
        <v>0</v>
      </c>
      <c r="AF234" s="67">
        <f>R234*I235</f>
        <v>0</v>
      </c>
      <c r="AG234" s="68">
        <f>S234*I234</f>
        <v>0</v>
      </c>
      <c r="AH234" s="68">
        <f>T234*$I234</f>
        <v>0</v>
      </c>
      <c r="AI234" s="68">
        <f>U234*$I234</f>
        <v>0</v>
      </c>
      <c r="AJ234" s="67">
        <f>V234*I235</f>
        <v>0</v>
      </c>
      <c r="AK234" s="67">
        <f>W234*$I234</f>
        <v>0</v>
      </c>
      <c r="AL234" s="67">
        <f>X234*$I234</f>
        <v>0</v>
      </c>
      <c r="AM234" s="67">
        <f>Y234*$I234</f>
        <v>0</v>
      </c>
      <c r="AN234" s="65">
        <f>NPV(Assumptions!$D$19,AB234:$AB$259)*(1+Assumptions!$D$19)</f>
        <v>0</v>
      </c>
      <c r="AO234" s="68">
        <f t="shared" si="57"/>
        <v>0</v>
      </c>
      <c r="AQ234" s="67">
        <f t="shared" si="62"/>
        <v>4973324.4352865219</v>
      </c>
      <c r="AR234" s="95">
        <f>(AQ234+AB234-AC234)*Assumptions!$D$19</f>
        <v>21350.503316089893</v>
      </c>
      <c r="AS234" s="67">
        <f t="shared" si="63"/>
        <v>4994674.9386026114</v>
      </c>
      <c r="AT234" s="67">
        <f t="shared" si="58"/>
        <v>4994674.9386026114</v>
      </c>
      <c r="AU234" s="67"/>
      <c r="AV234" s="67"/>
      <c r="AW234" s="67"/>
      <c r="AY234" s="67"/>
      <c r="AZ234" s="70">
        <f t="shared" si="52"/>
        <v>0</v>
      </c>
    </row>
    <row r="235" spans="2:52" x14ac:dyDescent="0.2">
      <c r="B235" s="5">
        <f t="shared" si="48"/>
        <v>228</v>
      </c>
      <c r="C235" s="5">
        <f t="shared" si="49"/>
        <v>228</v>
      </c>
      <c r="D235" s="5">
        <f t="shared" si="50"/>
        <v>18</v>
      </c>
      <c r="E235" s="5">
        <f t="shared" si="51"/>
        <v>64</v>
      </c>
      <c r="F235" s="64">
        <f>1-(1-VLOOKUP($E235,'Annual Mortality Rates'!$B$5:$C$105,2,FALSE))^(1/12)</f>
        <v>4.8378519100333861E-4</v>
      </c>
      <c r="G235" s="75">
        <f>IF(C235&gt;=Assumptions!$H$9*12,100%,1-(1-IF(D235&gt;=7,2%,VLOOKUP($D235,'Annual Lapse Rates'!$B$4:$C$14,2,FALSE)))^(1/12))</f>
        <v>1</v>
      </c>
      <c r="H235" s="81">
        <f t="shared" si="59"/>
        <v>12</v>
      </c>
      <c r="I235" s="65">
        <f t="shared" si="53"/>
        <v>0</v>
      </c>
      <c r="J235" s="66">
        <f t="shared" si="54"/>
        <v>0</v>
      </c>
      <c r="K235" s="66">
        <f t="shared" si="55"/>
        <v>0</v>
      </c>
      <c r="M235" s="97">
        <f t="shared" si="60"/>
        <v>0</v>
      </c>
      <c r="N235" s="97">
        <f>IF(AND(H235=1,D235&lt;15),Assumptions!$H$4,0)</f>
        <v>0</v>
      </c>
      <c r="O235" s="103"/>
      <c r="P235" s="98">
        <f>$M235*(1+VLOOKUP($H235,Assumptions!$C$22:$D$33,2,FALSE))^(1/12)</f>
        <v>0</v>
      </c>
      <c r="Q235" s="98">
        <f>$M235*(1+VLOOKUP($H235,Assumptions!$C$22:$D$33,2,FALSE))^(1/12)</f>
        <v>0</v>
      </c>
      <c r="R235" s="97">
        <f>IF(AND(H235=12,D235&lt;15),Assumptions!$C$7*M235,0)</f>
        <v>0</v>
      </c>
      <c r="S235" s="99">
        <f>(M235+N235-O235)*Assumptions!$D$17</f>
        <v>0</v>
      </c>
      <c r="T235" s="99">
        <f t="shared" si="56"/>
        <v>0</v>
      </c>
      <c r="U235" s="101"/>
      <c r="V235" s="101">
        <f>IF(C235&gt;=Assumptions!$H$9*12,0,M235+N235-O235+S235-R235)</f>
        <v>0</v>
      </c>
      <c r="W235" s="103"/>
      <c r="X235" s="97">
        <f>IF(AND(H235=1,D235&lt;15),Assumptions!$D$10*N235+Assumptions!$D$11*(1+Assumptions!$D$16)^(B235-1),0)</f>
        <v>0</v>
      </c>
      <c r="Y235" s="100">
        <f>Assumptions!$C$13*N235</f>
        <v>0</v>
      </c>
      <c r="AA235" s="67">
        <f t="shared" si="61"/>
        <v>0</v>
      </c>
      <c r="AB235" s="67">
        <f>N235*I235</f>
        <v>0</v>
      </c>
      <c r="AC235" s="67"/>
      <c r="AD235" s="90">
        <f>P235*J235</f>
        <v>0</v>
      </c>
      <c r="AE235" s="90">
        <f>Q235*K235</f>
        <v>0</v>
      </c>
      <c r="AF235" s="67">
        <f>R235*I236</f>
        <v>0</v>
      </c>
      <c r="AG235" s="68">
        <f>S235*I235</f>
        <v>0</v>
      </c>
      <c r="AH235" s="68">
        <f>T235*$I235</f>
        <v>0</v>
      </c>
      <c r="AI235" s="68">
        <f>U235*$I235</f>
        <v>0</v>
      </c>
      <c r="AJ235" s="67">
        <f>V235*I236</f>
        <v>0</v>
      </c>
      <c r="AK235" s="67">
        <f>W235*$I235</f>
        <v>0</v>
      </c>
      <c r="AL235" s="67">
        <f>X235*$I235</f>
        <v>0</v>
      </c>
      <c r="AM235" s="67">
        <f>Y235*$I235</f>
        <v>0</v>
      </c>
      <c r="AN235" s="65">
        <f>NPV(Assumptions!$D$19,AB235:$AB$259)*(1+Assumptions!$D$19)</f>
        <v>0</v>
      </c>
      <c r="AO235" s="68">
        <f t="shared" si="57"/>
        <v>0</v>
      </c>
      <c r="AQ235" s="67">
        <f t="shared" si="62"/>
        <v>4994674.9386026114</v>
      </c>
      <c r="AR235" s="95">
        <f>(AQ235+AB235-AC235)*Assumptions!$D$19</f>
        <v>21442.161119191591</v>
      </c>
      <c r="AS235" s="67">
        <f t="shared" si="63"/>
        <v>5016117.0997218033</v>
      </c>
      <c r="AT235" s="67">
        <f t="shared" si="58"/>
        <v>5016117.0997218033</v>
      </c>
      <c r="AU235" s="67"/>
      <c r="AV235" s="67"/>
      <c r="AW235" s="67"/>
      <c r="AY235" s="67"/>
      <c r="AZ235" s="70">
        <f t="shared" si="52"/>
        <v>0</v>
      </c>
    </row>
    <row r="236" spans="2:52" x14ac:dyDescent="0.2">
      <c r="B236" s="5">
        <f t="shared" si="48"/>
        <v>229</v>
      </c>
      <c r="C236" s="5">
        <f t="shared" si="49"/>
        <v>229</v>
      </c>
      <c r="D236" s="5">
        <f t="shared" si="50"/>
        <v>19</v>
      </c>
      <c r="E236" s="5">
        <f t="shared" si="51"/>
        <v>65</v>
      </c>
      <c r="F236" s="64">
        <f>1-(1-VLOOKUP($E236,'Annual Mortality Rates'!$B$5:$C$105,2,FALSE))^(1/12)</f>
        <v>5.399338581985047E-4</v>
      </c>
      <c r="G236" s="75">
        <f>IF(C236&gt;=Assumptions!$H$9*12,100%,1-(1-IF(D236&gt;=7,2%,VLOOKUP($D236,'Annual Lapse Rates'!$B$4:$C$14,2,FALSE)))^(1/12))</f>
        <v>1</v>
      </c>
      <c r="H236" s="81">
        <f t="shared" si="59"/>
        <v>1</v>
      </c>
      <c r="I236" s="65">
        <f t="shared" si="53"/>
        <v>0</v>
      </c>
      <c r="J236" s="66">
        <f t="shared" si="54"/>
        <v>0</v>
      </c>
      <c r="K236" s="66">
        <f t="shared" si="55"/>
        <v>0</v>
      </c>
      <c r="M236" s="97">
        <f t="shared" si="60"/>
        <v>0</v>
      </c>
      <c r="N236" s="97">
        <f>IF(AND(H236=1,D236&lt;15),Assumptions!$H$4,0)</f>
        <v>0</v>
      </c>
      <c r="O236" s="103"/>
      <c r="P236" s="98">
        <f>$M236*(1+VLOOKUP($H236,Assumptions!$C$22:$D$33,2,FALSE))^(1/12)</f>
        <v>0</v>
      </c>
      <c r="Q236" s="98">
        <f>$M236*(1+VLOOKUP($H236,Assumptions!$C$22:$D$33,2,FALSE))^(1/12)</f>
        <v>0</v>
      </c>
      <c r="R236" s="97">
        <f>IF(AND(H236=12,D236&lt;15),Assumptions!$C$7*M236,0)</f>
        <v>0</v>
      </c>
      <c r="S236" s="99">
        <f>(M236+N236-O236)*Assumptions!$D$17</f>
        <v>0</v>
      </c>
      <c r="T236" s="99">
        <f t="shared" si="56"/>
        <v>0</v>
      </c>
      <c r="U236" s="101"/>
      <c r="V236" s="101">
        <f>IF(C236&gt;=Assumptions!$H$9*12,0,M236+N236-O236+S236-R236)</f>
        <v>0</v>
      </c>
      <c r="W236" s="103"/>
      <c r="X236" s="97">
        <f>IF(AND(H236=1,D236&lt;15),Assumptions!$D$10*N236+Assumptions!$D$11*(1+Assumptions!$D$16)^(B236-1),0)</f>
        <v>0</v>
      </c>
      <c r="Y236" s="100">
        <f>Assumptions!$C$13*N236</f>
        <v>0</v>
      </c>
      <c r="AA236" s="67">
        <f t="shared" si="61"/>
        <v>0</v>
      </c>
      <c r="AB236" s="67">
        <f>N236*I236</f>
        <v>0</v>
      </c>
      <c r="AC236" s="67"/>
      <c r="AD236" s="90">
        <f>P236*J236</f>
        <v>0</v>
      </c>
      <c r="AE236" s="90">
        <f>Q236*K236</f>
        <v>0</v>
      </c>
      <c r="AF236" s="67">
        <f>R236*I237</f>
        <v>0</v>
      </c>
      <c r="AG236" s="68">
        <f>S236*I236</f>
        <v>0</v>
      </c>
      <c r="AH236" s="68">
        <f>T236*$I236</f>
        <v>0</v>
      </c>
      <c r="AI236" s="68">
        <f>U236*$I236</f>
        <v>0</v>
      </c>
      <c r="AJ236" s="67">
        <f>V236*I237</f>
        <v>0</v>
      </c>
      <c r="AK236" s="67">
        <f>W236*$I236</f>
        <v>0</v>
      </c>
      <c r="AL236" s="67">
        <f>X236*$I236</f>
        <v>0</v>
      </c>
      <c r="AM236" s="67">
        <f>Y236*$I236</f>
        <v>0</v>
      </c>
      <c r="AN236" s="65">
        <f>NPV(Assumptions!$D$19,AB236:$AB$259)*(1+Assumptions!$D$19)</f>
        <v>0</v>
      </c>
      <c r="AO236" s="68">
        <f t="shared" si="57"/>
        <v>0</v>
      </c>
      <c r="AQ236" s="67">
        <f t="shared" si="62"/>
        <v>5016117.0997218033</v>
      </c>
      <c r="AR236" s="95">
        <f>(AQ236+AB236-AC236)*Assumptions!$D$19</f>
        <v>21534.212409638534</v>
      </c>
      <c r="AS236" s="67">
        <f t="shared" si="63"/>
        <v>5037651.3121314421</v>
      </c>
      <c r="AT236" s="67">
        <f t="shared" si="58"/>
        <v>5037651.3121314421</v>
      </c>
      <c r="AU236" s="67"/>
      <c r="AV236" s="67"/>
      <c r="AW236" s="67"/>
      <c r="AY236" s="67"/>
      <c r="AZ236" s="70">
        <f t="shared" si="52"/>
        <v>0</v>
      </c>
    </row>
    <row r="237" spans="2:52" x14ac:dyDescent="0.2">
      <c r="B237" s="5">
        <f t="shared" si="48"/>
        <v>230</v>
      </c>
      <c r="C237" s="5">
        <f t="shared" si="49"/>
        <v>230</v>
      </c>
      <c r="D237" s="5">
        <f t="shared" si="50"/>
        <v>19</v>
      </c>
      <c r="E237" s="5">
        <f t="shared" si="51"/>
        <v>65</v>
      </c>
      <c r="F237" s="64">
        <f>1-(1-VLOOKUP($E237,'Annual Mortality Rates'!$B$5:$C$105,2,FALSE))^(1/12)</f>
        <v>5.399338581985047E-4</v>
      </c>
      <c r="G237" s="75">
        <f>IF(C237&gt;=Assumptions!$H$9*12,100%,1-(1-IF(D237&gt;=7,2%,VLOOKUP($D237,'Annual Lapse Rates'!$B$4:$C$14,2,FALSE)))^(1/12))</f>
        <v>1</v>
      </c>
      <c r="H237" s="81">
        <f t="shared" si="59"/>
        <v>2</v>
      </c>
      <c r="I237" s="65">
        <f t="shared" si="53"/>
        <v>0</v>
      </c>
      <c r="J237" s="66">
        <f t="shared" si="54"/>
        <v>0</v>
      </c>
      <c r="K237" s="66">
        <f t="shared" si="55"/>
        <v>0</v>
      </c>
      <c r="M237" s="97">
        <f t="shared" si="60"/>
        <v>0</v>
      </c>
      <c r="N237" s="97">
        <f>IF(AND(H237=1,D237&lt;15),Assumptions!$H$4,0)</f>
        <v>0</v>
      </c>
      <c r="O237" s="103"/>
      <c r="P237" s="98">
        <f>$M237*(1+VLOOKUP($H237,Assumptions!$C$22:$D$33,2,FALSE))^(1/12)</f>
        <v>0</v>
      </c>
      <c r="Q237" s="98">
        <f>$M237*(1+VLOOKUP($H237,Assumptions!$C$22:$D$33,2,FALSE))^(1/12)</f>
        <v>0</v>
      </c>
      <c r="R237" s="97">
        <f>IF(AND(H237=12,D237&lt;15),Assumptions!$C$7*M237,0)</f>
        <v>0</v>
      </c>
      <c r="S237" s="99">
        <f>(M237+N237-O237)*Assumptions!$D$17</f>
        <v>0</v>
      </c>
      <c r="T237" s="99">
        <f t="shared" si="56"/>
        <v>0</v>
      </c>
      <c r="U237" s="101"/>
      <c r="V237" s="101">
        <f>IF(C237&gt;=Assumptions!$H$9*12,0,M237+N237-O237+S237-R237)</f>
        <v>0</v>
      </c>
      <c r="W237" s="103"/>
      <c r="X237" s="97">
        <f>IF(AND(H237=1,D237&lt;15),Assumptions!$D$10*N237+Assumptions!$D$11*(1+Assumptions!$D$16)^(B237-1),0)</f>
        <v>0</v>
      </c>
      <c r="Y237" s="100">
        <f>Assumptions!$C$13*N237</f>
        <v>0</v>
      </c>
      <c r="AA237" s="67">
        <f t="shared" si="61"/>
        <v>0</v>
      </c>
      <c r="AB237" s="67">
        <f>N237*I237</f>
        <v>0</v>
      </c>
      <c r="AC237" s="67"/>
      <c r="AD237" s="90">
        <f>P237*J237</f>
        <v>0</v>
      </c>
      <c r="AE237" s="90">
        <f>Q237*K237</f>
        <v>0</v>
      </c>
      <c r="AF237" s="67">
        <f>R237*I238</f>
        <v>0</v>
      </c>
      <c r="AG237" s="68">
        <f>S237*I237</f>
        <v>0</v>
      </c>
      <c r="AH237" s="68">
        <f>T237*$I237</f>
        <v>0</v>
      </c>
      <c r="AI237" s="68">
        <f>U237*$I237</f>
        <v>0</v>
      </c>
      <c r="AJ237" s="67">
        <f>V237*I238</f>
        <v>0</v>
      </c>
      <c r="AK237" s="67">
        <f>W237*$I237</f>
        <v>0</v>
      </c>
      <c r="AL237" s="67">
        <f>X237*$I237</f>
        <v>0</v>
      </c>
      <c r="AM237" s="67">
        <f>Y237*$I237</f>
        <v>0</v>
      </c>
      <c r="AN237" s="65">
        <f>NPV(Assumptions!$D$19,AB237:$AB$259)*(1+Assumptions!$D$19)</f>
        <v>0</v>
      </c>
      <c r="AO237" s="68">
        <f t="shared" si="57"/>
        <v>0</v>
      </c>
      <c r="AQ237" s="67">
        <f t="shared" si="62"/>
        <v>5037651.3121314421</v>
      </c>
      <c r="AR237" s="95">
        <f>(AQ237+AB237-AC237)*Assumptions!$D$19</f>
        <v>21626.658876673595</v>
      </c>
      <c r="AS237" s="67">
        <f t="shared" si="63"/>
        <v>5059277.9710081154</v>
      </c>
      <c r="AT237" s="67">
        <f t="shared" si="58"/>
        <v>5059277.9710081154</v>
      </c>
      <c r="AU237" s="67"/>
      <c r="AV237" s="67"/>
      <c r="AW237" s="67"/>
      <c r="AY237" s="67"/>
      <c r="AZ237" s="70">
        <f t="shared" si="52"/>
        <v>0</v>
      </c>
    </row>
    <row r="238" spans="2:52" x14ac:dyDescent="0.2">
      <c r="B238" s="5">
        <f t="shared" si="48"/>
        <v>231</v>
      </c>
      <c r="C238" s="5">
        <f t="shared" si="49"/>
        <v>231</v>
      </c>
      <c r="D238" s="5">
        <f t="shared" si="50"/>
        <v>19</v>
      </c>
      <c r="E238" s="5">
        <f t="shared" si="51"/>
        <v>65</v>
      </c>
      <c r="F238" s="64">
        <f>1-(1-VLOOKUP($E238,'Annual Mortality Rates'!$B$5:$C$105,2,FALSE))^(1/12)</f>
        <v>5.399338581985047E-4</v>
      </c>
      <c r="G238" s="75">
        <f>IF(C238&gt;=Assumptions!$H$9*12,100%,1-(1-IF(D238&gt;=7,2%,VLOOKUP($D238,'Annual Lapse Rates'!$B$4:$C$14,2,FALSE)))^(1/12))</f>
        <v>1</v>
      </c>
      <c r="H238" s="81">
        <f t="shared" si="59"/>
        <v>3</v>
      </c>
      <c r="I238" s="65">
        <f t="shared" si="53"/>
        <v>0</v>
      </c>
      <c r="J238" s="66">
        <f t="shared" si="54"/>
        <v>0</v>
      </c>
      <c r="K238" s="66">
        <f t="shared" si="55"/>
        <v>0</v>
      </c>
      <c r="M238" s="97">
        <f t="shared" si="60"/>
        <v>0</v>
      </c>
      <c r="N238" s="97">
        <f>IF(AND(H238=1,D238&lt;15),Assumptions!$H$4,0)</f>
        <v>0</v>
      </c>
      <c r="O238" s="103"/>
      <c r="P238" s="98">
        <f>$M238*(1+VLOOKUP($H238,Assumptions!$C$22:$D$33,2,FALSE))^(1/12)</f>
        <v>0</v>
      </c>
      <c r="Q238" s="98">
        <f>$M238*(1+VLOOKUP($H238,Assumptions!$C$22:$D$33,2,FALSE))^(1/12)</f>
        <v>0</v>
      </c>
      <c r="R238" s="97">
        <f>IF(AND(H238=12,D238&lt;15),Assumptions!$C$7*M238,0)</f>
        <v>0</v>
      </c>
      <c r="S238" s="99">
        <f>(M238+N238-O238)*Assumptions!$D$17</f>
        <v>0</v>
      </c>
      <c r="T238" s="99">
        <f t="shared" si="56"/>
        <v>0</v>
      </c>
      <c r="U238" s="101"/>
      <c r="V238" s="101">
        <f>IF(C238&gt;=Assumptions!$H$9*12,0,M238+N238-O238+S238-R238)</f>
        <v>0</v>
      </c>
      <c r="W238" s="103"/>
      <c r="X238" s="97">
        <f>IF(AND(H238=1,D238&lt;15),Assumptions!$D$10*N238+Assumptions!$D$11*(1+Assumptions!$D$16)^(B238-1),0)</f>
        <v>0</v>
      </c>
      <c r="Y238" s="100">
        <f>Assumptions!$C$13*N238</f>
        <v>0</v>
      </c>
      <c r="AA238" s="67">
        <f t="shared" si="61"/>
        <v>0</v>
      </c>
      <c r="AB238" s="67">
        <f>N238*I238</f>
        <v>0</v>
      </c>
      <c r="AC238" s="67"/>
      <c r="AD238" s="90">
        <f>P238*J238</f>
        <v>0</v>
      </c>
      <c r="AE238" s="90">
        <f>Q238*K238</f>
        <v>0</v>
      </c>
      <c r="AF238" s="67">
        <f>R238*I239</f>
        <v>0</v>
      </c>
      <c r="AG238" s="68">
        <f>S238*I238</f>
        <v>0</v>
      </c>
      <c r="AH238" s="68">
        <f>T238*$I238</f>
        <v>0</v>
      </c>
      <c r="AI238" s="68">
        <f>U238*$I238</f>
        <v>0</v>
      </c>
      <c r="AJ238" s="67">
        <f>V238*I239</f>
        <v>0</v>
      </c>
      <c r="AK238" s="67">
        <f>W238*$I238</f>
        <v>0</v>
      </c>
      <c r="AL238" s="67">
        <f>X238*$I238</f>
        <v>0</v>
      </c>
      <c r="AM238" s="67">
        <f>Y238*$I238</f>
        <v>0</v>
      </c>
      <c r="AN238" s="65">
        <f>NPV(Assumptions!$D$19,AB238:$AB$259)*(1+Assumptions!$D$19)</f>
        <v>0</v>
      </c>
      <c r="AO238" s="68">
        <f t="shared" si="57"/>
        <v>0</v>
      </c>
      <c r="AQ238" s="67">
        <f t="shared" si="62"/>
        <v>5059277.9710081154</v>
      </c>
      <c r="AR238" s="95">
        <f>(AQ238+AB238-AC238)*Assumptions!$D$19</f>
        <v>21719.502216791574</v>
      </c>
      <c r="AS238" s="67">
        <f t="shared" si="63"/>
        <v>5080997.4732249072</v>
      </c>
      <c r="AT238" s="67">
        <f t="shared" si="58"/>
        <v>5080997.4732249072</v>
      </c>
      <c r="AU238" s="67"/>
      <c r="AV238" s="67"/>
      <c r="AW238" s="67"/>
      <c r="AY238" s="67"/>
      <c r="AZ238" s="70">
        <f t="shared" si="52"/>
        <v>0</v>
      </c>
    </row>
    <row r="239" spans="2:52" x14ac:dyDescent="0.2">
      <c r="B239" s="5">
        <f t="shared" si="48"/>
        <v>232</v>
      </c>
      <c r="C239" s="5">
        <f t="shared" si="49"/>
        <v>232</v>
      </c>
      <c r="D239" s="5">
        <f t="shared" si="50"/>
        <v>19</v>
      </c>
      <c r="E239" s="5">
        <f t="shared" si="51"/>
        <v>65</v>
      </c>
      <c r="F239" s="64">
        <f>1-(1-VLOOKUP($E239,'Annual Mortality Rates'!$B$5:$C$105,2,FALSE))^(1/12)</f>
        <v>5.399338581985047E-4</v>
      </c>
      <c r="G239" s="75">
        <f>IF(C239&gt;=Assumptions!$H$9*12,100%,1-(1-IF(D239&gt;=7,2%,VLOOKUP($D239,'Annual Lapse Rates'!$B$4:$C$14,2,FALSE)))^(1/12))</f>
        <v>1</v>
      </c>
      <c r="H239" s="81">
        <f t="shared" si="59"/>
        <v>4</v>
      </c>
      <c r="I239" s="65">
        <f t="shared" si="53"/>
        <v>0</v>
      </c>
      <c r="J239" s="66">
        <f t="shared" si="54"/>
        <v>0</v>
      </c>
      <c r="K239" s="66">
        <f t="shared" si="55"/>
        <v>0</v>
      </c>
      <c r="M239" s="97">
        <f t="shared" si="60"/>
        <v>0</v>
      </c>
      <c r="N239" s="97">
        <f>IF(AND(H239=1,D239&lt;15),Assumptions!$H$4,0)</f>
        <v>0</v>
      </c>
      <c r="O239" s="103"/>
      <c r="P239" s="98">
        <f>$M239*(1+VLOOKUP($H239,Assumptions!$C$22:$D$33,2,FALSE))^(1/12)</f>
        <v>0</v>
      </c>
      <c r="Q239" s="98">
        <f>$M239*(1+VLOOKUP($H239,Assumptions!$C$22:$D$33,2,FALSE))^(1/12)</f>
        <v>0</v>
      </c>
      <c r="R239" s="97">
        <f>IF(AND(H239=12,D239&lt;15),Assumptions!$C$7*M239,0)</f>
        <v>0</v>
      </c>
      <c r="S239" s="99">
        <f>(M239+N239-O239)*Assumptions!$D$17</f>
        <v>0</v>
      </c>
      <c r="T239" s="99">
        <f t="shared" si="56"/>
        <v>0</v>
      </c>
      <c r="U239" s="101"/>
      <c r="V239" s="101">
        <f>IF(C239&gt;=Assumptions!$H$9*12,0,M239+N239-O239+S239-R239)</f>
        <v>0</v>
      </c>
      <c r="W239" s="103"/>
      <c r="X239" s="97">
        <f>IF(AND(H239=1,D239&lt;15),Assumptions!$D$10*N239+Assumptions!$D$11*(1+Assumptions!$D$16)^(B239-1),0)</f>
        <v>0</v>
      </c>
      <c r="Y239" s="100">
        <f>Assumptions!$C$13*N239</f>
        <v>0</v>
      </c>
      <c r="AA239" s="67">
        <f t="shared" si="61"/>
        <v>0</v>
      </c>
      <c r="AB239" s="67">
        <f>N239*I239</f>
        <v>0</v>
      </c>
      <c r="AC239" s="67"/>
      <c r="AD239" s="90">
        <f>P239*J239</f>
        <v>0</v>
      </c>
      <c r="AE239" s="90">
        <f>Q239*K239</f>
        <v>0</v>
      </c>
      <c r="AF239" s="67">
        <f>R239*I240</f>
        <v>0</v>
      </c>
      <c r="AG239" s="68">
        <f>S239*I239</f>
        <v>0</v>
      </c>
      <c r="AH239" s="68">
        <f>T239*$I239</f>
        <v>0</v>
      </c>
      <c r="AI239" s="68">
        <f>U239*$I239</f>
        <v>0</v>
      </c>
      <c r="AJ239" s="67">
        <f>V239*I240</f>
        <v>0</v>
      </c>
      <c r="AK239" s="67">
        <f>W239*$I239</f>
        <v>0</v>
      </c>
      <c r="AL239" s="67">
        <f>X239*$I239</f>
        <v>0</v>
      </c>
      <c r="AM239" s="67">
        <f>Y239*$I239</f>
        <v>0</v>
      </c>
      <c r="AN239" s="65">
        <f>NPV(Assumptions!$D$19,AB239:$AB$259)*(1+Assumptions!$D$19)</f>
        <v>0</v>
      </c>
      <c r="AO239" s="68">
        <f t="shared" si="57"/>
        <v>0</v>
      </c>
      <c r="AQ239" s="67">
        <f t="shared" si="62"/>
        <v>5080997.4732249072</v>
      </c>
      <c r="AR239" s="95">
        <f>(AQ239+AB239-AC239)*Assumptions!$D$19</f>
        <v>21812.744133770335</v>
      </c>
      <c r="AS239" s="67">
        <f t="shared" si="63"/>
        <v>5102810.2173586776</v>
      </c>
      <c r="AT239" s="67">
        <f t="shared" si="58"/>
        <v>5102810.2173586776</v>
      </c>
      <c r="AU239" s="67"/>
      <c r="AV239" s="67"/>
      <c r="AW239" s="67"/>
      <c r="AY239" s="67"/>
      <c r="AZ239" s="70">
        <f t="shared" si="52"/>
        <v>0</v>
      </c>
    </row>
    <row r="240" spans="2:52" x14ac:dyDescent="0.2">
      <c r="B240" s="5">
        <f t="shared" si="48"/>
        <v>233</v>
      </c>
      <c r="C240" s="5">
        <f t="shared" si="49"/>
        <v>233</v>
      </c>
      <c r="D240" s="5">
        <f t="shared" si="50"/>
        <v>19</v>
      </c>
      <c r="E240" s="5">
        <f t="shared" si="51"/>
        <v>65</v>
      </c>
      <c r="F240" s="64">
        <f>1-(1-VLOOKUP($E240,'Annual Mortality Rates'!$B$5:$C$105,2,FALSE))^(1/12)</f>
        <v>5.399338581985047E-4</v>
      </c>
      <c r="G240" s="75">
        <f>IF(C240&gt;=Assumptions!$H$9*12,100%,1-(1-IF(D240&gt;=7,2%,VLOOKUP($D240,'Annual Lapse Rates'!$B$4:$C$14,2,FALSE)))^(1/12))</f>
        <v>1</v>
      </c>
      <c r="H240" s="81">
        <f t="shared" si="59"/>
        <v>5</v>
      </c>
      <c r="I240" s="65">
        <f t="shared" si="53"/>
        <v>0</v>
      </c>
      <c r="J240" s="66">
        <f t="shared" si="54"/>
        <v>0</v>
      </c>
      <c r="K240" s="66">
        <f t="shared" si="55"/>
        <v>0</v>
      </c>
      <c r="M240" s="97">
        <f t="shared" si="60"/>
        <v>0</v>
      </c>
      <c r="N240" s="97">
        <f>IF(AND(H240=1,D240&lt;15),Assumptions!$H$4,0)</f>
        <v>0</v>
      </c>
      <c r="O240" s="103"/>
      <c r="P240" s="98">
        <f>$M240*(1+VLOOKUP($H240,Assumptions!$C$22:$D$33,2,FALSE))^(1/12)</f>
        <v>0</v>
      </c>
      <c r="Q240" s="98">
        <f>$M240*(1+VLOOKUP($H240,Assumptions!$C$22:$D$33,2,FALSE))^(1/12)</f>
        <v>0</v>
      </c>
      <c r="R240" s="97">
        <f>IF(AND(H240=12,D240&lt;15),Assumptions!$C$7*M240,0)</f>
        <v>0</v>
      </c>
      <c r="S240" s="99">
        <f>(M240+N240-O240)*Assumptions!$D$17</f>
        <v>0</v>
      </c>
      <c r="T240" s="99">
        <f t="shared" si="56"/>
        <v>0</v>
      </c>
      <c r="U240" s="101"/>
      <c r="V240" s="101">
        <f>IF(C240&gt;=Assumptions!$H$9*12,0,M240+N240-O240+S240-R240)</f>
        <v>0</v>
      </c>
      <c r="W240" s="103"/>
      <c r="X240" s="97">
        <f>IF(AND(H240=1,D240&lt;15),Assumptions!$D$10*N240+Assumptions!$D$11*(1+Assumptions!$D$16)^(B240-1),0)</f>
        <v>0</v>
      </c>
      <c r="Y240" s="100">
        <f>Assumptions!$C$13*N240</f>
        <v>0</v>
      </c>
      <c r="AA240" s="67">
        <f t="shared" si="61"/>
        <v>0</v>
      </c>
      <c r="AB240" s="67">
        <f>N240*I240</f>
        <v>0</v>
      </c>
      <c r="AC240" s="67"/>
      <c r="AD240" s="90">
        <f>P240*J240</f>
        <v>0</v>
      </c>
      <c r="AE240" s="90">
        <f>Q240*K240</f>
        <v>0</v>
      </c>
      <c r="AF240" s="67">
        <f>R240*I241</f>
        <v>0</v>
      </c>
      <c r="AG240" s="68">
        <f>S240*I240</f>
        <v>0</v>
      </c>
      <c r="AH240" s="68">
        <f>T240*$I240</f>
        <v>0</v>
      </c>
      <c r="AI240" s="68">
        <f>U240*$I240</f>
        <v>0</v>
      </c>
      <c r="AJ240" s="67">
        <f>V240*I241</f>
        <v>0</v>
      </c>
      <c r="AK240" s="67">
        <f>W240*$I240</f>
        <v>0</v>
      </c>
      <c r="AL240" s="67">
        <f>X240*$I240</f>
        <v>0</v>
      </c>
      <c r="AM240" s="67">
        <f>Y240*$I240</f>
        <v>0</v>
      </c>
      <c r="AN240" s="65">
        <f>NPV(Assumptions!$D$19,AB240:$AB$259)*(1+Assumptions!$D$19)</f>
        <v>0</v>
      </c>
      <c r="AO240" s="68">
        <f t="shared" si="57"/>
        <v>0</v>
      </c>
      <c r="AQ240" s="67">
        <f t="shared" si="62"/>
        <v>5102810.2173586776</v>
      </c>
      <c r="AR240" s="95">
        <f>(AQ240+AB240-AC240)*Assumptions!$D$19</f>
        <v>21906.386338702068</v>
      </c>
      <c r="AS240" s="67">
        <f t="shared" si="63"/>
        <v>5124716.6036973801</v>
      </c>
      <c r="AT240" s="67">
        <f t="shared" si="58"/>
        <v>5124716.6036973801</v>
      </c>
      <c r="AU240" s="67"/>
      <c r="AV240" s="67"/>
      <c r="AW240" s="67"/>
      <c r="AY240" s="67"/>
      <c r="AZ240" s="70">
        <f t="shared" si="52"/>
        <v>0</v>
      </c>
    </row>
    <row r="241" spans="2:52" x14ac:dyDescent="0.2">
      <c r="B241" s="5">
        <f t="shared" si="48"/>
        <v>234</v>
      </c>
      <c r="C241" s="5">
        <f t="shared" si="49"/>
        <v>234</v>
      </c>
      <c r="D241" s="5">
        <f t="shared" si="50"/>
        <v>19</v>
      </c>
      <c r="E241" s="5">
        <f t="shared" si="51"/>
        <v>65</v>
      </c>
      <c r="F241" s="64">
        <f>1-(1-VLOOKUP($E241,'Annual Mortality Rates'!$B$5:$C$105,2,FALSE))^(1/12)</f>
        <v>5.399338581985047E-4</v>
      </c>
      <c r="G241" s="75">
        <f>IF(C241&gt;=Assumptions!$H$9*12,100%,1-(1-IF(D241&gt;=7,2%,VLOOKUP($D241,'Annual Lapse Rates'!$B$4:$C$14,2,FALSE)))^(1/12))</f>
        <v>1</v>
      </c>
      <c r="H241" s="81">
        <f t="shared" si="59"/>
        <v>6</v>
      </c>
      <c r="I241" s="65">
        <f t="shared" si="53"/>
        <v>0</v>
      </c>
      <c r="J241" s="66">
        <f t="shared" si="54"/>
        <v>0</v>
      </c>
      <c r="K241" s="66">
        <f t="shared" si="55"/>
        <v>0</v>
      </c>
      <c r="M241" s="97">
        <f t="shared" si="60"/>
        <v>0</v>
      </c>
      <c r="N241" s="97">
        <f>IF(AND(H241=1,D241&lt;15),Assumptions!$H$4,0)</f>
        <v>0</v>
      </c>
      <c r="O241" s="103"/>
      <c r="P241" s="98">
        <f>$M241*(1+VLOOKUP($H241,Assumptions!$C$22:$D$33,2,FALSE))^(1/12)</f>
        <v>0</v>
      </c>
      <c r="Q241" s="98">
        <f>$M241*(1+VLOOKUP($H241,Assumptions!$C$22:$D$33,2,FALSE))^(1/12)</f>
        <v>0</v>
      </c>
      <c r="R241" s="97">
        <f>IF(AND(H241=12,D241&lt;15),Assumptions!$C$7*M241,0)</f>
        <v>0</v>
      </c>
      <c r="S241" s="99">
        <f>(M241+N241-O241)*Assumptions!$D$17</f>
        <v>0</v>
      </c>
      <c r="T241" s="99">
        <f t="shared" si="56"/>
        <v>0</v>
      </c>
      <c r="U241" s="101"/>
      <c r="V241" s="101">
        <f>IF(C241&gt;=Assumptions!$H$9*12,0,M241+N241-O241+S241-R241)</f>
        <v>0</v>
      </c>
      <c r="W241" s="103"/>
      <c r="X241" s="97">
        <f>IF(AND(H241=1,D241&lt;15),Assumptions!$D$10*N241+Assumptions!$D$11*(1+Assumptions!$D$16)^(B241-1),0)</f>
        <v>0</v>
      </c>
      <c r="Y241" s="100">
        <f>Assumptions!$C$13*N241</f>
        <v>0</v>
      </c>
      <c r="AA241" s="67">
        <f t="shared" si="61"/>
        <v>0</v>
      </c>
      <c r="AB241" s="67">
        <f>N241*I241</f>
        <v>0</v>
      </c>
      <c r="AC241" s="67"/>
      <c r="AD241" s="90">
        <f>P241*J241</f>
        <v>0</v>
      </c>
      <c r="AE241" s="90">
        <f>Q241*K241</f>
        <v>0</v>
      </c>
      <c r="AF241" s="67">
        <f>R241*I242</f>
        <v>0</v>
      </c>
      <c r="AG241" s="68">
        <f>S241*I241</f>
        <v>0</v>
      </c>
      <c r="AH241" s="68">
        <f>T241*$I241</f>
        <v>0</v>
      </c>
      <c r="AI241" s="68">
        <f>U241*$I241</f>
        <v>0</v>
      </c>
      <c r="AJ241" s="67">
        <f>V241*I242</f>
        <v>0</v>
      </c>
      <c r="AK241" s="67">
        <f>W241*$I241</f>
        <v>0</v>
      </c>
      <c r="AL241" s="67">
        <f>X241*$I241</f>
        <v>0</v>
      </c>
      <c r="AM241" s="67">
        <f>Y241*$I241</f>
        <v>0</v>
      </c>
      <c r="AN241" s="65">
        <f>NPV(Assumptions!$D$19,AB241:$AB$259)*(1+Assumptions!$D$19)</f>
        <v>0</v>
      </c>
      <c r="AO241" s="68">
        <f t="shared" si="57"/>
        <v>0</v>
      </c>
      <c r="AQ241" s="67">
        <f t="shared" si="62"/>
        <v>5124716.6036973801</v>
      </c>
      <c r="AR241" s="95">
        <f>(AQ241+AB241-AC241)*Assumptions!$D$19</f>
        <v>22000.430550024681</v>
      </c>
      <c r="AS241" s="67">
        <f t="shared" si="63"/>
        <v>5146717.0342474049</v>
      </c>
      <c r="AT241" s="67">
        <f t="shared" si="58"/>
        <v>5146717.0342474049</v>
      </c>
      <c r="AU241" s="67"/>
      <c r="AV241" s="67"/>
      <c r="AW241" s="67"/>
      <c r="AY241" s="67"/>
      <c r="AZ241" s="70">
        <f t="shared" si="52"/>
        <v>0</v>
      </c>
    </row>
    <row r="242" spans="2:52" x14ac:dyDescent="0.2">
      <c r="B242" s="5">
        <f t="shared" si="48"/>
        <v>235</v>
      </c>
      <c r="C242" s="5">
        <f t="shared" si="49"/>
        <v>235</v>
      </c>
      <c r="D242" s="5">
        <f t="shared" si="50"/>
        <v>19</v>
      </c>
      <c r="E242" s="5">
        <f t="shared" si="51"/>
        <v>65</v>
      </c>
      <c r="F242" s="64">
        <f>1-(1-VLOOKUP($E242,'Annual Mortality Rates'!$B$5:$C$105,2,FALSE))^(1/12)</f>
        <v>5.399338581985047E-4</v>
      </c>
      <c r="G242" s="75">
        <f>IF(C242&gt;=Assumptions!$H$9*12,100%,1-(1-IF(D242&gt;=7,2%,VLOOKUP($D242,'Annual Lapse Rates'!$B$4:$C$14,2,FALSE)))^(1/12))</f>
        <v>1</v>
      </c>
      <c r="H242" s="81">
        <f t="shared" si="59"/>
        <v>7</v>
      </c>
      <c r="I242" s="65">
        <f t="shared" si="53"/>
        <v>0</v>
      </c>
      <c r="J242" s="66">
        <f t="shared" si="54"/>
        <v>0</v>
      </c>
      <c r="K242" s="66">
        <f t="shared" si="55"/>
        <v>0</v>
      </c>
      <c r="M242" s="97">
        <f t="shared" si="60"/>
        <v>0</v>
      </c>
      <c r="N242" s="97">
        <f>IF(AND(H242=1,D242&lt;15),Assumptions!$H$4,0)</f>
        <v>0</v>
      </c>
      <c r="O242" s="103"/>
      <c r="P242" s="98">
        <f>$M242*(1+VLOOKUP($H242,Assumptions!$C$22:$D$33,2,FALSE))^(1/12)</f>
        <v>0</v>
      </c>
      <c r="Q242" s="98">
        <f>$M242*(1+VLOOKUP($H242,Assumptions!$C$22:$D$33,2,FALSE))^(1/12)</f>
        <v>0</v>
      </c>
      <c r="R242" s="97">
        <f>IF(AND(H242=12,D242&lt;15),Assumptions!$C$7*M242,0)</f>
        <v>0</v>
      </c>
      <c r="S242" s="99">
        <f>(M242+N242-O242)*Assumptions!$D$17</f>
        <v>0</v>
      </c>
      <c r="T242" s="99">
        <f t="shared" si="56"/>
        <v>0</v>
      </c>
      <c r="U242" s="101"/>
      <c r="V242" s="101">
        <f>IF(C242&gt;=Assumptions!$H$9*12,0,M242+N242-O242+S242-R242)</f>
        <v>0</v>
      </c>
      <c r="W242" s="103"/>
      <c r="X242" s="97">
        <f>IF(AND(H242=1,D242&lt;15),Assumptions!$D$10*N242+Assumptions!$D$11*(1+Assumptions!$D$16)^(B242-1),0)</f>
        <v>0</v>
      </c>
      <c r="Y242" s="100">
        <f>Assumptions!$C$13*N242</f>
        <v>0</v>
      </c>
      <c r="AA242" s="67">
        <f t="shared" si="61"/>
        <v>0</v>
      </c>
      <c r="AB242" s="67">
        <f>N242*I242</f>
        <v>0</v>
      </c>
      <c r="AC242" s="67"/>
      <c r="AD242" s="90">
        <f>P242*J242</f>
        <v>0</v>
      </c>
      <c r="AE242" s="90">
        <f>Q242*K242</f>
        <v>0</v>
      </c>
      <c r="AF242" s="67">
        <f>R242*I243</f>
        <v>0</v>
      </c>
      <c r="AG242" s="68">
        <f>S242*I242</f>
        <v>0</v>
      </c>
      <c r="AH242" s="68">
        <f>T242*$I242</f>
        <v>0</v>
      </c>
      <c r="AI242" s="68">
        <f>U242*$I242</f>
        <v>0</v>
      </c>
      <c r="AJ242" s="67">
        <f>V242*I243</f>
        <v>0</v>
      </c>
      <c r="AK242" s="67">
        <f>W242*$I242</f>
        <v>0</v>
      </c>
      <c r="AL242" s="67">
        <f>X242*$I242</f>
        <v>0</v>
      </c>
      <c r="AM242" s="67">
        <f>Y242*$I242</f>
        <v>0</v>
      </c>
      <c r="AN242" s="65">
        <f>NPV(Assumptions!$D$19,AB242:$AB$259)*(1+Assumptions!$D$19)</f>
        <v>0</v>
      </c>
      <c r="AO242" s="68">
        <f t="shared" si="57"/>
        <v>0</v>
      </c>
      <c r="AQ242" s="67">
        <f t="shared" si="62"/>
        <v>5146717.0342474049</v>
      </c>
      <c r="AR242" s="95">
        <f>(AQ242+AB242-AC242)*Assumptions!$D$19</f>
        <v>22094.878493553355</v>
      </c>
      <c r="AS242" s="67">
        <f t="shared" si="63"/>
        <v>5168811.9127409579</v>
      </c>
      <c r="AT242" s="67">
        <f t="shared" si="58"/>
        <v>5168811.9127409579</v>
      </c>
      <c r="AU242" s="67"/>
      <c r="AV242" s="67"/>
      <c r="AW242" s="67"/>
      <c r="AY242" s="67"/>
      <c r="AZ242" s="70">
        <f t="shared" si="52"/>
        <v>0</v>
      </c>
    </row>
    <row r="243" spans="2:52" x14ac:dyDescent="0.2">
      <c r="B243" s="5">
        <f t="shared" si="48"/>
        <v>236</v>
      </c>
      <c r="C243" s="5">
        <f t="shared" si="49"/>
        <v>236</v>
      </c>
      <c r="D243" s="5">
        <f t="shared" si="50"/>
        <v>19</v>
      </c>
      <c r="E243" s="5">
        <f t="shared" si="51"/>
        <v>65</v>
      </c>
      <c r="F243" s="64">
        <f>1-(1-VLOOKUP($E243,'Annual Mortality Rates'!$B$5:$C$105,2,FALSE))^(1/12)</f>
        <v>5.399338581985047E-4</v>
      </c>
      <c r="G243" s="75">
        <f>IF(C243&gt;=Assumptions!$H$9*12,100%,1-(1-IF(D243&gt;=7,2%,VLOOKUP($D243,'Annual Lapse Rates'!$B$4:$C$14,2,FALSE)))^(1/12))</f>
        <v>1</v>
      </c>
      <c r="H243" s="81">
        <f t="shared" si="59"/>
        <v>8</v>
      </c>
      <c r="I243" s="65">
        <f t="shared" si="53"/>
        <v>0</v>
      </c>
      <c r="J243" s="66">
        <f t="shared" si="54"/>
        <v>0</v>
      </c>
      <c r="K243" s="66">
        <f t="shared" si="55"/>
        <v>0</v>
      </c>
      <c r="M243" s="97">
        <f t="shared" si="60"/>
        <v>0</v>
      </c>
      <c r="N243" s="97">
        <f>IF(AND(H243=1,D243&lt;15),Assumptions!$H$4,0)</f>
        <v>0</v>
      </c>
      <c r="O243" s="103"/>
      <c r="P243" s="98">
        <f>$M243*(1+VLOOKUP($H243,Assumptions!$C$22:$D$33,2,FALSE))^(1/12)</f>
        <v>0</v>
      </c>
      <c r="Q243" s="98">
        <f>$M243*(1+VLOOKUP($H243,Assumptions!$C$22:$D$33,2,FALSE))^(1/12)</f>
        <v>0</v>
      </c>
      <c r="R243" s="97">
        <f>IF(AND(H243=12,D243&lt;15),Assumptions!$C$7*M243,0)</f>
        <v>0</v>
      </c>
      <c r="S243" s="99">
        <f>(M243+N243-O243)*Assumptions!$D$17</f>
        <v>0</v>
      </c>
      <c r="T243" s="99">
        <f t="shared" si="56"/>
        <v>0</v>
      </c>
      <c r="U243" s="101"/>
      <c r="V243" s="101">
        <f>IF(C243&gt;=Assumptions!$H$9*12,0,M243+N243-O243+S243-R243)</f>
        <v>0</v>
      </c>
      <c r="W243" s="103"/>
      <c r="X243" s="97">
        <f>IF(AND(H243=1,D243&lt;15),Assumptions!$D$10*N243+Assumptions!$D$11*(1+Assumptions!$D$16)^(B243-1),0)</f>
        <v>0</v>
      </c>
      <c r="Y243" s="100">
        <f>Assumptions!$C$13*N243</f>
        <v>0</v>
      </c>
      <c r="AA243" s="67">
        <f t="shared" si="61"/>
        <v>0</v>
      </c>
      <c r="AB243" s="67">
        <f>N243*I243</f>
        <v>0</v>
      </c>
      <c r="AC243" s="67"/>
      <c r="AD243" s="90">
        <f>P243*J243</f>
        <v>0</v>
      </c>
      <c r="AE243" s="90">
        <f>Q243*K243</f>
        <v>0</v>
      </c>
      <c r="AF243" s="67">
        <f>R243*I244</f>
        <v>0</v>
      </c>
      <c r="AG243" s="68">
        <f>S243*I243</f>
        <v>0</v>
      </c>
      <c r="AH243" s="68">
        <f>T243*$I243</f>
        <v>0</v>
      </c>
      <c r="AI243" s="68">
        <f>U243*$I243</f>
        <v>0</v>
      </c>
      <c r="AJ243" s="67">
        <f>V243*I244</f>
        <v>0</v>
      </c>
      <c r="AK243" s="67">
        <f>W243*$I243</f>
        <v>0</v>
      </c>
      <c r="AL243" s="67">
        <f>X243*$I243</f>
        <v>0</v>
      </c>
      <c r="AM243" s="67">
        <f>Y243*$I243</f>
        <v>0</v>
      </c>
      <c r="AN243" s="65">
        <f>NPV(Assumptions!$D$19,AB243:$AB$259)*(1+Assumptions!$D$19)</f>
        <v>0</v>
      </c>
      <c r="AO243" s="68">
        <f t="shared" si="57"/>
        <v>0</v>
      </c>
      <c r="AQ243" s="67">
        <f t="shared" si="62"/>
        <v>5168811.9127409579</v>
      </c>
      <c r="AR243" s="95">
        <f>(AQ243+AB243-AC243)*Assumptions!$D$19</f>
        <v>22189.731902512191</v>
      </c>
      <c r="AS243" s="67">
        <f t="shared" si="63"/>
        <v>5191001.6446434697</v>
      </c>
      <c r="AT243" s="67">
        <f t="shared" si="58"/>
        <v>5191001.6446434697</v>
      </c>
      <c r="AU243" s="67"/>
      <c r="AV243" s="67"/>
      <c r="AW243" s="67"/>
      <c r="AY243" s="67"/>
      <c r="AZ243" s="70">
        <f t="shared" si="52"/>
        <v>0</v>
      </c>
    </row>
    <row r="244" spans="2:52" x14ac:dyDescent="0.2">
      <c r="B244" s="5">
        <f t="shared" si="48"/>
        <v>237</v>
      </c>
      <c r="C244" s="5">
        <f t="shared" si="49"/>
        <v>237</v>
      </c>
      <c r="D244" s="5">
        <f t="shared" si="50"/>
        <v>19</v>
      </c>
      <c r="E244" s="5">
        <f t="shared" si="51"/>
        <v>65</v>
      </c>
      <c r="F244" s="64">
        <f>1-(1-VLOOKUP($E244,'Annual Mortality Rates'!$B$5:$C$105,2,FALSE))^(1/12)</f>
        <v>5.399338581985047E-4</v>
      </c>
      <c r="G244" s="75">
        <f>IF(C244&gt;=Assumptions!$H$9*12,100%,1-(1-IF(D244&gt;=7,2%,VLOOKUP($D244,'Annual Lapse Rates'!$B$4:$C$14,2,FALSE)))^(1/12))</f>
        <v>1</v>
      </c>
      <c r="H244" s="81">
        <f t="shared" si="59"/>
        <v>9</v>
      </c>
      <c r="I244" s="65">
        <f t="shared" si="53"/>
        <v>0</v>
      </c>
      <c r="J244" s="66">
        <f t="shared" si="54"/>
        <v>0</v>
      </c>
      <c r="K244" s="66">
        <f t="shared" si="55"/>
        <v>0</v>
      </c>
      <c r="M244" s="97">
        <f t="shared" si="60"/>
        <v>0</v>
      </c>
      <c r="N244" s="97">
        <f>IF(AND(H244=1,D244&lt;15),Assumptions!$H$4,0)</f>
        <v>0</v>
      </c>
      <c r="O244" s="103"/>
      <c r="P244" s="98">
        <f>$M244*(1+VLOOKUP($H244,Assumptions!$C$22:$D$33,2,FALSE))^(1/12)</f>
        <v>0</v>
      </c>
      <c r="Q244" s="98">
        <f>$M244*(1+VLOOKUP($H244,Assumptions!$C$22:$D$33,2,FALSE))^(1/12)</f>
        <v>0</v>
      </c>
      <c r="R244" s="97">
        <f>IF(AND(H244=12,D244&lt;15),Assumptions!$C$7*M244,0)</f>
        <v>0</v>
      </c>
      <c r="S244" s="99">
        <f>(M244+N244-O244)*Assumptions!$D$17</f>
        <v>0</v>
      </c>
      <c r="T244" s="99">
        <f t="shared" si="56"/>
        <v>0</v>
      </c>
      <c r="U244" s="101"/>
      <c r="V244" s="101">
        <f>IF(C244&gt;=Assumptions!$H$9*12,0,M244+N244-O244+S244-R244)</f>
        <v>0</v>
      </c>
      <c r="W244" s="103"/>
      <c r="X244" s="97">
        <f>IF(AND(H244=1,D244&lt;15),Assumptions!$D$10*N244+Assumptions!$D$11*(1+Assumptions!$D$16)^(B244-1),0)</f>
        <v>0</v>
      </c>
      <c r="Y244" s="100">
        <f>Assumptions!$C$13*N244</f>
        <v>0</v>
      </c>
      <c r="AA244" s="67">
        <f t="shared" si="61"/>
        <v>0</v>
      </c>
      <c r="AB244" s="67">
        <f>N244*I244</f>
        <v>0</v>
      </c>
      <c r="AC244" s="67"/>
      <c r="AD244" s="90">
        <f>P244*J244</f>
        <v>0</v>
      </c>
      <c r="AE244" s="90">
        <f>Q244*K244</f>
        <v>0</v>
      </c>
      <c r="AF244" s="67">
        <f>R244*I245</f>
        <v>0</v>
      </c>
      <c r="AG244" s="68">
        <f>S244*I244</f>
        <v>0</v>
      </c>
      <c r="AH244" s="68">
        <f>T244*$I244</f>
        <v>0</v>
      </c>
      <c r="AI244" s="68">
        <f>U244*$I244</f>
        <v>0</v>
      </c>
      <c r="AJ244" s="67">
        <f>V244*I245</f>
        <v>0</v>
      </c>
      <c r="AK244" s="67">
        <f>W244*$I244</f>
        <v>0</v>
      </c>
      <c r="AL244" s="67">
        <f>X244*$I244</f>
        <v>0</v>
      </c>
      <c r="AM244" s="67">
        <f>Y244*$I244</f>
        <v>0</v>
      </c>
      <c r="AN244" s="65">
        <f>NPV(Assumptions!$D$19,AB244:$AB$259)*(1+Assumptions!$D$19)</f>
        <v>0</v>
      </c>
      <c r="AO244" s="68">
        <f t="shared" si="57"/>
        <v>0</v>
      </c>
      <c r="AQ244" s="67">
        <f t="shared" si="62"/>
        <v>5191001.6446434697</v>
      </c>
      <c r="AR244" s="95">
        <f>(AQ244+AB244-AC244)*Assumptions!$D$19</f>
        <v>22284.992517566039</v>
      </c>
      <c r="AS244" s="67">
        <f t="shared" si="63"/>
        <v>5213286.637161036</v>
      </c>
      <c r="AT244" s="67">
        <f t="shared" si="58"/>
        <v>5213286.637161036</v>
      </c>
      <c r="AU244" s="67"/>
      <c r="AV244" s="67"/>
      <c r="AW244" s="67"/>
      <c r="AY244" s="67"/>
      <c r="AZ244" s="70">
        <f t="shared" si="52"/>
        <v>0</v>
      </c>
    </row>
    <row r="245" spans="2:52" x14ac:dyDescent="0.2">
      <c r="B245" s="5">
        <f t="shared" si="48"/>
        <v>238</v>
      </c>
      <c r="C245" s="5">
        <f t="shared" si="49"/>
        <v>238</v>
      </c>
      <c r="D245" s="5">
        <f t="shared" si="50"/>
        <v>19</v>
      </c>
      <c r="E245" s="5">
        <f t="shared" si="51"/>
        <v>65</v>
      </c>
      <c r="F245" s="64">
        <f>1-(1-VLOOKUP($E245,'Annual Mortality Rates'!$B$5:$C$105,2,FALSE))^(1/12)</f>
        <v>5.399338581985047E-4</v>
      </c>
      <c r="G245" s="75">
        <f>IF(C245&gt;=Assumptions!$H$9*12,100%,1-(1-IF(D245&gt;=7,2%,VLOOKUP($D245,'Annual Lapse Rates'!$B$4:$C$14,2,FALSE)))^(1/12))</f>
        <v>1</v>
      </c>
      <c r="H245" s="81">
        <f t="shared" si="59"/>
        <v>10</v>
      </c>
      <c r="I245" s="65">
        <f t="shared" si="53"/>
        <v>0</v>
      </c>
      <c r="J245" s="66">
        <f t="shared" si="54"/>
        <v>0</v>
      </c>
      <c r="K245" s="66">
        <f t="shared" si="55"/>
        <v>0</v>
      </c>
      <c r="M245" s="97">
        <f t="shared" si="60"/>
        <v>0</v>
      </c>
      <c r="N245" s="97">
        <f>IF(AND(H245=1,D245&lt;15),Assumptions!$H$4,0)</f>
        <v>0</v>
      </c>
      <c r="O245" s="103"/>
      <c r="P245" s="98">
        <f>$M245*(1+VLOOKUP($H245,Assumptions!$C$22:$D$33,2,FALSE))^(1/12)</f>
        <v>0</v>
      </c>
      <c r="Q245" s="98">
        <f>$M245*(1+VLOOKUP($H245,Assumptions!$C$22:$D$33,2,FALSE))^(1/12)</f>
        <v>0</v>
      </c>
      <c r="R245" s="97">
        <f>IF(AND(H245=12,D245&lt;15),Assumptions!$C$7*M245,0)</f>
        <v>0</v>
      </c>
      <c r="S245" s="99">
        <f>(M245+N245-O245)*Assumptions!$D$17</f>
        <v>0</v>
      </c>
      <c r="T245" s="99">
        <f t="shared" si="56"/>
        <v>0</v>
      </c>
      <c r="U245" s="101"/>
      <c r="V245" s="101">
        <f>IF(C245&gt;=Assumptions!$H$9*12,0,M245+N245-O245+S245-R245)</f>
        <v>0</v>
      </c>
      <c r="W245" s="103"/>
      <c r="X245" s="97">
        <f>IF(AND(H245=1,D245&lt;15),Assumptions!$D$10*N245+Assumptions!$D$11*(1+Assumptions!$D$16)^(B245-1),0)</f>
        <v>0</v>
      </c>
      <c r="Y245" s="100">
        <f>Assumptions!$C$13*N245</f>
        <v>0</v>
      </c>
      <c r="AA245" s="67">
        <f t="shared" si="61"/>
        <v>0</v>
      </c>
      <c r="AB245" s="67">
        <f>N245*I245</f>
        <v>0</v>
      </c>
      <c r="AC245" s="67"/>
      <c r="AD245" s="90">
        <f>P245*J245</f>
        <v>0</v>
      </c>
      <c r="AE245" s="90">
        <f>Q245*K245</f>
        <v>0</v>
      </c>
      <c r="AF245" s="67">
        <f>R245*I246</f>
        <v>0</v>
      </c>
      <c r="AG245" s="68">
        <f>S245*I245</f>
        <v>0</v>
      </c>
      <c r="AH245" s="68">
        <f>T245*$I245</f>
        <v>0</v>
      </c>
      <c r="AI245" s="68">
        <f>U245*$I245</f>
        <v>0</v>
      </c>
      <c r="AJ245" s="67">
        <f>V245*I246</f>
        <v>0</v>
      </c>
      <c r="AK245" s="67">
        <f>W245*$I245</f>
        <v>0</v>
      </c>
      <c r="AL245" s="67">
        <f>X245*$I245</f>
        <v>0</v>
      </c>
      <c r="AM245" s="67">
        <f>Y245*$I245</f>
        <v>0</v>
      </c>
      <c r="AN245" s="65">
        <f>NPV(Assumptions!$D$19,AB245:$AB$259)*(1+Assumptions!$D$19)</f>
        <v>0</v>
      </c>
      <c r="AO245" s="68">
        <f t="shared" si="57"/>
        <v>0</v>
      </c>
      <c r="AQ245" s="67">
        <f t="shared" si="62"/>
        <v>5213286.637161036</v>
      </c>
      <c r="AR245" s="95">
        <f>(AQ245+AB245-AC245)*Assumptions!$D$19</f>
        <v>22380.66208685243</v>
      </c>
      <c r="AS245" s="67">
        <f t="shared" si="63"/>
        <v>5235667.2992478888</v>
      </c>
      <c r="AT245" s="67">
        <f t="shared" si="58"/>
        <v>5235667.2992478888</v>
      </c>
      <c r="AU245" s="67"/>
      <c r="AV245" s="67"/>
      <c r="AW245" s="67"/>
      <c r="AY245" s="67"/>
      <c r="AZ245" s="70">
        <f t="shared" si="52"/>
        <v>0</v>
      </c>
    </row>
    <row r="246" spans="2:52" x14ac:dyDescent="0.2">
      <c r="B246" s="5">
        <f t="shared" si="48"/>
        <v>239</v>
      </c>
      <c r="C246" s="5">
        <f t="shared" si="49"/>
        <v>239</v>
      </c>
      <c r="D246" s="5">
        <f t="shared" si="50"/>
        <v>19</v>
      </c>
      <c r="E246" s="5">
        <f t="shared" si="51"/>
        <v>65</v>
      </c>
      <c r="F246" s="64">
        <f>1-(1-VLOOKUP($E246,'Annual Mortality Rates'!$B$5:$C$105,2,FALSE))^(1/12)</f>
        <v>5.399338581985047E-4</v>
      </c>
      <c r="G246" s="75">
        <f>IF(C246&gt;=Assumptions!$H$9*12,100%,1-(1-IF(D246&gt;=7,2%,VLOOKUP($D246,'Annual Lapse Rates'!$B$4:$C$14,2,FALSE)))^(1/12))</f>
        <v>1</v>
      </c>
      <c r="H246" s="81">
        <f t="shared" si="59"/>
        <v>11</v>
      </c>
      <c r="I246" s="65">
        <f t="shared" si="53"/>
        <v>0</v>
      </c>
      <c r="J246" s="66">
        <f t="shared" si="54"/>
        <v>0</v>
      </c>
      <c r="K246" s="66">
        <f t="shared" si="55"/>
        <v>0</v>
      </c>
      <c r="M246" s="97">
        <f t="shared" si="60"/>
        <v>0</v>
      </c>
      <c r="N246" s="97">
        <f>IF(AND(H246=1,D246&lt;15),Assumptions!$H$4,0)</f>
        <v>0</v>
      </c>
      <c r="O246" s="103"/>
      <c r="P246" s="98">
        <f>$M246*(1+VLOOKUP($H246,Assumptions!$C$22:$D$33,2,FALSE))^(1/12)</f>
        <v>0</v>
      </c>
      <c r="Q246" s="98">
        <f>$M246*(1+VLOOKUP($H246,Assumptions!$C$22:$D$33,2,FALSE))^(1/12)</f>
        <v>0</v>
      </c>
      <c r="R246" s="97">
        <f>IF(AND(H246=12,D246&lt;15),Assumptions!$C$7*M246,0)</f>
        <v>0</v>
      </c>
      <c r="S246" s="99">
        <f>(M246+N246-O246)*Assumptions!$D$17</f>
        <v>0</v>
      </c>
      <c r="T246" s="99">
        <f t="shared" si="56"/>
        <v>0</v>
      </c>
      <c r="U246" s="101"/>
      <c r="V246" s="101">
        <f>IF(C246&gt;=Assumptions!$H$9*12,0,M246+N246-O246+S246-R246)</f>
        <v>0</v>
      </c>
      <c r="W246" s="103"/>
      <c r="X246" s="97">
        <f>IF(AND(H246=1,D246&lt;15),Assumptions!$D$10*N246+Assumptions!$D$11*(1+Assumptions!$D$16)^(B246-1),0)</f>
        <v>0</v>
      </c>
      <c r="Y246" s="100">
        <f>Assumptions!$C$13*N246</f>
        <v>0</v>
      </c>
      <c r="AA246" s="67">
        <f t="shared" si="61"/>
        <v>0</v>
      </c>
      <c r="AB246" s="67">
        <f>N246*I246</f>
        <v>0</v>
      </c>
      <c r="AC246" s="67"/>
      <c r="AD246" s="90">
        <f>P246*J246</f>
        <v>0</v>
      </c>
      <c r="AE246" s="90">
        <f>Q246*K246</f>
        <v>0</v>
      </c>
      <c r="AF246" s="67">
        <f>R246*I247</f>
        <v>0</v>
      </c>
      <c r="AG246" s="68">
        <f>S246*I246</f>
        <v>0</v>
      </c>
      <c r="AH246" s="68">
        <f>T246*$I246</f>
        <v>0</v>
      </c>
      <c r="AI246" s="68">
        <f>U246*$I246</f>
        <v>0</v>
      </c>
      <c r="AJ246" s="67">
        <f>V246*I247</f>
        <v>0</v>
      </c>
      <c r="AK246" s="67">
        <f>W246*$I246</f>
        <v>0</v>
      </c>
      <c r="AL246" s="67">
        <f>X246*$I246</f>
        <v>0</v>
      </c>
      <c r="AM246" s="67">
        <f>Y246*$I246</f>
        <v>0</v>
      </c>
      <c r="AN246" s="65">
        <f>NPV(Assumptions!$D$19,AB246:$AB$259)*(1+Assumptions!$D$19)</f>
        <v>0</v>
      </c>
      <c r="AO246" s="68">
        <f t="shared" si="57"/>
        <v>0</v>
      </c>
      <c r="AQ246" s="67">
        <f t="shared" si="62"/>
        <v>5235667.2992478888</v>
      </c>
      <c r="AR246" s="95">
        <f>(AQ246+AB246-AC246)*Assumptions!$D$19</f>
        <v>22476.742366013648</v>
      </c>
      <c r="AS246" s="67">
        <f t="shared" si="63"/>
        <v>5258144.0416139029</v>
      </c>
      <c r="AT246" s="67">
        <f t="shared" si="58"/>
        <v>5258144.0416139029</v>
      </c>
      <c r="AU246" s="67"/>
      <c r="AV246" s="67"/>
      <c r="AW246" s="67"/>
      <c r="AY246" s="67"/>
      <c r="AZ246" s="70">
        <f t="shared" si="52"/>
        <v>0</v>
      </c>
    </row>
    <row r="247" spans="2:52" x14ac:dyDescent="0.2">
      <c r="B247" s="5">
        <f t="shared" si="48"/>
        <v>240</v>
      </c>
      <c r="C247" s="5">
        <f t="shared" si="49"/>
        <v>240</v>
      </c>
      <c r="D247" s="5">
        <f t="shared" si="50"/>
        <v>19</v>
      </c>
      <c r="E247" s="5">
        <f t="shared" si="51"/>
        <v>65</v>
      </c>
      <c r="F247" s="64">
        <f>1-(1-VLOOKUP($E247,'Annual Mortality Rates'!$B$5:$C$105,2,FALSE))^(1/12)</f>
        <v>5.399338581985047E-4</v>
      </c>
      <c r="G247" s="75">
        <f>IF(C247&gt;=Assumptions!$H$9*12,100%,1-(1-IF(D247&gt;=7,2%,VLOOKUP($D247,'Annual Lapse Rates'!$B$4:$C$14,2,FALSE)))^(1/12))</f>
        <v>1</v>
      </c>
      <c r="H247" s="81">
        <f t="shared" si="59"/>
        <v>12</v>
      </c>
      <c r="I247" s="65">
        <f t="shared" si="53"/>
        <v>0</v>
      </c>
      <c r="J247" s="66">
        <f t="shared" si="54"/>
        <v>0</v>
      </c>
      <c r="K247" s="66">
        <f t="shared" si="55"/>
        <v>0</v>
      </c>
      <c r="M247" s="97">
        <f t="shared" si="60"/>
        <v>0</v>
      </c>
      <c r="N247" s="97">
        <f>IF(AND(H247=1,D247&lt;15),Assumptions!$H$4,0)</f>
        <v>0</v>
      </c>
      <c r="O247" s="103"/>
      <c r="P247" s="98">
        <f>$M247*(1+VLOOKUP($H247,Assumptions!$C$22:$D$33,2,FALSE))^(1/12)</f>
        <v>0</v>
      </c>
      <c r="Q247" s="98">
        <f>$M247*(1+VLOOKUP($H247,Assumptions!$C$22:$D$33,2,FALSE))^(1/12)</f>
        <v>0</v>
      </c>
      <c r="R247" s="97">
        <f>IF(AND(H247=12,D247&lt;15),Assumptions!$C$7*M247,0)</f>
        <v>0</v>
      </c>
      <c r="S247" s="99">
        <f>(M247+N247-O247)*Assumptions!$D$17</f>
        <v>0</v>
      </c>
      <c r="T247" s="99">
        <f t="shared" si="56"/>
        <v>0</v>
      </c>
      <c r="U247" s="101"/>
      <c r="V247" s="101">
        <f>IF(C247&gt;=Assumptions!$H$9*12,0,M247+N247-O247+S247-R247)</f>
        <v>0</v>
      </c>
      <c r="W247" s="103"/>
      <c r="X247" s="97">
        <f>IF(AND(H247=1,D247&lt;15),Assumptions!$D$10*N247+Assumptions!$D$11*(1+Assumptions!$D$16)^(B247-1),0)</f>
        <v>0</v>
      </c>
      <c r="Y247" s="100">
        <f>Assumptions!$C$13*N247</f>
        <v>0</v>
      </c>
      <c r="AA247" s="67">
        <f t="shared" si="61"/>
        <v>0</v>
      </c>
      <c r="AB247" s="67">
        <f>N247*I247</f>
        <v>0</v>
      </c>
      <c r="AC247" s="67"/>
      <c r="AD247" s="90">
        <f>P247*J247</f>
        <v>0</v>
      </c>
      <c r="AE247" s="90">
        <f>Q247*K247</f>
        <v>0</v>
      </c>
      <c r="AF247" s="67">
        <f>R247*I248</f>
        <v>0</v>
      </c>
      <c r="AG247" s="68">
        <f>S247*I247</f>
        <v>0</v>
      </c>
      <c r="AH247" s="68">
        <f>T247*$I247</f>
        <v>0</v>
      </c>
      <c r="AI247" s="68">
        <f>U247*$I247</f>
        <v>0</v>
      </c>
      <c r="AJ247" s="67">
        <f>V247*I248</f>
        <v>0</v>
      </c>
      <c r="AK247" s="67">
        <f>W247*$I247</f>
        <v>0</v>
      </c>
      <c r="AL247" s="67">
        <f>X247*$I247</f>
        <v>0</v>
      </c>
      <c r="AM247" s="67">
        <f>Y247*$I247</f>
        <v>0</v>
      </c>
      <c r="AN247" s="65">
        <f>NPV(Assumptions!$D$19,AB247:$AB$259)*(1+Assumptions!$D$19)</f>
        <v>0</v>
      </c>
      <c r="AO247" s="68">
        <f t="shared" si="57"/>
        <v>0</v>
      </c>
      <c r="AQ247" s="67">
        <f t="shared" si="62"/>
        <v>5258144.0416139029</v>
      </c>
      <c r="AR247" s="95">
        <f>(AQ247+AB247-AC247)*Assumptions!$D$19</f>
        <v>22573.235118228964</v>
      </c>
      <c r="AS247" s="67">
        <f t="shared" si="63"/>
        <v>5280717.2767321318</v>
      </c>
      <c r="AT247" s="67">
        <f t="shared" si="58"/>
        <v>5280717.2767321318</v>
      </c>
      <c r="AU247" s="67"/>
      <c r="AV247" s="67"/>
      <c r="AW247" s="67"/>
      <c r="AY247" s="67"/>
      <c r="AZ247" s="70">
        <f t="shared" si="52"/>
        <v>0</v>
      </c>
    </row>
    <row r="248" spans="2:52" x14ac:dyDescent="0.2">
      <c r="B248" s="5">
        <f t="shared" si="48"/>
        <v>241</v>
      </c>
      <c r="C248" s="5">
        <f t="shared" si="49"/>
        <v>241</v>
      </c>
      <c r="D248" s="5">
        <f t="shared" si="50"/>
        <v>20</v>
      </c>
      <c r="E248" s="5">
        <f t="shared" si="51"/>
        <v>66</v>
      </c>
      <c r="F248" s="64">
        <f>1-(1-VLOOKUP($E248,'Annual Mortality Rates'!$B$5:$C$105,2,FALSE))^(1/12)</f>
        <v>6.120561724122231E-4</v>
      </c>
      <c r="G248" s="75">
        <f>IF(C248&gt;=Assumptions!$H$9*12,100%,1-(1-IF(D248&gt;=7,2%,VLOOKUP($D248,'Annual Lapse Rates'!$B$4:$C$14,2,FALSE)))^(1/12))</f>
        <v>1</v>
      </c>
      <c r="H248" s="81">
        <f t="shared" si="59"/>
        <v>1</v>
      </c>
      <c r="I248" s="65">
        <f t="shared" si="53"/>
        <v>0</v>
      </c>
      <c r="J248" s="66">
        <f t="shared" si="54"/>
        <v>0</v>
      </c>
      <c r="K248" s="66">
        <f t="shared" si="55"/>
        <v>0</v>
      </c>
      <c r="M248" s="97">
        <f t="shared" si="60"/>
        <v>0</v>
      </c>
      <c r="N248" s="97">
        <f>IF(AND(H248=1,D248&lt;15),Assumptions!$H$4,0)</f>
        <v>0</v>
      </c>
      <c r="O248" s="103"/>
      <c r="P248" s="98">
        <f>$M248*(1+VLOOKUP($H248,Assumptions!$C$22:$D$33,2,FALSE))^(1/12)</f>
        <v>0</v>
      </c>
      <c r="Q248" s="98">
        <f>$M248*(1+VLOOKUP($H248,Assumptions!$C$22:$D$33,2,FALSE))^(1/12)</f>
        <v>0</v>
      </c>
      <c r="R248" s="97">
        <f>IF(AND(H248=12,D248&lt;15),Assumptions!$C$7*M248,0)</f>
        <v>0</v>
      </c>
      <c r="S248" s="99">
        <f>(M248+N248-O248)*Assumptions!$D$17</f>
        <v>0</v>
      </c>
      <c r="T248" s="99">
        <f t="shared" si="56"/>
        <v>0</v>
      </c>
      <c r="U248" s="101"/>
      <c r="V248" s="101">
        <f>IF(C248&gt;=Assumptions!$H$9*12,0,M248+N248-O248+S248-R248)</f>
        <v>0</v>
      </c>
      <c r="W248" s="103"/>
      <c r="X248" s="97">
        <f>IF(AND(H248=1,D248&lt;15),Assumptions!$D$10*N248+Assumptions!$D$11*(1+Assumptions!$D$16)^(B248-1),0)</f>
        <v>0</v>
      </c>
      <c r="Y248" s="100">
        <f>Assumptions!$C$13*N248</f>
        <v>0</v>
      </c>
      <c r="AA248" s="67">
        <f t="shared" si="61"/>
        <v>0</v>
      </c>
      <c r="AB248" s="67">
        <f>N248*I248</f>
        <v>0</v>
      </c>
      <c r="AC248" s="67"/>
      <c r="AD248" s="90">
        <f>P248*J248</f>
        <v>0</v>
      </c>
      <c r="AE248" s="90">
        <f>Q248*K248</f>
        <v>0</v>
      </c>
      <c r="AF248" s="67">
        <f>R248*I249</f>
        <v>0</v>
      </c>
      <c r="AG248" s="68">
        <f>S248*I248</f>
        <v>0</v>
      </c>
      <c r="AH248" s="68">
        <f>T248*$I248</f>
        <v>0</v>
      </c>
      <c r="AI248" s="68">
        <f>U248*$I248</f>
        <v>0</v>
      </c>
      <c r="AJ248" s="67">
        <f>V248*I249</f>
        <v>0</v>
      </c>
      <c r="AK248" s="67">
        <f>W248*$I248</f>
        <v>0</v>
      </c>
      <c r="AL248" s="67">
        <f>X248*$I248</f>
        <v>0</v>
      </c>
      <c r="AM248" s="67">
        <f>Y248*$I248</f>
        <v>0</v>
      </c>
      <c r="AN248" s="65">
        <f>NPV(Assumptions!$D$19,AB248:$AB$259)*(1+Assumptions!$D$19)</f>
        <v>0</v>
      </c>
      <c r="AO248" s="68">
        <f t="shared" si="57"/>
        <v>0</v>
      </c>
      <c r="AQ248" s="67">
        <f t="shared" si="62"/>
        <v>5280717.2767321318</v>
      </c>
      <c r="AR248" s="95">
        <f>(AQ248+AB248-AC248)*Assumptions!$D$19</f>
        <v>22670.142114246984</v>
      </c>
      <c r="AS248" s="67">
        <f t="shared" si="63"/>
        <v>5303387.418846379</v>
      </c>
      <c r="AT248" s="67">
        <f t="shared" si="58"/>
        <v>5303387.418846379</v>
      </c>
      <c r="AU248" s="67"/>
      <c r="AV248" s="67"/>
      <c r="AW248" s="67"/>
      <c r="AY248" s="67"/>
      <c r="AZ248" s="70">
        <f t="shared" si="52"/>
        <v>0</v>
      </c>
    </row>
    <row r="249" spans="2:52" x14ac:dyDescent="0.2">
      <c r="B249" s="5">
        <f t="shared" si="48"/>
        <v>242</v>
      </c>
      <c r="C249" s="5">
        <f t="shared" si="49"/>
        <v>242</v>
      </c>
      <c r="D249" s="5">
        <f t="shared" si="50"/>
        <v>20</v>
      </c>
      <c r="E249" s="5">
        <f t="shared" si="51"/>
        <v>66</v>
      </c>
      <c r="F249" s="64">
        <f>1-(1-VLOOKUP($E249,'Annual Mortality Rates'!$B$5:$C$105,2,FALSE))^(1/12)</f>
        <v>6.120561724122231E-4</v>
      </c>
      <c r="G249" s="75">
        <f>IF(C249&gt;=Assumptions!$H$9*12,100%,1-(1-IF(D249&gt;=7,2%,VLOOKUP($D249,'Annual Lapse Rates'!$B$4:$C$14,2,FALSE)))^(1/12))</f>
        <v>1</v>
      </c>
      <c r="H249" s="81">
        <f t="shared" si="59"/>
        <v>2</v>
      </c>
      <c r="I249" s="65">
        <f t="shared" si="53"/>
        <v>0</v>
      </c>
      <c r="J249" s="66">
        <f t="shared" si="54"/>
        <v>0</v>
      </c>
      <c r="K249" s="66">
        <f t="shared" si="55"/>
        <v>0</v>
      </c>
      <c r="M249" s="97">
        <f t="shared" si="60"/>
        <v>0</v>
      </c>
      <c r="N249" s="97">
        <f>IF(AND(H249=1,D249&lt;15),Assumptions!$H$4,0)</f>
        <v>0</v>
      </c>
      <c r="O249" s="103"/>
      <c r="P249" s="98">
        <f>$M249*(1+VLOOKUP($H249,Assumptions!$C$22:$D$33,2,FALSE))^(1/12)</f>
        <v>0</v>
      </c>
      <c r="Q249" s="98">
        <f>$M249*(1+VLOOKUP($H249,Assumptions!$C$22:$D$33,2,FALSE))^(1/12)</f>
        <v>0</v>
      </c>
      <c r="R249" s="97">
        <f>IF(AND(H249=12,D249&lt;15),Assumptions!$C$7*M249,0)</f>
        <v>0</v>
      </c>
      <c r="S249" s="99">
        <f>(M249+N249-O249)*Assumptions!$D$17</f>
        <v>0</v>
      </c>
      <c r="T249" s="99">
        <f t="shared" si="56"/>
        <v>0</v>
      </c>
      <c r="U249" s="101"/>
      <c r="V249" s="101">
        <f>IF(C249&gt;=Assumptions!$H$9*12,0,M249+N249-O249+S249-R249)</f>
        <v>0</v>
      </c>
      <c r="W249" s="103"/>
      <c r="X249" s="97">
        <f>IF(AND(H249=1,D249&lt;15),Assumptions!$D$10*N249+Assumptions!$D$11*(1+Assumptions!$D$16)^(B249-1),0)</f>
        <v>0</v>
      </c>
      <c r="Y249" s="100">
        <f>Assumptions!$C$13*N249</f>
        <v>0</v>
      </c>
      <c r="AA249" s="67">
        <f t="shared" si="61"/>
        <v>0</v>
      </c>
      <c r="AB249" s="67">
        <f>N249*I249</f>
        <v>0</v>
      </c>
      <c r="AC249" s="67"/>
      <c r="AD249" s="90">
        <f>P249*J249</f>
        <v>0</v>
      </c>
      <c r="AE249" s="90">
        <f>Q249*K249</f>
        <v>0</v>
      </c>
      <c r="AF249" s="67">
        <f>R249*I250</f>
        <v>0</v>
      </c>
      <c r="AG249" s="68">
        <f>S249*I249</f>
        <v>0</v>
      </c>
      <c r="AH249" s="68">
        <f>T249*$I249</f>
        <v>0</v>
      </c>
      <c r="AI249" s="68">
        <f>U249*$I249</f>
        <v>0</v>
      </c>
      <c r="AJ249" s="67">
        <f>V249*I250</f>
        <v>0</v>
      </c>
      <c r="AK249" s="67">
        <f>W249*$I249</f>
        <v>0</v>
      </c>
      <c r="AL249" s="67">
        <f>X249*$I249</f>
        <v>0</v>
      </c>
      <c r="AM249" s="67">
        <f>Y249*$I249</f>
        <v>0</v>
      </c>
      <c r="AN249" s="65">
        <f>NPV(Assumptions!$D$19,AB249:$AB$259)*(1+Assumptions!$D$19)</f>
        <v>0</v>
      </c>
      <c r="AO249" s="68">
        <f t="shared" si="57"/>
        <v>0</v>
      </c>
      <c r="AQ249" s="67">
        <f t="shared" si="62"/>
        <v>5303387.418846379</v>
      </c>
      <c r="AR249" s="95">
        <f>(AQ249+AB249-AC249)*Assumptions!$D$19</f>
        <v>22767.465132418143</v>
      </c>
      <c r="AS249" s="67">
        <f t="shared" si="63"/>
        <v>5326154.8839787971</v>
      </c>
      <c r="AT249" s="67">
        <f t="shared" si="58"/>
        <v>5326154.8839787971</v>
      </c>
      <c r="AU249" s="67"/>
      <c r="AV249" s="67"/>
      <c r="AW249" s="67"/>
      <c r="AY249" s="67"/>
      <c r="AZ249" s="70">
        <f t="shared" si="52"/>
        <v>0</v>
      </c>
    </row>
    <row r="250" spans="2:52" x14ac:dyDescent="0.2">
      <c r="B250" s="5">
        <f t="shared" si="48"/>
        <v>243</v>
      </c>
      <c r="C250" s="5">
        <f t="shared" si="49"/>
        <v>243</v>
      </c>
      <c r="D250" s="5">
        <f t="shared" si="50"/>
        <v>20</v>
      </c>
      <c r="E250" s="5">
        <f t="shared" si="51"/>
        <v>66</v>
      </c>
      <c r="F250" s="64">
        <f>1-(1-VLOOKUP($E250,'Annual Mortality Rates'!$B$5:$C$105,2,FALSE))^(1/12)</f>
        <v>6.120561724122231E-4</v>
      </c>
      <c r="G250" s="75">
        <f>IF(C250&gt;=Assumptions!$H$9*12,100%,1-(1-IF(D250&gt;=7,2%,VLOOKUP($D250,'Annual Lapse Rates'!$B$4:$C$14,2,FALSE)))^(1/12))</f>
        <v>1</v>
      </c>
      <c r="H250" s="81">
        <f t="shared" si="59"/>
        <v>3</v>
      </c>
      <c r="I250" s="65">
        <f t="shared" si="53"/>
        <v>0</v>
      </c>
      <c r="J250" s="66">
        <f t="shared" si="54"/>
        <v>0</v>
      </c>
      <c r="K250" s="66">
        <f t="shared" si="55"/>
        <v>0</v>
      </c>
      <c r="M250" s="97">
        <f t="shared" si="60"/>
        <v>0</v>
      </c>
      <c r="N250" s="97">
        <f>IF(AND(H250=1,D250&lt;15),Assumptions!$H$4,0)</f>
        <v>0</v>
      </c>
      <c r="O250" s="103"/>
      <c r="P250" s="98">
        <f>$M250*(1+VLOOKUP($H250,Assumptions!$C$22:$D$33,2,FALSE))^(1/12)</f>
        <v>0</v>
      </c>
      <c r="Q250" s="98">
        <f>$M250*(1+VLOOKUP($H250,Assumptions!$C$22:$D$33,2,FALSE))^(1/12)</f>
        <v>0</v>
      </c>
      <c r="R250" s="97">
        <f>IF(AND(H250=12,D250&lt;15),Assumptions!$C$7*M250,0)</f>
        <v>0</v>
      </c>
      <c r="S250" s="99">
        <f>(M250+N250-O250)*Assumptions!$D$17</f>
        <v>0</v>
      </c>
      <c r="T250" s="99">
        <f t="shared" si="56"/>
        <v>0</v>
      </c>
      <c r="U250" s="101"/>
      <c r="V250" s="101">
        <f>IF(C250&gt;=Assumptions!$H$9*12,0,M250+N250-O250+S250-R250)</f>
        <v>0</v>
      </c>
      <c r="W250" s="103"/>
      <c r="X250" s="97">
        <f>IF(AND(H250=1,D250&lt;15),Assumptions!$D$10*N250+Assumptions!$D$11*(1+Assumptions!$D$16)^(B250-1),0)</f>
        <v>0</v>
      </c>
      <c r="Y250" s="100">
        <f>Assumptions!$C$13*N250</f>
        <v>0</v>
      </c>
      <c r="AA250" s="67">
        <f t="shared" si="61"/>
        <v>0</v>
      </c>
      <c r="AB250" s="67">
        <f>N250*I250</f>
        <v>0</v>
      </c>
      <c r="AC250" s="67"/>
      <c r="AD250" s="90">
        <f>P250*J250</f>
        <v>0</v>
      </c>
      <c r="AE250" s="90">
        <f>Q250*K250</f>
        <v>0</v>
      </c>
      <c r="AF250" s="67">
        <f>R250*I251</f>
        <v>0</v>
      </c>
      <c r="AG250" s="68">
        <f>S250*I250</f>
        <v>0</v>
      </c>
      <c r="AH250" s="68">
        <f>T250*$I250</f>
        <v>0</v>
      </c>
      <c r="AI250" s="68">
        <f>U250*$I250</f>
        <v>0</v>
      </c>
      <c r="AJ250" s="67">
        <f>V250*I251</f>
        <v>0</v>
      </c>
      <c r="AK250" s="67">
        <f>W250*$I250</f>
        <v>0</v>
      </c>
      <c r="AL250" s="67">
        <f>X250*$I250</f>
        <v>0</v>
      </c>
      <c r="AM250" s="67">
        <f>Y250*$I250</f>
        <v>0</v>
      </c>
      <c r="AN250" s="65">
        <f>NPV(Assumptions!$D$19,AB250:$AB$259)*(1+Assumptions!$D$19)</f>
        <v>0</v>
      </c>
      <c r="AO250" s="68">
        <f t="shared" si="57"/>
        <v>0</v>
      </c>
      <c r="AQ250" s="67">
        <f t="shared" si="62"/>
        <v>5326154.8839787971</v>
      </c>
      <c r="AR250" s="95">
        <f>(AQ250+AB250-AC250)*Assumptions!$D$19</f>
        <v>22865.205958727347</v>
      </c>
      <c r="AS250" s="67">
        <f t="shared" si="63"/>
        <v>5349020.0899375249</v>
      </c>
      <c r="AT250" s="67">
        <f t="shared" si="58"/>
        <v>5349020.0899375249</v>
      </c>
      <c r="AU250" s="67"/>
      <c r="AV250" s="67"/>
      <c r="AW250" s="67"/>
      <c r="AY250" s="67"/>
      <c r="AZ250" s="70">
        <f t="shared" si="52"/>
        <v>0</v>
      </c>
    </row>
    <row r="251" spans="2:52" x14ac:dyDescent="0.2">
      <c r="B251" s="5">
        <f t="shared" si="48"/>
        <v>244</v>
      </c>
      <c r="C251" s="5">
        <f t="shared" si="49"/>
        <v>244</v>
      </c>
      <c r="D251" s="5">
        <f t="shared" si="50"/>
        <v>20</v>
      </c>
      <c r="E251" s="5">
        <f t="shared" si="51"/>
        <v>66</v>
      </c>
      <c r="F251" s="64">
        <f>1-(1-VLOOKUP($E251,'Annual Mortality Rates'!$B$5:$C$105,2,FALSE))^(1/12)</f>
        <v>6.120561724122231E-4</v>
      </c>
      <c r="G251" s="75">
        <f>IF(C251&gt;=Assumptions!$H$9*12,100%,1-(1-IF(D251&gt;=7,2%,VLOOKUP($D251,'Annual Lapse Rates'!$B$4:$C$14,2,FALSE)))^(1/12))</f>
        <v>1</v>
      </c>
      <c r="H251" s="81">
        <f t="shared" si="59"/>
        <v>4</v>
      </c>
      <c r="I251" s="65">
        <f t="shared" si="53"/>
        <v>0</v>
      </c>
      <c r="J251" s="66">
        <f t="shared" si="54"/>
        <v>0</v>
      </c>
      <c r="K251" s="66">
        <f t="shared" si="55"/>
        <v>0</v>
      </c>
      <c r="M251" s="97">
        <f t="shared" si="60"/>
        <v>0</v>
      </c>
      <c r="N251" s="97">
        <f>IF(AND(H251=1,D251&lt;15),Assumptions!$H$4,0)</f>
        <v>0</v>
      </c>
      <c r="O251" s="103"/>
      <c r="P251" s="98">
        <f>$M251*(1+VLOOKUP($H251,Assumptions!$C$22:$D$33,2,FALSE))^(1/12)</f>
        <v>0</v>
      </c>
      <c r="Q251" s="98">
        <f>$M251*(1+VLOOKUP($H251,Assumptions!$C$22:$D$33,2,FALSE))^(1/12)</f>
        <v>0</v>
      </c>
      <c r="R251" s="97">
        <f>IF(AND(H251=12,D251&lt;15),Assumptions!$C$7*M251,0)</f>
        <v>0</v>
      </c>
      <c r="S251" s="99">
        <f>(M251+N251-O251)*Assumptions!$D$17</f>
        <v>0</v>
      </c>
      <c r="T251" s="99">
        <f t="shared" si="56"/>
        <v>0</v>
      </c>
      <c r="U251" s="101"/>
      <c r="V251" s="101">
        <f>IF(C251&gt;=Assumptions!$H$9*12,0,M251+N251-O251+S251-R251)</f>
        <v>0</v>
      </c>
      <c r="W251" s="103"/>
      <c r="X251" s="97">
        <f>IF(AND(H251=1,D251&lt;15),Assumptions!$D$10*N251+Assumptions!$D$11*(1+Assumptions!$D$16)^(B251-1),0)</f>
        <v>0</v>
      </c>
      <c r="Y251" s="100">
        <f>Assumptions!$C$13*N251</f>
        <v>0</v>
      </c>
      <c r="AA251" s="67">
        <f t="shared" si="61"/>
        <v>0</v>
      </c>
      <c r="AB251" s="67">
        <f>N251*I251</f>
        <v>0</v>
      </c>
      <c r="AC251" s="67"/>
      <c r="AD251" s="90">
        <f>P251*J251</f>
        <v>0</v>
      </c>
      <c r="AE251" s="90">
        <f>Q251*K251</f>
        <v>0</v>
      </c>
      <c r="AF251" s="67">
        <f>R251*I252</f>
        <v>0</v>
      </c>
      <c r="AG251" s="68">
        <f>S251*I251</f>
        <v>0</v>
      </c>
      <c r="AH251" s="68">
        <f>T251*$I251</f>
        <v>0</v>
      </c>
      <c r="AI251" s="68">
        <f>U251*$I251</f>
        <v>0</v>
      </c>
      <c r="AJ251" s="67">
        <f>V251*I252</f>
        <v>0</v>
      </c>
      <c r="AK251" s="67">
        <f>W251*$I251</f>
        <v>0</v>
      </c>
      <c r="AL251" s="67">
        <f>X251*$I251</f>
        <v>0</v>
      </c>
      <c r="AM251" s="67">
        <f>Y251*$I251</f>
        <v>0</v>
      </c>
      <c r="AN251" s="65">
        <f>NPV(Assumptions!$D$19,AB251:$AB$259)*(1+Assumptions!$D$19)</f>
        <v>0</v>
      </c>
      <c r="AO251" s="68">
        <f t="shared" si="57"/>
        <v>0</v>
      </c>
      <c r="AQ251" s="67">
        <f t="shared" si="62"/>
        <v>5349020.0899375249</v>
      </c>
      <c r="AR251" s="95">
        <f>(AQ251+AB251-AC251)*Assumptions!$D$19</f>
        <v>22963.366386826739</v>
      </c>
      <c r="AS251" s="67">
        <f t="shared" si="63"/>
        <v>5371983.456324352</v>
      </c>
      <c r="AT251" s="67">
        <f t="shared" si="58"/>
        <v>5371983.456324352</v>
      </c>
      <c r="AU251" s="67"/>
      <c r="AV251" s="67"/>
      <c r="AW251" s="67"/>
      <c r="AY251" s="67"/>
      <c r="AZ251" s="70">
        <f t="shared" si="52"/>
        <v>0</v>
      </c>
    </row>
    <row r="252" spans="2:52" x14ac:dyDescent="0.2">
      <c r="B252" s="5">
        <f t="shared" si="48"/>
        <v>245</v>
      </c>
      <c r="C252" s="5">
        <f t="shared" si="49"/>
        <v>245</v>
      </c>
      <c r="D252" s="5">
        <f t="shared" si="50"/>
        <v>20</v>
      </c>
      <c r="E252" s="5">
        <f t="shared" si="51"/>
        <v>66</v>
      </c>
      <c r="F252" s="64">
        <f>1-(1-VLOOKUP($E252,'Annual Mortality Rates'!$B$5:$C$105,2,FALSE))^(1/12)</f>
        <v>6.120561724122231E-4</v>
      </c>
      <c r="G252" s="75">
        <f>IF(C252&gt;=Assumptions!$H$9*12,100%,1-(1-IF(D252&gt;=7,2%,VLOOKUP($D252,'Annual Lapse Rates'!$B$4:$C$14,2,FALSE)))^(1/12))</f>
        <v>1</v>
      </c>
      <c r="H252" s="81">
        <f t="shared" si="59"/>
        <v>5</v>
      </c>
      <c r="I252" s="65">
        <f t="shared" si="53"/>
        <v>0</v>
      </c>
      <c r="J252" s="66">
        <f t="shared" si="54"/>
        <v>0</v>
      </c>
      <c r="K252" s="66">
        <f t="shared" si="55"/>
        <v>0</v>
      </c>
      <c r="M252" s="97">
        <f t="shared" si="60"/>
        <v>0</v>
      </c>
      <c r="N252" s="97">
        <f>IF(AND(H252=1,D252&lt;15),Assumptions!$H$4,0)</f>
        <v>0</v>
      </c>
      <c r="O252" s="103"/>
      <c r="P252" s="98">
        <f>$M252*(1+VLOOKUP($H252,Assumptions!$C$22:$D$33,2,FALSE))^(1/12)</f>
        <v>0</v>
      </c>
      <c r="Q252" s="98">
        <f>$M252*(1+VLOOKUP($H252,Assumptions!$C$22:$D$33,2,FALSE))^(1/12)</f>
        <v>0</v>
      </c>
      <c r="R252" s="97">
        <f>IF(AND(H252=12,D252&lt;15),Assumptions!$C$7*M252,0)</f>
        <v>0</v>
      </c>
      <c r="S252" s="99">
        <f>(M252+N252-O252)*Assumptions!$D$17</f>
        <v>0</v>
      </c>
      <c r="T252" s="99">
        <f t="shared" si="56"/>
        <v>0</v>
      </c>
      <c r="U252" s="101"/>
      <c r="V252" s="101">
        <f>IF(C252&gt;=Assumptions!$H$9*12,0,M252+N252-O252+S252-R252)</f>
        <v>0</v>
      </c>
      <c r="W252" s="103"/>
      <c r="X252" s="97">
        <f>IF(AND(H252=1,D252&lt;15),Assumptions!$D$10*N252+Assumptions!$D$11*(1+Assumptions!$D$16)^(B252-1),0)</f>
        <v>0</v>
      </c>
      <c r="Y252" s="100">
        <f>Assumptions!$C$13*N252</f>
        <v>0</v>
      </c>
      <c r="AA252" s="67">
        <f t="shared" si="61"/>
        <v>0</v>
      </c>
      <c r="AB252" s="67">
        <f>N252*I252</f>
        <v>0</v>
      </c>
      <c r="AC252" s="67"/>
      <c r="AD252" s="90">
        <f>P252*J252</f>
        <v>0</v>
      </c>
      <c r="AE252" s="90">
        <f>Q252*K252</f>
        <v>0</v>
      </c>
      <c r="AF252" s="67">
        <f>R252*I253</f>
        <v>0</v>
      </c>
      <c r="AG252" s="68">
        <f>S252*I252</f>
        <v>0</v>
      </c>
      <c r="AH252" s="68">
        <f>T252*$I252</f>
        <v>0</v>
      </c>
      <c r="AI252" s="68">
        <f>U252*$I252</f>
        <v>0</v>
      </c>
      <c r="AJ252" s="67">
        <f>V252*I253</f>
        <v>0</v>
      </c>
      <c r="AK252" s="67">
        <f>W252*$I252</f>
        <v>0</v>
      </c>
      <c r="AL252" s="67">
        <f>X252*$I252</f>
        <v>0</v>
      </c>
      <c r="AM252" s="67">
        <f>Y252*$I252</f>
        <v>0</v>
      </c>
      <c r="AN252" s="65">
        <f>NPV(Assumptions!$D$19,AB252:$AB$259)*(1+Assumptions!$D$19)</f>
        <v>0</v>
      </c>
      <c r="AO252" s="68">
        <f t="shared" si="57"/>
        <v>0</v>
      </c>
      <c r="AQ252" s="67">
        <f t="shared" si="62"/>
        <v>5371983.456324352</v>
      </c>
      <c r="AR252" s="95">
        <f>(AQ252+AB252-AC252)*Assumptions!$D$19</f>
        <v>23061.948218068617</v>
      </c>
      <c r="AS252" s="67">
        <f t="shared" si="63"/>
        <v>5395045.404542421</v>
      </c>
      <c r="AT252" s="67">
        <f t="shared" si="58"/>
        <v>5395045.404542421</v>
      </c>
      <c r="AU252" s="67"/>
      <c r="AV252" s="67"/>
      <c r="AW252" s="67"/>
      <c r="AY252" s="67"/>
      <c r="AZ252" s="70">
        <f t="shared" si="52"/>
        <v>0</v>
      </c>
    </row>
    <row r="253" spans="2:52" x14ac:dyDescent="0.2">
      <c r="B253" s="5">
        <f t="shared" si="48"/>
        <v>246</v>
      </c>
      <c r="C253" s="5">
        <f t="shared" si="49"/>
        <v>246</v>
      </c>
      <c r="D253" s="5">
        <f t="shared" si="50"/>
        <v>20</v>
      </c>
      <c r="E253" s="5">
        <f t="shared" si="51"/>
        <v>66</v>
      </c>
      <c r="F253" s="64">
        <f>1-(1-VLOOKUP($E253,'Annual Mortality Rates'!$B$5:$C$105,2,FALSE))^(1/12)</f>
        <v>6.120561724122231E-4</v>
      </c>
      <c r="G253" s="75">
        <f>IF(C253&gt;=Assumptions!$H$9*12,100%,1-(1-IF(D253&gt;=7,2%,VLOOKUP($D253,'Annual Lapse Rates'!$B$4:$C$14,2,FALSE)))^(1/12))</f>
        <v>1</v>
      </c>
      <c r="H253" s="81">
        <f t="shared" si="59"/>
        <v>6</v>
      </c>
      <c r="I253" s="65">
        <f t="shared" si="53"/>
        <v>0</v>
      </c>
      <c r="J253" s="66">
        <f t="shared" si="54"/>
        <v>0</v>
      </c>
      <c r="K253" s="66">
        <f t="shared" si="55"/>
        <v>0</v>
      </c>
      <c r="M253" s="97">
        <f t="shared" si="60"/>
        <v>0</v>
      </c>
      <c r="N253" s="97">
        <f>IF(AND(H253=1,D253&lt;15),Assumptions!$H$4,0)</f>
        <v>0</v>
      </c>
      <c r="O253" s="103"/>
      <c r="P253" s="98">
        <f>$M253*(1+VLOOKUP($H253,Assumptions!$C$22:$D$33,2,FALSE))^(1/12)</f>
        <v>0</v>
      </c>
      <c r="Q253" s="98">
        <f>$M253*(1+VLOOKUP($H253,Assumptions!$C$22:$D$33,2,FALSE))^(1/12)</f>
        <v>0</v>
      </c>
      <c r="R253" s="97">
        <f>IF(AND(H253=12,D253&lt;15),Assumptions!$C$7*M253,0)</f>
        <v>0</v>
      </c>
      <c r="S253" s="99">
        <f>(M253+N253-O253)*Assumptions!$D$17</f>
        <v>0</v>
      </c>
      <c r="T253" s="99">
        <f t="shared" si="56"/>
        <v>0</v>
      </c>
      <c r="U253" s="101"/>
      <c r="V253" s="101">
        <f>IF(C253&gt;=Assumptions!$H$9*12,0,M253+N253-O253+S253-R253)</f>
        <v>0</v>
      </c>
      <c r="W253" s="103"/>
      <c r="X253" s="97">
        <f>IF(AND(H253=1,D253&lt;15),Assumptions!$D$10*N253+Assumptions!$D$11*(1+Assumptions!$D$16)^(B253-1),0)</f>
        <v>0</v>
      </c>
      <c r="Y253" s="100">
        <f>Assumptions!$C$13*N253</f>
        <v>0</v>
      </c>
      <c r="AA253" s="67">
        <f t="shared" si="61"/>
        <v>0</v>
      </c>
      <c r="AB253" s="67">
        <f>N253*I253</f>
        <v>0</v>
      </c>
      <c r="AC253" s="67"/>
      <c r="AD253" s="90">
        <f>P253*J253</f>
        <v>0</v>
      </c>
      <c r="AE253" s="90">
        <f>Q253*K253</f>
        <v>0</v>
      </c>
      <c r="AF253" s="67">
        <f>R253*I254</f>
        <v>0</v>
      </c>
      <c r="AG253" s="68">
        <f>S253*I253</f>
        <v>0</v>
      </c>
      <c r="AH253" s="68">
        <f>T253*$I253</f>
        <v>0</v>
      </c>
      <c r="AI253" s="68">
        <f>U253*$I253</f>
        <v>0</v>
      </c>
      <c r="AJ253" s="67">
        <f>V253*I254</f>
        <v>0</v>
      </c>
      <c r="AK253" s="67">
        <f>W253*$I253</f>
        <v>0</v>
      </c>
      <c r="AL253" s="67">
        <f>X253*$I253</f>
        <v>0</v>
      </c>
      <c r="AM253" s="67">
        <f>Y253*$I253</f>
        <v>0</v>
      </c>
      <c r="AN253" s="65">
        <f>NPV(Assumptions!$D$19,AB253:$AB$259)*(1+Assumptions!$D$19)</f>
        <v>0</v>
      </c>
      <c r="AO253" s="68">
        <f t="shared" si="57"/>
        <v>0</v>
      </c>
      <c r="AQ253" s="67">
        <f t="shared" si="62"/>
        <v>5395045.404542421</v>
      </c>
      <c r="AR253" s="95">
        <f>(AQ253+AB253-AC253)*Assumptions!$D$19</f>
        <v>23160.953261538503</v>
      </c>
      <c r="AS253" s="67">
        <f t="shared" si="63"/>
        <v>5418206.3578039594</v>
      </c>
      <c r="AT253" s="67">
        <f t="shared" si="58"/>
        <v>5418206.3578039594</v>
      </c>
      <c r="AU253" s="67"/>
      <c r="AV253" s="67"/>
      <c r="AW253" s="67"/>
      <c r="AY253" s="67"/>
      <c r="AZ253" s="70">
        <f t="shared" si="52"/>
        <v>0</v>
      </c>
    </row>
    <row r="254" spans="2:52" x14ac:dyDescent="0.2">
      <c r="B254" s="5">
        <f t="shared" si="48"/>
        <v>247</v>
      </c>
      <c r="C254" s="5">
        <f t="shared" si="49"/>
        <v>247</v>
      </c>
      <c r="D254" s="5">
        <f t="shared" si="50"/>
        <v>20</v>
      </c>
      <c r="E254" s="5">
        <f t="shared" si="51"/>
        <v>66</v>
      </c>
      <c r="F254" s="64">
        <f>1-(1-VLOOKUP($E254,'Annual Mortality Rates'!$B$5:$C$105,2,FALSE))^(1/12)</f>
        <v>6.120561724122231E-4</v>
      </c>
      <c r="G254" s="75">
        <f>IF(C254&gt;=Assumptions!$H$9*12,100%,1-(1-IF(D254&gt;=7,2%,VLOOKUP($D254,'Annual Lapse Rates'!$B$4:$C$14,2,FALSE)))^(1/12))</f>
        <v>1</v>
      </c>
      <c r="H254" s="81">
        <f t="shared" si="59"/>
        <v>7</v>
      </c>
      <c r="I254" s="65">
        <f t="shared" si="53"/>
        <v>0</v>
      </c>
      <c r="J254" s="66">
        <f t="shared" si="54"/>
        <v>0</v>
      </c>
      <c r="K254" s="66">
        <f t="shared" si="55"/>
        <v>0</v>
      </c>
      <c r="M254" s="97">
        <f t="shared" si="60"/>
        <v>0</v>
      </c>
      <c r="N254" s="97">
        <f>IF(AND(H254=1,D254&lt;15),Assumptions!$H$4,0)</f>
        <v>0</v>
      </c>
      <c r="O254" s="103"/>
      <c r="P254" s="98">
        <f>$M254*(1+VLOOKUP($H254,Assumptions!$C$22:$D$33,2,FALSE))^(1/12)</f>
        <v>0</v>
      </c>
      <c r="Q254" s="98">
        <f>$M254*(1+VLOOKUP($H254,Assumptions!$C$22:$D$33,2,FALSE))^(1/12)</f>
        <v>0</v>
      </c>
      <c r="R254" s="97">
        <f>IF(AND(H254=12,D254&lt;15),Assumptions!$C$7*M254,0)</f>
        <v>0</v>
      </c>
      <c r="S254" s="99">
        <f>(M254+N254-O254)*Assumptions!$D$17</f>
        <v>0</v>
      </c>
      <c r="T254" s="99">
        <f t="shared" si="56"/>
        <v>0</v>
      </c>
      <c r="U254" s="101"/>
      <c r="V254" s="101">
        <f>IF(C254&gt;=Assumptions!$H$9*12,0,M254+N254-O254+S254-R254)</f>
        <v>0</v>
      </c>
      <c r="W254" s="103"/>
      <c r="X254" s="97">
        <f>IF(AND(H254=1,D254&lt;15),Assumptions!$D$10*N254+Assumptions!$D$11*(1+Assumptions!$D$16)^(B254-1),0)</f>
        <v>0</v>
      </c>
      <c r="Y254" s="100">
        <f>Assumptions!$C$13*N254</f>
        <v>0</v>
      </c>
      <c r="AA254" s="67">
        <f t="shared" si="61"/>
        <v>0</v>
      </c>
      <c r="AB254" s="67">
        <f>N254*I254</f>
        <v>0</v>
      </c>
      <c r="AC254" s="67"/>
      <c r="AD254" s="90">
        <f>P254*J254</f>
        <v>0</v>
      </c>
      <c r="AE254" s="90">
        <f>Q254*K254</f>
        <v>0</v>
      </c>
      <c r="AF254" s="67">
        <f>R254*I255</f>
        <v>0</v>
      </c>
      <c r="AG254" s="68">
        <f>S254*I254</f>
        <v>0</v>
      </c>
      <c r="AH254" s="68">
        <f>T254*$I254</f>
        <v>0</v>
      </c>
      <c r="AI254" s="68">
        <f>U254*$I254</f>
        <v>0</v>
      </c>
      <c r="AJ254" s="67">
        <f>V254*I255</f>
        <v>0</v>
      </c>
      <c r="AK254" s="67">
        <f>W254*$I254</f>
        <v>0</v>
      </c>
      <c r="AL254" s="67">
        <f>X254*$I254</f>
        <v>0</v>
      </c>
      <c r="AM254" s="67">
        <f>Y254*$I254</f>
        <v>0</v>
      </c>
      <c r="AN254" s="65">
        <f>NPV(Assumptions!$D$19,AB254:$AB$259)*(1+Assumptions!$D$19)</f>
        <v>0</v>
      </c>
      <c r="AO254" s="68">
        <f t="shared" si="57"/>
        <v>0</v>
      </c>
      <c r="AQ254" s="67">
        <f t="shared" si="62"/>
        <v>5418206.3578039594</v>
      </c>
      <c r="AR254" s="95">
        <f>(AQ254+AB254-AC254)*Assumptions!$D$19</f>
        <v>23260.38333408831</v>
      </c>
      <c r="AS254" s="67">
        <f t="shared" si="63"/>
        <v>5441466.7411380475</v>
      </c>
      <c r="AT254" s="67">
        <f t="shared" si="58"/>
        <v>5441466.7411380475</v>
      </c>
      <c r="AU254" s="67"/>
      <c r="AV254" s="67"/>
      <c r="AW254" s="67"/>
      <c r="AY254" s="67"/>
      <c r="AZ254" s="70">
        <f t="shared" si="52"/>
        <v>0</v>
      </c>
    </row>
    <row r="255" spans="2:52" x14ac:dyDescent="0.2">
      <c r="B255" s="5">
        <f t="shared" si="48"/>
        <v>248</v>
      </c>
      <c r="C255" s="5">
        <f t="shared" si="49"/>
        <v>248</v>
      </c>
      <c r="D255" s="5">
        <f t="shared" si="50"/>
        <v>20</v>
      </c>
      <c r="E255" s="5">
        <f t="shared" si="51"/>
        <v>66</v>
      </c>
      <c r="F255" s="64">
        <f>1-(1-VLOOKUP($E255,'Annual Mortality Rates'!$B$5:$C$105,2,FALSE))^(1/12)</f>
        <v>6.120561724122231E-4</v>
      </c>
      <c r="G255" s="75">
        <f>IF(C255&gt;=Assumptions!$H$9*12,100%,1-(1-IF(D255&gt;=7,2%,VLOOKUP($D255,'Annual Lapse Rates'!$B$4:$C$14,2,FALSE)))^(1/12))</f>
        <v>1</v>
      </c>
      <c r="H255" s="81">
        <f t="shared" si="59"/>
        <v>8</v>
      </c>
      <c r="I255" s="65">
        <f t="shared" si="53"/>
        <v>0</v>
      </c>
      <c r="J255" s="66">
        <f t="shared" si="54"/>
        <v>0</v>
      </c>
      <c r="K255" s="66">
        <f t="shared" si="55"/>
        <v>0</v>
      </c>
      <c r="M255" s="97">
        <f t="shared" si="60"/>
        <v>0</v>
      </c>
      <c r="N255" s="97">
        <f>IF(AND(H255=1,D255&lt;15),Assumptions!$H$4,0)</f>
        <v>0</v>
      </c>
      <c r="O255" s="103"/>
      <c r="P255" s="98">
        <f>$M255*(1+VLOOKUP($H255,Assumptions!$C$22:$D$33,2,FALSE))^(1/12)</f>
        <v>0</v>
      </c>
      <c r="Q255" s="98">
        <f>$M255*(1+VLOOKUP($H255,Assumptions!$C$22:$D$33,2,FALSE))^(1/12)</f>
        <v>0</v>
      </c>
      <c r="R255" s="97">
        <f>IF(AND(H255=12,D255&lt;15),Assumptions!$C$7*M255,0)</f>
        <v>0</v>
      </c>
      <c r="S255" s="99">
        <f>(M255+N255-O255)*Assumptions!$D$17</f>
        <v>0</v>
      </c>
      <c r="T255" s="99">
        <f t="shared" si="56"/>
        <v>0</v>
      </c>
      <c r="U255" s="101"/>
      <c r="V255" s="101">
        <f>IF(C255&gt;=Assumptions!$H$9*12,0,M255+N255-O255+S255-R255)</f>
        <v>0</v>
      </c>
      <c r="W255" s="103"/>
      <c r="X255" s="97">
        <f>IF(AND(H255=1,D255&lt;15),Assumptions!$D$10*N255+Assumptions!$D$11*(1+Assumptions!$D$16)^(B255-1),0)</f>
        <v>0</v>
      </c>
      <c r="Y255" s="100">
        <f>Assumptions!$C$13*N255</f>
        <v>0</v>
      </c>
      <c r="AA255" s="67">
        <f t="shared" si="61"/>
        <v>0</v>
      </c>
      <c r="AB255" s="67">
        <f>N255*I255</f>
        <v>0</v>
      </c>
      <c r="AC255" s="67"/>
      <c r="AD255" s="90">
        <f>P255*J255</f>
        <v>0</v>
      </c>
      <c r="AE255" s="90">
        <f>Q255*K255</f>
        <v>0</v>
      </c>
      <c r="AF255" s="67">
        <f>R255*I256</f>
        <v>0</v>
      </c>
      <c r="AG255" s="68">
        <f>S255*I255</f>
        <v>0</v>
      </c>
      <c r="AH255" s="68">
        <f>T255*$I255</f>
        <v>0</v>
      </c>
      <c r="AI255" s="68">
        <f>U255*$I255</f>
        <v>0</v>
      </c>
      <c r="AJ255" s="67">
        <f>V255*I256</f>
        <v>0</v>
      </c>
      <c r="AK255" s="67">
        <f>W255*$I255</f>
        <v>0</v>
      </c>
      <c r="AL255" s="67">
        <f>X255*$I255</f>
        <v>0</v>
      </c>
      <c r="AM255" s="67">
        <f>Y255*$I255</f>
        <v>0</v>
      </c>
      <c r="AN255" s="65">
        <f>NPV(Assumptions!$D$19,AB255:$AB$259)*(1+Assumptions!$D$19)</f>
        <v>0</v>
      </c>
      <c r="AO255" s="68">
        <f t="shared" si="57"/>
        <v>0</v>
      </c>
      <c r="AQ255" s="67">
        <f t="shared" si="62"/>
        <v>5441466.7411380475</v>
      </c>
      <c r="AR255" s="95">
        <f>(AQ255+AB255-AC255)*Assumptions!$D$19</f>
        <v>23360.240260369726</v>
      </c>
      <c r="AS255" s="67">
        <f t="shared" si="63"/>
        <v>5464826.9813984176</v>
      </c>
      <c r="AT255" s="67">
        <f t="shared" si="58"/>
        <v>5464826.9813984176</v>
      </c>
      <c r="AU255" s="67"/>
      <c r="AV255" s="67"/>
      <c r="AW255" s="67"/>
      <c r="AY255" s="67"/>
      <c r="AZ255" s="70">
        <f t="shared" si="52"/>
        <v>0</v>
      </c>
    </row>
    <row r="256" spans="2:52" x14ac:dyDescent="0.2">
      <c r="B256" s="5">
        <f t="shared" si="48"/>
        <v>249</v>
      </c>
      <c r="C256" s="5">
        <f t="shared" si="49"/>
        <v>249</v>
      </c>
      <c r="D256" s="5">
        <f t="shared" si="50"/>
        <v>20</v>
      </c>
      <c r="E256" s="5">
        <f t="shared" si="51"/>
        <v>66</v>
      </c>
      <c r="F256" s="64">
        <f>1-(1-VLOOKUP($E256,'Annual Mortality Rates'!$B$5:$C$105,2,FALSE))^(1/12)</f>
        <v>6.120561724122231E-4</v>
      </c>
      <c r="G256" s="75">
        <f>IF(C256&gt;=Assumptions!$H$9*12,100%,1-(1-IF(D256&gt;=7,2%,VLOOKUP($D256,'Annual Lapse Rates'!$B$4:$C$14,2,FALSE)))^(1/12))</f>
        <v>1</v>
      </c>
      <c r="H256" s="81">
        <f t="shared" si="59"/>
        <v>9</v>
      </c>
      <c r="I256" s="65">
        <f t="shared" si="53"/>
        <v>0</v>
      </c>
      <c r="J256" s="66">
        <f t="shared" si="54"/>
        <v>0</v>
      </c>
      <c r="K256" s="66">
        <f t="shared" si="55"/>
        <v>0</v>
      </c>
      <c r="M256" s="97">
        <f t="shared" si="60"/>
        <v>0</v>
      </c>
      <c r="N256" s="97">
        <f>IF(AND(H256=1,D256&lt;15),Assumptions!$H$4,0)</f>
        <v>0</v>
      </c>
      <c r="O256" s="103"/>
      <c r="P256" s="98">
        <f>$M256*(1+VLOOKUP($H256,Assumptions!$C$22:$D$33,2,FALSE))^(1/12)</f>
        <v>0</v>
      </c>
      <c r="Q256" s="98">
        <f>$M256*(1+VLOOKUP($H256,Assumptions!$C$22:$D$33,2,FALSE))^(1/12)</f>
        <v>0</v>
      </c>
      <c r="R256" s="97">
        <f>IF(AND(H256=12,D256&lt;15),Assumptions!$C$7*M256,0)</f>
        <v>0</v>
      </c>
      <c r="S256" s="99">
        <f>(M256+N256-O256)*Assumptions!$D$17</f>
        <v>0</v>
      </c>
      <c r="T256" s="99">
        <f t="shared" si="56"/>
        <v>0</v>
      </c>
      <c r="U256" s="101"/>
      <c r="V256" s="101">
        <f>IF(C256&gt;=Assumptions!$H$9*12,0,M256+N256-O256+S256-R256)</f>
        <v>0</v>
      </c>
      <c r="W256" s="103"/>
      <c r="X256" s="97">
        <f>IF(AND(H256=1,D256&lt;15),Assumptions!$D$10*N256+Assumptions!$D$11*(1+Assumptions!$D$16)^(B256-1),0)</f>
        <v>0</v>
      </c>
      <c r="Y256" s="100">
        <f>Assumptions!$C$13*N256</f>
        <v>0</v>
      </c>
      <c r="AA256" s="67">
        <f t="shared" si="61"/>
        <v>0</v>
      </c>
      <c r="AB256" s="67">
        <f>N256*I256</f>
        <v>0</v>
      </c>
      <c r="AC256" s="67"/>
      <c r="AD256" s="90">
        <f>P256*J256</f>
        <v>0</v>
      </c>
      <c r="AE256" s="90">
        <f>Q256*K256</f>
        <v>0</v>
      </c>
      <c r="AF256" s="67">
        <f>R256*I257</f>
        <v>0</v>
      </c>
      <c r="AG256" s="68">
        <f>S256*I256</f>
        <v>0</v>
      </c>
      <c r="AH256" s="68">
        <f>T256*$I256</f>
        <v>0</v>
      </c>
      <c r="AI256" s="68">
        <f>U256*$I256</f>
        <v>0</v>
      </c>
      <c r="AJ256" s="67">
        <f>V256*I257</f>
        <v>0</v>
      </c>
      <c r="AK256" s="67">
        <f>W256*$I256</f>
        <v>0</v>
      </c>
      <c r="AL256" s="67">
        <f>X256*$I256</f>
        <v>0</v>
      </c>
      <c r="AM256" s="67">
        <f>Y256*$I256</f>
        <v>0</v>
      </c>
      <c r="AN256" s="65">
        <f>NPV(Assumptions!$D$19,AB256:$AB$259)*(1+Assumptions!$D$19)</f>
        <v>0</v>
      </c>
      <c r="AO256" s="68">
        <f t="shared" si="57"/>
        <v>0</v>
      </c>
      <c r="AQ256" s="67">
        <f t="shared" si="62"/>
        <v>5464826.9813984176</v>
      </c>
      <c r="AR256" s="95">
        <f>(AQ256+AB256-AC256)*Assumptions!$D$19</f>
        <v>23460.525872867671</v>
      </c>
      <c r="AS256" s="67">
        <f t="shared" si="63"/>
        <v>5488287.5072712852</v>
      </c>
      <c r="AT256" s="67">
        <f t="shared" si="58"/>
        <v>5488287.5072712852</v>
      </c>
      <c r="AU256" s="67"/>
      <c r="AV256" s="67"/>
      <c r="AW256" s="67"/>
      <c r="AY256" s="67"/>
      <c r="AZ256" s="70">
        <f t="shared" si="52"/>
        <v>0</v>
      </c>
    </row>
    <row r="257" spans="2:52" x14ac:dyDescent="0.2">
      <c r="B257" s="5">
        <f t="shared" si="48"/>
        <v>250</v>
      </c>
      <c r="C257" s="5">
        <f t="shared" si="49"/>
        <v>250</v>
      </c>
      <c r="D257" s="5">
        <f t="shared" si="50"/>
        <v>20</v>
      </c>
      <c r="E257" s="5">
        <f t="shared" si="51"/>
        <v>66</v>
      </c>
      <c r="F257" s="64">
        <f>1-(1-VLOOKUP($E257,'Annual Mortality Rates'!$B$5:$C$105,2,FALSE))^(1/12)</f>
        <v>6.120561724122231E-4</v>
      </c>
      <c r="G257" s="75">
        <f>IF(C257&gt;=Assumptions!$H$9*12,100%,1-(1-IF(D257&gt;=7,2%,VLOOKUP($D257,'Annual Lapse Rates'!$B$4:$C$14,2,FALSE)))^(1/12))</f>
        <v>1</v>
      </c>
      <c r="H257" s="81">
        <f t="shared" si="59"/>
        <v>10</v>
      </c>
      <c r="I257" s="65">
        <f t="shared" si="53"/>
        <v>0</v>
      </c>
      <c r="J257" s="66">
        <f t="shared" si="54"/>
        <v>0</v>
      </c>
      <c r="K257" s="66">
        <f t="shared" si="55"/>
        <v>0</v>
      </c>
      <c r="M257" s="97">
        <f t="shared" si="60"/>
        <v>0</v>
      </c>
      <c r="N257" s="97">
        <f>IF(AND(H257=1,D257&lt;15),Assumptions!$H$4,0)</f>
        <v>0</v>
      </c>
      <c r="O257" s="103"/>
      <c r="P257" s="98">
        <f>$M257*(1+VLOOKUP($H257,Assumptions!$C$22:$D$33,2,FALSE))^(1/12)</f>
        <v>0</v>
      </c>
      <c r="Q257" s="98">
        <f>$M257*(1+VLOOKUP($H257,Assumptions!$C$22:$D$33,2,FALSE))^(1/12)</f>
        <v>0</v>
      </c>
      <c r="R257" s="97">
        <f>IF(AND(H257=12,D257&lt;15),Assumptions!$C$7*M257,0)</f>
        <v>0</v>
      </c>
      <c r="S257" s="99">
        <f>(M257+N257-O257)*Assumptions!$D$17</f>
        <v>0</v>
      </c>
      <c r="T257" s="99">
        <f t="shared" si="56"/>
        <v>0</v>
      </c>
      <c r="U257" s="101"/>
      <c r="V257" s="101">
        <f>IF(C257&gt;=Assumptions!$H$9*12,0,M257+N257-O257+S257-R257)</f>
        <v>0</v>
      </c>
      <c r="W257" s="103"/>
      <c r="X257" s="97">
        <f>IF(AND(H257=1,D257&lt;15),Assumptions!$D$10*N257+Assumptions!$D$11*(1+Assumptions!$D$16)^(B257-1),0)</f>
        <v>0</v>
      </c>
      <c r="Y257" s="100">
        <f>Assumptions!$C$13*N257</f>
        <v>0</v>
      </c>
      <c r="AA257" s="67">
        <f t="shared" si="61"/>
        <v>0</v>
      </c>
      <c r="AB257" s="67">
        <f>N257*I257</f>
        <v>0</v>
      </c>
      <c r="AC257" s="67"/>
      <c r="AD257" s="90">
        <f>P257*J257</f>
        <v>0</v>
      </c>
      <c r="AE257" s="90">
        <f>Q257*K257</f>
        <v>0</v>
      </c>
      <c r="AF257" s="67">
        <f>R257*I258</f>
        <v>0</v>
      </c>
      <c r="AG257" s="68">
        <f>S257*I257</f>
        <v>0</v>
      </c>
      <c r="AH257" s="68">
        <f>T257*$I257</f>
        <v>0</v>
      </c>
      <c r="AI257" s="68">
        <f>U257*$I257</f>
        <v>0</v>
      </c>
      <c r="AJ257" s="67">
        <f>V257*I258</f>
        <v>0</v>
      </c>
      <c r="AK257" s="67">
        <f>W257*$I257</f>
        <v>0</v>
      </c>
      <c r="AL257" s="67">
        <f>X257*$I257</f>
        <v>0</v>
      </c>
      <c r="AM257" s="67">
        <f>Y257*$I257</f>
        <v>0</v>
      </c>
      <c r="AN257" s="65">
        <f>NPV(Assumptions!$D$19,AB257:$AB$259)*(1+Assumptions!$D$19)</f>
        <v>0</v>
      </c>
      <c r="AO257" s="68">
        <f t="shared" si="57"/>
        <v>0</v>
      </c>
      <c r="AQ257" s="67">
        <f t="shared" si="62"/>
        <v>5488287.5072712852</v>
      </c>
      <c r="AR257" s="95">
        <f>(AQ257+AB257-AC257)*Assumptions!$D$19</f>
        <v>23561.242011933915</v>
      </c>
      <c r="AS257" s="67">
        <f t="shared" si="63"/>
        <v>5511848.7492832188</v>
      </c>
      <c r="AT257" s="67">
        <f t="shared" si="58"/>
        <v>5511848.7492832188</v>
      </c>
      <c r="AU257" s="67"/>
      <c r="AV257" s="67"/>
      <c r="AW257" s="67"/>
      <c r="AY257" s="67"/>
      <c r="AZ257" s="70">
        <f t="shared" si="52"/>
        <v>0</v>
      </c>
    </row>
    <row r="258" spans="2:52" x14ac:dyDescent="0.2">
      <c r="B258" s="5">
        <f t="shared" si="48"/>
        <v>251</v>
      </c>
      <c r="C258" s="5">
        <f t="shared" si="49"/>
        <v>251</v>
      </c>
      <c r="D258" s="5">
        <f t="shared" si="50"/>
        <v>20</v>
      </c>
      <c r="E258" s="5">
        <f t="shared" si="51"/>
        <v>66</v>
      </c>
      <c r="F258" s="64">
        <f>1-(1-VLOOKUP($E258,'Annual Mortality Rates'!$B$5:$C$105,2,FALSE))^(1/12)</f>
        <v>6.120561724122231E-4</v>
      </c>
      <c r="G258" s="75">
        <f>IF(C258&gt;=Assumptions!$H$9*12,100%,1-(1-IF(D258&gt;=7,2%,VLOOKUP($D258,'Annual Lapse Rates'!$B$4:$C$14,2,FALSE)))^(1/12))</f>
        <v>1</v>
      </c>
      <c r="H258" s="81">
        <f t="shared" si="59"/>
        <v>11</v>
      </c>
      <c r="I258" s="65">
        <f t="shared" si="53"/>
        <v>0</v>
      </c>
      <c r="J258" s="66">
        <f t="shared" si="54"/>
        <v>0</v>
      </c>
      <c r="K258" s="66">
        <f t="shared" si="55"/>
        <v>0</v>
      </c>
      <c r="M258" s="97">
        <f t="shared" si="60"/>
        <v>0</v>
      </c>
      <c r="N258" s="97">
        <f>IF(AND(H258=1,D258&lt;15),Assumptions!$H$4,0)</f>
        <v>0</v>
      </c>
      <c r="O258" s="103"/>
      <c r="P258" s="98">
        <f>$M258*(1+VLOOKUP($H258,Assumptions!$C$22:$D$33,2,FALSE))^(1/12)</f>
        <v>0</v>
      </c>
      <c r="Q258" s="98">
        <f>$M258*(1+VLOOKUP($H258,Assumptions!$C$22:$D$33,2,FALSE))^(1/12)</f>
        <v>0</v>
      </c>
      <c r="R258" s="97">
        <f>IF(AND(H258=12,D258&lt;15),Assumptions!$C$7*M258,0)</f>
        <v>0</v>
      </c>
      <c r="S258" s="99">
        <f>(M258+N258-O258)*Assumptions!$D$17</f>
        <v>0</v>
      </c>
      <c r="T258" s="99">
        <f t="shared" si="56"/>
        <v>0</v>
      </c>
      <c r="U258" s="101"/>
      <c r="V258" s="101">
        <f>IF(C258&gt;=Assumptions!$H$9*12,0,M258+N258-O258+S258-R258)</f>
        <v>0</v>
      </c>
      <c r="W258" s="103"/>
      <c r="X258" s="97">
        <f>IF(AND(H258=1,D258&lt;15),Assumptions!$D$10*N258+Assumptions!$D$11*(1+Assumptions!$D$16)^(B258-1),0)</f>
        <v>0</v>
      </c>
      <c r="Y258" s="100">
        <f>Assumptions!$C$13*N258</f>
        <v>0</v>
      </c>
      <c r="AA258" s="67">
        <f t="shared" si="61"/>
        <v>0</v>
      </c>
      <c r="AB258" s="67">
        <f>N258*I258</f>
        <v>0</v>
      </c>
      <c r="AC258" s="67"/>
      <c r="AD258" s="90">
        <f>P258*J258</f>
        <v>0</v>
      </c>
      <c r="AE258" s="90">
        <f>Q258*K258</f>
        <v>0</v>
      </c>
      <c r="AF258" s="67">
        <f>R258*I259</f>
        <v>0</v>
      </c>
      <c r="AG258" s="68">
        <f>S258*I258</f>
        <v>0</v>
      </c>
      <c r="AH258" s="68">
        <f>T258*$I258</f>
        <v>0</v>
      </c>
      <c r="AI258" s="68">
        <f>U258*$I258</f>
        <v>0</v>
      </c>
      <c r="AJ258" s="67">
        <f>V258*I259</f>
        <v>0</v>
      </c>
      <c r="AK258" s="67">
        <f>W258*$I258</f>
        <v>0</v>
      </c>
      <c r="AL258" s="67">
        <f>X258*$I258</f>
        <v>0</v>
      </c>
      <c r="AM258" s="67">
        <f>Y258*$I258</f>
        <v>0</v>
      </c>
      <c r="AN258" s="65">
        <f>NPV(Assumptions!$D$19,AB258:$AB$259)*(1+Assumptions!$D$19)</f>
        <v>0</v>
      </c>
      <c r="AO258" s="68">
        <f t="shared" si="57"/>
        <v>0</v>
      </c>
      <c r="AQ258" s="67">
        <f t="shared" si="62"/>
        <v>5511848.7492832188</v>
      </c>
      <c r="AR258" s="95">
        <f>(AQ258+AB258-AC258)*Assumptions!$D$19</f>
        <v>23662.390525820883</v>
      </c>
      <c r="AS258" s="67">
        <f t="shared" si="63"/>
        <v>5535511.1398090394</v>
      </c>
      <c r="AT258" s="67">
        <f t="shared" si="58"/>
        <v>5535511.1398090394</v>
      </c>
      <c r="AU258" s="67"/>
      <c r="AV258" s="67"/>
      <c r="AW258" s="67"/>
      <c r="AY258" s="67"/>
      <c r="AZ258" s="70">
        <f t="shared" si="52"/>
        <v>0</v>
      </c>
    </row>
    <row r="259" spans="2:52" x14ac:dyDescent="0.2">
      <c r="B259" s="5">
        <f t="shared" si="48"/>
        <v>252</v>
      </c>
      <c r="C259" s="5">
        <f t="shared" si="49"/>
        <v>252</v>
      </c>
      <c r="D259" s="5">
        <f t="shared" si="50"/>
        <v>20</v>
      </c>
      <c r="E259" s="5">
        <f t="shared" si="51"/>
        <v>66</v>
      </c>
      <c r="F259" s="64">
        <f>1-(1-VLOOKUP($E259,'Annual Mortality Rates'!$B$5:$C$105,2,FALSE))^(1/12)</f>
        <v>6.120561724122231E-4</v>
      </c>
      <c r="G259" s="75">
        <f>IF(C259&gt;=Assumptions!$H$9*12,100%,1-(1-IF(D259&gt;=7,2%,VLOOKUP($D259,'Annual Lapse Rates'!$B$4:$C$14,2,FALSE)))^(1/12))</f>
        <v>1</v>
      </c>
      <c r="H259" s="81">
        <f t="shared" si="59"/>
        <v>12</v>
      </c>
      <c r="I259" s="65">
        <f t="shared" si="53"/>
        <v>0</v>
      </c>
      <c r="J259" s="66">
        <f t="shared" si="54"/>
        <v>0</v>
      </c>
      <c r="K259" s="66">
        <f t="shared" si="55"/>
        <v>0</v>
      </c>
      <c r="M259" s="97">
        <f t="shared" si="60"/>
        <v>0</v>
      </c>
      <c r="N259" s="97">
        <f>IF(AND(H259=1,D259&lt;15),Assumptions!$H$4,0)</f>
        <v>0</v>
      </c>
      <c r="O259" s="103"/>
      <c r="P259" s="98">
        <f>$M259*(1+VLOOKUP($H259,Assumptions!$C$22:$D$33,2,FALSE))^(1/12)</f>
        <v>0</v>
      </c>
      <c r="Q259" s="98">
        <f>$M259*(1+VLOOKUP($H259,Assumptions!$C$22:$D$33,2,FALSE))^(1/12)</f>
        <v>0</v>
      </c>
      <c r="R259" s="97">
        <f>IF(AND(H259=12,D259&lt;15),Assumptions!$C$7*M259,0)</f>
        <v>0</v>
      </c>
      <c r="S259" s="99">
        <f>(M259+N259-O259)*Assumptions!$D$17</f>
        <v>0</v>
      </c>
      <c r="T259" s="99">
        <f t="shared" si="56"/>
        <v>0</v>
      </c>
      <c r="U259" s="101"/>
      <c r="V259" s="101">
        <f>IF(C259&gt;=Assumptions!$H$9*12,0,M259+N259-O259+S259-R259)</f>
        <v>0</v>
      </c>
      <c r="W259" s="103"/>
      <c r="X259" s="97">
        <f>IF(AND(H259=1,D259&lt;15),Assumptions!$D$10*N259+Assumptions!$D$11*(1+Assumptions!$D$16)^(B259-1),0)</f>
        <v>0</v>
      </c>
      <c r="Y259" s="100">
        <f>Assumptions!$C$13*N259</f>
        <v>0</v>
      </c>
      <c r="AA259" s="67">
        <f t="shared" si="61"/>
        <v>0</v>
      </c>
      <c r="AB259" s="67">
        <f>N259*I259</f>
        <v>0</v>
      </c>
      <c r="AC259" s="67"/>
      <c r="AD259" s="90">
        <f>P259*J259</f>
        <v>0</v>
      </c>
      <c r="AE259" s="90">
        <f>Q259*K259</f>
        <v>0</v>
      </c>
      <c r="AF259" s="67">
        <f>R259*I260</f>
        <v>0</v>
      </c>
      <c r="AG259" s="68">
        <f>S259*I259</f>
        <v>0</v>
      </c>
      <c r="AH259" s="68">
        <f>T259*$I259</f>
        <v>0</v>
      </c>
      <c r="AI259" s="68">
        <f>U259*$I259</f>
        <v>0</v>
      </c>
      <c r="AJ259" s="67">
        <f>V259*I260</f>
        <v>0</v>
      </c>
      <c r="AK259" s="67">
        <f>W259*$I259</f>
        <v>0</v>
      </c>
      <c r="AL259" s="67">
        <f>X259*$I259</f>
        <v>0</v>
      </c>
      <c r="AM259" s="67">
        <f>Y259*$I259</f>
        <v>0</v>
      </c>
      <c r="AN259" s="65">
        <f>NPV(Assumptions!$D$19,AB259:$AB$259)*(1+Assumptions!$D$19)</f>
        <v>0</v>
      </c>
      <c r="AO259" s="68">
        <f t="shared" si="57"/>
        <v>0</v>
      </c>
      <c r="AQ259" s="67">
        <f t="shared" si="62"/>
        <v>5535511.1398090394</v>
      </c>
      <c r="AR259" s="95">
        <f>(AQ259+AB259-AC259)*Assumptions!$D$19</f>
        <v>23763.973270715556</v>
      </c>
      <c r="AS259" s="67">
        <f t="shared" si="63"/>
        <v>5559275.1130797546</v>
      </c>
      <c r="AT259" s="67">
        <f t="shared" si="58"/>
        <v>5559275.1130797546</v>
      </c>
      <c r="AU259" s="67"/>
      <c r="AV259" s="67"/>
      <c r="AW259" s="67"/>
      <c r="AY259" s="67"/>
      <c r="AZ259" s="70">
        <f t="shared" si="52"/>
        <v>0</v>
      </c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A53B6-96CA-4E50-B03C-DF856EF0442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Zhu, Vincent-JF</cp:lastModifiedBy>
  <cp:lastPrinted>2019-02-20T22:45:00Z</cp:lastPrinted>
  <dcterms:created xsi:type="dcterms:W3CDTF">2009-10-13T04:21:25Z</dcterms:created>
  <dcterms:modified xsi:type="dcterms:W3CDTF">2019-08-15T15:31:09Z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