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8680" yWindow="-120" windowWidth="20730" windowHeight="11760" tabRatio="782" activeTab="4"/>
  </bookViews>
  <sheets>
    <sheet name="Assumptions" sheetId="1" r:id="rId1"/>
    <sheet name="Annual Mortality Rates" sheetId="4" r:id="rId2"/>
    <sheet name="Annual Lapse Rates" sheetId="5" r:id="rId3"/>
    <sheet name="(a)" sheetId="35" r:id="rId4"/>
    <sheet name="(c)" sheetId="38" r:id="rId5"/>
  </sheets>
  <externalReferences>
    <externalReference r:id="rId6"/>
  </externalReferenc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9" i="38" l="1"/>
  <c r="S10" i="38"/>
  <c r="S11" i="38"/>
  <c r="S12" i="38"/>
  <c r="S13" i="38"/>
  <c r="S14" i="38"/>
  <c r="S15" i="38"/>
  <c r="S16" i="38"/>
  <c r="S17" i="38"/>
  <c r="S18" i="38"/>
  <c r="S20" i="38"/>
  <c r="S21" i="38"/>
  <c r="S22" i="38"/>
  <c r="S23" i="38"/>
  <c r="S24" i="38"/>
  <c r="S25" i="38"/>
  <c r="S26" i="38"/>
  <c r="S27" i="38"/>
  <c r="S28" i="38"/>
  <c r="S29" i="38"/>
  <c r="S30" i="38"/>
  <c r="S32" i="38"/>
  <c r="S33" i="38"/>
  <c r="S34" i="38"/>
  <c r="S35" i="38"/>
  <c r="S36" i="38"/>
  <c r="S37" i="38"/>
  <c r="S38" i="38"/>
  <c r="S39" i="38"/>
  <c r="S40" i="38"/>
  <c r="S41" i="38"/>
  <c r="S42" i="38"/>
  <c r="S44" i="38"/>
  <c r="S45" i="38"/>
  <c r="S46" i="38"/>
  <c r="S47" i="38"/>
  <c r="S48" i="38"/>
  <c r="S49" i="38"/>
  <c r="S50" i="38"/>
  <c r="S51" i="38"/>
  <c r="S52" i="38"/>
  <c r="S53" i="38"/>
  <c r="S54" i="38"/>
  <c r="S56" i="38"/>
  <c r="S57" i="38"/>
  <c r="S58" i="38"/>
  <c r="S59" i="38"/>
  <c r="S60" i="38"/>
  <c r="S61" i="38"/>
  <c r="S62" i="38"/>
  <c r="S63" i="38"/>
  <c r="S64" i="38"/>
  <c r="S65" i="38"/>
  <c r="S66" i="38"/>
  <c r="S68" i="38"/>
  <c r="S69" i="38"/>
  <c r="S70" i="38"/>
  <c r="S71" i="38"/>
  <c r="S72" i="38"/>
  <c r="S73" i="38"/>
  <c r="S74" i="38"/>
  <c r="S75" i="38"/>
  <c r="S76" i="38"/>
  <c r="S77" i="38"/>
  <c r="S78" i="38"/>
  <c r="S80" i="38"/>
  <c r="S81" i="38"/>
  <c r="S82" i="38"/>
  <c r="S83" i="38"/>
  <c r="S84" i="38"/>
  <c r="S85" i="38"/>
  <c r="S86" i="38"/>
  <c r="S87" i="38"/>
  <c r="S88" i="38"/>
  <c r="S89" i="38"/>
  <c r="S90" i="38"/>
  <c r="S92" i="38"/>
  <c r="S93" i="38"/>
  <c r="S94" i="38"/>
  <c r="S95" i="38"/>
  <c r="S96" i="38"/>
  <c r="S97" i="38"/>
  <c r="S98" i="38"/>
  <c r="S99" i="38"/>
  <c r="S100" i="38"/>
  <c r="S101" i="38"/>
  <c r="S102" i="38"/>
  <c r="S104" i="38"/>
  <c r="S105" i="38"/>
  <c r="S106" i="38"/>
  <c r="S107" i="38"/>
  <c r="S108" i="38"/>
  <c r="S109" i="38"/>
  <c r="S110" i="38"/>
  <c r="S111" i="38"/>
  <c r="S112" i="38"/>
  <c r="S113" i="38"/>
  <c r="S114" i="38"/>
  <c r="S116" i="38"/>
  <c r="S117" i="38"/>
  <c r="S118" i="38"/>
  <c r="S119" i="38"/>
  <c r="S120" i="38"/>
  <c r="S121" i="38"/>
  <c r="S122" i="38"/>
  <c r="S123" i="38"/>
  <c r="S124" i="38"/>
  <c r="S125" i="38"/>
  <c r="S126" i="38"/>
  <c r="S128" i="38"/>
  <c r="S129" i="38"/>
  <c r="S130" i="38"/>
  <c r="S131" i="38"/>
  <c r="S132" i="38"/>
  <c r="S133" i="38"/>
  <c r="S134" i="38"/>
  <c r="S135" i="38"/>
  <c r="S136" i="38"/>
  <c r="S137" i="38"/>
  <c r="S138" i="38"/>
  <c r="S140" i="38"/>
  <c r="S141" i="38"/>
  <c r="S142" i="38"/>
  <c r="S143" i="38"/>
  <c r="S144" i="38"/>
  <c r="S145" i="38"/>
  <c r="S146" i="38"/>
  <c r="S147" i="38"/>
  <c r="S148" i="38"/>
  <c r="S149" i="38"/>
  <c r="S150" i="38"/>
  <c r="S152" i="38"/>
  <c r="S153" i="38"/>
  <c r="S154" i="38"/>
  <c r="S155" i="38"/>
  <c r="S156" i="38"/>
  <c r="S157" i="38"/>
  <c r="S158" i="38"/>
  <c r="S159" i="38"/>
  <c r="S160" i="38"/>
  <c r="S161" i="38"/>
  <c r="S162" i="38"/>
  <c r="S164" i="38"/>
  <c r="S165" i="38"/>
  <c r="S166" i="38"/>
  <c r="S167" i="38"/>
  <c r="S168" i="38"/>
  <c r="S169" i="38"/>
  <c r="S170" i="38"/>
  <c r="S171" i="38"/>
  <c r="S172" i="38"/>
  <c r="S173" i="38"/>
  <c r="S174" i="38"/>
  <c r="S176" i="38"/>
  <c r="S177" i="38"/>
  <c r="S178" i="38"/>
  <c r="S179" i="38"/>
  <c r="S180" i="38"/>
  <c r="S181" i="38"/>
  <c r="S182" i="38"/>
  <c r="S183" i="38"/>
  <c r="S184" i="38"/>
  <c r="S185" i="38"/>
  <c r="S186" i="38"/>
  <c r="S188" i="38"/>
  <c r="S189" i="38"/>
  <c r="S190" i="38"/>
  <c r="S191" i="38"/>
  <c r="S192" i="38"/>
  <c r="S193" i="38"/>
  <c r="S194" i="38"/>
  <c r="S195" i="38"/>
  <c r="S196" i="38"/>
  <c r="S197" i="38"/>
  <c r="S198" i="38"/>
  <c r="S200" i="38"/>
  <c r="S201" i="38"/>
  <c r="S202" i="38"/>
  <c r="S203" i="38"/>
  <c r="S204" i="38"/>
  <c r="S205" i="38"/>
  <c r="S206" i="38"/>
  <c r="S207" i="38"/>
  <c r="S208" i="38"/>
  <c r="S209" i="38"/>
  <c r="S210" i="38"/>
  <c r="S212" i="38"/>
  <c r="S213" i="38"/>
  <c r="S214" i="38"/>
  <c r="S215" i="38"/>
  <c r="S216" i="38"/>
  <c r="S217" i="38"/>
  <c r="S218" i="38"/>
  <c r="S219" i="38"/>
  <c r="S220" i="38"/>
  <c r="S221" i="38"/>
  <c r="S222" i="38"/>
  <c r="S224" i="38"/>
  <c r="S225" i="38"/>
  <c r="S226" i="38"/>
  <c r="S227" i="38"/>
  <c r="S228" i="38"/>
  <c r="S229" i="38"/>
  <c r="S230" i="38"/>
  <c r="S231" i="38"/>
  <c r="S232" i="38"/>
  <c r="S233" i="38"/>
  <c r="S234" i="38"/>
  <c r="S236" i="38"/>
  <c r="S237" i="38"/>
  <c r="S238" i="38"/>
  <c r="S239" i="38"/>
  <c r="S240" i="38"/>
  <c r="S241" i="38"/>
  <c r="S242" i="38"/>
  <c r="S243" i="38"/>
  <c r="S244" i="38"/>
  <c r="S245" i="38"/>
  <c r="S246" i="38"/>
  <c r="S248" i="38"/>
  <c r="S249" i="38"/>
  <c r="S250" i="38"/>
  <c r="S251" i="38"/>
  <c r="S252" i="38"/>
  <c r="S253" i="38"/>
  <c r="S254" i="38"/>
  <c r="S255" i="38"/>
  <c r="S256" i="38"/>
  <c r="S257" i="38"/>
  <c r="S258" i="38"/>
  <c r="Q9" i="38"/>
  <c r="Q8" i="38"/>
  <c r="P8" i="38"/>
  <c r="H259" i="38"/>
  <c r="H258" i="38"/>
  <c r="H257" i="38"/>
  <c r="H256" i="38"/>
  <c r="H255" i="38"/>
  <c r="H254" i="38"/>
  <c r="H253" i="38"/>
  <c r="H252" i="38"/>
  <c r="H251" i="38"/>
  <c r="H250" i="38"/>
  <c r="H249" i="38"/>
  <c r="H248" i="38"/>
  <c r="H247" i="38"/>
  <c r="H246" i="38"/>
  <c r="H245" i="38"/>
  <c r="H244" i="38"/>
  <c r="H243" i="38"/>
  <c r="H242" i="38"/>
  <c r="H241" i="38"/>
  <c r="H240" i="38"/>
  <c r="H239" i="38"/>
  <c r="H238" i="38"/>
  <c r="H237" i="38"/>
  <c r="H236" i="38"/>
  <c r="H235" i="38"/>
  <c r="H234" i="38"/>
  <c r="H233" i="38"/>
  <c r="H232" i="38"/>
  <c r="H231" i="38"/>
  <c r="H230" i="38"/>
  <c r="H229" i="38"/>
  <c r="H228" i="38"/>
  <c r="H227" i="38"/>
  <c r="H226" i="38"/>
  <c r="H225" i="38"/>
  <c r="H224" i="38"/>
  <c r="H223" i="38"/>
  <c r="H222" i="38"/>
  <c r="H221" i="38"/>
  <c r="H220" i="38"/>
  <c r="H219" i="38"/>
  <c r="H218" i="38"/>
  <c r="H217" i="38"/>
  <c r="H216" i="38"/>
  <c r="H215" i="38"/>
  <c r="H214" i="38"/>
  <c r="H213" i="38"/>
  <c r="H212" i="38"/>
  <c r="H211" i="38"/>
  <c r="H210" i="38"/>
  <c r="H209" i="38"/>
  <c r="H208" i="38"/>
  <c r="H207" i="38"/>
  <c r="H206" i="38"/>
  <c r="H205" i="38"/>
  <c r="H204" i="38"/>
  <c r="H203" i="38"/>
  <c r="H202" i="38"/>
  <c r="H201" i="38"/>
  <c r="H200" i="38"/>
  <c r="H199" i="38"/>
  <c r="H198" i="38"/>
  <c r="H197" i="38"/>
  <c r="H196" i="38"/>
  <c r="H195" i="38"/>
  <c r="H194" i="38"/>
  <c r="H193" i="38"/>
  <c r="H192" i="38"/>
  <c r="H191" i="38"/>
  <c r="H190" i="38"/>
  <c r="H189" i="38"/>
  <c r="H188" i="38"/>
  <c r="H187" i="38"/>
  <c r="H186" i="38"/>
  <c r="H185" i="38"/>
  <c r="H184" i="38"/>
  <c r="H183" i="38"/>
  <c r="H182" i="38"/>
  <c r="H181" i="38"/>
  <c r="H180" i="38"/>
  <c r="H179" i="38"/>
  <c r="H178" i="38"/>
  <c r="H177" i="38"/>
  <c r="H176" i="38"/>
  <c r="H175" i="38"/>
  <c r="H174" i="38"/>
  <c r="H173" i="38"/>
  <c r="H172" i="38"/>
  <c r="H171" i="38"/>
  <c r="H170" i="38"/>
  <c r="H169" i="38"/>
  <c r="H168" i="38"/>
  <c r="H167" i="38"/>
  <c r="H166" i="38"/>
  <c r="H165" i="38"/>
  <c r="H164" i="38"/>
  <c r="H163" i="38"/>
  <c r="H162" i="38"/>
  <c r="H161" i="38"/>
  <c r="H160" i="38"/>
  <c r="H159" i="38"/>
  <c r="H158" i="38"/>
  <c r="H157" i="38"/>
  <c r="H156" i="38"/>
  <c r="H155" i="38"/>
  <c r="H154" i="38"/>
  <c r="H153" i="38"/>
  <c r="H152" i="38"/>
  <c r="H151" i="38"/>
  <c r="H150" i="38"/>
  <c r="H149" i="38"/>
  <c r="H148" i="38"/>
  <c r="H147" i="38"/>
  <c r="H146" i="38"/>
  <c r="H145" i="38"/>
  <c r="H144" i="38"/>
  <c r="H143" i="38"/>
  <c r="H142" i="38"/>
  <c r="H141" i="38"/>
  <c r="H140" i="38"/>
  <c r="H139" i="38"/>
  <c r="H138" i="38"/>
  <c r="H137" i="38"/>
  <c r="H136" i="38"/>
  <c r="H135" i="38"/>
  <c r="H134" i="38"/>
  <c r="H133" i="38"/>
  <c r="H132" i="38"/>
  <c r="H131" i="38"/>
  <c r="H130" i="38"/>
  <c r="H129" i="38"/>
  <c r="H128" i="38"/>
  <c r="H127" i="38"/>
  <c r="H126" i="38"/>
  <c r="H125" i="38"/>
  <c r="H124" i="38"/>
  <c r="H123" i="38"/>
  <c r="H122" i="38"/>
  <c r="H121" i="38"/>
  <c r="H120" i="38"/>
  <c r="H119" i="38"/>
  <c r="H118" i="38"/>
  <c r="H117" i="38"/>
  <c r="H116" i="38"/>
  <c r="H115" i="38"/>
  <c r="H114" i="38"/>
  <c r="H113" i="38"/>
  <c r="H112" i="38"/>
  <c r="H111" i="38"/>
  <c r="H110" i="38"/>
  <c r="H109" i="38"/>
  <c r="H108" i="38"/>
  <c r="H107" i="38"/>
  <c r="H106" i="38"/>
  <c r="H105" i="38"/>
  <c r="H104" i="38"/>
  <c r="H103" i="38"/>
  <c r="H102" i="38"/>
  <c r="H101" i="38"/>
  <c r="H100" i="38"/>
  <c r="H99" i="38"/>
  <c r="H98" i="38"/>
  <c r="H97" i="38"/>
  <c r="H96" i="38"/>
  <c r="H95" i="38"/>
  <c r="H94" i="38"/>
  <c r="H93" i="38"/>
  <c r="H92" i="38"/>
  <c r="H91" i="38"/>
  <c r="H90" i="38"/>
  <c r="H89" i="38"/>
  <c r="H88" i="38"/>
  <c r="H87" i="38"/>
  <c r="H86" i="38"/>
  <c r="H85" i="38"/>
  <c r="H84" i="38"/>
  <c r="H83" i="38"/>
  <c r="H82" i="38"/>
  <c r="H81" i="38"/>
  <c r="H80" i="38"/>
  <c r="H79" i="38"/>
  <c r="H78" i="38"/>
  <c r="H77" i="38"/>
  <c r="H76" i="38"/>
  <c r="H75" i="38"/>
  <c r="H74" i="38"/>
  <c r="H73" i="38"/>
  <c r="H72" i="38"/>
  <c r="H71" i="38"/>
  <c r="H70" i="38"/>
  <c r="H69" i="38"/>
  <c r="H68" i="38"/>
  <c r="H67" i="38"/>
  <c r="H66" i="38"/>
  <c r="H65" i="38"/>
  <c r="H64" i="38"/>
  <c r="H63" i="38"/>
  <c r="H62" i="38"/>
  <c r="H61" i="38"/>
  <c r="H60" i="38"/>
  <c r="H59" i="38"/>
  <c r="H58" i="38"/>
  <c r="H57" i="38"/>
  <c r="H56" i="38"/>
  <c r="H55" i="38"/>
  <c r="H54" i="38"/>
  <c r="H53" i="38"/>
  <c r="H52" i="38"/>
  <c r="H51" i="38"/>
  <c r="H50" i="38"/>
  <c r="H49" i="38"/>
  <c r="H48" i="38"/>
  <c r="H47" i="38"/>
  <c r="H46" i="38"/>
  <c r="H45" i="38"/>
  <c r="H44" i="38"/>
  <c r="H43" i="38"/>
  <c r="H42" i="38"/>
  <c r="H41" i="38"/>
  <c r="H40" i="38"/>
  <c r="H39" i="38"/>
  <c r="H38" i="38"/>
  <c r="H37" i="38"/>
  <c r="H36" i="38"/>
  <c r="H35" i="38"/>
  <c r="H34" i="38"/>
  <c r="H33" i="38"/>
  <c r="H32" i="38"/>
  <c r="H31" i="38"/>
  <c r="H30" i="38"/>
  <c r="H29" i="38"/>
  <c r="H28" i="38"/>
  <c r="H27" i="38"/>
  <c r="H26" i="38"/>
  <c r="H25" i="38"/>
  <c r="H24" i="38"/>
  <c r="H23" i="38"/>
  <c r="H22" i="38"/>
  <c r="H21" i="38"/>
  <c r="H20" i="38"/>
  <c r="H19" i="38"/>
  <c r="H18" i="38"/>
  <c r="H17" i="38"/>
  <c r="H16" i="38"/>
  <c r="H15" i="38"/>
  <c r="H14" i="38"/>
  <c r="H13" i="38"/>
  <c r="H12" i="38"/>
  <c r="H11" i="38"/>
  <c r="H10" i="38"/>
  <c r="H9" i="38"/>
  <c r="H8" i="38"/>
  <c r="S8" i="38"/>
  <c r="R9" i="38"/>
  <c r="R10" i="38"/>
  <c r="R11" i="38"/>
  <c r="R12" i="38"/>
  <c r="R13" i="38"/>
  <c r="R14" i="38"/>
  <c r="R15" i="38"/>
  <c r="R16" i="38"/>
  <c r="R17" i="38"/>
  <c r="R18" i="38"/>
  <c r="R20" i="38"/>
  <c r="R21" i="38"/>
  <c r="R22" i="38"/>
  <c r="R23" i="38"/>
  <c r="R24" i="38"/>
  <c r="R25" i="38"/>
  <c r="R26" i="38"/>
  <c r="R27" i="38"/>
  <c r="R28" i="38"/>
  <c r="R29" i="38"/>
  <c r="R30" i="38"/>
  <c r="R32" i="38"/>
  <c r="R33" i="38"/>
  <c r="R34" i="38"/>
  <c r="R35" i="38"/>
  <c r="R36" i="38"/>
  <c r="R37" i="38"/>
  <c r="R38" i="38"/>
  <c r="R39" i="38"/>
  <c r="R40" i="38"/>
  <c r="R41" i="38"/>
  <c r="R42" i="38"/>
  <c r="R44" i="38"/>
  <c r="R45" i="38"/>
  <c r="R46" i="38"/>
  <c r="R47" i="38"/>
  <c r="R48" i="38"/>
  <c r="R49" i="38"/>
  <c r="R50" i="38"/>
  <c r="R51" i="38"/>
  <c r="R52" i="38"/>
  <c r="R53" i="38"/>
  <c r="R54" i="38"/>
  <c r="R56" i="38"/>
  <c r="R57" i="38"/>
  <c r="R58" i="38"/>
  <c r="R59" i="38"/>
  <c r="R60" i="38"/>
  <c r="R61" i="38"/>
  <c r="R62" i="38"/>
  <c r="R63" i="38"/>
  <c r="R64" i="38"/>
  <c r="R65" i="38"/>
  <c r="R66" i="38"/>
  <c r="R68" i="38"/>
  <c r="R69" i="38"/>
  <c r="R70" i="38"/>
  <c r="R71" i="38"/>
  <c r="R72" i="38"/>
  <c r="R73" i="38"/>
  <c r="R74" i="38"/>
  <c r="R75" i="38"/>
  <c r="R76" i="38"/>
  <c r="R77" i="38"/>
  <c r="R78" i="38"/>
  <c r="R80" i="38"/>
  <c r="R81" i="38"/>
  <c r="R82" i="38"/>
  <c r="R83" i="38"/>
  <c r="R84" i="38"/>
  <c r="R85" i="38"/>
  <c r="R86" i="38"/>
  <c r="R87" i="38"/>
  <c r="R88" i="38"/>
  <c r="R89" i="38"/>
  <c r="R90" i="38"/>
  <c r="R92" i="38"/>
  <c r="R93" i="38"/>
  <c r="R94" i="38"/>
  <c r="R95" i="38"/>
  <c r="R96" i="38"/>
  <c r="R97" i="38"/>
  <c r="R98" i="38"/>
  <c r="R99" i="38"/>
  <c r="R100" i="38"/>
  <c r="R101" i="38"/>
  <c r="R102" i="38"/>
  <c r="R104" i="38"/>
  <c r="R105" i="38"/>
  <c r="R106" i="38"/>
  <c r="R107" i="38"/>
  <c r="R108" i="38"/>
  <c r="R109" i="38"/>
  <c r="R110" i="38"/>
  <c r="R111" i="38"/>
  <c r="R112" i="38"/>
  <c r="R113" i="38"/>
  <c r="R114" i="38"/>
  <c r="R116" i="38"/>
  <c r="R117" i="38"/>
  <c r="R118" i="38"/>
  <c r="R119" i="38"/>
  <c r="R120" i="38"/>
  <c r="R121" i="38"/>
  <c r="R122" i="38"/>
  <c r="R123" i="38"/>
  <c r="R124" i="38"/>
  <c r="R125" i="38"/>
  <c r="R126" i="38"/>
  <c r="R128" i="38"/>
  <c r="R129" i="38"/>
  <c r="R130" i="38"/>
  <c r="R131" i="38"/>
  <c r="R132" i="38"/>
  <c r="R133" i="38"/>
  <c r="R134" i="38"/>
  <c r="R135" i="38"/>
  <c r="R136" i="38"/>
  <c r="R137" i="38"/>
  <c r="R138" i="38"/>
  <c r="R140" i="38"/>
  <c r="R141" i="38"/>
  <c r="R142" i="38"/>
  <c r="R143" i="38"/>
  <c r="R144" i="38"/>
  <c r="R145" i="38"/>
  <c r="R146" i="38"/>
  <c r="R147" i="38"/>
  <c r="R148" i="38"/>
  <c r="R149" i="38"/>
  <c r="R150" i="38"/>
  <c r="R152" i="38"/>
  <c r="R153" i="38"/>
  <c r="R154" i="38"/>
  <c r="R155" i="38"/>
  <c r="R156" i="38"/>
  <c r="R157" i="38"/>
  <c r="R158" i="38"/>
  <c r="R159" i="38"/>
  <c r="R160" i="38"/>
  <c r="R161" i="38"/>
  <c r="R162" i="38"/>
  <c r="R164" i="38"/>
  <c r="R165" i="38"/>
  <c r="R166" i="38"/>
  <c r="R167" i="38"/>
  <c r="R168" i="38"/>
  <c r="R169" i="38"/>
  <c r="R170" i="38"/>
  <c r="R171" i="38"/>
  <c r="R172" i="38"/>
  <c r="R173" i="38"/>
  <c r="R174" i="38"/>
  <c r="R176" i="38"/>
  <c r="R177" i="38"/>
  <c r="R178" i="38"/>
  <c r="R179" i="38"/>
  <c r="R180" i="38"/>
  <c r="R181" i="38"/>
  <c r="R182" i="38"/>
  <c r="R183" i="38"/>
  <c r="R184" i="38"/>
  <c r="R185" i="38"/>
  <c r="R186" i="38"/>
  <c r="R188" i="38"/>
  <c r="R189" i="38"/>
  <c r="R190" i="38"/>
  <c r="R191" i="38"/>
  <c r="R192" i="38"/>
  <c r="R193" i="38"/>
  <c r="R194" i="38"/>
  <c r="R195" i="38"/>
  <c r="R196" i="38"/>
  <c r="R197" i="38"/>
  <c r="R198" i="38"/>
  <c r="R199" i="38"/>
  <c r="R200" i="38"/>
  <c r="R201" i="38"/>
  <c r="R202" i="38"/>
  <c r="R203" i="38"/>
  <c r="R204" i="38"/>
  <c r="R205" i="38"/>
  <c r="R206" i="38"/>
  <c r="R207" i="38"/>
  <c r="R208" i="38"/>
  <c r="R209" i="38"/>
  <c r="R210" i="38"/>
  <c r="R211" i="38"/>
  <c r="R212" i="38"/>
  <c r="R213" i="38"/>
  <c r="R214" i="38"/>
  <c r="R215" i="38"/>
  <c r="R216" i="38"/>
  <c r="R217" i="38"/>
  <c r="R218" i="38"/>
  <c r="R219" i="38"/>
  <c r="R220" i="38"/>
  <c r="R221" i="38"/>
  <c r="R222" i="38"/>
  <c r="R223" i="38"/>
  <c r="R224" i="38"/>
  <c r="R225" i="38"/>
  <c r="R226" i="38"/>
  <c r="R227" i="38"/>
  <c r="R228" i="38"/>
  <c r="R229" i="38"/>
  <c r="R230" i="38"/>
  <c r="R231" i="38"/>
  <c r="R232" i="38"/>
  <c r="R233" i="38"/>
  <c r="R234" i="38"/>
  <c r="R235" i="38"/>
  <c r="R236" i="38"/>
  <c r="R237" i="38"/>
  <c r="R238" i="38"/>
  <c r="R239" i="38"/>
  <c r="R240" i="38"/>
  <c r="R241" i="38"/>
  <c r="R242" i="38"/>
  <c r="R243" i="38"/>
  <c r="R244" i="38"/>
  <c r="R245" i="38"/>
  <c r="R246" i="38"/>
  <c r="R247" i="38"/>
  <c r="R248" i="38"/>
  <c r="R249" i="38"/>
  <c r="R250" i="38"/>
  <c r="R251" i="38"/>
  <c r="R252" i="38"/>
  <c r="R253" i="38"/>
  <c r="R254" i="38"/>
  <c r="R255" i="38"/>
  <c r="R256" i="38"/>
  <c r="R257" i="38"/>
  <c r="R258" i="38"/>
  <c r="R259" i="38"/>
  <c r="R8" i="38"/>
  <c r="N9" i="38"/>
  <c r="N10" i="38"/>
  <c r="N11" i="38"/>
  <c r="N12" i="38"/>
  <c r="N13" i="38"/>
  <c r="N14" i="38"/>
  <c r="N15" i="38"/>
  <c r="N16" i="38"/>
  <c r="N17" i="38"/>
  <c r="N18" i="38"/>
  <c r="N19" i="38"/>
  <c r="N20" i="38"/>
  <c r="N21" i="38"/>
  <c r="N22" i="38"/>
  <c r="N23" i="38"/>
  <c r="N24" i="38"/>
  <c r="N25" i="38"/>
  <c r="N26" i="38"/>
  <c r="N27" i="38"/>
  <c r="N28" i="38"/>
  <c r="N29" i="38"/>
  <c r="N30" i="38"/>
  <c r="N31" i="38"/>
  <c r="N32" i="38"/>
  <c r="N33" i="38"/>
  <c r="N34" i="38"/>
  <c r="N35" i="38"/>
  <c r="N36" i="38"/>
  <c r="N37" i="38"/>
  <c r="N38" i="38"/>
  <c r="N39" i="38"/>
  <c r="N40" i="38"/>
  <c r="N41" i="38"/>
  <c r="N42" i="38"/>
  <c r="N43" i="38"/>
  <c r="N44" i="38"/>
  <c r="N45" i="38"/>
  <c r="N46" i="38"/>
  <c r="N47" i="38"/>
  <c r="N48" i="38"/>
  <c r="N49" i="38"/>
  <c r="N50" i="38"/>
  <c r="N51" i="38"/>
  <c r="N52" i="38"/>
  <c r="N53" i="38"/>
  <c r="N54" i="38"/>
  <c r="N55" i="38"/>
  <c r="N56" i="38"/>
  <c r="N57" i="38"/>
  <c r="N58" i="38"/>
  <c r="N59" i="38"/>
  <c r="N60" i="38"/>
  <c r="N61" i="38"/>
  <c r="N62" i="38"/>
  <c r="N63" i="38"/>
  <c r="N64" i="38"/>
  <c r="N65" i="38"/>
  <c r="N66" i="38"/>
  <c r="N67" i="38"/>
  <c r="N68" i="38"/>
  <c r="N69" i="38"/>
  <c r="N70" i="38"/>
  <c r="N71" i="38"/>
  <c r="N72" i="38"/>
  <c r="N73" i="38"/>
  <c r="N74" i="38"/>
  <c r="N75" i="38"/>
  <c r="N76" i="38"/>
  <c r="N77" i="38"/>
  <c r="N78" i="38"/>
  <c r="N79" i="38"/>
  <c r="N80" i="38"/>
  <c r="N81" i="38"/>
  <c r="N82" i="38"/>
  <c r="N83" i="38"/>
  <c r="N84" i="38"/>
  <c r="N85" i="38"/>
  <c r="N86" i="38"/>
  <c r="N87" i="38"/>
  <c r="N88" i="38"/>
  <c r="N89" i="38"/>
  <c r="N90" i="38"/>
  <c r="N91" i="38"/>
  <c r="N92" i="38"/>
  <c r="N93" i="38"/>
  <c r="N94" i="38"/>
  <c r="N95" i="38"/>
  <c r="N96" i="38"/>
  <c r="N97" i="38"/>
  <c r="N98" i="38"/>
  <c r="N99" i="38"/>
  <c r="N100" i="38"/>
  <c r="N101" i="38"/>
  <c r="N102" i="38"/>
  <c r="N103" i="38"/>
  <c r="N104" i="38"/>
  <c r="N105" i="38"/>
  <c r="N106" i="38"/>
  <c r="N107" i="38"/>
  <c r="N108" i="38"/>
  <c r="N109" i="38"/>
  <c r="N110" i="38"/>
  <c r="N111" i="38"/>
  <c r="N112" i="38"/>
  <c r="N113" i="38"/>
  <c r="N114" i="38"/>
  <c r="N115" i="38"/>
  <c r="N116" i="38"/>
  <c r="N117" i="38"/>
  <c r="N118" i="38"/>
  <c r="N119" i="38"/>
  <c r="N120" i="38"/>
  <c r="N121" i="38"/>
  <c r="N122" i="38"/>
  <c r="N123" i="38"/>
  <c r="N124" i="38"/>
  <c r="N125" i="38"/>
  <c r="N126" i="38"/>
  <c r="N127" i="38"/>
  <c r="N128" i="38"/>
  <c r="N129" i="38"/>
  <c r="N130" i="38"/>
  <c r="N131" i="38"/>
  <c r="N132" i="38"/>
  <c r="N133" i="38"/>
  <c r="N134" i="38"/>
  <c r="N135" i="38"/>
  <c r="N136" i="38"/>
  <c r="N137" i="38"/>
  <c r="N138" i="38"/>
  <c r="N139" i="38"/>
  <c r="N140" i="38"/>
  <c r="N141" i="38"/>
  <c r="N142" i="38"/>
  <c r="N143" i="38"/>
  <c r="N144" i="38"/>
  <c r="N145" i="38"/>
  <c r="N146" i="38"/>
  <c r="N147" i="38"/>
  <c r="N148" i="38"/>
  <c r="N149" i="38"/>
  <c r="N150" i="38"/>
  <c r="N151" i="38"/>
  <c r="N152" i="38"/>
  <c r="N153" i="38"/>
  <c r="N154" i="38"/>
  <c r="N155" i="38"/>
  <c r="N156" i="38"/>
  <c r="N157" i="38"/>
  <c r="N158" i="38"/>
  <c r="N159" i="38"/>
  <c r="N160" i="38"/>
  <c r="N161" i="38"/>
  <c r="N162" i="38"/>
  <c r="N163" i="38"/>
  <c r="N164" i="38"/>
  <c r="N165" i="38"/>
  <c r="N166" i="38"/>
  <c r="N167" i="38"/>
  <c r="N168" i="38"/>
  <c r="N169" i="38"/>
  <c r="N170" i="38"/>
  <c r="N171" i="38"/>
  <c r="N172" i="38"/>
  <c r="N173" i="38"/>
  <c r="N174" i="38"/>
  <c r="N175" i="38"/>
  <c r="N176" i="38"/>
  <c r="N177" i="38"/>
  <c r="N178" i="38"/>
  <c r="N179" i="38"/>
  <c r="N180" i="38"/>
  <c r="N181" i="38"/>
  <c r="N182" i="38"/>
  <c r="N183" i="38"/>
  <c r="N184" i="38"/>
  <c r="N185" i="38"/>
  <c r="N186" i="38"/>
  <c r="N187" i="38"/>
  <c r="N188" i="38"/>
  <c r="N189" i="38"/>
  <c r="N190" i="38"/>
  <c r="N191" i="38"/>
  <c r="N192" i="38"/>
  <c r="N193" i="38"/>
  <c r="N194" i="38"/>
  <c r="N195" i="38"/>
  <c r="N196" i="38"/>
  <c r="N197" i="38"/>
  <c r="N198" i="38"/>
  <c r="N199" i="38"/>
  <c r="N200" i="38"/>
  <c r="N201" i="38"/>
  <c r="N202" i="38"/>
  <c r="N203" i="38"/>
  <c r="N204" i="38"/>
  <c r="N205" i="38"/>
  <c r="N206" i="38"/>
  <c r="N207" i="38"/>
  <c r="N208" i="38"/>
  <c r="N209" i="38"/>
  <c r="N210" i="38"/>
  <c r="N211" i="38"/>
  <c r="N212" i="38"/>
  <c r="N213" i="38"/>
  <c r="N214" i="38"/>
  <c r="N215" i="38"/>
  <c r="N216" i="38"/>
  <c r="N217" i="38"/>
  <c r="N218" i="38"/>
  <c r="N219" i="38"/>
  <c r="N220" i="38"/>
  <c r="N221" i="38"/>
  <c r="N222" i="38"/>
  <c r="N223" i="38"/>
  <c r="N224" i="38"/>
  <c r="N225" i="38"/>
  <c r="N226" i="38"/>
  <c r="N227" i="38"/>
  <c r="N228" i="38"/>
  <c r="N229" i="38"/>
  <c r="N230" i="38"/>
  <c r="N231" i="38"/>
  <c r="N232" i="38"/>
  <c r="N233" i="38"/>
  <c r="N234" i="38"/>
  <c r="N235" i="38"/>
  <c r="N236" i="38"/>
  <c r="N237" i="38"/>
  <c r="N238" i="38"/>
  <c r="N239" i="38"/>
  <c r="N240" i="38"/>
  <c r="N241" i="38"/>
  <c r="N242" i="38"/>
  <c r="N243" i="38"/>
  <c r="N244" i="38"/>
  <c r="N245" i="38"/>
  <c r="N246" i="38"/>
  <c r="N247" i="38"/>
  <c r="N248" i="38"/>
  <c r="N249" i="38"/>
  <c r="N250" i="38"/>
  <c r="N251" i="38"/>
  <c r="N252" i="38"/>
  <c r="N253" i="38"/>
  <c r="N254" i="38"/>
  <c r="N255" i="38"/>
  <c r="N256" i="38"/>
  <c r="N257" i="38"/>
  <c r="N258" i="38"/>
  <c r="N259" i="38"/>
  <c r="N8" i="38"/>
  <c r="G9" i="38"/>
  <c r="G10" i="38"/>
  <c r="G11" i="38"/>
  <c r="G12" i="38"/>
  <c r="G13" i="38"/>
  <c r="G14" i="38"/>
  <c r="G15" i="38"/>
  <c r="G16" i="38"/>
  <c r="G17" i="38"/>
  <c r="G18" i="38"/>
  <c r="G19" i="38"/>
  <c r="G20" i="38"/>
  <c r="G21" i="38"/>
  <c r="G22" i="38"/>
  <c r="G23" i="38"/>
  <c r="G24" i="38"/>
  <c r="G25" i="38"/>
  <c r="G26" i="38"/>
  <c r="G27" i="38"/>
  <c r="G28" i="38"/>
  <c r="G29" i="38"/>
  <c r="G30" i="38"/>
  <c r="G31" i="38"/>
  <c r="G32" i="38"/>
  <c r="G33" i="38"/>
  <c r="G34" i="38"/>
  <c r="G35" i="38"/>
  <c r="G36" i="38"/>
  <c r="G37" i="38"/>
  <c r="G38" i="38"/>
  <c r="G39" i="38"/>
  <c r="G40" i="38"/>
  <c r="G41" i="38"/>
  <c r="G42" i="38"/>
  <c r="G43" i="38"/>
  <c r="G44" i="38"/>
  <c r="G45" i="38"/>
  <c r="G46" i="38"/>
  <c r="G47" i="38"/>
  <c r="G48" i="38"/>
  <c r="G49" i="38"/>
  <c r="G50" i="38"/>
  <c r="G51" i="38"/>
  <c r="G52" i="38"/>
  <c r="G53" i="38"/>
  <c r="G54" i="38"/>
  <c r="G55" i="38"/>
  <c r="G56" i="38"/>
  <c r="G57" i="38"/>
  <c r="G58" i="38"/>
  <c r="G59" i="38"/>
  <c r="G60" i="38"/>
  <c r="G61" i="38"/>
  <c r="G62" i="38"/>
  <c r="G63" i="38"/>
  <c r="G64" i="38"/>
  <c r="G65" i="38"/>
  <c r="G66" i="38"/>
  <c r="G67" i="38"/>
  <c r="G68" i="38"/>
  <c r="G69" i="38"/>
  <c r="G70" i="38"/>
  <c r="G71" i="38"/>
  <c r="G72" i="38"/>
  <c r="G73" i="38"/>
  <c r="G74" i="38"/>
  <c r="G75" i="38"/>
  <c r="G76" i="38"/>
  <c r="G77" i="38"/>
  <c r="G78" i="38"/>
  <c r="G79" i="38"/>
  <c r="G80" i="38"/>
  <c r="G81" i="38"/>
  <c r="G82" i="38"/>
  <c r="G83" i="38"/>
  <c r="G84" i="38"/>
  <c r="G85" i="38"/>
  <c r="G86" i="38"/>
  <c r="G87" i="38"/>
  <c r="G88" i="38"/>
  <c r="G89" i="38"/>
  <c r="G90" i="38"/>
  <c r="G91" i="38"/>
  <c r="G92" i="38"/>
  <c r="G93" i="38"/>
  <c r="G94" i="38"/>
  <c r="G95" i="38"/>
  <c r="G96" i="38"/>
  <c r="G97" i="38"/>
  <c r="G98" i="38"/>
  <c r="G99" i="38"/>
  <c r="G100" i="38"/>
  <c r="G101" i="38"/>
  <c r="G102" i="38"/>
  <c r="G103" i="38"/>
  <c r="G104" i="38"/>
  <c r="G105" i="38"/>
  <c r="G106" i="38"/>
  <c r="G107" i="38"/>
  <c r="G108" i="38"/>
  <c r="G109" i="38"/>
  <c r="G110" i="38"/>
  <c r="G111" i="38"/>
  <c r="G112" i="38"/>
  <c r="G113" i="38"/>
  <c r="G114" i="38"/>
  <c r="G115" i="38"/>
  <c r="G116" i="38"/>
  <c r="G117" i="38"/>
  <c r="G118" i="38"/>
  <c r="G119" i="38"/>
  <c r="G120" i="38"/>
  <c r="G121" i="38"/>
  <c r="G122" i="38"/>
  <c r="G123" i="38"/>
  <c r="G124" i="38"/>
  <c r="G125" i="38"/>
  <c r="G126" i="38"/>
  <c r="G127" i="38"/>
  <c r="G128" i="38"/>
  <c r="G129" i="38"/>
  <c r="G130" i="38"/>
  <c r="G131" i="38"/>
  <c r="G132" i="38"/>
  <c r="G133" i="38"/>
  <c r="G134" i="38"/>
  <c r="G135" i="38"/>
  <c r="G136" i="38"/>
  <c r="G137" i="38"/>
  <c r="G138" i="38"/>
  <c r="G139" i="38"/>
  <c r="G140" i="38"/>
  <c r="G141" i="38"/>
  <c r="G142" i="38"/>
  <c r="G143" i="38"/>
  <c r="G144" i="38"/>
  <c r="G145" i="38"/>
  <c r="G146" i="38"/>
  <c r="G147" i="38"/>
  <c r="G148" i="38"/>
  <c r="G149" i="38"/>
  <c r="G150" i="38"/>
  <c r="G151" i="38"/>
  <c r="G152" i="38"/>
  <c r="G153" i="38"/>
  <c r="G154" i="38"/>
  <c r="G155" i="38"/>
  <c r="G156" i="38"/>
  <c r="G157" i="38"/>
  <c r="G158" i="38"/>
  <c r="G159" i="38"/>
  <c r="G160" i="38"/>
  <c r="G161" i="38"/>
  <c r="G162" i="38"/>
  <c r="G163" i="38"/>
  <c r="G164" i="38"/>
  <c r="G165" i="38"/>
  <c r="G166" i="38"/>
  <c r="G167" i="38"/>
  <c r="G168" i="38"/>
  <c r="G169" i="38"/>
  <c r="G170" i="38"/>
  <c r="G171" i="38"/>
  <c r="G172" i="38"/>
  <c r="G173" i="38"/>
  <c r="G174" i="38"/>
  <c r="G175" i="38"/>
  <c r="G176" i="38"/>
  <c r="G177" i="38"/>
  <c r="G178" i="38"/>
  <c r="G179" i="38"/>
  <c r="G180" i="38"/>
  <c r="G181" i="38"/>
  <c r="G182" i="38"/>
  <c r="G183" i="38"/>
  <c r="G184" i="38"/>
  <c r="G185" i="38"/>
  <c r="G186" i="38"/>
  <c r="G187" i="38"/>
  <c r="G188" i="38"/>
  <c r="G189" i="38"/>
  <c r="G190" i="38"/>
  <c r="G191" i="38"/>
  <c r="G192" i="38"/>
  <c r="G193" i="38"/>
  <c r="G194" i="38"/>
  <c r="G195" i="38"/>
  <c r="G196" i="38"/>
  <c r="G197" i="38"/>
  <c r="G198" i="38"/>
  <c r="G199" i="38"/>
  <c r="G200" i="38"/>
  <c r="G201" i="38"/>
  <c r="G202" i="38"/>
  <c r="G203" i="38"/>
  <c r="G204" i="38"/>
  <c r="G205" i="38"/>
  <c r="G206" i="38"/>
  <c r="G207" i="38"/>
  <c r="G208" i="38"/>
  <c r="G209" i="38"/>
  <c r="G210" i="38"/>
  <c r="G211" i="38"/>
  <c r="G212" i="38"/>
  <c r="G213" i="38"/>
  <c r="G214" i="38"/>
  <c r="G215" i="38"/>
  <c r="G216" i="38"/>
  <c r="G217" i="38"/>
  <c r="G218" i="38"/>
  <c r="G219" i="38"/>
  <c r="G220" i="38"/>
  <c r="G221" i="38"/>
  <c r="G222" i="38"/>
  <c r="G223" i="38"/>
  <c r="G224" i="38"/>
  <c r="G225" i="38"/>
  <c r="G226" i="38"/>
  <c r="G227" i="38"/>
  <c r="G228" i="38"/>
  <c r="G229" i="38"/>
  <c r="G230" i="38"/>
  <c r="G231" i="38"/>
  <c r="G232" i="38"/>
  <c r="G233" i="38"/>
  <c r="G234" i="38"/>
  <c r="G235" i="38"/>
  <c r="G236" i="38"/>
  <c r="G237" i="38"/>
  <c r="G238" i="38"/>
  <c r="G239" i="38"/>
  <c r="G240" i="38"/>
  <c r="G241" i="38"/>
  <c r="G242" i="38"/>
  <c r="G243" i="38"/>
  <c r="G244" i="38"/>
  <c r="G245" i="38"/>
  <c r="G246" i="38"/>
  <c r="G247" i="38"/>
  <c r="G248" i="38"/>
  <c r="G249" i="38"/>
  <c r="G250" i="38"/>
  <c r="G251" i="38"/>
  <c r="G252" i="38"/>
  <c r="G253" i="38"/>
  <c r="G254" i="38"/>
  <c r="G255" i="38"/>
  <c r="G256" i="38"/>
  <c r="G257" i="38"/>
  <c r="G258" i="38"/>
  <c r="G259" i="38"/>
  <c r="G8" i="38"/>
  <c r="K8" i="38" s="1"/>
  <c r="I9" i="38" s="1"/>
  <c r="K9" i="38"/>
  <c r="J8" i="38"/>
  <c r="I8" i="38"/>
  <c r="J9" i="38" l="1"/>
  <c r="I10" i="38" s="1"/>
  <c r="K10" i="38"/>
  <c r="J10" i="38" l="1"/>
  <c r="K11" i="38"/>
  <c r="I11" i="38"/>
  <c r="D17" i="1"/>
  <c r="T8" i="38"/>
  <c r="W8" i="38" l="1"/>
  <c r="Y8" i="38"/>
  <c r="Y9" i="38"/>
  <c r="J11" i="38"/>
  <c r="K12" i="38"/>
  <c r="I12" i="38"/>
  <c r="Y10" i="38" l="1"/>
  <c r="K13" i="38"/>
  <c r="J12" i="38"/>
  <c r="I13" i="38" s="1"/>
  <c r="Y11" i="38" l="1"/>
  <c r="J13" i="38"/>
  <c r="I14" i="38" s="1"/>
  <c r="K14" i="38"/>
  <c r="Y12" i="38" l="1"/>
  <c r="J14" i="38"/>
  <c r="K15" i="38"/>
  <c r="I15" i="38"/>
  <c r="Y13" i="38" l="1"/>
  <c r="J15" i="38"/>
  <c r="I16" i="38" s="1"/>
  <c r="K16" i="38"/>
  <c r="Y14" i="38" l="1"/>
  <c r="J16" i="38"/>
  <c r="I17" i="38" s="1"/>
  <c r="K17" i="38"/>
  <c r="Y15" i="38" l="1"/>
  <c r="K18" i="38"/>
  <c r="J17" i="38"/>
  <c r="I18" i="38" s="1"/>
  <c r="Y16" i="38" l="1"/>
  <c r="J18" i="38"/>
  <c r="K19" i="38"/>
  <c r="I19" i="38"/>
  <c r="Y17" i="38" l="1"/>
  <c r="J19" i="38"/>
  <c r="K20" i="38"/>
  <c r="I20" i="38"/>
  <c r="Y18" i="38" l="1"/>
  <c r="K21" i="38"/>
  <c r="J20" i="38"/>
  <c r="I21" i="38" s="1"/>
  <c r="Y19" i="38" l="1"/>
  <c r="J21" i="38"/>
  <c r="I22" i="38" s="1"/>
  <c r="K22" i="38"/>
  <c r="J22" i="38" l="1"/>
  <c r="I23" i="38" s="1"/>
  <c r="K23" i="38"/>
  <c r="X21" i="38" l="1"/>
  <c r="Y21" i="38"/>
  <c r="J23" i="38"/>
  <c r="I24" i="38" s="1"/>
  <c r="K24" i="38"/>
  <c r="Y22" i="38" l="1"/>
  <c r="X22" i="38"/>
  <c r="J24" i="38"/>
  <c r="I25" i="38" s="1"/>
  <c r="K25" i="38"/>
  <c r="Y23" i="38" l="1"/>
  <c r="X23" i="38"/>
  <c r="K26" i="38"/>
  <c r="J25" i="38"/>
  <c r="I26" i="38" s="1"/>
  <c r="X24" i="38" l="1"/>
  <c r="Y24" i="38"/>
  <c r="J26" i="38"/>
  <c r="I27" i="38" s="1"/>
  <c r="K27" i="38"/>
  <c r="X25" i="38" l="1"/>
  <c r="Y25" i="38"/>
  <c r="J27" i="38"/>
  <c r="K28" i="38"/>
  <c r="I28" i="38"/>
  <c r="Y26" i="38" l="1"/>
  <c r="X26" i="38"/>
  <c r="K29" i="38"/>
  <c r="J28" i="38"/>
  <c r="I29" i="38" s="1"/>
  <c r="Y27" i="38" l="1"/>
  <c r="X27" i="38"/>
  <c r="J29" i="38"/>
  <c r="I30" i="38" s="1"/>
  <c r="K30" i="38"/>
  <c r="X28" i="38" l="1"/>
  <c r="Y28" i="38"/>
  <c r="J30" i="38"/>
  <c r="I31" i="38" s="1"/>
  <c r="K31" i="38"/>
  <c r="X29" i="38" l="1"/>
  <c r="Y29" i="38"/>
  <c r="J31" i="38"/>
  <c r="K32" i="38"/>
  <c r="I32" i="38"/>
  <c r="Y30" i="38" l="1"/>
  <c r="X30" i="38"/>
  <c r="J32" i="38"/>
  <c r="I33" i="38" s="1"/>
  <c r="K33" i="38"/>
  <c r="Y31" i="38" l="1"/>
  <c r="X31" i="38"/>
  <c r="K34" i="38"/>
  <c r="J33" i="38"/>
  <c r="I34" i="38" s="1"/>
  <c r="J34" i="38" l="1"/>
  <c r="I35" i="38" s="1"/>
  <c r="K35" i="38"/>
  <c r="X33" i="38" l="1"/>
  <c r="Y33" i="38"/>
  <c r="J35" i="38"/>
  <c r="I36" i="38" s="1"/>
  <c r="K36" i="38"/>
  <c r="Y34" i="38" l="1"/>
  <c r="X34" i="38"/>
  <c r="J36" i="38"/>
  <c r="K37" i="38"/>
  <c r="I37" i="38"/>
  <c r="Y35" i="38" l="1"/>
  <c r="X35" i="38"/>
  <c r="J37" i="38"/>
  <c r="I38" i="38" s="1"/>
  <c r="K38" i="38"/>
  <c r="Y36" i="38" l="1"/>
  <c r="X36" i="38"/>
  <c r="J38" i="38"/>
  <c r="I39" i="38" s="1"/>
  <c r="K39" i="38"/>
  <c r="X37" i="38" l="1"/>
  <c r="Y37" i="38"/>
  <c r="J39" i="38"/>
  <c r="I40" i="38" s="1"/>
  <c r="K40" i="38"/>
  <c r="X38" i="38" l="1"/>
  <c r="Y38" i="38"/>
  <c r="K41" i="38"/>
  <c r="J40" i="38"/>
  <c r="I41" i="38" s="1"/>
  <c r="Y39" i="38" l="1"/>
  <c r="X39" i="38"/>
  <c r="I42" i="38"/>
  <c r="J41" i="38"/>
  <c r="K42" i="38"/>
  <c r="Y40" i="38" l="1"/>
  <c r="X40" i="38"/>
  <c r="K43" i="38"/>
  <c r="J42" i="38"/>
  <c r="I43" i="38" s="1"/>
  <c r="O8" i="38"/>
  <c r="V8" i="38" s="1"/>
  <c r="F8" i="38"/>
  <c r="F9" i="38"/>
  <c r="F10" i="38"/>
  <c r="F11" i="38"/>
  <c r="F12" i="38"/>
  <c r="F13" i="38"/>
  <c r="F14" i="38"/>
  <c r="F15" i="38"/>
  <c r="F16" i="38"/>
  <c r="F17" i="38"/>
  <c r="F18" i="38"/>
  <c r="F19" i="38"/>
  <c r="F20" i="38"/>
  <c r="F21" i="38"/>
  <c r="F22" i="38"/>
  <c r="F23" i="38"/>
  <c r="F24" i="38"/>
  <c r="F25" i="38"/>
  <c r="F26" i="38"/>
  <c r="F27" i="38"/>
  <c r="F28" i="38"/>
  <c r="F29" i="38"/>
  <c r="F30" i="38"/>
  <c r="F31" i="38"/>
  <c r="F32" i="38"/>
  <c r="F33" i="38"/>
  <c r="F34" i="38"/>
  <c r="F35" i="38"/>
  <c r="F36" i="38"/>
  <c r="F37" i="38"/>
  <c r="F38" i="38"/>
  <c r="F39" i="38"/>
  <c r="F40" i="38"/>
  <c r="F41" i="38"/>
  <c r="F42" i="38"/>
  <c r="F43" i="38"/>
  <c r="F44" i="38"/>
  <c r="F45" i="38"/>
  <c r="F46" i="38"/>
  <c r="F47" i="38"/>
  <c r="F48" i="38"/>
  <c r="F49" i="38"/>
  <c r="F50" i="38"/>
  <c r="F51" i="38"/>
  <c r="F52" i="38"/>
  <c r="F53" i="38"/>
  <c r="F54" i="38"/>
  <c r="F55" i="38"/>
  <c r="F56" i="38"/>
  <c r="F57" i="38"/>
  <c r="F58" i="38"/>
  <c r="F59" i="38"/>
  <c r="F60" i="38"/>
  <c r="F61" i="38"/>
  <c r="F62" i="38"/>
  <c r="F63" i="38"/>
  <c r="F64" i="38"/>
  <c r="F65" i="38"/>
  <c r="F66" i="38"/>
  <c r="F67" i="38"/>
  <c r="F68" i="38"/>
  <c r="F69" i="38"/>
  <c r="F70" i="38"/>
  <c r="F71" i="38"/>
  <c r="F72" i="38"/>
  <c r="F73" i="38"/>
  <c r="F74" i="38"/>
  <c r="F75" i="38"/>
  <c r="F76" i="38"/>
  <c r="F77" i="38"/>
  <c r="F78" i="38"/>
  <c r="F79" i="38"/>
  <c r="F80" i="38"/>
  <c r="F81" i="38"/>
  <c r="F82" i="38"/>
  <c r="F83" i="38"/>
  <c r="F84" i="38"/>
  <c r="F85" i="38"/>
  <c r="F86" i="38"/>
  <c r="F87" i="38"/>
  <c r="F88" i="38"/>
  <c r="F89" i="38"/>
  <c r="F90" i="38"/>
  <c r="F91" i="38"/>
  <c r="F92" i="38"/>
  <c r="F93" i="38"/>
  <c r="F94" i="38"/>
  <c r="F95" i="38"/>
  <c r="F96" i="38"/>
  <c r="F97" i="38"/>
  <c r="F98" i="38"/>
  <c r="F99" i="38"/>
  <c r="F100" i="38"/>
  <c r="F101" i="38"/>
  <c r="F102" i="38"/>
  <c r="F103" i="38"/>
  <c r="F104" i="38"/>
  <c r="F105" i="38"/>
  <c r="F106" i="38"/>
  <c r="F107" i="38"/>
  <c r="F108" i="38"/>
  <c r="F109" i="38"/>
  <c r="F110" i="38"/>
  <c r="F111" i="38"/>
  <c r="F112" i="38"/>
  <c r="F113" i="38"/>
  <c r="F114" i="38"/>
  <c r="F115" i="38"/>
  <c r="F116" i="38"/>
  <c r="F117" i="38"/>
  <c r="F118" i="38"/>
  <c r="F119" i="38"/>
  <c r="F120" i="38"/>
  <c r="F121" i="38"/>
  <c r="F122" i="38"/>
  <c r="F123" i="38"/>
  <c r="F124" i="38"/>
  <c r="F125" i="38"/>
  <c r="F126" i="38"/>
  <c r="F127" i="38"/>
  <c r="F128" i="38"/>
  <c r="F129" i="38"/>
  <c r="F130" i="38"/>
  <c r="F131" i="38"/>
  <c r="F132" i="38"/>
  <c r="F133" i="38"/>
  <c r="F134" i="38"/>
  <c r="F135" i="38"/>
  <c r="F136" i="38"/>
  <c r="F137" i="38"/>
  <c r="F138" i="38"/>
  <c r="F139" i="38"/>
  <c r="F140" i="38"/>
  <c r="F141" i="38"/>
  <c r="F142" i="38"/>
  <c r="F143" i="38"/>
  <c r="F144" i="38"/>
  <c r="F145" i="38"/>
  <c r="F146" i="38"/>
  <c r="F147" i="38"/>
  <c r="F148" i="38"/>
  <c r="F149" i="38"/>
  <c r="F150" i="38"/>
  <c r="F151" i="38"/>
  <c r="F152" i="38"/>
  <c r="F153" i="38"/>
  <c r="F154" i="38"/>
  <c r="F155" i="38"/>
  <c r="F156" i="38"/>
  <c r="F157" i="38"/>
  <c r="F158" i="38"/>
  <c r="F159" i="38"/>
  <c r="F160" i="38"/>
  <c r="F161" i="38"/>
  <c r="F162" i="38"/>
  <c r="F163" i="38"/>
  <c r="F164" i="38"/>
  <c r="F165" i="38"/>
  <c r="F166" i="38"/>
  <c r="F167" i="38"/>
  <c r="F168" i="38"/>
  <c r="F169" i="38"/>
  <c r="F170" i="38"/>
  <c r="F171" i="38"/>
  <c r="F172" i="38"/>
  <c r="F173" i="38"/>
  <c r="F174" i="38"/>
  <c r="F175" i="38"/>
  <c r="F176" i="38"/>
  <c r="F177" i="38"/>
  <c r="F178" i="38"/>
  <c r="F179" i="38"/>
  <c r="F180" i="38"/>
  <c r="F181" i="38"/>
  <c r="F182" i="38"/>
  <c r="F183" i="38"/>
  <c r="F184" i="38"/>
  <c r="F185" i="38"/>
  <c r="F186" i="38"/>
  <c r="F187" i="38"/>
  <c r="F188" i="38"/>
  <c r="F189" i="38"/>
  <c r="F190" i="38"/>
  <c r="F191" i="38"/>
  <c r="F192" i="38"/>
  <c r="F193" i="38"/>
  <c r="F194" i="38"/>
  <c r="F195" i="38"/>
  <c r="F196" i="38"/>
  <c r="F197" i="38"/>
  <c r="F198" i="38"/>
  <c r="F199" i="38"/>
  <c r="F200" i="38"/>
  <c r="F201" i="38"/>
  <c r="F202" i="38"/>
  <c r="F203" i="38"/>
  <c r="F204" i="38"/>
  <c r="F205" i="38"/>
  <c r="F206" i="38"/>
  <c r="F207" i="38"/>
  <c r="F208" i="38"/>
  <c r="F209" i="38"/>
  <c r="F210" i="38"/>
  <c r="F211" i="38"/>
  <c r="F212" i="38"/>
  <c r="F213" i="38"/>
  <c r="F214" i="38"/>
  <c r="F215" i="38"/>
  <c r="F216" i="38"/>
  <c r="F217" i="38"/>
  <c r="F218" i="38"/>
  <c r="F219" i="38"/>
  <c r="F220" i="38"/>
  <c r="F221" i="38"/>
  <c r="F222" i="38"/>
  <c r="F223" i="38"/>
  <c r="F224" i="38"/>
  <c r="F225" i="38"/>
  <c r="F226" i="38"/>
  <c r="F227" i="38"/>
  <c r="F228" i="38"/>
  <c r="F229" i="38"/>
  <c r="F230" i="38"/>
  <c r="F231" i="38"/>
  <c r="F232" i="38"/>
  <c r="F233" i="38"/>
  <c r="F234" i="38"/>
  <c r="F235" i="38"/>
  <c r="F236" i="38"/>
  <c r="F237" i="38"/>
  <c r="F238" i="38"/>
  <c r="F239" i="38"/>
  <c r="F240" i="38"/>
  <c r="F241" i="38"/>
  <c r="F242" i="38"/>
  <c r="F243" i="38"/>
  <c r="F244" i="38"/>
  <c r="F245" i="38"/>
  <c r="F246" i="38"/>
  <c r="F247" i="38"/>
  <c r="F248" i="38"/>
  <c r="F249" i="38"/>
  <c r="F250" i="38"/>
  <c r="F251" i="38"/>
  <c r="F252" i="38"/>
  <c r="F253" i="38"/>
  <c r="F254" i="38"/>
  <c r="F255" i="38"/>
  <c r="F256" i="38"/>
  <c r="F257" i="38"/>
  <c r="F258" i="38"/>
  <c r="F259" i="38"/>
  <c r="AC8" i="38" l="1"/>
  <c r="AD8" i="38" s="1"/>
  <c r="AE8" i="38" s="1"/>
  <c r="U8" i="38" s="1"/>
  <c r="M9" i="38"/>
  <c r="P9" i="38" s="1"/>
  <c r="X41" i="38"/>
  <c r="Y41" i="38"/>
  <c r="J43" i="38"/>
  <c r="I44" i="38" s="1"/>
  <c r="K44" i="38"/>
  <c r="Y42" i="38" l="1"/>
  <c r="X42" i="38"/>
  <c r="T9" i="38"/>
  <c r="U9" i="38" s="1"/>
  <c r="J44" i="38"/>
  <c r="I45" i="38" s="1"/>
  <c r="K45" i="38"/>
  <c r="X20" i="38"/>
  <c r="Y20" i="38"/>
  <c r="V9" i="38" l="1"/>
  <c r="Y43" i="38"/>
  <c r="X43" i="38"/>
  <c r="J45" i="38"/>
  <c r="I46" i="38" s="1"/>
  <c r="K46" i="38"/>
  <c r="AC9" i="38" l="1"/>
  <c r="M10" i="38"/>
  <c r="K47" i="38"/>
  <c r="J46" i="38"/>
  <c r="I47" i="38" s="1"/>
  <c r="P10" i="38" l="1"/>
  <c r="Q10" i="38"/>
  <c r="Y45" i="38"/>
  <c r="X45" i="38"/>
  <c r="T10" i="38"/>
  <c r="U10" i="38" s="1"/>
  <c r="J47" i="38"/>
  <c r="I48" i="38" s="1"/>
  <c r="K48" i="38"/>
  <c r="V10" i="38" l="1"/>
  <c r="M11" i="38" s="1"/>
  <c r="X46" i="38"/>
  <c r="Y46" i="38"/>
  <c r="J48" i="38"/>
  <c r="I49" i="38" s="1"/>
  <c r="K49" i="38"/>
  <c r="P11" i="38" l="1"/>
  <c r="Q11" i="38"/>
  <c r="AC10" i="38"/>
  <c r="X47" i="38"/>
  <c r="Y47" i="38"/>
  <c r="T11" i="38"/>
  <c r="U11" i="38" s="1"/>
  <c r="K50" i="38"/>
  <c r="J49" i="38"/>
  <c r="I50" i="38" s="1"/>
  <c r="V11" i="38" l="1"/>
  <c r="AC11" i="38" s="1"/>
  <c r="Y48" i="38"/>
  <c r="X48" i="38"/>
  <c r="J50" i="38"/>
  <c r="I51" i="38" s="1"/>
  <c r="K51" i="38"/>
  <c r="M12" i="38" l="1"/>
  <c r="Y49" i="38"/>
  <c r="X49" i="38"/>
  <c r="J51" i="38"/>
  <c r="K52" i="38"/>
  <c r="I52" i="38"/>
  <c r="P12" i="38" l="1"/>
  <c r="Q12" i="38"/>
  <c r="T12" i="38"/>
  <c r="U12" i="38" s="1"/>
  <c r="X50" i="38"/>
  <c r="Y50" i="38"/>
  <c r="J52" i="38"/>
  <c r="I53" i="38" s="1"/>
  <c r="K53" i="38"/>
  <c r="V12" i="38" l="1"/>
  <c r="AC12" i="38" s="1"/>
  <c r="Y51" i="38"/>
  <c r="X51" i="38"/>
  <c r="K54" i="38"/>
  <c r="J53" i="38"/>
  <c r="I54" i="38" s="1"/>
  <c r="M13" i="38" l="1"/>
  <c r="Y52" i="38"/>
  <c r="X52" i="38"/>
  <c r="J54" i="38"/>
  <c r="I55" i="38" s="1"/>
  <c r="K55" i="38"/>
  <c r="P13" i="38" l="1"/>
  <c r="Q13" i="38"/>
  <c r="T13" i="38"/>
  <c r="U13" i="38" s="1"/>
  <c r="Y53" i="38"/>
  <c r="X53" i="38"/>
  <c r="J55" i="38"/>
  <c r="I56" i="38" s="1"/>
  <c r="K56" i="38"/>
  <c r="V13" i="38" l="1"/>
  <c r="AC13" i="38" s="1"/>
  <c r="X54" i="38"/>
  <c r="Y54" i="38"/>
  <c r="K57" i="38"/>
  <c r="J56" i="38"/>
  <c r="I57" i="38" s="1"/>
  <c r="M14" i="38" l="1"/>
  <c r="X55" i="38"/>
  <c r="Y55" i="38"/>
  <c r="J57" i="38"/>
  <c r="I58" i="38" s="1"/>
  <c r="K58" i="38"/>
  <c r="P14" i="38" l="1"/>
  <c r="Q14" i="38"/>
  <c r="T14" i="38"/>
  <c r="U14" i="38" s="1"/>
  <c r="K59" i="38"/>
  <c r="J58" i="38"/>
  <c r="I59" i="38" s="1"/>
  <c r="V14" i="38" l="1"/>
  <c r="M15" i="38" s="1"/>
  <c r="Y57" i="38"/>
  <c r="X57" i="38"/>
  <c r="J59" i="38"/>
  <c r="I60" i="38" s="1"/>
  <c r="K60" i="38"/>
  <c r="P15" i="38" l="1"/>
  <c r="Q15" i="38"/>
  <c r="AC14" i="38"/>
  <c r="T15" i="38"/>
  <c r="U15" i="38" s="1"/>
  <c r="Y58" i="38"/>
  <c r="X58" i="38"/>
  <c r="J60" i="38"/>
  <c r="I61" i="38" s="1"/>
  <c r="K61" i="38"/>
  <c r="V15" i="38" l="1"/>
  <c r="X59" i="38"/>
  <c r="Y59" i="38"/>
  <c r="J61" i="38"/>
  <c r="I62" i="38" s="1"/>
  <c r="K62" i="38"/>
  <c r="AC15" i="38" l="1"/>
  <c r="M16" i="38"/>
  <c r="Y60" i="38"/>
  <c r="X60" i="38"/>
  <c r="J62" i="38"/>
  <c r="I63" i="38" s="1"/>
  <c r="K63" i="38"/>
  <c r="P16" i="38" l="1"/>
  <c r="Q16" i="38"/>
  <c r="T16" i="38"/>
  <c r="U16" i="38" s="1"/>
  <c r="Y61" i="38"/>
  <c r="X61" i="38"/>
  <c r="J63" i="38"/>
  <c r="I64" i="38" s="1"/>
  <c r="K64" i="38"/>
  <c r="V16" i="38" l="1"/>
  <c r="Y62" i="38"/>
  <c r="X62" i="38"/>
  <c r="J64" i="38"/>
  <c r="I65" i="38" s="1"/>
  <c r="K65" i="38"/>
  <c r="X32" i="38"/>
  <c r="Y32" i="38"/>
  <c r="AC16" i="38" l="1"/>
  <c r="M17" i="38"/>
  <c r="Y63" i="38"/>
  <c r="X63" i="38"/>
  <c r="I66" i="38"/>
  <c r="K66" i="38"/>
  <c r="J65" i="38"/>
  <c r="P17" i="38" l="1"/>
  <c r="Q17" i="38"/>
  <c r="T17" i="38"/>
  <c r="U17" i="38" s="1"/>
  <c r="X64" i="38"/>
  <c r="Y64" i="38"/>
  <c r="J66" i="38"/>
  <c r="I67" i="38" s="1"/>
  <c r="K67" i="38"/>
  <c r="V17" i="38" l="1"/>
  <c r="Y65" i="38"/>
  <c r="X65" i="38"/>
  <c r="J67" i="38"/>
  <c r="I68" i="38" s="1"/>
  <c r="K68" i="38"/>
  <c r="M18" i="38" l="1"/>
  <c r="AC17" i="38"/>
  <c r="Y66" i="38"/>
  <c r="X66" i="38"/>
  <c r="J68" i="38"/>
  <c r="I69" i="38" s="1"/>
  <c r="K69" i="38"/>
  <c r="P18" i="38" l="1"/>
  <c r="Q18" i="38"/>
  <c r="T18" i="38"/>
  <c r="U18" i="38" s="1"/>
  <c r="Y67" i="38"/>
  <c r="X67" i="38"/>
  <c r="J69" i="38"/>
  <c r="I70" i="38" s="1"/>
  <c r="K70" i="38"/>
  <c r="V18" i="38" l="1"/>
  <c r="M19" i="38" s="1"/>
  <c r="S19" i="38" s="1"/>
  <c r="J70" i="38"/>
  <c r="I71" i="38" s="1"/>
  <c r="K71" i="38"/>
  <c r="P19" i="38" l="1"/>
  <c r="Q19" i="38"/>
  <c r="AC18" i="38"/>
  <c r="R19" i="38"/>
  <c r="T19" i="38"/>
  <c r="U19" i="38" s="1"/>
  <c r="Y69" i="38"/>
  <c r="X69" i="38"/>
  <c r="J71" i="38"/>
  <c r="I72" i="38" s="1"/>
  <c r="K72" i="38"/>
  <c r="V19" i="38" l="1"/>
  <c r="AC19" i="38" s="1"/>
  <c r="Y70" i="38"/>
  <c r="X70" i="38"/>
  <c r="K73" i="38"/>
  <c r="J72" i="38"/>
  <c r="I73" i="38" s="1"/>
  <c r="M20" i="38" l="1"/>
  <c r="Y71" i="38"/>
  <c r="X71" i="38"/>
  <c r="J73" i="38"/>
  <c r="I74" i="38" s="1"/>
  <c r="K74" i="38"/>
  <c r="P20" i="38" l="1"/>
  <c r="Q20" i="38"/>
  <c r="T20" i="38"/>
  <c r="U20" i="38" s="1"/>
  <c r="Y72" i="38"/>
  <c r="X72" i="38"/>
  <c r="K75" i="38"/>
  <c r="J74" i="38"/>
  <c r="I75" i="38" s="1"/>
  <c r="V20" i="38" l="1"/>
  <c r="AC20" i="38" s="1"/>
  <c r="Y73" i="38"/>
  <c r="X73" i="38"/>
  <c r="J75" i="38"/>
  <c r="I76" i="38" s="1"/>
  <c r="K76" i="38"/>
  <c r="D23" i="1"/>
  <c r="D24" i="1"/>
  <c r="D25" i="1"/>
  <c r="D26" i="1"/>
  <c r="D27" i="1"/>
  <c r="D28" i="1"/>
  <c r="D29" i="1"/>
  <c r="D30" i="1"/>
  <c r="D31" i="1"/>
  <c r="D32" i="1"/>
  <c r="D33" i="1"/>
  <c r="D22" i="1"/>
  <c r="M21" i="38" l="1"/>
  <c r="P21" i="38" s="1"/>
  <c r="Y74" i="38"/>
  <c r="X74" i="38"/>
  <c r="J76" i="38"/>
  <c r="I77" i="38" s="1"/>
  <c r="K77" i="38"/>
  <c r="C10" i="35"/>
  <c r="D13" i="35" a="1"/>
  <c r="D13" i="35" s="1"/>
  <c r="E14" i="35" a="1"/>
  <c r="G14" i="35" s="1"/>
  <c r="F15" i="35" a="1"/>
  <c r="F15" i="35" s="1"/>
  <c r="G15" i="35"/>
  <c r="G16" i="35"/>
  <c r="T21" i="38" l="1"/>
  <c r="U21" i="38" s="1"/>
  <c r="Q21" i="38"/>
  <c r="Y75" i="38"/>
  <c r="X75" i="38"/>
  <c r="J77" i="38"/>
  <c r="I78" i="38" s="1"/>
  <c r="K78" i="38"/>
  <c r="F14" i="35"/>
  <c r="F13" i="35"/>
  <c r="E14" i="35"/>
  <c r="E13" i="35"/>
  <c r="D9" i="35" s="1" a="1"/>
  <c r="D9" i="35" s="1"/>
  <c r="G13" i="35"/>
  <c r="V21" i="38" l="1"/>
  <c r="AC21" i="38"/>
  <c r="M22" i="38"/>
  <c r="Y76" i="38"/>
  <c r="X76" i="38"/>
  <c r="J78" i="38"/>
  <c r="I79" i="38" s="1"/>
  <c r="K79" i="38"/>
  <c r="F8" i="35"/>
  <c r="F7" i="35"/>
  <c r="F6" i="35"/>
  <c r="F5" i="35"/>
  <c r="F4" i="35"/>
  <c r="E9" i="35"/>
  <c r="C9" i="35"/>
  <c r="P22" i="38" l="1"/>
  <c r="Q22" i="38"/>
  <c r="T22" i="38"/>
  <c r="U22" i="38" s="1"/>
  <c r="Y77" i="38"/>
  <c r="X77" i="38"/>
  <c r="J79" i="38"/>
  <c r="I80" i="38" s="1"/>
  <c r="K80" i="38"/>
  <c r="I7" i="38"/>
  <c r="E4" i="38"/>
  <c r="B8" i="38"/>
  <c r="B9" i="38" s="1"/>
  <c r="C23" i="1"/>
  <c r="C24" i="1" s="1"/>
  <c r="C25" i="1" s="1"/>
  <c r="C12" i="35" a="1"/>
  <c r="C12" i="35" s="1"/>
  <c r="H5" i="1"/>
  <c r="C19" i="1"/>
  <c r="D19" i="1" s="1"/>
  <c r="E12" i="35"/>
  <c r="D12" i="35"/>
  <c r="F12" i="35"/>
  <c r="G12" i="35"/>
  <c r="I7" i="1"/>
  <c r="I8" i="1"/>
  <c r="D16" i="1"/>
  <c r="B5" i="5"/>
  <c r="B6" i="5"/>
  <c r="B7" i="5" s="1"/>
  <c r="B8" i="5" s="1"/>
  <c r="B9" i="5" s="1"/>
  <c r="B10" i="5" s="1"/>
  <c r="B11" i="5" s="1"/>
  <c r="B12" i="5" s="1"/>
  <c r="B13" i="5" s="1"/>
  <c r="V22" i="38" l="1"/>
  <c r="Y78" i="38"/>
  <c r="X78" i="38"/>
  <c r="I81" i="38"/>
  <c r="J80" i="38"/>
  <c r="K81" i="38"/>
  <c r="C26" i="1"/>
  <c r="C4" i="38"/>
  <c r="B10" i="38"/>
  <c r="E8" i="38"/>
  <c r="E9" i="38"/>
  <c r="E10" i="38"/>
  <c r="M23" i="38" l="1"/>
  <c r="AC22" i="38"/>
  <c r="Y79" i="38"/>
  <c r="X79" i="38"/>
  <c r="K82" i="38"/>
  <c r="J81" i="38"/>
  <c r="I82" i="38" s="1"/>
  <c r="B11" i="38"/>
  <c r="C8" i="38"/>
  <c r="D8" i="38" s="1"/>
  <c r="C11" i="38"/>
  <c r="D11" i="38" s="1"/>
  <c r="C9" i="38"/>
  <c r="D9" i="38" s="1"/>
  <c r="C10" i="38"/>
  <c r="D10" i="38" s="1"/>
  <c r="C27" i="1"/>
  <c r="P23" i="38" l="1"/>
  <c r="Q23" i="38"/>
  <c r="T23" i="38"/>
  <c r="U23" i="38" s="1"/>
  <c r="J82" i="38"/>
  <c r="I83" i="38" s="1"/>
  <c r="K83" i="38"/>
  <c r="C28" i="1"/>
  <c r="B12" i="38"/>
  <c r="E11" i="38"/>
  <c r="V23" i="38" l="1"/>
  <c r="AC23" i="38" s="1"/>
  <c r="Y81" i="38"/>
  <c r="X81" i="38"/>
  <c r="J83" i="38"/>
  <c r="I84" i="38" s="1"/>
  <c r="K84" i="38"/>
  <c r="X44" i="38"/>
  <c r="Y44" i="38"/>
  <c r="C29" i="1"/>
  <c r="B13" i="38"/>
  <c r="E12" i="38"/>
  <c r="C12" i="38"/>
  <c r="D12" i="38" s="1"/>
  <c r="M24" i="38" l="1"/>
  <c r="X82" i="38"/>
  <c r="Y82" i="38"/>
  <c r="J84" i="38"/>
  <c r="I85" i="38" s="1"/>
  <c r="K85" i="38"/>
  <c r="B14" i="38"/>
  <c r="E13" i="38"/>
  <c r="C13" i="38"/>
  <c r="D13" i="38" s="1"/>
  <c r="C30" i="1"/>
  <c r="P24" i="38" l="1"/>
  <c r="Q24" i="38"/>
  <c r="T24" i="38"/>
  <c r="U24" i="38" s="1"/>
  <c r="Y83" i="38"/>
  <c r="X83" i="38"/>
  <c r="K86" i="38"/>
  <c r="J85" i="38"/>
  <c r="I86" i="38" s="1"/>
  <c r="W3" i="38"/>
  <c r="C31" i="1"/>
  <c r="B15" i="38"/>
  <c r="E14" i="38"/>
  <c r="C14" i="38"/>
  <c r="D14" i="38" s="1"/>
  <c r="V24" i="38" l="1"/>
  <c r="AC24" i="38" s="1"/>
  <c r="Y84" i="38"/>
  <c r="X84" i="38"/>
  <c r="J86" i="38"/>
  <c r="K87" i="38"/>
  <c r="I87" i="38"/>
  <c r="B16" i="38"/>
  <c r="E15" i="38"/>
  <c r="C15" i="38"/>
  <c r="D15" i="38" s="1"/>
  <c r="C32" i="1"/>
  <c r="M25" i="38" l="1"/>
  <c r="Y85" i="38"/>
  <c r="X85" i="38"/>
  <c r="J87" i="38"/>
  <c r="I88" i="38" s="1"/>
  <c r="K88" i="38"/>
  <c r="C33" i="1"/>
  <c r="B17" i="38"/>
  <c r="E16" i="38"/>
  <c r="C16" i="38"/>
  <c r="D16" i="38" s="1"/>
  <c r="P25" i="38" l="1"/>
  <c r="Q25" i="38"/>
  <c r="T25" i="38"/>
  <c r="U25" i="38" s="1"/>
  <c r="Y86" i="38"/>
  <c r="X86" i="38"/>
  <c r="K89" i="38"/>
  <c r="J88" i="38"/>
  <c r="I89" i="38" s="1"/>
  <c r="B18" i="38"/>
  <c r="E17" i="38"/>
  <c r="C17" i="38"/>
  <c r="D17" i="38" s="1"/>
  <c r="V25" i="38" l="1"/>
  <c r="AC25" i="38"/>
  <c r="M26" i="38"/>
  <c r="Y87" i="38"/>
  <c r="X87" i="38"/>
  <c r="J89" i="38"/>
  <c r="I90" i="38" s="1"/>
  <c r="K90" i="38"/>
  <c r="B19" i="38"/>
  <c r="E18" i="38"/>
  <c r="C18" i="38"/>
  <c r="D18" i="38" s="1"/>
  <c r="P26" i="38" l="1"/>
  <c r="Q26" i="38"/>
  <c r="T26" i="38"/>
  <c r="U26" i="38" s="1"/>
  <c r="Y88" i="38"/>
  <c r="X88" i="38"/>
  <c r="K91" i="38"/>
  <c r="J90" i="38"/>
  <c r="I91" i="38" s="1"/>
  <c r="B20" i="38"/>
  <c r="E19" i="38"/>
  <c r="C19" i="38"/>
  <c r="D19" i="38" s="1"/>
  <c r="V26" i="38" l="1"/>
  <c r="Y89" i="38"/>
  <c r="X89" i="38"/>
  <c r="J91" i="38"/>
  <c r="I92" i="38" s="1"/>
  <c r="K92" i="38"/>
  <c r="B21" i="38"/>
  <c r="E20" i="38"/>
  <c r="C20" i="38"/>
  <c r="D20" i="38" s="1"/>
  <c r="M27" i="38" l="1"/>
  <c r="AC26" i="38"/>
  <c r="Y90" i="38"/>
  <c r="X90" i="38"/>
  <c r="J92" i="38"/>
  <c r="I93" i="38" s="1"/>
  <c r="K93" i="38"/>
  <c r="B22" i="38"/>
  <c r="E21" i="38"/>
  <c r="C21" i="38"/>
  <c r="D21" i="38" s="1"/>
  <c r="P27" i="38" l="1"/>
  <c r="Q27" i="38"/>
  <c r="T27" i="38"/>
  <c r="U27" i="38" s="1"/>
  <c r="Y91" i="38"/>
  <c r="X91" i="38"/>
  <c r="J93" i="38"/>
  <c r="I94" i="38" s="1"/>
  <c r="K94" i="38"/>
  <c r="B23" i="38"/>
  <c r="E22" i="38"/>
  <c r="C22" i="38"/>
  <c r="D22" i="38" s="1"/>
  <c r="V27" i="38" l="1"/>
  <c r="J94" i="38"/>
  <c r="I95" i="38" s="1"/>
  <c r="K95" i="38"/>
  <c r="B24" i="38"/>
  <c r="E23" i="38"/>
  <c r="C23" i="38"/>
  <c r="D23" i="38" s="1"/>
  <c r="AC27" i="38" l="1"/>
  <c r="M28" i="38"/>
  <c r="Y93" i="38"/>
  <c r="X93" i="38"/>
  <c r="J95" i="38"/>
  <c r="I96" i="38" s="1"/>
  <c r="K96" i="38"/>
  <c r="B25" i="38"/>
  <c r="E24" i="38"/>
  <c r="C24" i="38"/>
  <c r="D24" i="38" s="1"/>
  <c r="P28" i="38" l="1"/>
  <c r="Q28" i="38"/>
  <c r="T28" i="38"/>
  <c r="U28" i="38" s="1"/>
  <c r="Y94" i="38"/>
  <c r="X94" i="38"/>
  <c r="I97" i="38"/>
  <c r="J96" i="38"/>
  <c r="K97" i="38"/>
  <c r="B26" i="38"/>
  <c r="E25" i="38"/>
  <c r="C25" i="38"/>
  <c r="D25" i="38" s="1"/>
  <c r="V28" i="38" l="1"/>
  <c r="Y95" i="38"/>
  <c r="X95" i="38"/>
  <c r="K98" i="38"/>
  <c r="J97" i="38"/>
  <c r="I98" i="38" s="1"/>
  <c r="B27" i="38"/>
  <c r="E26" i="38"/>
  <c r="C26" i="38"/>
  <c r="D26" i="38" s="1"/>
  <c r="AC28" i="38" l="1"/>
  <c r="M29" i="38"/>
  <c r="Y96" i="38"/>
  <c r="X96" i="38"/>
  <c r="J98" i="38"/>
  <c r="I99" i="38" s="1"/>
  <c r="K99" i="38"/>
  <c r="B28" i="38"/>
  <c r="E27" i="38"/>
  <c r="C27" i="38"/>
  <c r="D27" i="38" s="1"/>
  <c r="P29" i="38" l="1"/>
  <c r="Q29" i="38"/>
  <c r="T29" i="38"/>
  <c r="U29" i="38" s="1"/>
  <c r="Y97" i="38"/>
  <c r="X97" i="38"/>
  <c r="J99" i="38"/>
  <c r="I100" i="38" s="1"/>
  <c r="K100" i="38"/>
  <c r="X56" i="38"/>
  <c r="Y56" i="38"/>
  <c r="B29" i="38"/>
  <c r="E28" i="38"/>
  <c r="C28" i="38"/>
  <c r="D28" i="38" s="1"/>
  <c r="V29" i="38" l="1"/>
  <c r="Y98" i="38"/>
  <c r="X98" i="38"/>
  <c r="J100" i="38"/>
  <c r="I101" i="38" s="1"/>
  <c r="K101" i="38"/>
  <c r="B30" i="38"/>
  <c r="E29" i="38"/>
  <c r="C29" i="38"/>
  <c r="D29" i="38" s="1"/>
  <c r="AC29" i="38" l="1"/>
  <c r="M30" i="38"/>
  <c r="X99" i="38"/>
  <c r="Y99" i="38"/>
  <c r="J101" i="38"/>
  <c r="I102" i="38" s="1"/>
  <c r="K102" i="38"/>
  <c r="B31" i="38"/>
  <c r="E30" i="38"/>
  <c r="C30" i="38"/>
  <c r="D30" i="38" s="1"/>
  <c r="P30" i="38" l="1"/>
  <c r="Q30" i="38"/>
  <c r="T30" i="38"/>
  <c r="U30" i="38" s="1"/>
  <c r="Y100" i="38"/>
  <c r="X100" i="38"/>
  <c r="J102" i="38"/>
  <c r="I103" i="38" s="1"/>
  <c r="K103" i="38"/>
  <c r="B32" i="38"/>
  <c r="E31" i="38"/>
  <c r="C31" i="38"/>
  <c r="D31" i="38" s="1"/>
  <c r="V30" i="38" l="1"/>
  <c r="Y101" i="38"/>
  <c r="X101" i="38"/>
  <c r="J103" i="38"/>
  <c r="I104" i="38" s="1"/>
  <c r="K104" i="38"/>
  <c r="B33" i="38"/>
  <c r="E32" i="38"/>
  <c r="C32" i="38"/>
  <c r="D32" i="38" s="1"/>
  <c r="M31" i="38" l="1"/>
  <c r="S31" i="38" s="1"/>
  <c r="AC30" i="38"/>
  <c r="Y102" i="38"/>
  <c r="X102" i="38"/>
  <c r="K105" i="38"/>
  <c r="J104" i="38"/>
  <c r="I105" i="38" s="1"/>
  <c r="B34" i="38"/>
  <c r="E33" i="38"/>
  <c r="C33" i="38"/>
  <c r="D33" i="38" s="1"/>
  <c r="P31" i="38" l="1"/>
  <c r="Q31" i="38"/>
  <c r="T31" i="38"/>
  <c r="U31" i="38" s="1"/>
  <c r="R31" i="38"/>
  <c r="Y103" i="38"/>
  <c r="X103" i="38"/>
  <c r="I106" i="38"/>
  <c r="J105" i="38"/>
  <c r="K106" i="38"/>
  <c r="B35" i="38"/>
  <c r="E34" i="38"/>
  <c r="C34" i="38"/>
  <c r="D34" i="38" s="1"/>
  <c r="V31" i="38" l="1"/>
  <c r="AC31" i="38" s="1"/>
  <c r="K107" i="38"/>
  <c r="J106" i="38"/>
  <c r="I107" i="38" s="1"/>
  <c r="B36" i="38"/>
  <c r="E35" i="38"/>
  <c r="C35" i="38"/>
  <c r="D35" i="38" s="1"/>
  <c r="M32" i="38" l="1"/>
  <c r="Y105" i="38"/>
  <c r="X105" i="38"/>
  <c r="J107" i="38"/>
  <c r="K108" i="38"/>
  <c r="I108" i="38"/>
  <c r="B37" i="38"/>
  <c r="E36" i="38"/>
  <c r="C36" i="38"/>
  <c r="D36" i="38" s="1"/>
  <c r="P32" i="38" l="1"/>
  <c r="Q32" i="38"/>
  <c r="T32" i="38"/>
  <c r="U32" i="38" s="1"/>
  <c r="Y106" i="38"/>
  <c r="X106" i="38"/>
  <c r="J108" i="38"/>
  <c r="I109" i="38" s="1"/>
  <c r="K109" i="38"/>
  <c r="B38" i="38"/>
  <c r="E37" i="38"/>
  <c r="C37" i="38"/>
  <c r="D37" i="38" s="1"/>
  <c r="V32" i="38" l="1"/>
  <c r="M33" i="38" s="1"/>
  <c r="Y107" i="38"/>
  <c r="X107" i="38"/>
  <c r="J109" i="38"/>
  <c r="I110" i="38" s="1"/>
  <c r="K110" i="38"/>
  <c r="B39" i="38"/>
  <c r="E38" i="38"/>
  <c r="C38" i="38"/>
  <c r="D38" i="38" s="1"/>
  <c r="AC32" i="38" l="1"/>
  <c r="P33" i="38"/>
  <c r="Q33" i="38"/>
  <c r="T33" i="38"/>
  <c r="U33" i="38" s="1"/>
  <c r="Y108" i="38"/>
  <c r="X108" i="38"/>
  <c r="K111" i="38"/>
  <c r="J110" i="38"/>
  <c r="I111" i="38" s="1"/>
  <c r="B40" i="38"/>
  <c r="E39" i="38"/>
  <c r="C39" i="38"/>
  <c r="D39" i="38" s="1"/>
  <c r="V33" i="38" l="1"/>
  <c r="M34" i="38" s="1"/>
  <c r="Y109" i="38"/>
  <c r="X109" i="38"/>
  <c r="J111" i="38"/>
  <c r="I112" i="38" s="1"/>
  <c r="K112" i="38"/>
  <c r="B41" i="38"/>
  <c r="E40" i="38"/>
  <c r="C40" i="38"/>
  <c r="D40" i="38" s="1"/>
  <c r="P34" i="38" l="1"/>
  <c r="Q34" i="38"/>
  <c r="V34" i="38" s="1"/>
  <c r="AC33" i="38"/>
  <c r="T34" i="38"/>
  <c r="U34" i="38" s="1"/>
  <c r="Y110" i="38"/>
  <c r="X110" i="38"/>
  <c r="J112" i="38"/>
  <c r="I113" i="38" s="1"/>
  <c r="K113" i="38"/>
  <c r="B42" i="38"/>
  <c r="E41" i="38"/>
  <c r="C41" i="38"/>
  <c r="D41" i="38" s="1"/>
  <c r="AC34" i="38" l="1"/>
  <c r="M35" i="38"/>
  <c r="Y111" i="38"/>
  <c r="X111" i="38"/>
  <c r="K114" i="38"/>
  <c r="J113" i="38"/>
  <c r="I114" i="38" s="1"/>
  <c r="B43" i="38"/>
  <c r="E42" i="38"/>
  <c r="C42" i="38"/>
  <c r="D42" i="38" s="1"/>
  <c r="P35" i="38" l="1"/>
  <c r="Q35" i="38"/>
  <c r="T35" i="38"/>
  <c r="U35" i="38" s="1"/>
  <c r="Y112" i="38"/>
  <c r="X112" i="38"/>
  <c r="J114" i="38"/>
  <c r="I115" i="38" s="1"/>
  <c r="K115" i="38"/>
  <c r="B44" i="38"/>
  <c r="E43" i="38"/>
  <c r="C43" i="38"/>
  <c r="D43" i="38" s="1"/>
  <c r="V35" i="38" l="1"/>
  <c r="M36" i="38" s="1"/>
  <c r="Y113" i="38"/>
  <c r="X113" i="38"/>
  <c r="J115" i="38"/>
  <c r="I116" i="38" s="1"/>
  <c r="K116" i="38"/>
  <c r="B45" i="38"/>
  <c r="E44" i="38"/>
  <c r="C44" i="38"/>
  <c r="D44" i="38" s="1"/>
  <c r="P36" i="38" l="1"/>
  <c r="Q36" i="38"/>
  <c r="AC35" i="38"/>
  <c r="T36" i="38"/>
  <c r="U36" i="38" s="1"/>
  <c r="Y114" i="38"/>
  <c r="X114" i="38"/>
  <c r="J116" i="38"/>
  <c r="K117" i="38"/>
  <c r="I117" i="38"/>
  <c r="X68" i="38"/>
  <c r="Y68" i="38"/>
  <c r="B46" i="38"/>
  <c r="E45" i="38"/>
  <c r="C45" i="38"/>
  <c r="D45" i="38" s="1"/>
  <c r="V36" i="38" l="1"/>
  <c r="Y115" i="38"/>
  <c r="X115" i="38"/>
  <c r="J117" i="38"/>
  <c r="I118" i="38" s="1"/>
  <c r="K118" i="38"/>
  <c r="B47" i="38"/>
  <c r="E46" i="38"/>
  <c r="C46" i="38"/>
  <c r="D46" i="38" s="1"/>
  <c r="AC36" i="38" l="1"/>
  <c r="M37" i="38"/>
  <c r="J118" i="38"/>
  <c r="I119" i="38" s="1"/>
  <c r="K119" i="38"/>
  <c r="B48" i="38"/>
  <c r="E47" i="38"/>
  <c r="C47" i="38"/>
  <c r="D47" i="38" s="1"/>
  <c r="P37" i="38" l="1"/>
  <c r="Q37" i="38"/>
  <c r="T37" i="38"/>
  <c r="U37" i="38" s="1"/>
  <c r="X117" i="38"/>
  <c r="Y117" i="38"/>
  <c r="J119" i="38"/>
  <c r="I120" i="38" s="1"/>
  <c r="K120" i="38"/>
  <c r="B49" i="38"/>
  <c r="E48" i="38"/>
  <c r="C48" i="38"/>
  <c r="D48" i="38" s="1"/>
  <c r="V37" i="38" l="1"/>
  <c r="AC37" i="38" s="1"/>
  <c r="Y118" i="38"/>
  <c r="X118" i="38"/>
  <c r="K121" i="38"/>
  <c r="J120" i="38"/>
  <c r="I121" i="38" s="1"/>
  <c r="B50" i="38"/>
  <c r="E49" i="38"/>
  <c r="C49" i="38"/>
  <c r="D49" i="38" s="1"/>
  <c r="M38" i="38" l="1"/>
  <c r="Y119" i="38"/>
  <c r="X119" i="38"/>
  <c r="J121" i="38"/>
  <c r="I122" i="38" s="1"/>
  <c r="K122" i="38"/>
  <c r="B51" i="38"/>
  <c r="E50" i="38"/>
  <c r="C50" i="38"/>
  <c r="D50" i="38" s="1"/>
  <c r="P38" i="38" l="1"/>
  <c r="Q38" i="38"/>
  <c r="T38" i="38"/>
  <c r="U38" i="38" s="1"/>
  <c r="Y120" i="38"/>
  <c r="X120" i="38"/>
  <c r="J122" i="38"/>
  <c r="I123" i="38" s="1"/>
  <c r="K123" i="38"/>
  <c r="B52" i="38"/>
  <c r="E51" i="38"/>
  <c r="C51" i="38"/>
  <c r="D51" i="38" s="1"/>
  <c r="V38" i="38" l="1"/>
  <c r="AC38" i="38" s="1"/>
  <c r="Y121" i="38"/>
  <c r="X121" i="38"/>
  <c r="J123" i="38"/>
  <c r="I124" i="38" s="1"/>
  <c r="K124" i="38"/>
  <c r="B53" i="38"/>
  <c r="E52" i="38"/>
  <c r="C52" i="38"/>
  <c r="D52" i="38" s="1"/>
  <c r="M39" i="38" l="1"/>
  <c r="T39" i="38" s="1"/>
  <c r="U39" i="38" s="1"/>
  <c r="Y122" i="38"/>
  <c r="X122" i="38"/>
  <c r="J124" i="38"/>
  <c r="I125" i="38" s="1"/>
  <c r="K125" i="38"/>
  <c r="B54" i="38"/>
  <c r="E53" i="38"/>
  <c r="C53" i="38"/>
  <c r="D53" i="38" s="1"/>
  <c r="P39" i="38" l="1"/>
  <c r="Q39" i="38"/>
  <c r="Y123" i="38"/>
  <c r="X123" i="38"/>
  <c r="I126" i="38"/>
  <c r="K126" i="38"/>
  <c r="J125" i="38"/>
  <c r="B55" i="38"/>
  <c r="E54" i="38"/>
  <c r="C54" i="38"/>
  <c r="D54" i="38" s="1"/>
  <c r="V39" i="38" l="1"/>
  <c r="Y124" i="38"/>
  <c r="X124" i="38"/>
  <c r="K127" i="38"/>
  <c r="J126" i="38"/>
  <c r="I127" i="38" s="1"/>
  <c r="B56" i="38"/>
  <c r="E55" i="38"/>
  <c r="C55" i="38"/>
  <c r="D55" i="38" s="1"/>
  <c r="AC39" i="38" l="1"/>
  <c r="M40" i="38"/>
  <c r="Y125" i="38"/>
  <c r="X125" i="38"/>
  <c r="J127" i="38"/>
  <c r="K128" i="38"/>
  <c r="I128" i="38"/>
  <c r="B57" i="38"/>
  <c r="E56" i="38"/>
  <c r="C56" i="38"/>
  <c r="D56" i="38" s="1"/>
  <c r="P40" i="38" l="1"/>
  <c r="Q40" i="38"/>
  <c r="T40" i="38"/>
  <c r="U40" i="38" s="1"/>
  <c r="Y126" i="38"/>
  <c r="X126" i="38"/>
  <c r="J128" i="38"/>
  <c r="I129" i="38" s="1"/>
  <c r="K129" i="38"/>
  <c r="B58" i="38"/>
  <c r="E57" i="38"/>
  <c r="C57" i="38"/>
  <c r="D57" i="38" s="1"/>
  <c r="V40" i="38" l="1"/>
  <c r="Y127" i="38"/>
  <c r="X127" i="38"/>
  <c r="K130" i="38"/>
  <c r="J129" i="38"/>
  <c r="I130" i="38" s="1"/>
  <c r="X80" i="38"/>
  <c r="Y80" i="38"/>
  <c r="B59" i="38"/>
  <c r="E58" i="38"/>
  <c r="C58" i="38"/>
  <c r="D58" i="38" s="1"/>
  <c r="M41" i="38" l="1"/>
  <c r="AC40" i="38"/>
  <c r="J130" i="38"/>
  <c r="I131" i="38" s="1"/>
  <c r="K131" i="38"/>
  <c r="B60" i="38"/>
  <c r="E59" i="38"/>
  <c r="C59" i="38"/>
  <c r="D59" i="38" s="1"/>
  <c r="P41" i="38" l="1"/>
  <c r="Q41" i="38"/>
  <c r="T41" i="38"/>
  <c r="U41" i="38" s="1"/>
  <c r="Y129" i="38"/>
  <c r="X129" i="38"/>
  <c r="J131" i="38"/>
  <c r="I132" i="38" s="1"/>
  <c r="K132" i="38"/>
  <c r="B61" i="38"/>
  <c r="E60" i="38"/>
  <c r="C60" i="38"/>
  <c r="D60" i="38" s="1"/>
  <c r="V41" i="38" l="1"/>
  <c r="AC41" i="38" s="1"/>
  <c r="Y130" i="38"/>
  <c r="X130" i="38"/>
  <c r="J132" i="38"/>
  <c r="I133" i="38" s="1"/>
  <c r="K133" i="38"/>
  <c r="B62" i="38"/>
  <c r="E61" i="38"/>
  <c r="C61" i="38"/>
  <c r="D61" i="38" s="1"/>
  <c r="M42" i="38" l="1"/>
  <c r="T42" i="38" s="1"/>
  <c r="U42" i="38" s="1"/>
  <c r="Y131" i="38"/>
  <c r="X131" i="38"/>
  <c r="K134" i="38"/>
  <c r="J133" i="38"/>
  <c r="I134" i="38" s="1"/>
  <c r="B63" i="38"/>
  <c r="E62" i="38"/>
  <c r="C62" i="38"/>
  <c r="D62" i="38" s="1"/>
  <c r="Q42" i="38" l="1"/>
  <c r="V42" i="38" s="1"/>
  <c r="AC42" i="38" s="1"/>
  <c r="P42" i="38"/>
  <c r="Y132" i="38"/>
  <c r="X132" i="38"/>
  <c r="K135" i="38"/>
  <c r="J134" i="38"/>
  <c r="I135" i="38" s="1"/>
  <c r="B64" i="38"/>
  <c r="E63" i="38"/>
  <c r="C63" i="38"/>
  <c r="D63" i="38" s="1"/>
  <c r="M43" i="38" l="1"/>
  <c r="Y133" i="38"/>
  <c r="X133" i="38"/>
  <c r="J135" i="38"/>
  <c r="I136" i="38" s="1"/>
  <c r="K136" i="38"/>
  <c r="B65" i="38"/>
  <c r="E64" i="38"/>
  <c r="C64" i="38"/>
  <c r="D64" i="38" s="1"/>
  <c r="Q43" i="38" l="1"/>
  <c r="S43" i="38"/>
  <c r="R43" i="38"/>
  <c r="T43" i="38"/>
  <c r="U43" i="38" s="1"/>
  <c r="P43" i="38"/>
  <c r="V43" i="38" s="1"/>
  <c r="AC43" i="38" s="1"/>
  <c r="X134" i="38"/>
  <c r="Y134" i="38"/>
  <c r="J136" i="38"/>
  <c r="I137" i="38" s="1"/>
  <c r="K137" i="38"/>
  <c r="B66" i="38"/>
  <c r="E65" i="38"/>
  <c r="C65" i="38"/>
  <c r="D65" i="38" s="1"/>
  <c r="M44" i="38" l="1"/>
  <c r="Q44" i="38" s="1"/>
  <c r="Y135" i="38"/>
  <c r="X135" i="38"/>
  <c r="J137" i="38"/>
  <c r="I138" i="38" s="1"/>
  <c r="K138" i="38"/>
  <c r="B67" i="38"/>
  <c r="E66" i="38"/>
  <c r="C66" i="38"/>
  <c r="D66" i="38" s="1"/>
  <c r="P44" i="38" l="1"/>
  <c r="V44" i="38" s="1"/>
  <c r="AC44" i="38" s="1"/>
  <c r="T44" i="38"/>
  <c r="U44" i="38" s="1"/>
  <c r="Y136" i="38"/>
  <c r="X136" i="38"/>
  <c r="J138" i="38"/>
  <c r="I139" i="38" s="1"/>
  <c r="K139" i="38"/>
  <c r="B68" i="38"/>
  <c r="E67" i="38"/>
  <c r="C67" i="38"/>
  <c r="D67" i="38" s="1"/>
  <c r="M45" i="38" l="1"/>
  <c r="Y137" i="38"/>
  <c r="X137" i="38"/>
  <c r="J139" i="38"/>
  <c r="I140" i="38" s="1"/>
  <c r="K140" i="38"/>
  <c r="B69" i="38"/>
  <c r="E68" i="38"/>
  <c r="C68" i="38"/>
  <c r="D68" i="38" s="1"/>
  <c r="P45" i="38" l="1"/>
  <c r="Q45" i="38"/>
  <c r="T45" i="38"/>
  <c r="U45" i="38" s="1"/>
  <c r="Y138" i="38"/>
  <c r="X138" i="38"/>
  <c r="J140" i="38"/>
  <c r="I141" i="38" s="1"/>
  <c r="K141" i="38"/>
  <c r="B70" i="38"/>
  <c r="E69" i="38"/>
  <c r="C69" i="38"/>
  <c r="D69" i="38" s="1"/>
  <c r="V45" i="38" l="1"/>
  <c r="M46" i="38"/>
  <c r="AC45" i="38"/>
  <c r="Y139" i="38"/>
  <c r="X139" i="38"/>
  <c r="J141" i="38"/>
  <c r="I142" i="38" s="1"/>
  <c r="K142" i="38"/>
  <c r="B71" i="38"/>
  <c r="E70" i="38"/>
  <c r="C70" i="38"/>
  <c r="D70" i="38" s="1"/>
  <c r="P46" i="38" l="1"/>
  <c r="Q46" i="38"/>
  <c r="V46" i="38" s="1"/>
  <c r="T46" i="38"/>
  <c r="U46" i="38" s="1"/>
  <c r="K143" i="38"/>
  <c r="J142" i="38"/>
  <c r="I143" i="38" s="1"/>
  <c r="B72" i="38"/>
  <c r="E71" i="38"/>
  <c r="C71" i="38"/>
  <c r="D71" i="38" s="1"/>
  <c r="M47" i="38" l="1"/>
  <c r="AC46" i="38"/>
  <c r="Y141" i="38"/>
  <c r="X141" i="38"/>
  <c r="J143" i="38"/>
  <c r="I144" i="38" s="1"/>
  <c r="K144" i="38"/>
  <c r="B73" i="38"/>
  <c r="E72" i="38"/>
  <c r="C72" i="38"/>
  <c r="D72" i="38" s="1"/>
  <c r="P47" i="38" l="1"/>
  <c r="Q47" i="38"/>
  <c r="T47" i="38"/>
  <c r="U47" i="38" s="1"/>
  <c r="Y142" i="38"/>
  <c r="X142" i="38"/>
  <c r="J144" i="38"/>
  <c r="K145" i="38"/>
  <c r="I145" i="38"/>
  <c r="B74" i="38"/>
  <c r="E73" i="38"/>
  <c r="C73" i="38"/>
  <c r="D73" i="38" s="1"/>
  <c r="V47" i="38" l="1"/>
  <c r="AC47" i="38" s="1"/>
  <c r="Y143" i="38"/>
  <c r="X143" i="38"/>
  <c r="K146" i="38"/>
  <c r="J145" i="38"/>
  <c r="I146" i="38" s="1"/>
  <c r="X92" i="38"/>
  <c r="Y92" i="38"/>
  <c r="B75" i="38"/>
  <c r="E74" i="38"/>
  <c r="C74" i="38"/>
  <c r="D74" i="38" s="1"/>
  <c r="M48" i="38" l="1"/>
  <c r="P48" i="38" s="1"/>
  <c r="Y144" i="38"/>
  <c r="X144" i="38"/>
  <c r="J146" i="38"/>
  <c r="I147" i="38" s="1"/>
  <c r="K147" i="38"/>
  <c r="B76" i="38"/>
  <c r="E75" i="38"/>
  <c r="C75" i="38"/>
  <c r="D75" i="38" s="1"/>
  <c r="T48" i="38" l="1"/>
  <c r="U48" i="38" s="1"/>
  <c r="Q48" i="38"/>
  <c r="V48" i="38"/>
  <c r="Y145" i="38"/>
  <c r="X145" i="38"/>
  <c r="J147" i="38"/>
  <c r="I148" i="38" s="1"/>
  <c r="K148" i="38"/>
  <c r="B77" i="38"/>
  <c r="E76" i="38"/>
  <c r="C76" i="38"/>
  <c r="D76" i="38" s="1"/>
  <c r="AC48" i="38" l="1"/>
  <c r="M49" i="38"/>
  <c r="Y146" i="38"/>
  <c r="X146" i="38"/>
  <c r="J148" i="38"/>
  <c r="I149" i="38" s="1"/>
  <c r="K149" i="38"/>
  <c r="B78" i="38"/>
  <c r="E77" i="38"/>
  <c r="C77" i="38"/>
  <c r="D77" i="38" s="1"/>
  <c r="P49" i="38" l="1"/>
  <c r="Q49" i="38"/>
  <c r="T49" i="38"/>
  <c r="U49" i="38" s="1"/>
  <c r="Y147" i="38"/>
  <c r="X147" i="38"/>
  <c r="K150" i="38"/>
  <c r="J149" i="38"/>
  <c r="I150" i="38" s="1"/>
  <c r="B79" i="38"/>
  <c r="E78" i="38"/>
  <c r="C78" i="38"/>
  <c r="D78" i="38" s="1"/>
  <c r="V49" i="38" l="1"/>
  <c r="Y148" i="38"/>
  <c r="X148" i="38"/>
  <c r="K151" i="38"/>
  <c r="J150" i="38"/>
  <c r="I151" i="38" s="1"/>
  <c r="B80" i="38"/>
  <c r="E79" i="38"/>
  <c r="C79" i="38"/>
  <c r="D79" i="38" s="1"/>
  <c r="AC49" i="38" l="1"/>
  <c r="M50" i="38"/>
  <c r="Y149" i="38"/>
  <c r="X149" i="38"/>
  <c r="J151" i="38"/>
  <c r="I152" i="38" s="1"/>
  <c r="K152" i="38"/>
  <c r="B81" i="38"/>
  <c r="E80" i="38"/>
  <c r="C80" i="38"/>
  <c r="D80" i="38" s="1"/>
  <c r="P50" i="38" l="1"/>
  <c r="Q50" i="38"/>
  <c r="T50" i="38"/>
  <c r="U50" i="38" s="1"/>
  <c r="Y150" i="38"/>
  <c r="X150" i="38"/>
  <c r="J152" i="38"/>
  <c r="I153" i="38" s="1"/>
  <c r="K153" i="38"/>
  <c r="B82" i="38"/>
  <c r="E81" i="38"/>
  <c r="C81" i="38"/>
  <c r="D81" i="38" s="1"/>
  <c r="V50" i="38" l="1"/>
  <c r="X151" i="38"/>
  <c r="Y151" i="38"/>
  <c r="J153" i="38"/>
  <c r="I154" i="38" s="1"/>
  <c r="K154" i="38"/>
  <c r="B83" i="38"/>
  <c r="E82" i="38"/>
  <c r="C82" i="38"/>
  <c r="D82" i="38" s="1"/>
  <c r="AC50" i="38" l="1"/>
  <c r="M51" i="38"/>
  <c r="J154" i="38"/>
  <c r="I155" i="38" s="1"/>
  <c r="K155" i="38"/>
  <c r="B84" i="38"/>
  <c r="E83" i="38"/>
  <c r="C83" i="38"/>
  <c r="D83" i="38" s="1"/>
  <c r="P51" i="38" l="1"/>
  <c r="Q51" i="38"/>
  <c r="T51" i="38"/>
  <c r="U51" i="38" s="1"/>
  <c r="Y153" i="38"/>
  <c r="X153" i="38"/>
  <c r="K156" i="38"/>
  <c r="J155" i="38"/>
  <c r="I156" i="38" s="1"/>
  <c r="B85" i="38"/>
  <c r="E84" i="38"/>
  <c r="C84" i="38"/>
  <c r="D84" i="38" s="1"/>
  <c r="V51" i="38" l="1"/>
  <c r="Y154" i="38"/>
  <c r="X154" i="38"/>
  <c r="J156" i="38"/>
  <c r="I157" i="38" s="1"/>
  <c r="K157" i="38"/>
  <c r="B86" i="38"/>
  <c r="E85" i="38"/>
  <c r="C85" i="38"/>
  <c r="D85" i="38" s="1"/>
  <c r="AC51" i="38" l="1"/>
  <c r="M52" i="38"/>
  <c r="Y155" i="38"/>
  <c r="X155" i="38"/>
  <c r="J157" i="38"/>
  <c r="I158" i="38" s="1"/>
  <c r="K158" i="38"/>
  <c r="B87" i="38"/>
  <c r="E86" i="38"/>
  <c r="C86" i="38"/>
  <c r="D86" i="38" s="1"/>
  <c r="P52" i="38" l="1"/>
  <c r="Q52" i="38"/>
  <c r="T52" i="38"/>
  <c r="U52" i="38" s="1"/>
  <c r="Y156" i="38"/>
  <c r="X156" i="38"/>
  <c r="K159" i="38"/>
  <c r="J158" i="38"/>
  <c r="I159" i="38" s="1"/>
  <c r="B88" i="38"/>
  <c r="E87" i="38"/>
  <c r="C87" i="38"/>
  <c r="D87" i="38" s="1"/>
  <c r="V52" i="38" l="1"/>
  <c r="Y157" i="38"/>
  <c r="X157" i="38"/>
  <c r="J159" i="38"/>
  <c r="I160" i="38" s="1"/>
  <c r="K160" i="38"/>
  <c r="B89" i="38"/>
  <c r="E88" i="38"/>
  <c r="C88" i="38"/>
  <c r="D88" i="38" s="1"/>
  <c r="AC52" i="38" l="1"/>
  <c r="M53" i="38"/>
  <c r="Y158" i="38"/>
  <c r="X158" i="38"/>
  <c r="J160" i="38"/>
  <c r="I161" i="38" s="1"/>
  <c r="K161" i="38"/>
  <c r="X104" i="38"/>
  <c r="Y104" i="38"/>
  <c r="B90" i="38"/>
  <c r="E89" i="38"/>
  <c r="C89" i="38"/>
  <c r="D89" i="38" s="1"/>
  <c r="P53" i="38" l="1"/>
  <c r="Q53" i="38"/>
  <c r="T53" i="38"/>
  <c r="U53" i="38" s="1"/>
  <c r="Y159" i="38"/>
  <c r="X159" i="38"/>
  <c r="K162" i="38"/>
  <c r="J161" i="38"/>
  <c r="I162" i="38" s="1"/>
  <c r="B91" i="38"/>
  <c r="E90" i="38"/>
  <c r="C90" i="38"/>
  <c r="D90" i="38" s="1"/>
  <c r="V53" i="38" l="1"/>
  <c r="M54" i="38" s="1"/>
  <c r="Y160" i="38"/>
  <c r="X160" i="38"/>
  <c r="J162" i="38"/>
  <c r="I163" i="38" s="1"/>
  <c r="K163" i="38"/>
  <c r="B92" i="38"/>
  <c r="E91" i="38"/>
  <c r="C91" i="38"/>
  <c r="D91" i="38" s="1"/>
  <c r="P54" i="38" l="1"/>
  <c r="Q54" i="38"/>
  <c r="AC53" i="38"/>
  <c r="T54" i="38"/>
  <c r="U54" i="38" s="1"/>
  <c r="Y161" i="38"/>
  <c r="X161" i="38"/>
  <c r="K164" i="38"/>
  <c r="J163" i="38"/>
  <c r="I164" i="38" s="1"/>
  <c r="B93" i="38"/>
  <c r="E92" i="38"/>
  <c r="C92" i="38"/>
  <c r="D92" i="38" s="1"/>
  <c r="V54" i="38" l="1"/>
  <c r="AC54" i="38" s="1"/>
  <c r="Y162" i="38"/>
  <c r="X162" i="38"/>
  <c r="J164" i="38"/>
  <c r="K165" i="38"/>
  <c r="I165" i="38"/>
  <c r="B94" i="38"/>
  <c r="E93" i="38"/>
  <c r="C93" i="38"/>
  <c r="D93" i="38" s="1"/>
  <c r="M55" i="38" l="1"/>
  <c r="S55" i="38" s="1"/>
  <c r="Y163" i="38"/>
  <c r="X163" i="38"/>
  <c r="K166" i="38"/>
  <c r="J165" i="38"/>
  <c r="I166" i="38" s="1"/>
  <c r="B95" i="38"/>
  <c r="E94" i="38"/>
  <c r="C94" i="38"/>
  <c r="D94" i="38" s="1"/>
  <c r="R55" i="38" l="1"/>
  <c r="P55" i="38"/>
  <c r="Q55" i="38"/>
  <c r="T55" i="38"/>
  <c r="U55" i="38" s="1"/>
  <c r="K167" i="38"/>
  <c r="J166" i="38"/>
  <c r="I167" i="38" s="1"/>
  <c r="B96" i="38"/>
  <c r="E95" i="38"/>
  <c r="C95" i="38"/>
  <c r="D95" i="38" s="1"/>
  <c r="V55" i="38" l="1"/>
  <c r="M56" i="38" s="1"/>
  <c r="Y165" i="38"/>
  <c r="X165" i="38"/>
  <c r="K168" i="38"/>
  <c r="J167" i="38"/>
  <c r="I168" i="38" s="1"/>
  <c r="B97" i="38"/>
  <c r="E96" i="38"/>
  <c r="C96" i="38"/>
  <c r="D96" i="38" s="1"/>
  <c r="P56" i="38" l="1"/>
  <c r="Q56" i="38"/>
  <c r="AC55" i="38"/>
  <c r="T56" i="38"/>
  <c r="U56" i="38" s="1"/>
  <c r="Y166" i="38"/>
  <c r="X166" i="38"/>
  <c r="J168" i="38"/>
  <c r="I169" i="38" s="1"/>
  <c r="K169" i="38"/>
  <c r="B98" i="38"/>
  <c r="E97" i="38"/>
  <c r="C97" i="38"/>
  <c r="D97" i="38" s="1"/>
  <c r="V56" i="38" l="1"/>
  <c r="AC56" i="38" s="1"/>
  <c r="Y167" i="38"/>
  <c r="X167" i="38"/>
  <c r="J169" i="38"/>
  <c r="I170" i="38" s="1"/>
  <c r="K170" i="38"/>
  <c r="B99" i="38"/>
  <c r="E98" i="38"/>
  <c r="C98" i="38"/>
  <c r="D98" i="38" s="1"/>
  <c r="M57" i="38" l="1"/>
  <c r="Y168" i="38"/>
  <c r="X168" i="38"/>
  <c r="J170" i="38"/>
  <c r="I171" i="38" s="1"/>
  <c r="K171" i="38"/>
  <c r="B100" i="38"/>
  <c r="E99" i="38"/>
  <c r="C99" i="38"/>
  <c r="D99" i="38" s="1"/>
  <c r="P57" i="38" l="1"/>
  <c r="V57" i="38" s="1"/>
  <c r="Q57" i="38"/>
  <c r="T57" i="38"/>
  <c r="U57" i="38" s="1"/>
  <c r="X169" i="38"/>
  <c r="Y169" i="38"/>
  <c r="K172" i="38"/>
  <c r="J171" i="38"/>
  <c r="I172" i="38" s="1"/>
  <c r="B101" i="38"/>
  <c r="E100" i="38"/>
  <c r="C100" i="38"/>
  <c r="D100" i="38" s="1"/>
  <c r="AC57" i="38" l="1"/>
  <c r="M58" i="38"/>
  <c r="Y170" i="38"/>
  <c r="X170" i="38"/>
  <c r="J172" i="38"/>
  <c r="I173" i="38" s="1"/>
  <c r="K173" i="38"/>
  <c r="B102" i="38"/>
  <c r="E101" i="38"/>
  <c r="C101" i="38"/>
  <c r="D101" i="38" s="1"/>
  <c r="P58" i="38" l="1"/>
  <c r="Q58" i="38"/>
  <c r="T58" i="38"/>
  <c r="U58" i="38" s="1"/>
  <c r="Y171" i="38"/>
  <c r="X171" i="38"/>
  <c r="K174" i="38"/>
  <c r="J173" i="38"/>
  <c r="I174" i="38" s="1"/>
  <c r="B103" i="38"/>
  <c r="E102" i="38"/>
  <c r="C102" i="38"/>
  <c r="D102" i="38" s="1"/>
  <c r="V58" i="38" l="1"/>
  <c r="AC58" i="38" s="1"/>
  <c r="Y172" i="38"/>
  <c r="X172" i="38"/>
  <c r="K175" i="38"/>
  <c r="J174" i="38"/>
  <c r="I175" i="38" s="1"/>
  <c r="B104" i="38"/>
  <c r="E103" i="38"/>
  <c r="C103" i="38"/>
  <c r="D103" i="38" s="1"/>
  <c r="M59" i="38" l="1"/>
  <c r="Y173" i="38"/>
  <c r="X173" i="38"/>
  <c r="K176" i="38"/>
  <c r="J175" i="38"/>
  <c r="I176" i="38" s="1"/>
  <c r="B105" i="38"/>
  <c r="E104" i="38"/>
  <c r="C104" i="38"/>
  <c r="D104" i="38" s="1"/>
  <c r="P59" i="38" l="1"/>
  <c r="Q59" i="38"/>
  <c r="T59" i="38"/>
  <c r="U59" i="38" s="1"/>
  <c r="Y174" i="38"/>
  <c r="X174" i="38"/>
  <c r="J176" i="38"/>
  <c r="I177" i="38" s="1"/>
  <c r="K177" i="38"/>
  <c r="B106" i="38"/>
  <c r="E105" i="38"/>
  <c r="C105" i="38"/>
  <c r="D105" i="38" s="1"/>
  <c r="V59" i="38" l="1"/>
  <c r="Y175" i="38"/>
  <c r="X175" i="38"/>
  <c r="J177" i="38"/>
  <c r="I178" i="38" s="1"/>
  <c r="K178" i="38"/>
  <c r="B107" i="38"/>
  <c r="E106" i="38"/>
  <c r="C106" i="38"/>
  <c r="D106" i="38" s="1"/>
  <c r="AC59" i="38" l="1"/>
  <c r="M60" i="38"/>
  <c r="Q60" i="38" s="1"/>
  <c r="J178" i="38"/>
  <c r="I179" i="38" s="1"/>
  <c r="K179" i="38"/>
  <c r="X116" i="38"/>
  <c r="Y116" i="38"/>
  <c r="B108" i="38"/>
  <c r="E107" i="38"/>
  <c r="C107" i="38"/>
  <c r="D107" i="38" s="1"/>
  <c r="P60" i="38" l="1"/>
  <c r="T60" i="38"/>
  <c r="U60" i="38" s="1"/>
  <c r="X177" i="38"/>
  <c r="J179" i="38"/>
  <c r="I180" i="38" s="1"/>
  <c r="K180" i="38"/>
  <c r="B109" i="38"/>
  <c r="E108" i="38"/>
  <c r="C108" i="38"/>
  <c r="D108" i="38" s="1"/>
  <c r="V60" i="38" l="1"/>
  <c r="Y177" i="38"/>
  <c r="X178" i="38"/>
  <c r="J180" i="38"/>
  <c r="I181" i="38" s="1"/>
  <c r="K181" i="38"/>
  <c r="B110" i="38"/>
  <c r="E109" i="38"/>
  <c r="C109" i="38"/>
  <c r="D109" i="38" s="1"/>
  <c r="M61" i="38" l="1"/>
  <c r="Q61" i="38" s="1"/>
  <c r="AC60" i="38"/>
  <c r="Y178" i="38"/>
  <c r="X179" i="38"/>
  <c r="J181" i="38"/>
  <c r="I182" i="38" s="1"/>
  <c r="K182" i="38"/>
  <c r="B111" i="38"/>
  <c r="E110" i="38"/>
  <c r="C110" i="38"/>
  <c r="D110" i="38" s="1"/>
  <c r="P61" i="38" l="1"/>
  <c r="V61" i="38" s="1"/>
  <c r="T61" i="38"/>
  <c r="U61" i="38" s="1"/>
  <c r="Y179" i="38"/>
  <c r="X180" i="38"/>
  <c r="K183" i="38"/>
  <c r="J182" i="38"/>
  <c r="I183" i="38" s="1"/>
  <c r="B112" i="38"/>
  <c r="E111" i="38"/>
  <c r="C111" i="38"/>
  <c r="D111" i="38" s="1"/>
  <c r="M62" i="38" l="1"/>
  <c r="Q62" i="38" s="1"/>
  <c r="AC61" i="38"/>
  <c r="Y180" i="38"/>
  <c r="X181" i="38"/>
  <c r="J183" i="38"/>
  <c r="I184" i="38" s="1"/>
  <c r="K184" i="38"/>
  <c r="B113" i="38"/>
  <c r="E112" i="38"/>
  <c r="C112" i="38"/>
  <c r="D112" i="38" s="1"/>
  <c r="P62" i="38" l="1"/>
  <c r="V62" i="38" s="1"/>
  <c r="T62" i="38"/>
  <c r="U62" i="38" s="1"/>
  <c r="X182" i="38"/>
  <c r="Y181" i="38"/>
  <c r="J184" i="38"/>
  <c r="I185" i="38" s="1"/>
  <c r="K185" i="38"/>
  <c r="B114" i="38"/>
  <c r="E113" i="38"/>
  <c r="C113" i="38"/>
  <c r="D113" i="38" s="1"/>
  <c r="M63" i="38" l="1"/>
  <c r="Q63" i="38" s="1"/>
  <c r="AC62" i="38"/>
  <c r="Y182" i="38"/>
  <c r="X183" i="38"/>
  <c r="J185" i="38"/>
  <c r="I186" i="38" s="1"/>
  <c r="K186" i="38"/>
  <c r="B115" i="38"/>
  <c r="E114" i="38"/>
  <c r="C114" i="38"/>
  <c r="D114" i="38" s="1"/>
  <c r="P63" i="38" l="1"/>
  <c r="V63" i="38" s="1"/>
  <c r="T63" i="38"/>
  <c r="U63" i="38" s="1"/>
  <c r="Y183" i="38"/>
  <c r="X184" i="38"/>
  <c r="J186" i="38"/>
  <c r="I187" i="38" s="1"/>
  <c r="B116" i="38"/>
  <c r="E115" i="38"/>
  <c r="C115" i="38"/>
  <c r="D115" i="38" s="1"/>
  <c r="M64" i="38" l="1"/>
  <c r="Q64" i="38" s="1"/>
  <c r="AC63" i="38"/>
  <c r="Y184" i="38"/>
  <c r="X185" i="38"/>
  <c r="J187" i="38"/>
  <c r="B117" i="38"/>
  <c r="E116" i="38"/>
  <c r="C116" i="38"/>
  <c r="D116" i="38" s="1"/>
  <c r="P64" i="38" l="1"/>
  <c r="T64" i="38"/>
  <c r="U64" i="38" s="1"/>
  <c r="X186" i="38"/>
  <c r="Y185" i="38"/>
  <c r="K187" i="38"/>
  <c r="I188" i="38" s="1"/>
  <c r="J188" i="38" s="1"/>
  <c r="K188" i="38" s="1"/>
  <c r="B118" i="38"/>
  <c r="E117" i="38"/>
  <c r="C117" i="38"/>
  <c r="D117" i="38" s="1"/>
  <c r="V64" i="38" l="1"/>
  <c r="AC64" i="38"/>
  <c r="M65" i="38"/>
  <c r="Q65" i="38" s="1"/>
  <c r="Y186" i="38"/>
  <c r="X187" i="38"/>
  <c r="I189" i="38"/>
  <c r="B119" i="38"/>
  <c r="E118" i="38"/>
  <c r="C118" i="38"/>
  <c r="D118" i="38" s="1"/>
  <c r="P65" i="38" l="1"/>
  <c r="T65" i="38"/>
  <c r="U65" i="38" s="1"/>
  <c r="Y187" i="38"/>
  <c r="X188" i="38"/>
  <c r="K189" i="38"/>
  <c r="J189" i="38"/>
  <c r="B120" i="38"/>
  <c r="E119" i="38"/>
  <c r="C119" i="38"/>
  <c r="D119" i="38" s="1"/>
  <c r="V65" i="38" l="1"/>
  <c r="M66" i="38"/>
  <c r="Q66" i="38" s="1"/>
  <c r="AC65" i="38"/>
  <c r="X189" i="38"/>
  <c r="Y188" i="38"/>
  <c r="I190" i="38"/>
  <c r="B121" i="38"/>
  <c r="E120" i="38"/>
  <c r="C120" i="38"/>
  <c r="D120" i="38" s="1"/>
  <c r="P66" i="38" l="1"/>
  <c r="T66" i="38"/>
  <c r="U66" i="38" s="1"/>
  <c r="Y189" i="38"/>
  <c r="X190" i="38"/>
  <c r="J190" i="38"/>
  <c r="K190" i="38" s="1"/>
  <c r="I191" i="38" s="1"/>
  <c r="B122" i="38"/>
  <c r="E121" i="38"/>
  <c r="C121" i="38"/>
  <c r="D121" i="38" s="1"/>
  <c r="V66" i="38" l="1"/>
  <c r="M67" i="38"/>
  <c r="AC66" i="38"/>
  <c r="X191" i="38"/>
  <c r="Y190" i="38"/>
  <c r="J191" i="38"/>
  <c r="I192" i="38" s="1"/>
  <c r="J192" i="38" s="1"/>
  <c r="K192" i="38" s="1"/>
  <c r="K191" i="38"/>
  <c r="B123" i="38"/>
  <c r="E122" i="38"/>
  <c r="C122" i="38"/>
  <c r="D122" i="38" s="1"/>
  <c r="Q67" i="38" l="1"/>
  <c r="S67" i="38"/>
  <c r="T67" i="38" s="1"/>
  <c r="U67" i="38" s="1"/>
  <c r="P67" i="38"/>
  <c r="R67" i="38"/>
  <c r="X192" i="38"/>
  <c r="Y191" i="38"/>
  <c r="I193" i="38"/>
  <c r="J193" i="38"/>
  <c r="X128" i="38"/>
  <c r="Y128" i="38"/>
  <c r="B124" i="38"/>
  <c r="E123" i="38"/>
  <c r="C123" i="38"/>
  <c r="D123" i="38" s="1"/>
  <c r="V67" i="38" l="1"/>
  <c r="M68" i="38"/>
  <c r="Q68" i="38" s="1"/>
  <c r="AC67" i="38"/>
  <c r="Y192" i="38"/>
  <c r="X193" i="38"/>
  <c r="K193" i="38"/>
  <c r="I194" i="38" s="1"/>
  <c r="J194" i="38"/>
  <c r="K194" i="38" s="1"/>
  <c r="I195" i="38" s="1"/>
  <c r="B125" i="38"/>
  <c r="E124" i="38"/>
  <c r="C124" i="38"/>
  <c r="D124" i="38" s="1"/>
  <c r="P68" i="38" l="1"/>
  <c r="T68" i="38"/>
  <c r="U68" i="38" s="1"/>
  <c r="X194" i="38"/>
  <c r="Y193" i="38"/>
  <c r="J195" i="38"/>
  <c r="K195" i="38" s="1"/>
  <c r="I196" i="38" s="1"/>
  <c r="B126" i="38"/>
  <c r="E125" i="38"/>
  <c r="C125" i="38"/>
  <c r="D125" i="38" s="1"/>
  <c r="V68" i="38" l="1"/>
  <c r="AC68" i="38"/>
  <c r="M69" i="38"/>
  <c r="Q69" i="38" s="1"/>
  <c r="Y194" i="38"/>
  <c r="X195" i="38"/>
  <c r="J196" i="38"/>
  <c r="K196" i="38" s="1"/>
  <c r="I197" i="38" s="1"/>
  <c r="B127" i="38"/>
  <c r="E126" i="38"/>
  <c r="C126" i="38"/>
  <c r="D126" i="38" s="1"/>
  <c r="P69" i="38" l="1"/>
  <c r="T69" i="38"/>
  <c r="U69" i="38" s="1"/>
  <c r="Y195" i="38"/>
  <c r="X196" i="38"/>
  <c r="J197" i="38"/>
  <c r="K197" i="38" s="1"/>
  <c r="B128" i="38"/>
  <c r="E127" i="38"/>
  <c r="C127" i="38"/>
  <c r="D127" i="38" s="1"/>
  <c r="V69" i="38" l="1"/>
  <c r="Y196" i="38"/>
  <c r="X197" i="38"/>
  <c r="I198" i="38"/>
  <c r="J198" i="38" s="1"/>
  <c r="K198" i="38" s="1"/>
  <c r="I199" i="38" s="1"/>
  <c r="B129" i="38"/>
  <c r="E128" i="38"/>
  <c r="C128" i="38"/>
  <c r="D128" i="38" s="1"/>
  <c r="AC69" i="38" l="1"/>
  <c r="M70" i="38"/>
  <c r="Q70" i="38" s="1"/>
  <c r="X198" i="38"/>
  <c r="Y197" i="38"/>
  <c r="J199" i="38"/>
  <c r="K199" i="38" s="1"/>
  <c r="I200" i="38" s="1"/>
  <c r="B130" i="38"/>
  <c r="E129" i="38"/>
  <c r="C129" i="38"/>
  <c r="D129" i="38" s="1"/>
  <c r="P70" i="38" l="1"/>
  <c r="T70" i="38"/>
  <c r="U70" i="38" s="1"/>
  <c r="Y198" i="38"/>
  <c r="X199" i="38"/>
  <c r="J200" i="38"/>
  <c r="B131" i="38"/>
  <c r="E130" i="38"/>
  <c r="C130" i="38"/>
  <c r="D130" i="38" s="1"/>
  <c r="V70" i="38" l="1"/>
  <c r="X200" i="38"/>
  <c r="Y199" i="38"/>
  <c r="I201" i="38"/>
  <c r="K200" i="38"/>
  <c r="B132" i="38"/>
  <c r="E131" i="38"/>
  <c r="C131" i="38"/>
  <c r="D131" i="38" s="1"/>
  <c r="M71" i="38" l="1"/>
  <c r="Q71" i="38" s="1"/>
  <c r="AC70" i="38"/>
  <c r="Y200" i="38"/>
  <c r="X201" i="38"/>
  <c r="J201" i="38"/>
  <c r="K201" i="38" s="1"/>
  <c r="I202" i="38" s="1"/>
  <c r="B133" i="38"/>
  <c r="E132" i="38"/>
  <c r="C132" i="38"/>
  <c r="D132" i="38" s="1"/>
  <c r="T71" i="38" l="1"/>
  <c r="U71" i="38" s="1"/>
  <c r="P71" i="38"/>
  <c r="Y201" i="38"/>
  <c r="X202" i="38"/>
  <c r="J202" i="38"/>
  <c r="B134" i="38"/>
  <c r="E133" i="38"/>
  <c r="C133" i="38"/>
  <c r="D133" i="38" s="1"/>
  <c r="V71" i="38" l="1"/>
  <c r="X203" i="38"/>
  <c r="Y202" i="38"/>
  <c r="K202" i="38"/>
  <c r="I203" i="38" s="1"/>
  <c r="J203" i="38" s="1"/>
  <c r="K203" i="38" s="1"/>
  <c r="B135" i="38"/>
  <c r="E134" i="38"/>
  <c r="C134" i="38"/>
  <c r="D134" i="38" s="1"/>
  <c r="M72" i="38" l="1"/>
  <c r="Q72" i="38" s="1"/>
  <c r="AC71" i="38"/>
  <c r="Y203" i="38"/>
  <c r="X204" i="38"/>
  <c r="I204" i="38"/>
  <c r="J204" i="38" s="1"/>
  <c r="B136" i="38"/>
  <c r="E135" i="38"/>
  <c r="C135" i="38"/>
  <c r="D135" i="38" s="1"/>
  <c r="P72" i="38" l="1"/>
  <c r="T72" i="38"/>
  <c r="U72" i="38" s="1"/>
  <c r="X205" i="38"/>
  <c r="Y204" i="38"/>
  <c r="I205" i="38"/>
  <c r="K204" i="38"/>
  <c r="B137" i="38"/>
  <c r="E136" i="38"/>
  <c r="C136" i="38"/>
  <c r="D136" i="38" s="1"/>
  <c r="V72" i="38" l="1"/>
  <c r="Y205" i="38"/>
  <c r="X206" i="38"/>
  <c r="J205" i="38"/>
  <c r="K205" i="38" s="1"/>
  <c r="Y140" i="38"/>
  <c r="X140" i="38"/>
  <c r="B138" i="38"/>
  <c r="E137" i="38"/>
  <c r="C137" i="38"/>
  <c r="D137" i="38" s="1"/>
  <c r="AC72" i="38" l="1"/>
  <c r="M73" i="38"/>
  <c r="Q73" i="38" s="1"/>
  <c r="X207" i="38"/>
  <c r="Y206" i="38"/>
  <c r="I206" i="38"/>
  <c r="B139" i="38"/>
  <c r="E138" i="38"/>
  <c r="C138" i="38"/>
  <c r="D138" i="38" s="1"/>
  <c r="P73" i="38" l="1"/>
  <c r="T73" i="38"/>
  <c r="U73" i="38" s="1"/>
  <c r="Y207" i="38"/>
  <c r="X208" i="38"/>
  <c r="J206" i="38"/>
  <c r="I207" i="38" s="1"/>
  <c r="K206" i="38"/>
  <c r="B140" i="38"/>
  <c r="E139" i="38"/>
  <c r="C139" i="38"/>
  <c r="D139" i="38" s="1"/>
  <c r="V73" i="38" l="1"/>
  <c r="X209" i="38"/>
  <c r="Y208" i="38"/>
  <c r="J207" i="38"/>
  <c r="K207" i="38" s="1"/>
  <c r="B141" i="38"/>
  <c r="E140" i="38"/>
  <c r="C140" i="38"/>
  <c r="D140" i="38" s="1"/>
  <c r="M74" i="38" l="1"/>
  <c r="Q74" i="38" s="1"/>
  <c r="AC73" i="38"/>
  <c r="Y209" i="38"/>
  <c r="X210" i="38"/>
  <c r="I208" i="38"/>
  <c r="E141" i="38"/>
  <c r="B142" i="38"/>
  <c r="C141" i="38"/>
  <c r="D141" i="38" s="1"/>
  <c r="T74" i="38" l="1"/>
  <c r="U74" i="38" s="1"/>
  <c r="P74" i="38"/>
  <c r="X211" i="38"/>
  <c r="Y210" i="38"/>
  <c r="J208" i="38"/>
  <c r="K208" i="38" s="1"/>
  <c r="B143" i="38"/>
  <c r="E142" i="38"/>
  <c r="C142" i="38"/>
  <c r="D142" i="38" s="1"/>
  <c r="V74" i="38" l="1"/>
  <c r="Y211" i="38"/>
  <c r="X212" i="38"/>
  <c r="I209" i="38"/>
  <c r="E143" i="38"/>
  <c r="B144" i="38"/>
  <c r="C143" i="38"/>
  <c r="D143" i="38" s="1"/>
  <c r="AC74" i="38" l="1"/>
  <c r="M75" i="38"/>
  <c r="Q75" i="38" s="1"/>
  <c r="Y212" i="38"/>
  <c r="X213" i="38"/>
  <c r="J209" i="38"/>
  <c r="K209" i="38" s="1"/>
  <c r="B145" i="38"/>
  <c r="E144" i="38"/>
  <c r="C144" i="38"/>
  <c r="D144" i="38" s="1"/>
  <c r="T75" i="38" l="1"/>
  <c r="U75" i="38" s="1"/>
  <c r="P75" i="38"/>
  <c r="Y213" i="38"/>
  <c r="X214" i="38"/>
  <c r="I210" i="38"/>
  <c r="E145" i="38"/>
  <c r="B146" i="38"/>
  <c r="C145" i="38"/>
  <c r="D145" i="38" s="1"/>
  <c r="V75" i="38" l="1"/>
  <c r="M76" i="38" s="1"/>
  <c r="Q76" i="38" s="1"/>
  <c r="Y214" i="38"/>
  <c r="X215" i="38"/>
  <c r="J210" i="38"/>
  <c r="K210" i="38" s="1"/>
  <c r="B147" i="38"/>
  <c r="E146" i="38"/>
  <c r="C146" i="38"/>
  <c r="D146" i="38" s="1"/>
  <c r="AC75" i="38" l="1"/>
  <c r="P76" i="38"/>
  <c r="T76" i="38"/>
  <c r="U76" i="38" s="1"/>
  <c r="Y215" i="38"/>
  <c r="X216" i="38"/>
  <c r="I211" i="38"/>
  <c r="J211" i="38" s="1"/>
  <c r="K211" i="38" s="1"/>
  <c r="I212" i="38"/>
  <c r="E147" i="38"/>
  <c r="B148" i="38"/>
  <c r="C147" i="38"/>
  <c r="D147" i="38" s="1"/>
  <c r="V76" i="38" l="1"/>
  <c r="AC76" i="38" s="1"/>
  <c r="Y216" i="38"/>
  <c r="X217" i="38"/>
  <c r="J212" i="38"/>
  <c r="K212" i="38" s="1"/>
  <c r="I213" i="38" s="1"/>
  <c r="B149" i="38"/>
  <c r="E148" i="38"/>
  <c r="C148" i="38"/>
  <c r="D148" i="38" s="1"/>
  <c r="M77" i="38" l="1"/>
  <c r="Q77" i="38" s="1"/>
  <c r="Y217" i="38"/>
  <c r="X218" i="38"/>
  <c r="J213" i="38"/>
  <c r="K213" i="38" s="1"/>
  <c r="I214" i="38" s="1"/>
  <c r="E149" i="38"/>
  <c r="B150" i="38"/>
  <c r="C149" i="38"/>
  <c r="D149" i="38" s="1"/>
  <c r="P77" i="38" l="1"/>
  <c r="T77" i="38"/>
  <c r="U77" i="38" s="1"/>
  <c r="V77" i="38"/>
  <c r="X219" i="38"/>
  <c r="Y218" i="38"/>
  <c r="J214" i="38"/>
  <c r="K214" i="38" s="1"/>
  <c r="I215" i="38" s="1"/>
  <c r="B151" i="38"/>
  <c r="E150" i="38"/>
  <c r="C150" i="38"/>
  <c r="D150" i="38" s="1"/>
  <c r="M78" i="38" l="1"/>
  <c r="Q78" i="38" s="1"/>
  <c r="AC77" i="38"/>
  <c r="Y219" i="38"/>
  <c r="X220" i="38"/>
  <c r="J215" i="38"/>
  <c r="K215" i="38" s="1"/>
  <c r="E151" i="38"/>
  <c r="B152" i="38"/>
  <c r="C151" i="38"/>
  <c r="D151" i="38" s="1"/>
  <c r="P78" i="38" l="1"/>
  <c r="T78" i="38"/>
  <c r="U78" i="38" s="1"/>
  <c r="Y220" i="38"/>
  <c r="X221" i="38"/>
  <c r="I216" i="38"/>
  <c r="X152" i="38"/>
  <c r="Y152" i="38"/>
  <c r="E152" i="38"/>
  <c r="B153" i="38"/>
  <c r="C152" i="38"/>
  <c r="D152" i="38" s="1"/>
  <c r="V78" i="38" l="1"/>
  <c r="M79" i="38"/>
  <c r="AC78" i="38"/>
  <c r="Y221" i="38"/>
  <c r="X222" i="38"/>
  <c r="J216" i="38"/>
  <c r="K216" i="38" s="1"/>
  <c r="E153" i="38"/>
  <c r="B154" i="38"/>
  <c r="C153" i="38"/>
  <c r="D153" i="38" s="1"/>
  <c r="Q79" i="38" l="1"/>
  <c r="S79" i="38"/>
  <c r="P79" i="38"/>
  <c r="T79" i="38"/>
  <c r="U79" i="38" s="1"/>
  <c r="R79" i="38"/>
  <c r="Y222" i="38"/>
  <c r="X223" i="38"/>
  <c r="I217" i="38"/>
  <c r="E154" i="38"/>
  <c r="B155" i="38"/>
  <c r="C154" i="38"/>
  <c r="D154" i="38" s="1"/>
  <c r="V79" i="38" l="1"/>
  <c r="AC79" i="38" s="1"/>
  <c r="Y223" i="38"/>
  <c r="X224" i="38"/>
  <c r="J217" i="38"/>
  <c r="K217" i="38" s="1"/>
  <c r="I218" i="38" s="1"/>
  <c r="E155" i="38"/>
  <c r="B156" i="38"/>
  <c r="C155" i="38"/>
  <c r="D155" i="38" s="1"/>
  <c r="M80" i="38" l="1"/>
  <c r="Q80" i="38" s="1"/>
  <c r="P80" i="38"/>
  <c r="T80" i="38"/>
  <c r="U80" i="38" s="1"/>
  <c r="Y224" i="38"/>
  <c r="X225" i="38"/>
  <c r="J218" i="38"/>
  <c r="K218" i="38" s="1"/>
  <c r="E156" i="38"/>
  <c r="B157" i="38"/>
  <c r="C156" i="38"/>
  <c r="D156" i="38" s="1"/>
  <c r="V80" i="38" l="1"/>
  <c r="AC80" i="38"/>
  <c r="M81" i="38"/>
  <c r="Q81" i="38" s="1"/>
  <c r="X226" i="38"/>
  <c r="Y225" i="38"/>
  <c r="I219" i="38"/>
  <c r="J219" i="38"/>
  <c r="K219" i="38" s="1"/>
  <c r="I220" i="38" s="1"/>
  <c r="E157" i="38"/>
  <c r="B158" i="38"/>
  <c r="C157" i="38"/>
  <c r="D157" i="38" s="1"/>
  <c r="P81" i="38" l="1"/>
  <c r="T81" i="38"/>
  <c r="U81" i="38" s="1"/>
  <c r="V81" i="38"/>
  <c r="Y226" i="38"/>
  <c r="X227" i="38"/>
  <c r="J220" i="38"/>
  <c r="K220" i="38" s="1"/>
  <c r="E158" i="38"/>
  <c r="B159" i="38"/>
  <c r="C158" i="38"/>
  <c r="D158" i="38" s="1"/>
  <c r="AC81" i="38" l="1"/>
  <c r="M82" i="38"/>
  <c r="Q82" i="38" s="1"/>
  <c r="Y227" i="38"/>
  <c r="X228" i="38"/>
  <c r="I221" i="38"/>
  <c r="E159" i="38"/>
  <c r="B160" i="38"/>
  <c r="C159" i="38"/>
  <c r="D159" i="38" s="1"/>
  <c r="P82" i="38" l="1"/>
  <c r="T82" i="38"/>
  <c r="U82" i="38" s="1"/>
  <c r="Y228" i="38"/>
  <c r="X229" i="38"/>
  <c r="J221" i="38"/>
  <c r="E160" i="38"/>
  <c r="B161" i="38"/>
  <c r="C160" i="38"/>
  <c r="D160" i="38" s="1"/>
  <c r="V82" i="38" l="1"/>
  <c r="AC82" i="38" s="1"/>
  <c r="X230" i="38"/>
  <c r="Y229" i="38"/>
  <c r="K221" i="38"/>
  <c r="I222" i="38" s="1"/>
  <c r="J222" i="38" s="1"/>
  <c r="K222" i="38" s="1"/>
  <c r="I223" i="38" s="1"/>
  <c r="E161" i="38"/>
  <c r="B162" i="38"/>
  <c r="C161" i="38"/>
  <c r="D161" i="38" s="1"/>
  <c r="M83" i="38" l="1"/>
  <c r="Q83" i="38" s="1"/>
  <c r="X231" i="38"/>
  <c r="Y230" i="38"/>
  <c r="J223" i="38"/>
  <c r="K223" i="38" s="1"/>
  <c r="E162" i="38"/>
  <c r="B163" i="38"/>
  <c r="C162" i="38"/>
  <c r="D162" i="38" s="1"/>
  <c r="T83" i="38" l="1"/>
  <c r="U83" i="38" s="1"/>
  <c r="P83" i="38"/>
  <c r="V83" i="38" s="1"/>
  <c r="X232" i="38"/>
  <c r="Y231" i="38"/>
  <c r="I224" i="38"/>
  <c r="J224" i="38" s="1"/>
  <c r="K224" i="38" s="1"/>
  <c r="E163" i="38"/>
  <c r="B164" i="38"/>
  <c r="C163" i="38"/>
  <c r="D163" i="38" s="1"/>
  <c r="AC83" i="38" l="1"/>
  <c r="M84" i="38"/>
  <c r="Q84" i="38" s="1"/>
  <c r="P84" i="38"/>
  <c r="Y232" i="38"/>
  <c r="X233" i="38"/>
  <c r="I225" i="38"/>
  <c r="E164" i="38"/>
  <c r="B165" i="38"/>
  <c r="C164" i="38"/>
  <c r="D164" i="38" s="1"/>
  <c r="T84" i="38" l="1"/>
  <c r="U84" i="38" s="1"/>
  <c r="X234" i="38"/>
  <c r="Y233" i="38"/>
  <c r="J225" i="38"/>
  <c r="K225" i="38" s="1"/>
  <c r="E165" i="38"/>
  <c r="B166" i="38"/>
  <c r="C165" i="38"/>
  <c r="D165" i="38" s="1"/>
  <c r="V84" i="38" l="1"/>
  <c r="X235" i="38"/>
  <c r="Y234" i="38"/>
  <c r="I226" i="38"/>
  <c r="E166" i="38"/>
  <c r="B167" i="38"/>
  <c r="C166" i="38"/>
  <c r="D166" i="38" s="1"/>
  <c r="AC84" i="38" l="1"/>
  <c r="M85" i="38"/>
  <c r="Y235" i="38"/>
  <c r="X236" i="38"/>
  <c r="J226" i="38"/>
  <c r="E167" i="38"/>
  <c r="B168" i="38"/>
  <c r="C167" i="38"/>
  <c r="D167" i="38" s="1"/>
  <c r="Q85" i="38" l="1"/>
  <c r="P85" i="38"/>
  <c r="T85" i="38"/>
  <c r="U85" i="38" s="1"/>
  <c r="X237" i="38"/>
  <c r="Y236" i="38"/>
  <c r="K226" i="38"/>
  <c r="I227" i="38" s="1"/>
  <c r="E168" i="38"/>
  <c r="B169" i="38"/>
  <c r="C168" i="38"/>
  <c r="D168" i="38" s="1"/>
  <c r="V85" i="38" l="1"/>
  <c r="Y237" i="38"/>
  <c r="X238" i="38"/>
  <c r="J227" i="38"/>
  <c r="K227" i="38" s="1"/>
  <c r="E169" i="38"/>
  <c r="B170" i="38"/>
  <c r="C169" i="38"/>
  <c r="D169" i="38" s="1"/>
  <c r="M86" i="38" l="1"/>
  <c r="AC85" i="38"/>
  <c r="X239" i="38"/>
  <c r="Y238" i="38"/>
  <c r="I228" i="38"/>
  <c r="J228" i="38" s="1"/>
  <c r="Y164" i="38"/>
  <c r="X164" i="38"/>
  <c r="E170" i="38"/>
  <c r="B171" i="38"/>
  <c r="C170" i="38"/>
  <c r="D170" i="38" s="1"/>
  <c r="Q86" i="38" l="1"/>
  <c r="P86" i="38"/>
  <c r="T86" i="38"/>
  <c r="U86" i="38" s="1"/>
  <c r="V86" i="38"/>
  <c r="Y239" i="38"/>
  <c r="X240" i="38"/>
  <c r="K228" i="38"/>
  <c r="I229" i="38" s="1"/>
  <c r="J229" i="38" s="1"/>
  <c r="K229" i="38" s="1"/>
  <c r="I230" i="38" s="1"/>
  <c r="E171" i="38"/>
  <c r="B172" i="38"/>
  <c r="C171" i="38"/>
  <c r="D171" i="38" s="1"/>
  <c r="M87" i="38" l="1"/>
  <c r="AC86" i="38"/>
  <c r="Y240" i="38"/>
  <c r="X241" i="38"/>
  <c r="J230" i="38"/>
  <c r="K230" i="38" s="1"/>
  <c r="I231" i="38" s="1"/>
  <c r="E172" i="38"/>
  <c r="B173" i="38"/>
  <c r="C172" i="38"/>
  <c r="D172" i="38" s="1"/>
  <c r="Q87" i="38" l="1"/>
  <c r="P87" i="38"/>
  <c r="T87" i="38"/>
  <c r="U87" i="38" s="1"/>
  <c r="V87" i="38"/>
  <c r="Y241" i="38"/>
  <c r="X242" i="38"/>
  <c r="J231" i="38"/>
  <c r="K231" i="38" s="1"/>
  <c r="E173" i="38"/>
  <c r="B174" i="38"/>
  <c r="C173" i="38"/>
  <c r="D173" i="38" s="1"/>
  <c r="M88" i="38" l="1"/>
  <c r="AC87" i="38"/>
  <c r="Y242" i="38"/>
  <c r="X243" i="38"/>
  <c r="I232" i="38"/>
  <c r="E174" i="38"/>
  <c r="B175" i="38"/>
  <c r="C174" i="38"/>
  <c r="D174" i="38" s="1"/>
  <c r="Q88" i="38" l="1"/>
  <c r="P88" i="38"/>
  <c r="T88" i="38"/>
  <c r="U88" i="38" s="1"/>
  <c r="V88" i="38"/>
  <c r="Y243" i="38"/>
  <c r="X244" i="38"/>
  <c r="J232" i="38"/>
  <c r="E175" i="38"/>
  <c r="B176" i="38"/>
  <c r="C175" i="38"/>
  <c r="D175" i="38" s="1"/>
  <c r="AC88" i="38" l="1"/>
  <c r="M89" i="38"/>
  <c r="Y244" i="38"/>
  <c r="X245" i="38"/>
  <c r="I233" i="38"/>
  <c r="K232" i="38"/>
  <c r="E176" i="38"/>
  <c r="B177" i="38"/>
  <c r="C176" i="38"/>
  <c r="D176" i="38" s="1"/>
  <c r="Q89" i="38" l="1"/>
  <c r="P89" i="38"/>
  <c r="T89" i="38"/>
  <c r="U89" i="38" s="1"/>
  <c r="V89" i="38"/>
  <c r="Y245" i="38"/>
  <c r="X246" i="38"/>
  <c r="J233" i="38"/>
  <c r="K233" i="38" s="1"/>
  <c r="I234" i="38" s="1"/>
  <c r="E177" i="38"/>
  <c r="B178" i="38"/>
  <c r="C177" i="38"/>
  <c r="D177" i="38" s="1"/>
  <c r="M90" i="38" l="1"/>
  <c r="AC89" i="38"/>
  <c r="X247" i="38"/>
  <c r="Y246" i="38"/>
  <c r="J234" i="38"/>
  <c r="K234" i="38"/>
  <c r="I235" i="38" s="1"/>
  <c r="E178" i="38"/>
  <c r="B179" i="38"/>
  <c r="C178" i="38"/>
  <c r="D178" i="38" s="1"/>
  <c r="Q90" i="38" l="1"/>
  <c r="P90" i="38"/>
  <c r="T90" i="38"/>
  <c r="U90" i="38" s="1"/>
  <c r="V90" i="38"/>
  <c r="Y247" i="38"/>
  <c r="X248" i="38"/>
  <c r="J235" i="38"/>
  <c r="E179" i="38"/>
  <c r="B180" i="38"/>
  <c r="C179" i="38"/>
  <c r="D179" i="38" s="1"/>
  <c r="M91" i="38" l="1"/>
  <c r="AC90" i="38"/>
  <c r="Y248" i="38"/>
  <c r="X249" i="38"/>
  <c r="K235" i="38"/>
  <c r="I236" i="38" s="1"/>
  <c r="E180" i="38"/>
  <c r="B181" i="38"/>
  <c r="C180" i="38"/>
  <c r="D180" i="38" s="1"/>
  <c r="Q91" i="38" l="1"/>
  <c r="S91" i="38"/>
  <c r="T91" i="38" s="1"/>
  <c r="U91" i="38" s="1"/>
  <c r="P91" i="38"/>
  <c r="R91" i="38"/>
  <c r="Y249" i="38"/>
  <c r="X250" i="38"/>
  <c r="J236" i="38"/>
  <c r="K236" i="38" s="1"/>
  <c r="E181" i="38"/>
  <c r="B182" i="38"/>
  <c r="C181" i="38"/>
  <c r="D181" i="38" s="1"/>
  <c r="V91" i="38" l="1"/>
  <c r="X251" i="38"/>
  <c r="Y250" i="38"/>
  <c r="I237" i="38"/>
  <c r="E182" i="38"/>
  <c r="B183" i="38"/>
  <c r="C182" i="38"/>
  <c r="D182" i="38" s="1"/>
  <c r="AC91" i="38" l="1"/>
  <c r="M92" i="38"/>
  <c r="Y251" i="38"/>
  <c r="X252" i="38"/>
  <c r="J237" i="38"/>
  <c r="K237" i="38" s="1"/>
  <c r="E183" i="38"/>
  <c r="B184" i="38"/>
  <c r="C183" i="38"/>
  <c r="D183" i="38" s="1"/>
  <c r="Q92" i="38" l="1"/>
  <c r="P92" i="38"/>
  <c r="T92" i="38"/>
  <c r="U92" i="38" s="1"/>
  <c r="Y252" i="38"/>
  <c r="X253" i="38"/>
  <c r="I238" i="38"/>
  <c r="E184" i="38"/>
  <c r="B185" i="38"/>
  <c r="C184" i="38"/>
  <c r="D184" i="38" s="1"/>
  <c r="V92" i="38" l="1"/>
  <c r="Y253" i="38"/>
  <c r="X254" i="38"/>
  <c r="J238" i="38"/>
  <c r="E185" i="38"/>
  <c r="B186" i="38"/>
  <c r="C185" i="38"/>
  <c r="D185" i="38" s="1"/>
  <c r="M93" i="38" l="1"/>
  <c r="AC92" i="38"/>
  <c r="Y254" i="38"/>
  <c r="X255" i="38"/>
  <c r="K238" i="38"/>
  <c r="I239" i="38" s="1"/>
  <c r="E186" i="38"/>
  <c r="B187" i="38"/>
  <c r="C186" i="38"/>
  <c r="D186" i="38" s="1"/>
  <c r="Q93" i="38" l="1"/>
  <c r="T93" i="38"/>
  <c r="U93" i="38" s="1"/>
  <c r="P93" i="38"/>
  <c r="V93" i="38" s="1"/>
  <c r="Y255" i="38"/>
  <c r="X256" i="38"/>
  <c r="J239" i="38"/>
  <c r="X176" i="38"/>
  <c r="Y176" i="38"/>
  <c r="E187" i="38"/>
  <c r="B188" i="38"/>
  <c r="C187" i="38"/>
  <c r="D187" i="38" s="1"/>
  <c r="M94" i="38" l="1"/>
  <c r="AC93" i="38"/>
  <c r="Y256" i="38"/>
  <c r="X257" i="38"/>
  <c r="K239" i="38"/>
  <c r="I240" i="38" s="1"/>
  <c r="E188" i="38"/>
  <c r="B189" i="38"/>
  <c r="C188" i="38"/>
  <c r="D188" i="38" s="1"/>
  <c r="Q94" i="38" l="1"/>
  <c r="P94" i="38"/>
  <c r="T94" i="38"/>
  <c r="U94" i="38" s="1"/>
  <c r="V94" i="38"/>
  <c r="Y257" i="38"/>
  <c r="X258" i="38"/>
  <c r="J240" i="38"/>
  <c r="K240" i="38" s="1"/>
  <c r="B190" i="38"/>
  <c r="E189" i="38"/>
  <c r="C189" i="38"/>
  <c r="D189" i="38" s="1"/>
  <c r="M95" i="38" l="1"/>
  <c r="AC94" i="38"/>
  <c r="Z55" i="38"/>
  <c r="X259" i="38"/>
  <c r="Z44" i="38"/>
  <c r="Z75" i="38"/>
  <c r="Z136" i="38"/>
  <c r="Y258" i="38"/>
  <c r="Z258" i="38"/>
  <c r="Z27" i="38"/>
  <c r="Z77" i="38"/>
  <c r="Z160" i="38"/>
  <c r="Z101" i="38"/>
  <c r="Z82" i="38"/>
  <c r="Z10" i="38"/>
  <c r="Z59" i="38"/>
  <c r="Z46" i="38"/>
  <c r="Z86" i="38"/>
  <c r="Z88" i="38"/>
  <c r="Z17" i="38"/>
  <c r="Z78" i="38"/>
  <c r="Z30" i="38"/>
  <c r="Z71" i="38"/>
  <c r="Z98" i="38"/>
  <c r="Z154" i="38"/>
  <c r="Z123" i="38"/>
  <c r="Z76" i="38"/>
  <c r="Z147" i="38"/>
  <c r="Z140" i="38"/>
  <c r="Z128" i="38"/>
  <c r="Z21" i="38"/>
  <c r="Z19" i="38"/>
  <c r="I241" i="38"/>
  <c r="B191" i="38"/>
  <c r="E190" i="38"/>
  <c r="C190" i="38"/>
  <c r="D190" i="38" s="1"/>
  <c r="Q95" i="38" l="1"/>
  <c r="P95" i="38"/>
  <c r="T95" i="38"/>
  <c r="U95" i="38" s="1"/>
  <c r="V95" i="38"/>
  <c r="Z62" i="38"/>
  <c r="Z144" i="38"/>
  <c r="Z174" i="38"/>
  <c r="Z85" i="38"/>
  <c r="Z169" i="38"/>
  <c r="Z124" i="38"/>
  <c r="Z9" i="38"/>
  <c r="Z41" i="38"/>
  <c r="Z172" i="38"/>
  <c r="Z89" i="38"/>
  <c r="Z83" i="38"/>
  <c r="Z119" i="38"/>
  <c r="Z125" i="38"/>
  <c r="Z48" i="38"/>
  <c r="Z97" i="38"/>
  <c r="Z67" i="38"/>
  <c r="Z16" i="38"/>
  <c r="Z49" i="38"/>
  <c r="Z63" i="38"/>
  <c r="Z20" i="38"/>
  <c r="Z152" i="38"/>
  <c r="Z103" i="38"/>
  <c r="Z35" i="38"/>
  <c r="Z133" i="38"/>
  <c r="Z166" i="38"/>
  <c r="Z18" i="38"/>
  <c r="Z138" i="38"/>
  <c r="Z65" i="38"/>
  <c r="Z99" i="38"/>
  <c r="Z100" i="38"/>
  <c r="Z102" i="38"/>
  <c r="Z105" i="38"/>
  <c r="Z32" i="38"/>
  <c r="Z57" i="38"/>
  <c r="Z149" i="38"/>
  <c r="Z58" i="38"/>
  <c r="Z14" i="38"/>
  <c r="Z109" i="38"/>
  <c r="Z45" i="38"/>
  <c r="Z142" i="38"/>
  <c r="Z171" i="38"/>
  <c r="Z95" i="38"/>
  <c r="Z74" i="38"/>
  <c r="Z158" i="38"/>
  <c r="Z96" i="38"/>
  <c r="Z68" i="38"/>
  <c r="Z81" i="38"/>
  <c r="Z257" i="38"/>
  <c r="Z73" i="38"/>
  <c r="Z114" i="38"/>
  <c r="Z42" i="38"/>
  <c r="Z148" i="38"/>
  <c r="Z117" i="38"/>
  <c r="Z28" i="38"/>
  <c r="Z255" i="38"/>
  <c r="Z113" i="38"/>
  <c r="Z168" i="38"/>
  <c r="Z12" i="38"/>
  <c r="Z87" i="38"/>
  <c r="Z129" i="38"/>
  <c r="Z43" i="38"/>
  <c r="Z25" i="38"/>
  <c r="Z94" i="38"/>
  <c r="Z157" i="38"/>
  <c r="Z29" i="38"/>
  <c r="Z115" i="38"/>
  <c r="Z121" i="38"/>
  <c r="Z131" i="38"/>
  <c r="Z170" i="38"/>
  <c r="Z40" i="38"/>
  <c r="Z104" i="38"/>
  <c r="Z72" i="38"/>
  <c r="Z92" i="38"/>
  <c r="Z13" i="38"/>
  <c r="Z150" i="38"/>
  <c r="Z161" i="38"/>
  <c r="Z26" i="38"/>
  <c r="Z155" i="38"/>
  <c r="Z162" i="38"/>
  <c r="Z130" i="38"/>
  <c r="Z38" i="38"/>
  <c r="Z139" i="38"/>
  <c r="Z126" i="38"/>
  <c r="Z33" i="38"/>
  <c r="Z116" i="38"/>
  <c r="Z141" i="38"/>
  <c r="Z91" i="38"/>
  <c r="Z15" i="38"/>
  <c r="Z50" i="38"/>
  <c r="Z34" i="38"/>
  <c r="Z64" i="38"/>
  <c r="Z120" i="38"/>
  <c r="Z167" i="38"/>
  <c r="Z56" i="38"/>
  <c r="Z54" i="38"/>
  <c r="Z23" i="38"/>
  <c r="Z135" i="38"/>
  <c r="Z137" i="38"/>
  <c r="Z37" i="38"/>
  <c r="Z111" i="38"/>
  <c r="Z253" i="38"/>
  <c r="Z52" i="38"/>
  <c r="Z143" i="38"/>
  <c r="Z163" i="38"/>
  <c r="Z84" i="38"/>
  <c r="Z145" i="38"/>
  <c r="Z93" i="38"/>
  <c r="Z151" i="38"/>
  <c r="Z47" i="38"/>
  <c r="Z22" i="38"/>
  <c r="Z173" i="38"/>
  <c r="Z175" i="38"/>
  <c r="Z39" i="38"/>
  <c r="Z24" i="38"/>
  <c r="Z156" i="38"/>
  <c r="Z66" i="38"/>
  <c r="Z146" i="38"/>
  <c r="Z106" i="38"/>
  <c r="Z164" i="38"/>
  <c r="Y259" i="38"/>
  <c r="Z259" i="38"/>
  <c r="Z177" i="38"/>
  <c r="Z178" i="38"/>
  <c r="Z179" i="38"/>
  <c r="Z181" i="38"/>
  <c r="Z180" i="38"/>
  <c r="Z182" i="38"/>
  <c r="Z183" i="38"/>
  <c r="Z184" i="38"/>
  <c r="Z185" i="38"/>
  <c r="Z187" i="38"/>
  <c r="Z186" i="38"/>
  <c r="Z189" i="38"/>
  <c r="Z188" i="38"/>
  <c r="Z190" i="38"/>
  <c r="Z192" i="38"/>
  <c r="Z191" i="38"/>
  <c r="Z195" i="38"/>
  <c r="Z194" i="38"/>
  <c r="Z193" i="38"/>
  <c r="Z196" i="38"/>
  <c r="Z197" i="38"/>
  <c r="Z200" i="38"/>
  <c r="Z198" i="38"/>
  <c r="Z201" i="38"/>
  <c r="Z199" i="38"/>
  <c r="Z203" i="38"/>
  <c r="Z205" i="38"/>
  <c r="Z202" i="38"/>
  <c r="Z204" i="38"/>
  <c r="Z207" i="38"/>
  <c r="Z206" i="38"/>
  <c r="Z208" i="38"/>
  <c r="Z209" i="38"/>
  <c r="Z211" i="38"/>
  <c r="Z210" i="38"/>
  <c r="Z212" i="38"/>
  <c r="Z213" i="38"/>
  <c r="Z215" i="38"/>
  <c r="Z214" i="38"/>
  <c r="Z217" i="38"/>
  <c r="Z216" i="38"/>
  <c r="Z219" i="38"/>
  <c r="Z220" i="38"/>
  <c r="Z218" i="38"/>
  <c r="Z221" i="38"/>
  <c r="Z222" i="38"/>
  <c r="Z223" i="38"/>
  <c r="Z226" i="38"/>
  <c r="Z224" i="38"/>
  <c r="Z225" i="38"/>
  <c r="Z229" i="38"/>
  <c r="Z227" i="38"/>
  <c r="Z231" i="38"/>
  <c r="Z228" i="38"/>
  <c r="Z232" i="38"/>
  <c r="Z230" i="38"/>
  <c r="Z233" i="38"/>
  <c r="Z234" i="38"/>
  <c r="Z235" i="38"/>
  <c r="Z236" i="38"/>
  <c r="Z237" i="38"/>
  <c r="Z238" i="38"/>
  <c r="Z240" i="38"/>
  <c r="Z239" i="38"/>
  <c r="Z242" i="38"/>
  <c r="Z241" i="38"/>
  <c r="Z244" i="38"/>
  <c r="Z243" i="38"/>
  <c r="Z245" i="38"/>
  <c r="Z249" i="38"/>
  <c r="Z246" i="38"/>
  <c r="Z248" i="38"/>
  <c r="Z247" i="38"/>
  <c r="Z250" i="38"/>
  <c r="Z251" i="38"/>
  <c r="Z252" i="38"/>
  <c r="Z153" i="38"/>
  <c r="Z127" i="38"/>
  <c r="Z61" i="38"/>
  <c r="Z176" i="38"/>
  <c r="Z256" i="38"/>
  <c r="Z53" i="38"/>
  <c r="Z80" i="38"/>
  <c r="Z254" i="38"/>
  <c r="Z70" i="38"/>
  <c r="Z134" i="38"/>
  <c r="Z8" i="38"/>
  <c r="Z107" i="38"/>
  <c r="Z51" i="38"/>
  <c r="Z110" i="38"/>
  <c r="Z112" i="38"/>
  <c r="Z79" i="38"/>
  <c r="Z69" i="38"/>
  <c r="Z36" i="38"/>
  <c r="Z122" i="38"/>
  <c r="Z108" i="38"/>
  <c r="Z165" i="38"/>
  <c r="Z31" i="38"/>
  <c r="Z132" i="38"/>
  <c r="Z159" i="38"/>
  <c r="Z60" i="38"/>
  <c r="Z118" i="38"/>
  <c r="Z90" i="38"/>
  <c r="Z11" i="38"/>
  <c r="J241" i="38"/>
  <c r="K241" i="38" s="1"/>
  <c r="I242" i="38" s="1"/>
  <c r="E191" i="38"/>
  <c r="B192" i="38"/>
  <c r="C191" i="38"/>
  <c r="D191" i="38" s="1"/>
  <c r="AC95" i="38" l="1"/>
  <c r="M96" i="38"/>
  <c r="J242" i="38"/>
  <c r="K242" i="38" s="1"/>
  <c r="E192" i="38"/>
  <c r="B193" i="38"/>
  <c r="C192" i="38"/>
  <c r="D192" i="38" s="1"/>
  <c r="Q96" i="38" l="1"/>
  <c r="P96" i="38"/>
  <c r="T96" i="38"/>
  <c r="U96" i="38" s="1"/>
  <c r="V96" i="38"/>
  <c r="I243" i="38"/>
  <c r="J243" i="38" s="1"/>
  <c r="B194" i="38"/>
  <c r="E193" i="38"/>
  <c r="C193" i="38"/>
  <c r="D193" i="38" s="1"/>
  <c r="M97" i="38" l="1"/>
  <c r="AC96" i="38"/>
  <c r="K243" i="38"/>
  <c r="I244" i="38" s="1"/>
  <c r="J244" i="38" s="1"/>
  <c r="B195" i="38"/>
  <c r="E194" i="38"/>
  <c r="C194" i="38"/>
  <c r="D194" i="38" s="1"/>
  <c r="Q97" i="38" l="1"/>
  <c r="P97" i="38"/>
  <c r="T97" i="38"/>
  <c r="U97" i="38" s="1"/>
  <c r="K244" i="38"/>
  <c r="I245" i="38" s="1"/>
  <c r="E195" i="38"/>
  <c r="B196" i="38"/>
  <c r="C195" i="38"/>
  <c r="D195" i="38" s="1"/>
  <c r="V97" i="38" l="1"/>
  <c r="J245" i="38"/>
  <c r="K245" i="38" s="1"/>
  <c r="I246" i="38" s="1"/>
  <c r="E196" i="38"/>
  <c r="B197" i="38"/>
  <c r="C196" i="38"/>
  <c r="D196" i="38" s="1"/>
  <c r="M98" i="38" l="1"/>
  <c r="AC97" i="38"/>
  <c r="J246" i="38"/>
  <c r="K246" i="38" s="1"/>
  <c r="I247" i="38" s="1"/>
  <c r="B198" i="38"/>
  <c r="E197" i="38"/>
  <c r="C197" i="38"/>
  <c r="D197" i="38" s="1"/>
  <c r="Q98" i="38" l="1"/>
  <c r="P98" i="38"/>
  <c r="T98" i="38"/>
  <c r="U98" i="38" s="1"/>
  <c r="J247" i="38"/>
  <c r="K247" i="38" s="1"/>
  <c r="B199" i="38"/>
  <c r="E198" i="38"/>
  <c r="C198" i="38"/>
  <c r="D198" i="38" s="1"/>
  <c r="V98" i="38" l="1"/>
  <c r="I248" i="38"/>
  <c r="E199" i="38"/>
  <c r="B200" i="38"/>
  <c r="C199" i="38"/>
  <c r="D199" i="38" s="1"/>
  <c r="AC98" i="38" l="1"/>
  <c r="M99" i="38"/>
  <c r="J248" i="38"/>
  <c r="K248" i="38" s="1"/>
  <c r="E200" i="38"/>
  <c r="B201" i="38"/>
  <c r="C200" i="38"/>
  <c r="D200" i="38" s="1"/>
  <c r="Q99" i="38" l="1"/>
  <c r="P99" i="38"/>
  <c r="T99" i="38"/>
  <c r="U99" i="38" s="1"/>
  <c r="V99" i="38"/>
  <c r="I249" i="38"/>
  <c r="B202" i="38"/>
  <c r="E201" i="38"/>
  <c r="C201" i="38"/>
  <c r="D201" i="38" s="1"/>
  <c r="M100" i="38" l="1"/>
  <c r="AC99" i="38"/>
  <c r="J249" i="38"/>
  <c r="K249" i="38" s="1"/>
  <c r="I250" i="38" s="1"/>
  <c r="B203" i="38"/>
  <c r="E202" i="38"/>
  <c r="C202" i="38"/>
  <c r="D202" i="38" s="1"/>
  <c r="Q100" i="38" l="1"/>
  <c r="P100" i="38"/>
  <c r="T100" i="38"/>
  <c r="U100" i="38" s="1"/>
  <c r="J250" i="38"/>
  <c r="K250" i="38" s="1"/>
  <c r="I251" i="38" s="1"/>
  <c r="E203" i="38"/>
  <c r="B204" i="38"/>
  <c r="C203" i="38"/>
  <c r="D203" i="38" s="1"/>
  <c r="V100" i="38" l="1"/>
  <c r="J251" i="38"/>
  <c r="K251" i="38"/>
  <c r="I252" i="38" s="1"/>
  <c r="E204" i="38"/>
  <c r="B205" i="38"/>
  <c r="C204" i="38"/>
  <c r="D204" i="38" s="1"/>
  <c r="AC100" i="38" l="1"/>
  <c r="M101" i="38"/>
  <c r="J252" i="38"/>
  <c r="K252" i="38" s="1"/>
  <c r="B206" i="38"/>
  <c r="E205" i="38"/>
  <c r="C205" i="38"/>
  <c r="D205" i="38" s="1"/>
  <c r="Q101" i="38" l="1"/>
  <c r="T101" i="38"/>
  <c r="U101" i="38" s="1"/>
  <c r="P101" i="38"/>
  <c r="V101" i="38"/>
  <c r="I253" i="38"/>
  <c r="B207" i="38"/>
  <c r="E206" i="38"/>
  <c r="C206" i="38"/>
  <c r="D206" i="38" s="1"/>
  <c r="AC101" i="38" l="1"/>
  <c r="M102" i="38"/>
  <c r="J253" i="38"/>
  <c r="K253" i="38" s="1"/>
  <c r="E207" i="38"/>
  <c r="B208" i="38"/>
  <c r="C207" i="38"/>
  <c r="D207" i="38" s="1"/>
  <c r="Q102" i="38" l="1"/>
  <c r="P102" i="38"/>
  <c r="V102" i="38" s="1"/>
  <c r="M103" i="38" s="1"/>
  <c r="T102" i="38"/>
  <c r="U102" i="38" s="1"/>
  <c r="I254" i="38"/>
  <c r="E208" i="38"/>
  <c r="B209" i="38"/>
  <c r="C208" i="38"/>
  <c r="D208" i="38" s="1"/>
  <c r="Q103" i="38" l="1"/>
  <c r="S103" i="38"/>
  <c r="T103" i="38" s="1"/>
  <c r="U103" i="38" s="1"/>
  <c r="AC102" i="38"/>
  <c r="P103" i="38"/>
  <c r="R103" i="38"/>
  <c r="J254" i="38"/>
  <c r="K254" i="38" s="1"/>
  <c r="I255" i="38" s="1"/>
  <c r="J255" i="38" s="1"/>
  <c r="K255" i="38" s="1"/>
  <c r="B210" i="38"/>
  <c r="E209" i="38"/>
  <c r="C209" i="38"/>
  <c r="D209" i="38" s="1"/>
  <c r="V103" i="38" l="1"/>
  <c r="I256" i="38"/>
  <c r="B211" i="38"/>
  <c r="E210" i="38"/>
  <c r="C210" i="38"/>
  <c r="D210" i="38" s="1"/>
  <c r="M104" i="38" l="1"/>
  <c r="Q104" i="38" s="1"/>
  <c r="AC103" i="38"/>
  <c r="J256" i="38"/>
  <c r="K256" i="38" s="1"/>
  <c r="E211" i="38"/>
  <c r="B212" i="38"/>
  <c r="C211" i="38"/>
  <c r="D211" i="38" s="1"/>
  <c r="P104" i="38" l="1"/>
  <c r="T104" i="38"/>
  <c r="U104" i="38" s="1"/>
  <c r="I257" i="38"/>
  <c r="E212" i="38"/>
  <c r="B213" i="38"/>
  <c r="C212" i="38"/>
  <c r="D212" i="38" s="1"/>
  <c r="V104" i="38" l="1"/>
  <c r="M105" i="38"/>
  <c r="Q105" i="38" s="1"/>
  <c r="AC104" i="38"/>
  <c r="J257" i="38"/>
  <c r="K257" i="38" s="1"/>
  <c r="B214" i="38"/>
  <c r="E213" i="38"/>
  <c r="C213" i="38"/>
  <c r="D213" i="38" s="1"/>
  <c r="P105" i="38" l="1"/>
  <c r="T105" i="38"/>
  <c r="U105" i="38" s="1"/>
  <c r="V105" i="38"/>
  <c r="I258" i="38"/>
  <c r="B215" i="38"/>
  <c r="E214" i="38"/>
  <c r="C214" i="38"/>
  <c r="D214" i="38" s="1"/>
  <c r="M106" i="38" l="1"/>
  <c r="Q106" i="38" s="1"/>
  <c r="AC105" i="38"/>
  <c r="J258" i="38"/>
  <c r="K258" i="38" s="1"/>
  <c r="E215" i="38"/>
  <c r="B216" i="38"/>
  <c r="C215" i="38"/>
  <c r="D215" i="38" s="1"/>
  <c r="P106" i="38" l="1"/>
  <c r="T106" i="38"/>
  <c r="U106" i="38" s="1"/>
  <c r="V106" i="38"/>
  <c r="I259" i="38"/>
  <c r="J259" i="38" s="1"/>
  <c r="K259" i="38"/>
  <c r="E216" i="38"/>
  <c r="B217" i="38"/>
  <c r="C216" i="38"/>
  <c r="D216" i="38" s="1"/>
  <c r="M107" i="38" l="1"/>
  <c r="Q107" i="38" s="1"/>
  <c r="AC106" i="38"/>
  <c r="B218" i="38"/>
  <c r="E217" i="38"/>
  <c r="C217" i="38"/>
  <c r="D217" i="38" s="1"/>
  <c r="P107" i="38" l="1"/>
  <c r="T107" i="38"/>
  <c r="U107" i="38" s="1"/>
  <c r="B219" i="38"/>
  <c r="E218" i="38"/>
  <c r="C218" i="38"/>
  <c r="D218" i="38" s="1"/>
  <c r="V107" i="38" l="1"/>
  <c r="E219" i="38"/>
  <c r="B220" i="38"/>
  <c r="C219" i="38"/>
  <c r="D219" i="38" s="1"/>
  <c r="AC107" i="38" l="1"/>
  <c r="M108" i="38"/>
  <c r="Q108" i="38" s="1"/>
  <c r="E220" i="38"/>
  <c r="B221" i="38"/>
  <c r="C220" i="38"/>
  <c r="D220" i="38" s="1"/>
  <c r="P108" i="38" l="1"/>
  <c r="T108" i="38"/>
  <c r="U108" i="38" s="1"/>
  <c r="B222" i="38"/>
  <c r="E221" i="38"/>
  <c r="C221" i="38"/>
  <c r="D221" i="38" s="1"/>
  <c r="V108" i="38" l="1"/>
  <c r="AC108" i="38"/>
  <c r="M109" i="38"/>
  <c r="Q109" i="38" s="1"/>
  <c r="B223" i="38"/>
  <c r="E222" i="38"/>
  <c r="C222" i="38"/>
  <c r="D222" i="38" s="1"/>
  <c r="P109" i="38" l="1"/>
  <c r="T109" i="38"/>
  <c r="U109" i="38" s="1"/>
  <c r="E223" i="38"/>
  <c r="B224" i="38"/>
  <c r="C223" i="38"/>
  <c r="D223" i="38" s="1"/>
  <c r="V109" i="38" l="1"/>
  <c r="AC109" i="38"/>
  <c r="M110" i="38"/>
  <c r="Q110" i="38" s="1"/>
  <c r="E224" i="38"/>
  <c r="B225" i="38"/>
  <c r="C224" i="38"/>
  <c r="D224" i="38" s="1"/>
  <c r="P110" i="38" l="1"/>
  <c r="T110" i="38"/>
  <c r="U110" i="38" s="1"/>
  <c r="B226" i="38"/>
  <c r="E225" i="38"/>
  <c r="C225" i="38"/>
  <c r="D225" i="38" s="1"/>
  <c r="V110" i="38" l="1"/>
  <c r="B227" i="38"/>
  <c r="E226" i="38"/>
  <c r="C226" i="38"/>
  <c r="D226" i="38" s="1"/>
  <c r="M111" i="38" l="1"/>
  <c r="Q111" i="38" s="1"/>
  <c r="AC110" i="38"/>
  <c r="E227" i="38"/>
  <c r="B228" i="38"/>
  <c r="C227" i="38"/>
  <c r="D227" i="38" s="1"/>
  <c r="P111" i="38" l="1"/>
  <c r="T111" i="38"/>
  <c r="U111" i="38" s="1"/>
  <c r="E228" i="38"/>
  <c r="B229" i="38"/>
  <c r="C228" i="38"/>
  <c r="D228" i="38" s="1"/>
  <c r="V111" i="38" l="1"/>
  <c r="M112" i="38"/>
  <c r="Q112" i="38" s="1"/>
  <c r="AC111" i="38"/>
  <c r="B230" i="38"/>
  <c r="E229" i="38"/>
  <c r="C229" i="38"/>
  <c r="D229" i="38" s="1"/>
  <c r="P112" i="38" l="1"/>
  <c r="T112" i="38"/>
  <c r="U112" i="38" s="1"/>
  <c r="B231" i="38"/>
  <c r="E230" i="38"/>
  <c r="C230" i="38"/>
  <c r="D230" i="38" s="1"/>
  <c r="V112" i="38" l="1"/>
  <c r="M113" i="38"/>
  <c r="Q113" i="38" s="1"/>
  <c r="AC112" i="38"/>
  <c r="E231" i="38"/>
  <c r="B232" i="38"/>
  <c r="C231" i="38"/>
  <c r="D231" i="38" s="1"/>
  <c r="P113" i="38" l="1"/>
  <c r="T113" i="38"/>
  <c r="U113" i="38" s="1"/>
  <c r="E232" i="38"/>
  <c r="B233" i="38"/>
  <c r="C232" i="38"/>
  <c r="D232" i="38" s="1"/>
  <c r="V113" i="38" l="1"/>
  <c r="B234" i="38"/>
  <c r="E233" i="38"/>
  <c r="C233" i="38"/>
  <c r="D233" i="38" s="1"/>
  <c r="AC113" i="38" l="1"/>
  <c r="M114" i="38"/>
  <c r="Q114" i="38" s="1"/>
  <c r="B235" i="38"/>
  <c r="E234" i="38"/>
  <c r="C234" i="38"/>
  <c r="D234" i="38" s="1"/>
  <c r="P114" i="38" l="1"/>
  <c r="T114" i="38"/>
  <c r="U114" i="38" s="1"/>
  <c r="B236" i="38"/>
  <c r="E235" i="38"/>
  <c r="C235" i="38"/>
  <c r="D235" i="38" s="1"/>
  <c r="V114" i="38" l="1"/>
  <c r="B237" i="38"/>
  <c r="E236" i="38"/>
  <c r="C236" i="38"/>
  <c r="D236" i="38" s="1"/>
  <c r="M115" i="38" l="1"/>
  <c r="AC114" i="38"/>
  <c r="E237" i="38"/>
  <c r="B238" i="38"/>
  <c r="C237" i="38"/>
  <c r="D237" i="38" s="1"/>
  <c r="Q115" i="38" l="1"/>
  <c r="S115" i="38"/>
  <c r="T115" i="38" s="1"/>
  <c r="U115" i="38" s="1"/>
  <c r="P115" i="38"/>
  <c r="R115" i="38"/>
  <c r="E238" i="38"/>
  <c r="B239" i="38"/>
  <c r="C238" i="38"/>
  <c r="D238" i="38" s="1"/>
  <c r="V115" i="38" l="1"/>
  <c r="B240" i="38"/>
  <c r="E239" i="38"/>
  <c r="C239" i="38"/>
  <c r="D239" i="38" s="1"/>
  <c r="M116" i="38" l="1"/>
  <c r="Q116" i="38" s="1"/>
  <c r="AC115" i="38"/>
  <c r="B241" i="38"/>
  <c r="E240" i="38"/>
  <c r="C240" i="38"/>
  <c r="D240" i="38" s="1"/>
  <c r="P116" i="38" l="1"/>
  <c r="T116" i="38"/>
  <c r="U116" i="38" s="1"/>
  <c r="V116" i="38"/>
  <c r="E241" i="38"/>
  <c r="B242" i="38"/>
  <c r="C241" i="38"/>
  <c r="D241" i="38" s="1"/>
  <c r="AC116" i="38" l="1"/>
  <c r="M117" i="38"/>
  <c r="Q117" i="38" s="1"/>
  <c r="E242" i="38"/>
  <c r="B243" i="38"/>
  <c r="C242" i="38"/>
  <c r="D242" i="38" s="1"/>
  <c r="P117" i="38" l="1"/>
  <c r="T117" i="38"/>
  <c r="U117" i="38" s="1"/>
  <c r="B244" i="38"/>
  <c r="E243" i="38"/>
  <c r="C243" i="38"/>
  <c r="D243" i="38" s="1"/>
  <c r="V117" i="38" l="1"/>
  <c r="B245" i="38"/>
  <c r="E244" i="38"/>
  <c r="C244" i="38"/>
  <c r="D244" i="38" s="1"/>
  <c r="M118" i="38" l="1"/>
  <c r="Q118" i="38" s="1"/>
  <c r="AC117" i="38"/>
  <c r="E245" i="38"/>
  <c r="B246" i="38"/>
  <c r="C245" i="38"/>
  <c r="D245" i="38" s="1"/>
  <c r="P118" i="38" l="1"/>
  <c r="T118" i="38"/>
  <c r="U118" i="38" s="1"/>
  <c r="E246" i="38"/>
  <c r="B247" i="38"/>
  <c r="C246" i="38"/>
  <c r="D246" i="38" s="1"/>
  <c r="V118" i="38" l="1"/>
  <c r="B248" i="38"/>
  <c r="E247" i="38"/>
  <c r="C247" i="38"/>
  <c r="D247" i="38" s="1"/>
  <c r="AC118" i="38" l="1"/>
  <c r="M119" i="38"/>
  <c r="Q119" i="38" s="1"/>
  <c r="B249" i="38"/>
  <c r="E248" i="38"/>
  <c r="C248" i="38"/>
  <c r="D248" i="38" s="1"/>
  <c r="P119" i="38" l="1"/>
  <c r="T119" i="38"/>
  <c r="U119" i="38" s="1"/>
  <c r="E249" i="38"/>
  <c r="B250" i="38"/>
  <c r="C249" i="38"/>
  <c r="D249" i="38" s="1"/>
  <c r="V119" i="38" l="1"/>
  <c r="E250" i="38"/>
  <c r="B251" i="38"/>
  <c r="C250" i="38"/>
  <c r="D250" i="38" s="1"/>
  <c r="AC119" i="38" l="1"/>
  <c r="M120" i="38"/>
  <c r="Q120" i="38" s="1"/>
  <c r="B252" i="38"/>
  <c r="E251" i="38"/>
  <c r="C251" i="38"/>
  <c r="D251" i="38" s="1"/>
  <c r="P120" i="38" l="1"/>
  <c r="T120" i="38"/>
  <c r="U120" i="38" s="1"/>
  <c r="B253" i="38"/>
  <c r="E252" i="38"/>
  <c r="C252" i="38"/>
  <c r="D252" i="38" s="1"/>
  <c r="V120" i="38" l="1"/>
  <c r="E253" i="38"/>
  <c r="B254" i="38"/>
  <c r="C253" i="38"/>
  <c r="D253" i="38" s="1"/>
  <c r="M121" i="38" l="1"/>
  <c r="Q121" i="38" s="1"/>
  <c r="AC120" i="38"/>
  <c r="E254" i="38"/>
  <c r="B255" i="38"/>
  <c r="C254" i="38"/>
  <c r="D254" i="38" s="1"/>
  <c r="P121" i="38" l="1"/>
  <c r="V121" i="38" s="1"/>
  <c r="T121" i="38"/>
  <c r="U121" i="38" s="1"/>
  <c r="B256" i="38"/>
  <c r="E255" i="38"/>
  <c r="C255" i="38"/>
  <c r="D255" i="38" s="1"/>
  <c r="AC121" i="38" l="1"/>
  <c r="M122" i="38"/>
  <c r="Q122" i="38" s="1"/>
  <c r="B257" i="38"/>
  <c r="E256" i="38"/>
  <c r="C256" i="38"/>
  <c r="D256" i="38" s="1"/>
  <c r="P122" i="38" l="1"/>
  <c r="T122" i="38"/>
  <c r="U122" i="38" s="1"/>
  <c r="E257" i="38"/>
  <c r="B258" i="38"/>
  <c r="C257" i="38"/>
  <c r="D257" i="38" s="1"/>
  <c r="V122" i="38" l="1"/>
  <c r="E258" i="38"/>
  <c r="B259" i="38"/>
  <c r="C258" i="38"/>
  <c r="D258" i="38" s="1"/>
  <c r="AC122" i="38" l="1"/>
  <c r="M123" i="38"/>
  <c r="Q123" i="38" s="1"/>
  <c r="X3" i="38"/>
  <c r="E259" i="38"/>
  <c r="C259" i="38"/>
  <c r="D259" i="38" s="1"/>
  <c r="P123" i="38" l="1"/>
  <c r="T123" i="38"/>
  <c r="U123" i="38" s="1"/>
  <c r="Y3" i="38"/>
  <c r="V123" i="38" l="1"/>
  <c r="O3" i="38"/>
  <c r="M124" i="38" l="1"/>
  <c r="Q124" i="38" s="1"/>
  <c r="AC123" i="38"/>
  <c r="AL69" i="38"/>
  <c r="AL57" i="38"/>
  <c r="AL81" i="38"/>
  <c r="AL93" i="38"/>
  <c r="AL21" i="38"/>
  <c r="AL33" i="38"/>
  <c r="AL8" i="38"/>
  <c r="AL105" i="38"/>
  <c r="AL117" i="38"/>
  <c r="AL45" i="38"/>
  <c r="P124" i="38" l="1"/>
  <c r="V124" i="38" s="1"/>
  <c r="T124" i="38"/>
  <c r="U124" i="38" s="1"/>
  <c r="AL118" i="38"/>
  <c r="AL94" i="38"/>
  <c r="AL9" i="38"/>
  <c r="AL82" i="38"/>
  <c r="AL70" i="38"/>
  <c r="AL34" i="38"/>
  <c r="AL22" i="38"/>
  <c r="AL46" i="38"/>
  <c r="AL106" i="38"/>
  <c r="AL58" i="38"/>
  <c r="AC124" i="38" l="1"/>
  <c r="M125" i="38"/>
  <c r="Q125" i="38" s="1"/>
  <c r="AL71" i="38"/>
  <c r="AL47" i="38"/>
  <c r="AL83" i="38"/>
  <c r="AL107" i="38"/>
  <c r="AL35" i="38"/>
  <c r="AL119" i="38"/>
  <c r="AL95" i="38"/>
  <c r="AL59" i="38"/>
  <c r="AL23" i="38"/>
  <c r="AL10" i="38"/>
  <c r="P125" i="38" l="1"/>
  <c r="T125" i="38"/>
  <c r="U125" i="38" s="1"/>
  <c r="AL72" i="38"/>
  <c r="AL60" i="38"/>
  <c r="AL36" i="38"/>
  <c r="AL84" i="38"/>
  <c r="AL48" i="38"/>
  <c r="AL11" i="38"/>
  <c r="AL96" i="38"/>
  <c r="AL120" i="38"/>
  <c r="AL108" i="38"/>
  <c r="AL24" i="38"/>
  <c r="V125" i="38" l="1"/>
  <c r="AL25" i="38"/>
  <c r="AL12" i="38"/>
  <c r="AL61" i="38"/>
  <c r="AL109" i="38"/>
  <c r="AL73" i="38"/>
  <c r="AL49" i="38"/>
  <c r="AL97" i="38"/>
  <c r="AL121" i="38"/>
  <c r="AL85" i="38"/>
  <c r="AL37" i="38"/>
  <c r="M126" i="38" l="1"/>
  <c r="Q126" i="38" s="1"/>
  <c r="AC125" i="38"/>
  <c r="AL110" i="38"/>
  <c r="AL74" i="38"/>
  <c r="AL26" i="38"/>
  <c r="AL13" i="38"/>
  <c r="AL86" i="38"/>
  <c r="AL50" i="38"/>
  <c r="AL98" i="38"/>
  <c r="AL62" i="38"/>
  <c r="AL38" i="38"/>
  <c r="AL122" i="38"/>
  <c r="P126" i="38" l="1"/>
  <c r="T126" i="38"/>
  <c r="U126" i="38" s="1"/>
  <c r="AL63" i="38"/>
  <c r="AL27" i="38"/>
  <c r="AL51" i="38"/>
  <c r="AL75" i="38"/>
  <c r="AL39" i="38"/>
  <c r="AL87" i="38"/>
  <c r="AL111" i="38"/>
  <c r="AL123" i="38"/>
  <c r="AL99" i="38"/>
  <c r="AL14" i="38"/>
  <c r="V126" i="38" l="1"/>
  <c r="AL100" i="38"/>
  <c r="AL88" i="38"/>
  <c r="AL28" i="38"/>
  <c r="AL112" i="38"/>
  <c r="AL52" i="38"/>
  <c r="AL15" i="38"/>
  <c r="AL76" i="38"/>
  <c r="AL40" i="38"/>
  <c r="AL124" i="38"/>
  <c r="AL64" i="38"/>
  <c r="AC126" i="38" l="1"/>
  <c r="M127" i="38"/>
  <c r="AL41" i="38"/>
  <c r="AL16" i="38"/>
  <c r="AL89" i="38"/>
  <c r="AL65" i="38"/>
  <c r="AL125" i="38"/>
  <c r="AL129" i="38"/>
  <c r="AL101" i="38"/>
  <c r="AL77" i="38"/>
  <c r="AL113" i="38"/>
  <c r="AL53" i="38"/>
  <c r="AL29" i="38"/>
  <c r="Q127" i="38" l="1"/>
  <c r="S127" i="38"/>
  <c r="T127" i="38" s="1"/>
  <c r="U127" i="38" s="1"/>
  <c r="P127" i="38"/>
  <c r="V127" i="38" s="1"/>
  <c r="R127" i="38"/>
  <c r="AL30" i="38"/>
  <c r="AL126" i="38"/>
  <c r="AL90" i="38"/>
  <c r="AL130" i="38"/>
  <c r="AL42" i="38"/>
  <c r="AL102" i="38"/>
  <c r="AL17" i="38"/>
  <c r="AL114" i="38"/>
  <c r="AL66" i="38"/>
  <c r="AL78" i="38"/>
  <c r="AL54" i="38"/>
  <c r="M128" i="38" l="1"/>
  <c r="Q128" i="38" s="1"/>
  <c r="AC127" i="38"/>
  <c r="AL103" i="38"/>
  <c r="AL104" i="38"/>
  <c r="AL67" i="38"/>
  <c r="AL68" i="38"/>
  <c r="AL79" i="38"/>
  <c r="AL80" i="38"/>
  <c r="AL31" i="38"/>
  <c r="AL32" i="38"/>
  <c r="AL55" i="38"/>
  <c r="AL115" i="38"/>
  <c r="AL116" i="38"/>
  <c r="AL18" i="38"/>
  <c r="AL128" i="38"/>
  <c r="AL43" i="38"/>
  <c r="AL91" i="38"/>
  <c r="P128" i="38" l="1"/>
  <c r="T128" i="38"/>
  <c r="U128" i="38" s="1"/>
  <c r="V128" i="38"/>
  <c r="AL19" i="38"/>
  <c r="AL44" i="38"/>
  <c r="AL127" i="38"/>
  <c r="AL92" i="38"/>
  <c r="AL56" i="38"/>
  <c r="AL131" i="38"/>
  <c r="M129" i="38" l="1"/>
  <c r="Q129" i="38" s="1"/>
  <c r="AC128" i="38"/>
  <c r="AL20" i="38"/>
  <c r="P129" i="38" l="1"/>
  <c r="T129" i="38"/>
  <c r="U129" i="38" s="1"/>
  <c r="AL132" i="38"/>
  <c r="V129" i="38" l="1"/>
  <c r="M130" i="38"/>
  <c r="Q130" i="38" s="1"/>
  <c r="AC129" i="38"/>
  <c r="AL133" i="38"/>
  <c r="P130" i="38" l="1"/>
  <c r="T130" i="38"/>
  <c r="U130" i="38" s="1"/>
  <c r="V130" i="38"/>
  <c r="AL134" i="38"/>
  <c r="AC130" i="38" l="1"/>
  <c r="M131" i="38"/>
  <c r="Q131" i="38" s="1"/>
  <c r="AL135" i="38"/>
  <c r="P131" i="38" l="1"/>
  <c r="T131" i="38"/>
  <c r="U131" i="38" s="1"/>
  <c r="AL136" i="38"/>
  <c r="V131" i="38" l="1"/>
  <c r="M132" i="38"/>
  <c r="Q132" i="38" s="1"/>
  <c r="AC131" i="38"/>
  <c r="AL137" i="38"/>
  <c r="P132" i="38" l="1"/>
  <c r="T132" i="38"/>
  <c r="U132" i="38" s="1"/>
  <c r="V132" i="38"/>
  <c r="AL138" i="38"/>
  <c r="AC132" i="38" l="1"/>
  <c r="M133" i="38"/>
  <c r="Q133" i="38" s="1"/>
  <c r="AL139" i="38"/>
  <c r="P133" i="38" l="1"/>
  <c r="T133" i="38"/>
  <c r="U133" i="38" s="1"/>
  <c r="AL140" i="38"/>
  <c r="V133" i="38" l="1"/>
  <c r="AL141" i="38"/>
  <c r="AC133" i="38" l="1"/>
  <c r="M134" i="38"/>
  <c r="Q134" i="38" s="1"/>
  <c r="AL142" i="38"/>
  <c r="P134" i="38" l="1"/>
  <c r="T134" i="38"/>
  <c r="U134" i="38" s="1"/>
  <c r="AL143" i="38"/>
  <c r="AL144" i="38"/>
  <c r="V134" i="38" l="1"/>
  <c r="AL145" i="38"/>
  <c r="AC134" i="38" l="1"/>
  <c r="M135" i="38"/>
  <c r="Q135" i="38" s="1"/>
  <c r="AL146" i="38"/>
  <c r="P135" i="38" l="1"/>
  <c r="T135" i="38"/>
  <c r="U135" i="38" s="1"/>
  <c r="AL147" i="38"/>
  <c r="V135" i="38" l="1"/>
  <c r="AL148" i="38"/>
  <c r="AC135" i="38" l="1"/>
  <c r="M136" i="38"/>
  <c r="Q136" i="38" s="1"/>
  <c r="AL149" i="38"/>
  <c r="P136" i="38" l="1"/>
  <c r="T136" i="38"/>
  <c r="U136" i="38" s="1"/>
  <c r="AL150" i="38"/>
  <c r="V136" i="38" l="1"/>
  <c r="AC136" i="38"/>
  <c r="M137" i="38"/>
  <c r="Q137" i="38" s="1"/>
  <c r="AL151" i="38"/>
  <c r="P137" i="38" l="1"/>
  <c r="T137" i="38"/>
  <c r="U137" i="38" s="1"/>
  <c r="AL152" i="38"/>
  <c r="V137" i="38" l="1"/>
  <c r="AL153" i="38"/>
  <c r="AC137" i="38" l="1"/>
  <c r="M138" i="38"/>
  <c r="Q138" i="38" s="1"/>
  <c r="AL154" i="38"/>
  <c r="P138" i="38" l="1"/>
  <c r="T138" i="38"/>
  <c r="U138" i="38" s="1"/>
  <c r="AL155" i="38"/>
  <c r="V138" i="38" l="1"/>
  <c r="M139" i="38"/>
  <c r="AC138" i="38"/>
  <c r="AL156" i="38"/>
  <c r="AL157" i="38"/>
  <c r="Q139" i="38" l="1"/>
  <c r="S139" i="38"/>
  <c r="P139" i="38"/>
  <c r="T139" i="38"/>
  <c r="U139" i="38" s="1"/>
  <c r="R139" i="38"/>
  <c r="AL158" i="38"/>
  <c r="V139" i="38" l="1"/>
  <c r="AC139" i="38"/>
  <c r="M140" i="38"/>
  <c r="Q140" i="38" s="1"/>
  <c r="AL159" i="38"/>
  <c r="P140" i="38" l="1"/>
  <c r="T140" i="38"/>
  <c r="U140" i="38" s="1"/>
  <c r="AL160" i="38"/>
  <c r="V140" i="38" l="1"/>
  <c r="AC140" i="38"/>
  <c r="M141" i="38"/>
  <c r="Q141" i="38" s="1"/>
  <c r="AL161" i="38"/>
  <c r="P141" i="38" l="1"/>
  <c r="T141" i="38"/>
  <c r="U141" i="38" s="1"/>
  <c r="AL162" i="38"/>
  <c r="V141" i="38" l="1"/>
  <c r="AL163" i="38"/>
  <c r="M142" i="38" l="1"/>
  <c r="Q142" i="38" s="1"/>
  <c r="AC141" i="38"/>
  <c r="AL164" i="38"/>
  <c r="P142" i="38" l="1"/>
  <c r="T142" i="38"/>
  <c r="U142" i="38" s="1"/>
  <c r="AL165" i="38"/>
  <c r="V142" i="38" l="1"/>
  <c r="AC142" i="38"/>
  <c r="M143" i="38"/>
  <c r="Q143" i="38" s="1"/>
  <c r="AL166" i="38"/>
  <c r="P143" i="38" l="1"/>
  <c r="T143" i="38"/>
  <c r="U143" i="38" s="1"/>
  <c r="AL167" i="38"/>
  <c r="AL168" i="38"/>
  <c r="V143" i="38" l="1"/>
  <c r="AL169" i="38"/>
  <c r="AC143" i="38" l="1"/>
  <c r="M144" i="38"/>
  <c r="Q144" i="38" s="1"/>
  <c r="AL170" i="38"/>
  <c r="P144" i="38" l="1"/>
  <c r="T144" i="38"/>
  <c r="U144" i="38" s="1"/>
  <c r="V144" i="38"/>
  <c r="N3" i="38"/>
  <c r="AA4" i="38" s="1"/>
  <c r="AL171" i="38"/>
  <c r="M145" i="38" l="1"/>
  <c r="Q145" i="38" s="1"/>
  <c r="AC144" i="38"/>
  <c r="AA259" i="38"/>
  <c r="AA247" i="38"/>
  <c r="AA187" i="38"/>
  <c r="AA207" i="38"/>
  <c r="AA219" i="38"/>
  <c r="AA239" i="38"/>
  <c r="AA183" i="38"/>
  <c r="AA218" i="38"/>
  <c r="AA190" i="38"/>
  <c r="AA254" i="38"/>
  <c r="AA232" i="38"/>
  <c r="AA213" i="38"/>
  <c r="AA221" i="38"/>
  <c r="AA250" i="38"/>
  <c r="AA195" i="38"/>
  <c r="AA226" i="38"/>
  <c r="AA214" i="38"/>
  <c r="AA196" i="38"/>
  <c r="AA177" i="38"/>
  <c r="AA223" i="38"/>
  <c r="AA249" i="38"/>
  <c r="AA185" i="38"/>
  <c r="AA178" i="38"/>
  <c r="AA192" i="38"/>
  <c r="AA256" i="38"/>
  <c r="AA199" i="38"/>
  <c r="AA234" i="38"/>
  <c r="AA206" i="38"/>
  <c r="AA184" i="38"/>
  <c r="AA248" i="38"/>
  <c r="AA179" i="38"/>
  <c r="AA235" i="38"/>
  <c r="AA204" i="38"/>
  <c r="AA257" i="38"/>
  <c r="AA258" i="38"/>
  <c r="AA230" i="38"/>
  <c r="AA212" i="38"/>
  <c r="AA193" i="38"/>
  <c r="AA245" i="38"/>
  <c r="AA188" i="38"/>
  <c r="AA217" i="38"/>
  <c r="AA210" i="38"/>
  <c r="AA208" i="38"/>
  <c r="AA189" i="38"/>
  <c r="AA191" i="38"/>
  <c r="AA251" i="38"/>
  <c r="AA222" i="38"/>
  <c r="AA200" i="38"/>
  <c r="AA181" i="38"/>
  <c r="AA243" i="38"/>
  <c r="AA253" i="38"/>
  <c r="AA236" i="38"/>
  <c r="AA225" i="38"/>
  <c r="AA182" i="38"/>
  <c r="AA246" i="38"/>
  <c r="AA228" i="38"/>
  <c r="AA209" i="38"/>
  <c r="AA215" i="38"/>
  <c r="AA220" i="38"/>
  <c r="AA231" i="38"/>
  <c r="AA242" i="38"/>
  <c r="AA224" i="38"/>
  <c r="AA205" i="38"/>
  <c r="AA229" i="38"/>
  <c r="AA186" i="38"/>
  <c r="AA255" i="38"/>
  <c r="AA238" i="38"/>
  <c r="AA216" i="38"/>
  <c r="AA197" i="38"/>
  <c r="AA203" i="38"/>
  <c r="AA202" i="38"/>
  <c r="AA201" i="38"/>
  <c r="AA194" i="38"/>
  <c r="AA198" i="38"/>
  <c r="AA180" i="38"/>
  <c r="AA244" i="38"/>
  <c r="AA227" i="38"/>
  <c r="AA233" i="38"/>
  <c r="AA252" i="38"/>
  <c r="AA237" i="38"/>
  <c r="AA176" i="38"/>
  <c r="AA240" i="38"/>
  <c r="AA211" i="38"/>
  <c r="AA241" i="38"/>
  <c r="AA154" i="38"/>
  <c r="AA86" i="38"/>
  <c r="AA69" i="38"/>
  <c r="AA168" i="38"/>
  <c r="AA60" i="38"/>
  <c r="AA156" i="38"/>
  <c r="AA112" i="38"/>
  <c r="AA25" i="38"/>
  <c r="AA157" i="38"/>
  <c r="AA89" i="38"/>
  <c r="AA41" i="38"/>
  <c r="AA104" i="38"/>
  <c r="AA31" i="38"/>
  <c r="AA131" i="38"/>
  <c r="AA85" i="38"/>
  <c r="AA164" i="38"/>
  <c r="AA127" i="38"/>
  <c r="AA105" i="38"/>
  <c r="AA73" i="38"/>
  <c r="AA20" i="38"/>
  <c r="AA174" i="38"/>
  <c r="AA130" i="38"/>
  <c r="AA95" i="38"/>
  <c r="AA57" i="38"/>
  <c r="AA11" i="38"/>
  <c r="AA153" i="38"/>
  <c r="AA149" i="38"/>
  <c r="AA87" i="38"/>
  <c r="AA50" i="38"/>
  <c r="AA33" i="38"/>
  <c r="AA175" i="38"/>
  <c r="AA121" i="38"/>
  <c r="AA108" i="38"/>
  <c r="AA120" i="38"/>
  <c r="AA98" i="38"/>
  <c r="AA97" i="38"/>
  <c r="AA56" i="38"/>
  <c r="AA75" i="38"/>
  <c r="AA34" i="38"/>
  <c r="AA12" i="38"/>
  <c r="AA170" i="38"/>
  <c r="AA106" i="38"/>
  <c r="AA126" i="38"/>
  <c r="AA80" i="38"/>
  <c r="AA55" i="38"/>
  <c r="AA26" i="38"/>
  <c r="AA110" i="38"/>
  <c r="AA147" i="38"/>
  <c r="AA92" i="38"/>
  <c r="AA59" i="38"/>
  <c r="AA27" i="38"/>
  <c r="AA141" i="38"/>
  <c r="AA135" i="38"/>
  <c r="AA151" i="38"/>
  <c r="AA138" i="38"/>
  <c r="AA107" i="38"/>
  <c r="AA71" i="38"/>
  <c r="AA62" i="38"/>
  <c r="AA39" i="38"/>
  <c r="AA23" i="38"/>
  <c r="AA21" i="38"/>
  <c r="AA169" i="38"/>
  <c r="AA129" i="38"/>
  <c r="AA109" i="38"/>
  <c r="AA79" i="38"/>
  <c r="AA42" i="38"/>
  <c r="AA15" i="38"/>
  <c r="AA162" i="38"/>
  <c r="AA133" i="38"/>
  <c r="AA99" i="38"/>
  <c r="AA52" i="38"/>
  <c r="AA14" i="38"/>
  <c r="AA118" i="38"/>
  <c r="AA163" i="38"/>
  <c r="AA125" i="38"/>
  <c r="AA150" i="38"/>
  <c r="AA113" i="38"/>
  <c r="AA68" i="38"/>
  <c r="AA83" i="38"/>
  <c r="AA65" i="38"/>
  <c r="AA30" i="38"/>
  <c r="AA35" i="38"/>
  <c r="AA172" i="38"/>
  <c r="AA128" i="38"/>
  <c r="AA161" i="38"/>
  <c r="AA119" i="38"/>
  <c r="AA76" i="38"/>
  <c r="AA63" i="38"/>
  <c r="AA29" i="38"/>
  <c r="AA117" i="38"/>
  <c r="AA145" i="38"/>
  <c r="AA101" i="38"/>
  <c r="AA46" i="38"/>
  <c r="AA16" i="38"/>
  <c r="AA140" i="38"/>
  <c r="AA137" i="38"/>
  <c r="AA142" i="38"/>
  <c r="AA160" i="38"/>
  <c r="AA93" i="38"/>
  <c r="AA81" i="38"/>
  <c r="AA58" i="38"/>
  <c r="AA40" i="38"/>
  <c r="AA22" i="38"/>
  <c r="AA10" i="38"/>
  <c r="AA173" i="38"/>
  <c r="AA47" i="38"/>
  <c r="AA122" i="38"/>
  <c r="AA103" i="38"/>
  <c r="AA38" i="38"/>
  <c r="AA17" i="38"/>
  <c r="AA146" i="38"/>
  <c r="AA136" i="38"/>
  <c r="AA143" i="38"/>
  <c r="AA91" i="38"/>
  <c r="AA74" i="38"/>
  <c r="AA64" i="38"/>
  <c r="AA36" i="38"/>
  <c r="AA28" i="38"/>
  <c r="AA19" i="38"/>
  <c r="AA171" i="38"/>
  <c r="AA152" i="38"/>
  <c r="AA159" i="38"/>
  <c r="AA67" i="38"/>
  <c r="AA53" i="38"/>
  <c r="AA8" i="38"/>
  <c r="AA115" i="38"/>
  <c r="AA144" i="38"/>
  <c r="AA70" i="38"/>
  <c r="AA43" i="38"/>
  <c r="AA155" i="38"/>
  <c r="AA158" i="38"/>
  <c r="AA134" i="38"/>
  <c r="AA102" i="38"/>
  <c r="AA88" i="38"/>
  <c r="AA78" i="38"/>
  <c r="AA54" i="38"/>
  <c r="AA45" i="38"/>
  <c r="AA37" i="38"/>
  <c r="AA13" i="38"/>
  <c r="AA167" i="38"/>
  <c r="AA111" i="38"/>
  <c r="AA84" i="38"/>
  <c r="AA48" i="38"/>
  <c r="AA24" i="38"/>
  <c r="AA124" i="38"/>
  <c r="AA114" i="38"/>
  <c r="AA90" i="38"/>
  <c r="AA77" i="38"/>
  <c r="AA51" i="38"/>
  <c r="AA165" i="38"/>
  <c r="AA148" i="38"/>
  <c r="AA139" i="38"/>
  <c r="AA94" i="38"/>
  <c r="AA82" i="38"/>
  <c r="AA61" i="38"/>
  <c r="AA32" i="38"/>
  <c r="AA9" i="38"/>
  <c r="AA123" i="38"/>
  <c r="AA100" i="38"/>
  <c r="AA66" i="38"/>
  <c r="AA166" i="38"/>
  <c r="AA96" i="38"/>
  <c r="AA49" i="38"/>
  <c r="AA132" i="38"/>
  <c r="AA116" i="38"/>
  <c r="AA72" i="38"/>
  <c r="AA44" i="38"/>
  <c r="AA18" i="38"/>
  <c r="AL172" i="38"/>
  <c r="P145" i="38" l="1"/>
  <c r="T145" i="38"/>
  <c r="U145" i="38" s="1"/>
  <c r="V145" i="38"/>
  <c r="AL173" i="38"/>
  <c r="M146" i="38" l="1"/>
  <c r="Q146" i="38" s="1"/>
  <c r="AC145" i="38"/>
  <c r="AL174" i="38"/>
  <c r="P146" i="38" l="1"/>
  <c r="T146" i="38"/>
  <c r="U146" i="38" s="1"/>
  <c r="V146" i="38"/>
  <c r="AL175" i="38"/>
  <c r="AC146" i="38" l="1"/>
  <c r="M147" i="38"/>
  <c r="Q147" i="38" s="1"/>
  <c r="AL176" i="38"/>
  <c r="P147" i="38" l="1"/>
  <c r="T147" i="38"/>
  <c r="U147" i="38" s="1"/>
  <c r="AL177" i="38"/>
  <c r="V147" i="38" l="1"/>
  <c r="AL178" i="38"/>
  <c r="AC147" i="38" l="1"/>
  <c r="M148" i="38"/>
  <c r="Q148" i="38" s="1"/>
  <c r="AL179" i="38"/>
  <c r="P148" i="38" l="1"/>
  <c r="T148" i="38"/>
  <c r="U148" i="38" s="1"/>
  <c r="V148" i="38"/>
  <c r="AL180" i="38"/>
  <c r="AC148" i="38" l="1"/>
  <c r="M149" i="38"/>
  <c r="Q149" i="38" s="1"/>
  <c r="AL181" i="38"/>
  <c r="P149" i="38" l="1"/>
  <c r="T149" i="38"/>
  <c r="U149" i="38" s="1"/>
  <c r="AL182" i="38"/>
  <c r="V149" i="38" l="1"/>
  <c r="AC149" i="38"/>
  <c r="M150" i="38"/>
  <c r="Q150" i="38" s="1"/>
  <c r="AL183" i="38"/>
  <c r="P150" i="38" l="1"/>
  <c r="T150" i="38"/>
  <c r="U150" i="38" s="1"/>
  <c r="AL184" i="38"/>
  <c r="V150" i="38" l="1"/>
  <c r="AL185" i="38"/>
  <c r="AC150" i="38" l="1"/>
  <c r="M151" i="38"/>
  <c r="AL186" i="38"/>
  <c r="Q151" i="38" l="1"/>
  <c r="S151" i="38"/>
  <c r="T151" i="38" s="1"/>
  <c r="U151" i="38" s="1"/>
  <c r="P151" i="38"/>
  <c r="R151" i="38"/>
  <c r="AK3" i="38"/>
  <c r="V151" i="38" l="1"/>
  <c r="AL187" i="38"/>
  <c r="M152" i="38" l="1"/>
  <c r="Q152" i="38" s="1"/>
  <c r="AC151" i="38"/>
  <c r="AL188" i="38"/>
  <c r="P152" i="38" l="1"/>
  <c r="T152" i="38"/>
  <c r="U152" i="38" s="1"/>
  <c r="AL189" i="38"/>
  <c r="V152" i="38" l="1"/>
  <c r="M153" i="38"/>
  <c r="Q153" i="38" s="1"/>
  <c r="AC152" i="38"/>
  <c r="AL190" i="38"/>
  <c r="P153" i="38" l="1"/>
  <c r="T153" i="38"/>
  <c r="U153" i="38" s="1"/>
  <c r="V153" i="38"/>
  <c r="AL191" i="38"/>
  <c r="M154" i="38" l="1"/>
  <c r="Q154" i="38" s="1"/>
  <c r="AC153" i="38"/>
  <c r="AL192" i="38"/>
  <c r="P154" i="38" l="1"/>
  <c r="T154" i="38"/>
  <c r="U154" i="38" s="1"/>
  <c r="V154" i="38"/>
  <c r="AL193" i="38"/>
  <c r="M155" i="38" l="1"/>
  <c r="Q155" i="38" s="1"/>
  <c r="AC154" i="38"/>
  <c r="AL194" i="38"/>
  <c r="P155" i="38" l="1"/>
  <c r="T155" i="38"/>
  <c r="U155" i="38" s="1"/>
  <c r="AL196" i="38"/>
  <c r="AL195" i="38"/>
  <c r="V155" i="38" l="1"/>
  <c r="AC155" i="38"/>
  <c r="M156" i="38"/>
  <c r="Q156" i="38" s="1"/>
  <c r="AL197" i="38"/>
  <c r="P156" i="38" l="1"/>
  <c r="T156" i="38"/>
  <c r="U156" i="38" s="1"/>
  <c r="AL198" i="38"/>
  <c r="V156" i="38" l="1"/>
  <c r="AL199" i="38"/>
  <c r="M157" i="38" l="1"/>
  <c r="Q157" i="38" s="1"/>
  <c r="AC156" i="38"/>
  <c r="AL200" i="38"/>
  <c r="P157" i="38" l="1"/>
  <c r="T157" i="38"/>
  <c r="U157" i="38" s="1"/>
  <c r="AL201" i="38"/>
  <c r="V157" i="38" l="1"/>
  <c r="M158" i="38" s="1"/>
  <c r="Q158" i="38" s="1"/>
  <c r="AL202" i="38"/>
  <c r="AC157" i="38" l="1"/>
  <c r="P158" i="38"/>
  <c r="T158" i="38"/>
  <c r="U158" i="38" s="1"/>
  <c r="AL203" i="38"/>
  <c r="V158" i="38" l="1"/>
  <c r="M159" i="38"/>
  <c r="Q159" i="38" s="1"/>
  <c r="AC158" i="38"/>
  <c r="AL204" i="38"/>
  <c r="P159" i="38" l="1"/>
  <c r="T159" i="38"/>
  <c r="U159" i="38" s="1"/>
  <c r="AL205" i="38"/>
  <c r="V159" i="38" l="1"/>
  <c r="AL206" i="38"/>
  <c r="M160" i="38" l="1"/>
  <c r="Q160" i="38" s="1"/>
  <c r="AC159" i="38"/>
  <c r="AL207" i="38"/>
  <c r="P160" i="38" l="1"/>
  <c r="T160" i="38"/>
  <c r="U160" i="38" s="1"/>
  <c r="V160" i="38"/>
  <c r="AL208" i="38"/>
  <c r="AC160" i="38" l="1"/>
  <c r="M161" i="38"/>
  <c r="Q161" i="38" s="1"/>
  <c r="AL209" i="38"/>
  <c r="P161" i="38" l="1"/>
  <c r="T161" i="38"/>
  <c r="U161" i="38" s="1"/>
  <c r="AL210" i="38"/>
  <c r="V161" i="38" l="1"/>
  <c r="AL211" i="38"/>
  <c r="AC161" i="38" l="1"/>
  <c r="M162" i="38"/>
  <c r="Q162" i="38" s="1"/>
  <c r="AL212" i="38"/>
  <c r="P162" i="38" l="1"/>
  <c r="T162" i="38"/>
  <c r="U162" i="38" s="1"/>
  <c r="AL213" i="38"/>
  <c r="V162" i="38" l="1"/>
  <c r="AL214" i="38"/>
  <c r="AC162" i="38" l="1"/>
  <c r="M163" i="38"/>
  <c r="AL215" i="38"/>
  <c r="Q163" i="38" l="1"/>
  <c r="S163" i="38"/>
  <c r="T163" i="38" s="1"/>
  <c r="U163" i="38" s="1"/>
  <c r="P163" i="38"/>
  <c r="R163" i="38"/>
  <c r="AL216" i="38"/>
  <c r="V163" i="38" l="1"/>
  <c r="AL217" i="38"/>
  <c r="AC163" i="38" l="1"/>
  <c r="M164" i="38"/>
  <c r="Q164" i="38" s="1"/>
  <c r="AL218" i="38"/>
  <c r="P164" i="38" l="1"/>
  <c r="T164" i="38"/>
  <c r="U164" i="38" s="1"/>
  <c r="AL219" i="38"/>
  <c r="V164" i="38" l="1"/>
  <c r="AL220" i="38"/>
  <c r="M165" i="38" l="1"/>
  <c r="Q165" i="38" s="1"/>
  <c r="AC164" i="38"/>
  <c r="AL221" i="38"/>
  <c r="P165" i="38" l="1"/>
  <c r="T165" i="38"/>
  <c r="U165" i="38" s="1"/>
  <c r="AL222" i="38"/>
  <c r="V165" i="38" l="1"/>
  <c r="M166" i="38"/>
  <c r="Q166" i="38" s="1"/>
  <c r="AC165" i="38"/>
  <c r="AL223" i="38"/>
  <c r="P166" i="38" l="1"/>
  <c r="T166" i="38"/>
  <c r="U166" i="38" s="1"/>
  <c r="AL224" i="38"/>
  <c r="V166" i="38" l="1"/>
  <c r="M167" i="38" s="1"/>
  <c r="Q167" i="38" s="1"/>
  <c r="AL225" i="38"/>
  <c r="AC166" i="38" l="1"/>
  <c r="P167" i="38"/>
  <c r="T167" i="38"/>
  <c r="U167" i="38" s="1"/>
  <c r="AL226" i="38"/>
  <c r="V167" i="38" l="1"/>
  <c r="M168" i="38" s="1"/>
  <c r="Q168" i="38" s="1"/>
  <c r="AL227" i="38"/>
  <c r="AC167" i="38" l="1"/>
  <c r="P168" i="38"/>
  <c r="V168" i="38" s="1"/>
  <c r="T168" i="38"/>
  <c r="U168" i="38" s="1"/>
  <c r="AL228" i="38"/>
  <c r="M169" i="38" l="1"/>
  <c r="Q169" i="38" s="1"/>
  <c r="AC168" i="38"/>
  <c r="AL229" i="38"/>
  <c r="P169" i="38" l="1"/>
  <c r="T169" i="38"/>
  <c r="U169" i="38" s="1"/>
  <c r="AL230" i="38"/>
  <c r="V169" i="38" l="1"/>
  <c r="AL231" i="38"/>
  <c r="AC169" i="38" l="1"/>
  <c r="M170" i="38"/>
  <c r="Q170" i="38" s="1"/>
  <c r="AL232" i="38"/>
  <c r="P170" i="38" l="1"/>
  <c r="T170" i="38"/>
  <c r="U170" i="38" s="1"/>
  <c r="AL233" i="38"/>
  <c r="V170" i="38" l="1"/>
  <c r="AL234" i="38"/>
  <c r="M171" i="38" l="1"/>
  <c r="Q171" i="38" s="1"/>
  <c r="AC170" i="38"/>
  <c r="AL235" i="38"/>
  <c r="P171" i="38" l="1"/>
  <c r="T171" i="38"/>
  <c r="U171" i="38" s="1"/>
  <c r="AL236" i="38"/>
  <c r="V171" i="38" l="1"/>
  <c r="M172" i="38"/>
  <c r="Q172" i="38" s="1"/>
  <c r="AC171" i="38"/>
  <c r="AL237" i="38"/>
  <c r="P172" i="38" l="1"/>
  <c r="T172" i="38"/>
  <c r="U172" i="38" s="1"/>
  <c r="AL238" i="38"/>
  <c r="V172" i="38" l="1"/>
  <c r="AC172" i="38"/>
  <c r="M173" i="38"/>
  <c r="Q173" i="38" s="1"/>
  <c r="AL239" i="38"/>
  <c r="P173" i="38" l="1"/>
  <c r="T173" i="38"/>
  <c r="U173" i="38" s="1"/>
  <c r="AL240" i="38"/>
  <c r="V173" i="38" l="1"/>
  <c r="AL241" i="38"/>
  <c r="AC173" i="38" l="1"/>
  <c r="M174" i="38"/>
  <c r="Q174" i="38" s="1"/>
  <c r="AL242" i="38"/>
  <c r="P174" i="38" l="1"/>
  <c r="T174" i="38"/>
  <c r="U174" i="38" s="1"/>
  <c r="AL243" i="38"/>
  <c r="V174" i="38" l="1"/>
  <c r="AL244" i="38"/>
  <c r="M175" i="38" l="1"/>
  <c r="AC174" i="38"/>
  <c r="AL245" i="38"/>
  <c r="Q175" i="38" l="1"/>
  <c r="S175" i="38"/>
  <c r="T175" i="38" s="1"/>
  <c r="U175" i="38" s="1"/>
  <c r="P175" i="38"/>
  <c r="R175" i="38"/>
  <c r="AL246" i="38"/>
  <c r="V175" i="38" l="1"/>
  <c r="M176" i="38" s="1"/>
  <c r="Q176" i="38" s="1"/>
  <c r="AL247" i="38"/>
  <c r="AC175" i="38" l="1"/>
  <c r="P176" i="38"/>
  <c r="T176" i="38"/>
  <c r="U176" i="38" s="1"/>
  <c r="AL248" i="38"/>
  <c r="V176" i="38" l="1"/>
  <c r="AL249" i="38"/>
  <c r="M177" i="38" l="1"/>
  <c r="Q177" i="38" s="1"/>
  <c r="AC176" i="38"/>
  <c r="AL250" i="38"/>
  <c r="P177" i="38" l="1"/>
  <c r="T177" i="38"/>
  <c r="U177" i="38" s="1"/>
  <c r="V177" i="38"/>
  <c r="AL251" i="38"/>
  <c r="AC177" i="38" l="1"/>
  <c r="M178" i="38"/>
  <c r="Q178" i="38" s="1"/>
  <c r="AL252" i="38"/>
  <c r="P178" i="38" l="1"/>
  <c r="T178" i="38"/>
  <c r="U178" i="38" s="1"/>
  <c r="AL253" i="38"/>
  <c r="V178" i="38" l="1"/>
  <c r="AL254" i="38"/>
  <c r="M179" i="38" l="1"/>
  <c r="Q179" i="38" s="1"/>
  <c r="AC178" i="38"/>
  <c r="AL255" i="38"/>
  <c r="P179" i="38" l="1"/>
  <c r="T179" i="38"/>
  <c r="U179" i="38" s="1"/>
  <c r="AL256" i="38"/>
  <c r="V179" i="38" l="1"/>
  <c r="AC179" i="38"/>
  <c r="M180" i="38"/>
  <c r="Q180" i="38" s="1"/>
  <c r="AL257" i="38"/>
  <c r="P180" i="38" l="1"/>
  <c r="T180" i="38"/>
  <c r="U180" i="38" s="1"/>
  <c r="AH3" i="38"/>
  <c r="AL258" i="38"/>
  <c r="AG3" i="38"/>
  <c r="V180" i="38" l="1"/>
  <c r="AC180" i="38"/>
  <c r="M181" i="38"/>
  <c r="Q181" i="38" s="1"/>
  <c r="AL259" i="38"/>
  <c r="AL3" i="38" s="1"/>
  <c r="AI3" i="38"/>
  <c r="P181" i="38" l="1"/>
  <c r="T181" i="38"/>
  <c r="U181" i="38" s="1"/>
  <c r="V181" i="38" l="1"/>
  <c r="AC181" i="38"/>
  <c r="M182" i="38"/>
  <c r="Q182" i="38" s="1"/>
  <c r="P182" i="38" l="1"/>
  <c r="T182" i="38"/>
  <c r="U182" i="38" s="1"/>
  <c r="V182" i="38" l="1"/>
  <c r="AC182" i="38" l="1"/>
  <c r="M183" i="38"/>
  <c r="Q183" i="38" s="1"/>
  <c r="P183" i="38" l="1"/>
  <c r="T183" i="38"/>
  <c r="U183" i="38" s="1"/>
  <c r="V183" i="38" l="1"/>
  <c r="M184" i="38"/>
  <c r="T184" i="38" s="1"/>
  <c r="U184" i="38" s="1"/>
  <c r="AC183" i="38"/>
  <c r="P184" i="38" l="1"/>
  <c r="Q184" i="38"/>
  <c r="V184" i="38"/>
  <c r="AC184" i="38" s="1"/>
  <c r="M185" i="38" l="1"/>
  <c r="P185" i="38" l="1"/>
  <c r="Q185" i="38"/>
  <c r="T185" i="38"/>
  <c r="U185" i="38" s="1"/>
  <c r="V185" i="38" l="1"/>
  <c r="M186" i="38" s="1"/>
  <c r="P186" i="38" l="1"/>
  <c r="Q186" i="38"/>
  <c r="AC185" i="38"/>
  <c r="T186" i="38"/>
  <c r="U186" i="38" s="1"/>
  <c r="V186" i="38" l="1"/>
  <c r="M187" i="38" s="1"/>
  <c r="S187" i="38" s="1"/>
  <c r="P187" i="38" l="1"/>
  <c r="Q187" i="38"/>
  <c r="AC186" i="38"/>
  <c r="R187" i="38"/>
  <c r="R3" i="38" s="1"/>
  <c r="T187" i="38"/>
  <c r="U187" i="38" s="1"/>
  <c r="V187" i="38" l="1"/>
  <c r="AC187" i="38" s="1"/>
  <c r="M188" i="38" l="1"/>
  <c r="P188" i="38" l="1"/>
  <c r="Q188" i="38"/>
  <c r="T188" i="38"/>
  <c r="U188" i="38" s="1"/>
  <c r="V188" i="38" l="1"/>
  <c r="M189" i="38" s="1"/>
  <c r="AC188" i="38" l="1"/>
  <c r="P189" i="38"/>
  <c r="Q189" i="38"/>
  <c r="T189" i="38"/>
  <c r="U189" i="38" s="1"/>
  <c r="V189" i="38" l="1"/>
  <c r="M190" i="38" s="1"/>
  <c r="P190" i="38"/>
  <c r="Q190" i="38"/>
  <c r="T190" i="38"/>
  <c r="U190" i="38" s="1"/>
  <c r="AC189" i="38" l="1"/>
  <c r="V190" i="38"/>
  <c r="M191" i="38" l="1"/>
  <c r="AC190" i="38"/>
  <c r="P191" i="38" l="1"/>
  <c r="Q191" i="38"/>
  <c r="T191" i="38"/>
  <c r="U191" i="38" s="1"/>
  <c r="V191" i="38" l="1"/>
  <c r="AC191" i="38" s="1"/>
  <c r="M192" i="38" l="1"/>
  <c r="P192" i="38" l="1"/>
  <c r="Q192" i="38"/>
  <c r="T192" i="38"/>
  <c r="U192" i="38" s="1"/>
  <c r="V192" i="38" l="1"/>
  <c r="AC192" i="38" l="1"/>
  <c r="M193" i="38"/>
  <c r="P193" i="38" l="1"/>
  <c r="Q193" i="38"/>
  <c r="T193" i="38"/>
  <c r="U193" i="38" s="1"/>
  <c r="V193" i="38" l="1"/>
  <c r="AC193" i="38" s="1"/>
  <c r="M194" i="38" l="1"/>
  <c r="T194" i="38" s="1"/>
  <c r="U194" i="38" s="1"/>
  <c r="P194" i="38" l="1"/>
  <c r="Q194" i="38"/>
  <c r="V194" i="38" s="1"/>
  <c r="M195" i="38" s="1"/>
  <c r="Q195" i="38" s="1"/>
  <c r="T195" i="38" l="1"/>
  <c r="U195" i="38" s="1"/>
  <c r="P195" i="38"/>
  <c r="V195" i="38"/>
  <c r="AC194" i="38"/>
  <c r="M196" i="38" l="1"/>
  <c r="AC195" i="38"/>
  <c r="P196" i="38" l="1"/>
  <c r="Q196" i="38"/>
  <c r="T196" i="38"/>
  <c r="U196" i="38" s="1"/>
  <c r="V196" i="38" l="1"/>
  <c r="M197" i="38" s="1"/>
  <c r="P197" i="38" l="1"/>
  <c r="Q197" i="38"/>
  <c r="AC196" i="38"/>
  <c r="T197" i="38"/>
  <c r="U197" i="38" s="1"/>
  <c r="V197" i="38" l="1"/>
  <c r="M198" i="38" s="1"/>
  <c r="P198" i="38" l="1"/>
  <c r="Q198" i="38"/>
  <c r="AC197" i="38"/>
  <c r="T198" i="38"/>
  <c r="U198" i="38" s="1"/>
  <c r="V198" i="38" l="1"/>
  <c r="M199" i="38" s="1"/>
  <c r="S199" i="38" s="1"/>
  <c r="P199" i="38" l="1"/>
  <c r="Q199" i="38"/>
  <c r="AC198" i="38"/>
  <c r="T199" i="38"/>
  <c r="U199" i="38" s="1"/>
  <c r="V199" i="38" l="1"/>
  <c r="M200" i="38" l="1"/>
  <c r="AC199" i="38"/>
  <c r="P200" i="38" l="1"/>
  <c r="Q200" i="38"/>
  <c r="T200" i="38"/>
  <c r="U200" i="38" s="1"/>
  <c r="V200" i="38" l="1"/>
  <c r="M201" i="38" s="1"/>
  <c r="P201" i="38" l="1"/>
  <c r="Q201" i="38"/>
  <c r="AC200" i="38"/>
  <c r="T201" i="38"/>
  <c r="U201" i="38" s="1"/>
  <c r="V201" i="38" l="1"/>
  <c r="AC201" i="38" s="1"/>
  <c r="M202" i="38" l="1"/>
  <c r="P202" i="38" l="1"/>
  <c r="Q202" i="38"/>
  <c r="T202" i="38"/>
  <c r="U202" i="38" s="1"/>
  <c r="V202" i="38" l="1"/>
  <c r="AC202" i="38" s="1"/>
  <c r="M203" i="38" l="1"/>
  <c r="T203" i="38" s="1"/>
  <c r="U203" i="38" s="1"/>
  <c r="P203" i="38" l="1"/>
  <c r="Q203" i="38"/>
  <c r="V203" i="38" s="1"/>
  <c r="AC203" i="38" s="1"/>
  <c r="M204" i="38" l="1"/>
  <c r="P204" i="38" l="1"/>
  <c r="Q204" i="38"/>
  <c r="T204" i="38"/>
  <c r="U204" i="38" s="1"/>
  <c r="V204" i="38" l="1"/>
  <c r="M205" i="38" s="1"/>
  <c r="P205" i="38" l="1"/>
  <c r="Q205" i="38"/>
  <c r="AC204" i="38"/>
  <c r="T205" i="38"/>
  <c r="U205" i="38" s="1"/>
  <c r="V205" i="38" l="1"/>
  <c r="M206" i="38" s="1"/>
  <c r="P206" i="38" l="1"/>
  <c r="Q206" i="38"/>
  <c r="AC205" i="38"/>
  <c r="T206" i="38"/>
  <c r="U206" i="38" s="1"/>
  <c r="V206" i="38" l="1"/>
  <c r="AC206" i="38" s="1"/>
  <c r="M207" i="38" l="1"/>
  <c r="T207" i="38" s="1"/>
  <c r="U207" i="38" s="1"/>
  <c r="P207" i="38" l="1"/>
  <c r="Q207" i="38"/>
  <c r="V207" i="38" s="1"/>
  <c r="AC207" i="38" l="1"/>
  <c r="M208" i="38"/>
  <c r="P208" i="38" l="1"/>
  <c r="Q208" i="38"/>
  <c r="T208" i="38"/>
  <c r="U208" i="38" s="1"/>
  <c r="V208" i="38" l="1"/>
  <c r="M209" i="38" s="1"/>
  <c r="P209" i="38" l="1"/>
  <c r="Q209" i="38"/>
  <c r="AC208" i="38"/>
  <c r="T209" i="38"/>
  <c r="U209" i="38" s="1"/>
  <c r="V209" i="38" l="1"/>
  <c r="M210" i="38" s="1"/>
  <c r="P210" i="38" l="1"/>
  <c r="Q210" i="38"/>
  <c r="T210" i="38"/>
  <c r="U210" i="38" s="1"/>
  <c r="AC209" i="38"/>
  <c r="V210" i="38" l="1"/>
  <c r="M211" i="38" s="1"/>
  <c r="S211" i="38" s="1"/>
  <c r="P211" i="38" l="1"/>
  <c r="Q211" i="38"/>
  <c r="T211" i="38"/>
  <c r="U211" i="38" s="1"/>
  <c r="AC210" i="38"/>
  <c r="V211" i="38" l="1"/>
  <c r="M212" i="38" s="1"/>
  <c r="P212" i="38" l="1"/>
  <c r="Q212" i="38"/>
  <c r="T212" i="38"/>
  <c r="U212" i="38" s="1"/>
  <c r="AC211" i="38"/>
  <c r="V212" i="38" l="1"/>
  <c r="M213" i="38" s="1"/>
  <c r="P213" i="38" l="1"/>
  <c r="Q213" i="38"/>
  <c r="AC212" i="38"/>
  <c r="T213" i="38"/>
  <c r="U213" i="38" s="1"/>
  <c r="V213" i="38" l="1"/>
  <c r="AC213" i="38" l="1"/>
  <c r="M214" i="38"/>
  <c r="P214" i="38" l="1"/>
  <c r="Q214" i="38"/>
  <c r="T214" i="38"/>
  <c r="U214" i="38" s="1"/>
  <c r="V214" i="38" l="1"/>
  <c r="M215" i="38" l="1"/>
  <c r="AC214" i="38"/>
  <c r="P215" i="38" l="1"/>
  <c r="Q215" i="38"/>
  <c r="T215" i="38"/>
  <c r="U215" i="38" s="1"/>
  <c r="V215" i="38" l="1"/>
  <c r="M216" i="38" l="1"/>
  <c r="AC215" i="38"/>
  <c r="P216" i="38" l="1"/>
  <c r="Q216" i="38"/>
  <c r="T216" i="38"/>
  <c r="U216" i="38" s="1"/>
  <c r="V216" i="38" l="1"/>
  <c r="M217" i="38" l="1"/>
  <c r="AC216" i="38"/>
  <c r="P217" i="38" l="1"/>
  <c r="Q217" i="38"/>
  <c r="T217" i="38"/>
  <c r="U217" i="38" s="1"/>
  <c r="V217" i="38" l="1"/>
  <c r="M218" i="38" s="1"/>
  <c r="P218" i="38" l="1"/>
  <c r="Q218" i="38"/>
  <c r="AC217" i="38"/>
  <c r="T218" i="38"/>
  <c r="U218" i="38" s="1"/>
  <c r="V218" i="38" l="1"/>
  <c r="M219" i="38" s="1"/>
  <c r="P219" i="38" l="1"/>
  <c r="Q219" i="38"/>
  <c r="AC218" i="38"/>
  <c r="T219" i="38"/>
  <c r="U219" i="38" s="1"/>
  <c r="V219" i="38" l="1"/>
  <c r="M220" i="38" s="1"/>
  <c r="P220" i="38" l="1"/>
  <c r="Q220" i="38"/>
  <c r="AC219" i="38"/>
  <c r="T220" i="38"/>
  <c r="U220" i="38" s="1"/>
  <c r="V220" i="38" l="1"/>
  <c r="M221" i="38" s="1"/>
  <c r="P221" i="38" l="1"/>
  <c r="Q221" i="38"/>
  <c r="AC220" i="38"/>
  <c r="T221" i="38"/>
  <c r="U221" i="38" s="1"/>
  <c r="V221" i="38" l="1"/>
  <c r="AC221" i="38" s="1"/>
  <c r="M222" i="38" l="1"/>
  <c r="P222" i="38" l="1"/>
  <c r="Q222" i="38"/>
  <c r="T222" i="38"/>
  <c r="U222" i="38" s="1"/>
  <c r="V222" i="38" l="1"/>
  <c r="M223" i="38" s="1"/>
  <c r="S223" i="38" s="1"/>
  <c r="P223" i="38" l="1"/>
  <c r="Q223" i="38"/>
  <c r="AC222" i="38"/>
  <c r="T223" i="38"/>
  <c r="U223" i="38" s="1"/>
  <c r="V223" i="38" l="1"/>
  <c r="M224" i="38" l="1"/>
  <c r="AC223" i="38"/>
  <c r="P224" i="38" l="1"/>
  <c r="Q224" i="38"/>
  <c r="T224" i="38"/>
  <c r="U224" i="38" s="1"/>
  <c r="V224" i="38" l="1"/>
  <c r="AC224" i="38" s="1"/>
  <c r="M225" i="38" l="1"/>
  <c r="P225" i="38" l="1"/>
  <c r="Q225" i="38"/>
  <c r="T225" i="38"/>
  <c r="U225" i="38" s="1"/>
  <c r="V225" i="38" l="1"/>
  <c r="AC225" i="38" s="1"/>
  <c r="M226" i="38" l="1"/>
  <c r="P226" i="38" l="1"/>
  <c r="Q226" i="38"/>
  <c r="T226" i="38"/>
  <c r="U226" i="38" s="1"/>
  <c r="V226" i="38" l="1"/>
  <c r="M227" i="38" s="1"/>
  <c r="P227" i="38" l="1"/>
  <c r="Q227" i="38"/>
  <c r="AC226" i="38"/>
  <c r="T227" i="38"/>
  <c r="U227" i="38" s="1"/>
  <c r="V227" i="38" l="1"/>
  <c r="AC227" i="38" l="1"/>
  <c r="M228" i="38"/>
  <c r="P228" i="38" l="1"/>
  <c r="Q228" i="38"/>
  <c r="T228" i="38"/>
  <c r="U228" i="38" s="1"/>
  <c r="V228" i="38" l="1"/>
  <c r="AC228" i="38" s="1"/>
  <c r="M229" i="38" l="1"/>
  <c r="P229" i="38" l="1"/>
  <c r="V229" i="38" s="1"/>
  <c r="M230" i="38" s="1"/>
  <c r="Q229" i="38"/>
  <c r="T229" i="38"/>
  <c r="U229" i="38" s="1"/>
  <c r="P230" i="38" l="1"/>
  <c r="Q230" i="38"/>
  <c r="T230" i="38"/>
  <c r="U230" i="38" s="1"/>
  <c r="AC229" i="38"/>
  <c r="V230" i="38" l="1"/>
  <c r="AC230" i="38" s="1"/>
  <c r="M231" i="38" l="1"/>
  <c r="P231" i="38" l="1"/>
  <c r="Q231" i="38"/>
  <c r="T231" i="38"/>
  <c r="U231" i="38" s="1"/>
  <c r="V231" i="38" l="1"/>
  <c r="AC231" i="38" s="1"/>
  <c r="M232" i="38" l="1"/>
  <c r="P232" i="38" l="1"/>
  <c r="V232" i="38" s="1"/>
  <c r="Q232" i="38"/>
  <c r="T232" i="38"/>
  <c r="U232" i="38" s="1"/>
  <c r="M233" i="38" l="1"/>
  <c r="AC232" i="38"/>
  <c r="P233" i="38" l="1"/>
  <c r="Q233" i="38"/>
  <c r="T233" i="38"/>
  <c r="U233" i="38" s="1"/>
  <c r="V233" i="38" l="1"/>
  <c r="AC233" i="38" s="1"/>
  <c r="M234" i="38" l="1"/>
  <c r="P234" i="38" l="1"/>
  <c r="Q234" i="38"/>
  <c r="T234" i="38"/>
  <c r="U234" i="38" s="1"/>
  <c r="V234" i="38" l="1"/>
  <c r="AC234" i="38" s="1"/>
  <c r="M235" i="38" l="1"/>
  <c r="S235" i="38" s="1"/>
  <c r="P235" i="38" l="1"/>
  <c r="Q235" i="38"/>
  <c r="T235" i="38"/>
  <c r="U235" i="38" s="1"/>
  <c r="V235" i="38" l="1"/>
  <c r="AC235" i="38" s="1"/>
  <c r="M236" i="38" l="1"/>
  <c r="P236" i="38" l="1"/>
  <c r="Q236" i="38"/>
  <c r="T236" i="38"/>
  <c r="U236" i="38" s="1"/>
  <c r="V236" i="38" l="1"/>
  <c r="M237" i="38" s="1"/>
  <c r="AC236" i="38" l="1"/>
  <c r="P237" i="38"/>
  <c r="Q237" i="38"/>
  <c r="T237" i="38"/>
  <c r="U237" i="38" s="1"/>
  <c r="V237" i="38" l="1"/>
  <c r="AC237" i="38" s="1"/>
  <c r="M238" i="38" l="1"/>
  <c r="P238" i="38" l="1"/>
  <c r="Q238" i="38"/>
  <c r="T238" i="38"/>
  <c r="U238" i="38" s="1"/>
  <c r="V238" i="38" l="1"/>
  <c r="AC238" i="38" l="1"/>
  <c r="M239" i="38"/>
  <c r="P239" i="38" l="1"/>
  <c r="Q239" i="38"/>
  <c r="T239" i="38"/>
  <c r="U239" i="38" s="1"/>
  <c r="V239" i="38" l="1"/>
  <c r="M240" i="38" l="1"/>
  <c r="AC239" i="38"/>
  <c r="P240" i="38" l="1"/>
  <c r="Q240" i="38"/>
  <c r="T240" i="38"/>
  <c r="U240" i="38" s="1"/>
  <c r="V240" i="38" l="1"/>
  <c r="M241" i="38" l="1"/>
  <c r="AC240" i="38"/>
  <c r="P241" i="38" l="1"/>
  <c r="Q241" i="38"/>
  <c r="T241" i="38"/>
  <c r="U241" i="38" s="1"/>
  <c r="V241" i="38" l="1"/>
  <c r="AC241" i="38" s="1"/>
  <c r="M242" i="38" l="1"/>
  <c r="P242" i="38" l="1"/>
  <c r="Q242" i="38"/>
  <c r="T242" i="38"/>
  <c r="U242" i="38" s="1"/>
  <c r="V242" i="38" l="1"/>
  <c r="M243" i="38" s="1"/>
  <c r="P243" i="38" l="1"/>
  <c r="Q243" i="38"/>
  <c r="T243" i="38"/>
  <c r="U243" i="38" s="1"/>
  <c r="AC242" i="38"/>
  <c r="V243" i="38" l="1"/>
  <c r="M244" i="38" s="1"/>
  <c r="P244" i="38" l="1"/>
  <c r="Q244" i="38"/>
  <c r="T244" i="38"/>
  <c r="U244" i="38" s="1"/>
  <c r="AC243" i="38"/>
  <c r="V244" i="38" l="1"/>
  <c r="AC244" i="38" s="1"/>
  <c r="M245" i="38"/>
  <c r="P245" i="38" l="1"/>
  <c r="Q245" i="38"/>
  <c r="T245" i="38"/>
  <c r="U245" i="38" s="1"/>
  <c r="V245" i="38"/>
  <c r="M246" i="38" s="1"/>
  <c r="P246" i="38" l="1"/>
  <c r="Q246" i="38"/>
  <c r="AC245" i="38"/>
  <c r="T246" i="38"/>
  <c r="U246" i="38" s="1"/>
  <c r="V246" i="38" l="1"/>
  <c r="AC246" i="38" s="1"/>
  <c r="M247" i="38" l="1"/>
  <c r="S247" i="38" s="1"/>
  <c r="P247" i="38" l="1"/>
  <c r="Q247" i="38"/>
  <c r="T247" i="38"/>
  <c r="U247" i="38" s="1"/>
  <c r="V247" i="38" l="1"/>
  <c r="AC247" i="38" l="1"/>
  <c r="M248" i="38"/>
  <c r="P248" i="38" l="1"/>
  <c r="Q248" i="38"/>
  <c r="T248" i="38"/>
  <c r="U248" i="38" s="1"/>
  <c r="V248" i="38" l="1"/>
  <c r="M249" i="38" s="1"/>
  <c r="P249" i="38"/>
  <c r="Q249" i="38"/>
  <c r="AC248" i="38"/>
  <c r="T249" i="38"/>
  <c r="U249" i="38" s="1"/>
  <c r="V249" i="38" l="1"/>
  <c r="AC249" i="38" s="1"/>
  <c r="M250" i="38" l="1"/>
  <c r="T250" i="38" s="1"/>
  <c r="U250" i="38" s="1"/>
  <c r="P250" i="38" l="1"/>
  <c r="Q250" i="38"/>
  <c r="V250" i="38" s="1"/>
  <c r="AC250" i="38" s="1"/>
  <c r="M251" i="38" l="1"/>
  <c r="P251" i="38" l="1"/>
  <c r="Q251" i="38"/>
  <c r="T251" i="38"/>
  <c r="U251" i="38" s="1"/>
  <c r="V251" i="38" l="1"/>
  <c r="AC251" i="38" s="1"/>
  <c r="M252" i="38" l="1"/>
  <c r="P252" i="38" l="1"/>
  <c r="Q252" i="38"/>
  <c r="T252" i="38"/>
  <c r="U252" i="38" s="1"/>
  <c r="V252" i="38" l="1"/>
  <c r="AC252" i="38" l="1"/>
  <c r="M253" i="38"/>
  <c r="P253" i="38" l="1"/>
  <c r="Q253" i="38"/>
  <c r="T253" i="38"/>
  <c r="U253" i="38" s="1"/>
  <c r="V253" i="38" l="1"/>
  <c r="M254" i="38" l="1"/>
  <c r="AC253" i="38"/>
  <c r="P254" i="38" l="1"/>
  <c r="Q254" i="38"/>
  <c r="T254" i="38"/>
  <c r="U254" i="38" s="1"/>
  <c r="V254" i="38" l="1"/>
  <c r="AC254" i="38" s="1"/>
  <c r="M255" i="38" l="1"/>
  <c r="P255" i="38" l="1"/>
  <c r="Q255" i="38"/>
  <c r="T255" i="38"/>
  <c r="U255" i="38" s="1"/>
  <c r="V255" i="38" l="1"/>
  <c r="AC255" i="38" s="1"/>
  <c r="M256" i="38" l="1"/>
  <c r="T256" i="38" s="1"/>
  <c r="U256" i="38" s="1"/>
  <c r="P256" i="38" l="1"/>
  <c r="Q256" i="38"/>
  <c r="V256" i="38" s="1"/>
  <c r="AC256" i="38" l="1"/>
  <c r="M257" i="38"/>
  <c r="P257" i="38" l="1"/>
  <c r="Q257" i="38"/>
  <c r="T257" i="38"/>
  <c r="U257" i="38" s="1"/>
  <c r="V257" i="38" l="1"/>
  <c r="M258" i="38" l="1"/>
  <c r="AC257" i="38"/>
  <c r="P258" i="38" l="1"/>
  <c r="Q258" i="38"/>
  <c r="T258" i="38"/>
  <c r="U258" i="38" s="1"/>
  <c r="V258" i="38" l="1"/>
  <c r="AC258" i="38" l="1"/>
  <c r="M259" i="38"/>
  <c r="S259" i="38" s="1"/>
  <c r="P259" i="38" l="1"/>
  <c r="Q259" i="38"/>
  <c r="Q3" i="38"/>
  <c r="T259" i="38"/>
  <c r="U259" i="38" s="1"/>
  <c r="P3" i="38"/>
  <c r="V259" i="38" l="1"/>
  <c r="AC259" i="38" s="1"/>
</calcChain>
</file>

<file path=xl/sharedStrings.xml><?xml version="1.0" encoding="utf-8"?>
<sst xmlns="http://schemas.openxmlformats.org/spreadsheetml/2006/main" count="126" uniqueCount="110">
  <si>
    <t>Expenses</t>
  </si>
  <si>
    <t xml:space="preserve">  $ per policy</t>
  </si>
  <si>
    <t>Commission</t>
  </si>
  <si>
    <t>Risk discount rate</t>
  </si>
  <si>
    <t>Acquisition</t>
  </si>
  <si>
    <t>Inflation</t>
  </si>
  <si>
    <t>Lapse Rate</t>
  </si>
  <si>
    <t>Males</t>
  </si>
  <si>
    <t>Females</t>
  </si>
  <si>
    <t>Nonsmoker</t>
  </si>
  <si>
    <t>Smoker</t>
  </si>
  <si>
    <t>Aggregate</t>
  </si>
  <si>
    <t>Lapse Rates</t>
  </si>
  <si>
    <t>Lapse Rate (Annual)</t>
  </si>
  <si>
    <t>Year</t>
  </si>
  <si>
    <t>10+</t>
  </si>
  <si>
    <t>Policy Start Date</t>
  </si>
  <si>
    <t>Date of Birth</t>
  </si>
  <si>
    <t>Valuation date</t>
  </si>
  <si>
    <t>Gender</t>
  </si>
  <si>
    <t>Smoking Status</t>
  </si>
  <si>
    <t>N</t>
  </si>
  <si>
    <t>M</t>
  </si>
  <si>
    <t>Time</t>
  </si>
  <si>
    <t>Duration (Months)</t>
  </si>
  <si>
    <t>Mortality Rate</t>
  </si>
  <si>
    <t>Duration (Years)</t>
  </si>
  <si>
    <t>No. Lapses (EOM)</t>
  </si>
  <si>
    <t>No. Deaths (EOM)</t>
  </si>
  <si>
    <t>Age (Months)</t>
  </si>
  <si>
    <t>Premium (BOM)</t>
  </si>
  <si>
    <t>Inforce (BOM)</t>
  </si>
  <si>
    <t>Assumptions</t>
  </si>
  <si>
    <t>Per Annum</t>
  </si>
  <si>
    <t>Per Month</t>
  </si>
  <si>
    <t>PV:</t>
  </si>
  <si>
    <t>Details of new business sold</t>
  </si>
  <si>
    <t>Age last birthday</t>
  </si>
  <si>
    <t>Annual Renewal Expenses</t>
  </si>
  <si>
    <t>Calculations</t>
  </si>
  <si>
    <t>Mortality Rates (Annual) - Death</t>
  </si>
  <si>
    <t>No. Policies</t>
  </si>
  <si>
    <t>Average Premium per policy</t>
  </si>
  <si>
    <t>Calculation of Investment Return</t>
  </si>
  <si>
    <t>Asset Class</t>
  </si>
  <si>
    <t>Proportion of Fund</t>
  </si>
  <si>
    <t>Equities</t>
  </si>
  <si>
    <t>Property</t>
  </si>
  <si>
    <t>Corporate Bonds</t>
  </si>
  <si>
    <t>Government Bonds</t>
  </si>
  <si>
    <t>Cash</t>
  </si>
  <si>
    <t>Correlation Matrix</t>
  </si>
  <si>
    <t>Portfolio</t>
  </si>
  <si>
    <r>
      <t>Gross Expected Return</t>
    </r>
    <r>
      <rPr>
        <sz val="10"/>
        <rFont val="Arial"/>
        <family val="2"/>
      </rPr>
      <t>  </t>
    </r>
  </si>
  <si>
    <t>Fees</t>
  </si>
  <si>
    <t>Initial</t>
  </si>
  <si>
    <t>Fund Balance (BOM)</t>
  </si>
  <si>
    <t>Investment Fluctuation Reserve (BOM)</t>
  </si>
  <si>
    <t>years</t>
  </si>
  <si>
    <t>Commission (BOM)</t>
  </si>
  <si>
    <t>DAC Margin</t>
  </si>
  <si>
    <t>Tax rate</t>
  </si>
  <si>
    <t>of premium</t>
  </si>
  <si>
    <t>premiums</t>
  </si>
  <si>
    <t>applied to per policy expenses</t>
  </si>
  <si>
    <t>Initial Fees (BOM)</t>
  </si>
  <si>
    <t>Monthly</t>
  </si>
  <si>
    <t>Investment Return (EOM)</t>
  </si>
  <si>
    <t>Profit after Tax (EOM)</t>
  </si>
  <si>
    <t>Profit before Tax (EOM)</t>
  </si>
  <si>
    <t>Monthly return</t>
  </si>
  <si>
    <t>Standard Deviation</t>
  </si>
  <si>
    <t>Weighted Standard Deviation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</si>
  <si>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</si>
  <si>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</si>
  <si>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</si>
  <si>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</si>
  <si>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</si>
  <si>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</si>
  <si>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</si>
  <si>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</si>
  <si>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</si>
  <si>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</si>
  <si>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</si>
  <si>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</si>
  <si>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Account Balance (excl. IFR) (BOM)</t>
  </si>
  <si>
    <t>Tax (EOM)</t>
  </si>
  <si>
    <t>PV Premiums (BOM)</t>
  </si>
  <si>
    <t>Crediting rate</t>
  </si>
  <si>
    <t>Interim crediting rate</t>
  </si>
  <si>
    <t>Profit before Tax (Fees Less Expenses) (EOM)</t>
  </si>
  <si>
    <t>Check (should equal zero)</t>
  </si>
  <si>
    <t>Term of Policies</t>
  </si>
  <si>
    <t>Starting Values</t>
  </si>
  <si>
    <t>Account Balance (excl. IFR) (EOM)</t>
  </si>
  <si>
    <t>Death/Lapse Payments from Account Balance (Mid-Month)</t>
  </si>
  <si>
    <t>Death/Lapse Payments from Interim Crediting (Mid-Month)</t>
  </si>
  <si>
    <t>Maturity Payments (excl. IFR) (EOM)</t>
  </si>
  <si>
    <t>Maturity Payments inc. IFR) (EOM)</t>
  </si>
  <si>
    <t>Initial Expenses (BOM)</t>
  </si>
  <si>
    <t>Renewal Expenses (BOM)</t>
  </si>
  <si>
    <t xml:space="preserve">  % of Premium</t>
  </si>
  <si>
    <t>Policy Liabilities (EOM)</t>
  </si>
  <si>
    <t>DAC (EOM)</t>
  </si>
  <si>
    <t>Monthly Fees (Before Crediting Rate) (EOM)</t>
  </si>
  <si>
    <t>Credited Return on EOM Account Balance</t>
  </si>
  <si>
    <t>per annum payable annually in advance</t>
  </si>
  <si>
    <t>of end of month account balance prior to crediting rate</t>
  </si>
  <si>
    <t>Student input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</si>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</sst>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_-* #,##0.00000_-;\-* #,##0.00000_-;_-* &quot;-&quot;??_-;_-@_-"/>
    <numFmt numFmtId="167" formatCode="_-&quot;$&quot;* #,##0_-;\-&quot;$&quot;* #,##0_-;_-&quot;$&quot;* &quot;-&quot;??_-;_-@_-"/>
    <numFmt numFmtId="168" formatCode="_-* #,##0.000000_-;\-* #,##0.000000_-;_-* &quot;-&quot;??_-;_-@_-"/>
    <numFmt numFmtId="169" formatCode="_-* #,##0.0_-;\-* #,##0.0_-;_-* &quot;-&quot;??_-;_-@_-"/>
    <numFmt numFmtId="170" formatCode="_-* #,##0_-;\-* #,##0_-;_-* &quot;-&quot;??_-;_-@_-"/>
    <numFmt numFmtId="171" formatCode="0.0%"/>
    <numFmt numFmtId="172" formatCode="_(* #,##0_);_(* \(#,##0\);_(* &quot;-&quot;??_);_(@_)"/>
    <numFmt numFmtId="173" formatCode="0.000%"/>
    <numFmt numFmtId="174" formatCode="#,##0.000000"/>
    <numFmt numFmtId="175" formatCode="0.0000"/>
    <numFmt numFmtId="176" formatCode="0.0000000%"/>
    <numFmt numFmtId="177" formatCode="_(* #,##0.0000_);_(* \(#,##0.0000\);_(* &quot;-&quot;??_);_(@_)"/>
  </numFmts>
  <fonts count="10" x14ac:knownFonts="1">
    <font>
      <sz val="11"/>
      <color theme="1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7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Border="1"/>
    <xf numFmtId="9" fontId="1" fillId="0" borderId="0" xfId="3" applyFont="1" applyBorder="1"/>
    <xf numFmtId="0" fontId="1" fillId="0" borderId="1" xfId="0" applyFont="1" applyBorder="1"/>
    <xf numFmtId="9" fontId="1" fillId="0" borderId="1" xfId="3" applyFont="1" applyBorder="1"/>
    <xf numFmtId="171" fontId="1" fillId="0" borderId="1" xfId="3" applyNumberFormat="1" applyFont="1" applyBorder="1"/>
    <xf numFmtId="14" fontId="1" fillId="0" borderId="1" xfId="2" applyNumberFormat="1" applyFont="1" applyBorder="1"/>
    <xf numFmtId="167" fontId="1" fillId="0" borderId="0" xfId="2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0" xfId="0" applyFont="1" applyBorder="1"/>
    <xf numFmtId="171" fontId="1" fillId="0" borderId="0" xfId="3" applyNumberFormat="1" applyFont="1" applyBorder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0" fontId="1" fillId="0" borderId="1" xfId="0" applyFont="1" applyFill="1" applyBorder="1"/>
    <xf numFmtId="14" fontId="1" fillId="0" borderId="1" xfId="0" applyNumberFormat="1" applyFont="1" applyBorder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66" fontId="5" fillId="0" borderId="1" xfId="1" applyNumberFormat="1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right"/>
    </xf>
    <xf numFmtId="10" fontId="5" fillId="0" borderId="1" xfId="3" applyNumberFormat="1" applyFont="1" applyBorder="1"/>
    <xf numFmtId="0" fontId="6" fillId="0" borderId="0" xfId="0" applyFont="1"/>
    <xf numFmtId="0" fontId="7" fillId="0" borderId="0" xfId="0" applyFont="1"/>
    <xf numFmtId="0" fontId="7" fillId="0" borderId="1" xfId="0" applyFont="1" applyBorder="1" applyAlignment="1">
      <alignment vertical="center" wrapText="1"/>
    </xf>
    <xf numFmtId="9" fontId="7" fillId="0" borderId="1" xfId="0" applyNumberFormat="1" applyFont="1" applyBorder="1" applyAlignment="1">
      <alignment horizontal="right" vertical="center" wrapText="1"/>
    </xf>
    <xf numFmtId="0" fontId="7" fillId="0" borderId="1" xfId="0" applyFont="1" applyBorder="1"/>
    <xf numFmtId="10" fontId="7" fillId="3" borderId="1" xfId="3" applyNumberFormat="1" applyFont="1" applyFill="1" applyBorder="1"/>
    <xf numFmtId="0" fontId="7" fillId="0" borderId="2" xfId="0" applyFont="1" applyBorder="1" applyAlignment="1">
      <alignment vertical="center" wrapText="1"/>
    </xf>
    <xf numFmtId="9" fontId="7" fillId="0" borderId="1" xfId="3" applyFont="1" applyBorder="1" applyAlignment="1">
      <alignment horizontal="right" vertical="center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9" fontId="7" fillId="0" borderId="1" xfId="3" applyFont="1" applyFill="1" applyBorder="1"/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9" fontId="7" fillId="3" borderId="1" xfId="3" applyNumberFormat="1" applyFont="1" applyFill="1" applyBorder="1"/>
    <xf numFmtId="9" fontId="1" fillId="0" borderId="1" xfId="3" applyNumberFormat="1" applyFont="1" applyBorder="1"/>
    <xf numFmtId="171" fontId="7" fillId="0" borderId="1" xfId="0" applyNumberFormat="1" applyFont="1" applyBorder="1" applyAlignment="1">
      <alignment horizontal="right" vertical="center" wrapText="1"/>
    </xf>
    <xf numFmtId="171" fontId="1" fillId="0" borderId="1" xfId="3" applyNumberFormat="1" applyFont="1" applyFill="1" applyBorder="1"/>
    <xf numFmtId="9" fontId="7" fillId="0" borderId="0" xfId="3" applyFont="1" applyFill="1" applyBorder="1"/>
    <xf numFmtId="0" fontId="3" fillId="0" borderId="1" xfId="0" applyFont="1" applyBorder="1" applyAlignment="1">
      <alignment horizontal="center"/>
    </xf>
    <xf numFmtId="174" fontId="5" fillId="0" borderId="0" xfId="0" applyNumberFormat="1" applyFont="1"/>
    <xf numFmtId="175" fontId="5" fillId="0" borderId="0" xfId="0" applyNumberFormat="1" applyFont="1"/>
    <xf numFmtId="2" fontId="5" fillId="0" borderId="0" xfId="0" applyNumberFormat="1" applyFont="1"/>
    <xf numFmtId="170" fontId="1" fillId="0" borderId="1" xfId="0" applyNumberFormat="1" applyFont="1" applyFill="1" applyBorder="1" applyAlignment="1">
      <alignment horizontal="center" vertical="top" wrapText="1"/>
    </xf>
    <xf numFmtId="165" fontId="1" fillId="0" borderId="1" xfId="0" applyNumberFormat="1" applyFont="1" applyFill="1" applyBorder="1" applyAlignment="1">
      <alignment horizontal="center" vertical="top" wrapText="1"/>
    </xf>
    <xf numFmtId="8" fontId="3" fillId="0" borderId="0" xfId="0" applyNumberFormat="1" applyFont="1"/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/>
    <xf numFmtId="170" fontId="1" fillId="0" borderId="0" xfId="0" applyNumberFormat="1" applyFont="1" applyFill="1"/>
    <xf numFmtId="43" fontId="1" fillId="0" borderId="0" xfId="1" applyFont="1" applyFill="1"/>
    <xf numFmtId="0" fontId="1" fillId="0" borderId="0" xfId="0" applyFont="1" applyAlignment="1">
      <alignment horizontal="right" vertical="center"/>
    </xf>
    <xf numFmtId="170" fontId="1" fillId="0" borderId="1" xfId="1" applyNumberFormat="1" applyFont="1" applyBorder="1" applyAlignment="1">
      <alignment vertical="center"/>
    </xf>
    <xf numFmtId="170" fontId="1" fillId="0" borderId="1" xfId="0" applyNumberFormat="1" applyFont="1" applyFill="1" applyBorder="1" applyAlignment="1">
      <alignment vertical="center"/>
    </xf>
    <xf numFmtId="170" fontId="1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horizontal="right"/>
    </xf>
    <xf numFmtId="9" fontId="1" fillId="0" borderId="1" xfId="3" applyFont="1" applyFill="1" applyBorder="1"/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170" fontId="1" fillId="2" borderId="1" xfId="1" applyNumberFormat="1" applyFont="1" applyFill="1" applyBorder="1"/>
    <xf numFmtId="168" fontId="1" fillId="3" borderId="1" xfId="1" applyNumberFormat="1" applyFont="1" applyFill="1" applyBorder="1"/>
    <xf numFmtId="170" fontId="1" fillId="3" borderId="1" xfId="1" applyNumberFormat="1" applyFont="1" applyFill="1" applyBorder="1"/>
    <xf numFmtId="169" fontId="1" fillId="3" borderId="1" xfId="1" applyNumberFormat="1" applyFont="1" applyFill="1" applyBorder="1"/>
    <xf numFmtId="170" fontId="1" fillId="3" borderId="1" xfId="0" applyNumberFormat="1" applyFont="1" applyFill="1" applyBorder="1"/>
    <xf numFmtId="172" fontId="1" fillId="3" borderId="1" xfId="1" applyNumberFormat="1" applyFont="1" applyFill="1" applyBorder="1"/>
    <xf numFmtId="170" fontId="1" fillId="0" borderId="0" xfId="0" applyNumberFormat="1" applyFont="1"/>
    <xf numFmtId="170" fontId="1" fillId="0" borderId="1" xfId="0" applyNumberFormat="1" applyFont="1" applyFill="1" applyBorder="1"/>
    <xf numFmtId="172" fontId="1" fillId="0" borderId="0" xfId="0" applyNumberFormat="1" applyFont="1"/>
    <xf numFmtId="0" fontId="1" fillId="4" borderId="0" xfId="0" applyFont="1" applyFill="1"/>
    <xf numFmtId="10" fontId="7" fillId="0" borderId="0" xfId="3" applyNumberFormat="1" applyFont="1"/>
    <xf numFmtId="176" fontId="7" fillId="0" borderId="0" xfId="0" applyNumberFormat="1" applyFont="1"/>
    <xf numFmtId="177" fontId="1" fillId="3" borderId="1" xfId="1" applyNumberFormat="1" applyFont="1" applyFill="1" applyBorder="1"/>
    <xf numFmtId="10" fontId="9" fillId="0" borderId="1" xfId="3" applyNumberFormat="1" applyFont="1" applyBorder="1"/>
    <xf numFmtId="170" fontId="9" fillId="0" borderId="1" xfId="1" applyNumberFormat="1" applyFont="1" applyBorder="1"/>
    <xf numFmtId="167" fontId="9" fillId="0" borderId="1" xfId="2" applyNumberFormat="1" applyFont="1" applyFill="1" applyBorder="1"/>
    <xf numFmtId="0" fontId="9" fillId="0" borderId="1" xfId="0" applyFont="1" applyBorder="1" applyAlignment="1">
      <alignment horizontal="center"/>
    </xf>
    <xf numFmtId="172" fontId="9" fillId="0" borderId="1" xfId="1" applyNumberFormat="1" applyFont="1" applyBorder="1"/>
    <xf numFmtId="172" fontId="1" fillId="0" borderId="0" xfId="1" applyNumberFormat="1" applyFont="1"/>
    <xf numFmtId="171" fontId="9" fillId="0" borderId="1" xfId="3" applyNumberFormat="1" applyFont="1" applyBorder="1"/>
    <xf numFmtId="167" fontId="9" fillId="0" borderId="1" xfId="2" applyNumberFormat="1" applyFont="1" applyBorder="1"/>
    <xf numFmtId="164" fontId="9" fillId="0" borderId="1" xfId="2" applyNumberFormat="1" applyFont="1" applyBorder="1"/>
    <xf numFmtId="170" fontId="1" fillId="5" borderId="1" xfId="0" applyNumberFormat="1" applyFont="1" applyFill="1" applyBorder="1" applyAlignment="1">
      <alignment vertical="center"/>
    </xf>
    <xf numFmtId="171" fontId="9" fillId="0" borderId="1" xfId="0" applyNumberFormat="1" applyFont="1" applyBorder="1"/>
    <xf numFmtId="173" fontId="9" fillId="0" borderId="1" xfId="3" applyNumberFormat="1" applyFont="1" applyBorder="1"/>
    <xf numFmtId="0" fontId="9" fillId="0" borderId="0" xfId="0" applyFont="1"/>
    <xf numFmtId="171" fontId="1" fillId="5" borderId="1" xfId="3" applyNumberFormat="1" applyFont="1" applyFill="1" applyBorder="1"/>
    <xf numFmtId="172" fontId="7" fillId="3" borderId="1" xfId="1" applyNumberFormat="1" applyFont="1" applyFill="1" applyBorder="1"/>
    <xf numFmtId="43" fontId="1" fillId="3" borderId="1" xfId="0" applyNumberFormat="1" applyFont="1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10" fontId="1" fillId="3" borderId="1" xfId="3" applyNumberFormat="1" applyFon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92457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Annual Mortality Rates"/>
      <sheetName val="Annual Lapse Rates"/>
      <sheetName val="(a)"/>
      <sheetName val="(c)"/>
    </sheetNames>
    <sheetDataSet>
      <sheetData sheetId="0">
        <row r="9">
          <cell r="H9">
            <v>15</v>
          </cell>
        </row>
      </sheetData>
      <sheetData sheetId="1"/>
      <sheetData sheetId="2">
        <row r="4">
          <cell r="B4">
            <v>0</v>
          </cell>
          <cell r="C4">
            <v>0.1</v>
          </cell>
        </row>
        <row r="5">
          <cell r="B5">
            <v>1</v>
          </cell>
          <cell r="C5">
            <v>0.08</v>
          </cell>
        </row>
        <row r="6">
          <cell r="B6">
            <v>2</v>
          </cell>
          <cell r="C6">
            <v>7.0000000000000007E-2</v>
          </cell>
        </row>
        <row r="7">
          <cell r="B7">
            <v>3</v>
          </cell>
          <cell r="C7">
            <v>0.06</v>
          </cell>
        </row>
        <row r="8">
          <cell r="B8">
            <v>4</v>
          </cell>
          <cell r="C8">
            <v>0.05</v>
          </cell>
        </row>
        <row r="9">
          <cell r="B9">
            <v>5</v>
          </cell>
          <cell r="C9">
            <v>0.04</v>
          </cell>
        </row>
        <row r="10">
          <cell r="B10">
            <v>6</v>
          </cell>
          <cell r="C10">
            <v>0.03</v>
          </cell>
        </row>
        <row r="11">
          <cell r="B11">
            <v>7</v>
          </cell>
          <cell r="C11">
            <v>0.02</v>
          </cell>
        </row>
        <row r="12">
          <cell r="B12">
            <v>8</v>
          </cell>
          <cell r="C12">
            <v>0.02</v>
          </cell>
        </row>
        <row r="13">
          <cell r="B13">
            <v>9</v>
          </cell>
          <cell r="C13">
            <v>0.02</v>
          </cell>
        </row>
        <row r="14">
          <cell r="B14" t="str">
            <v>10+</v>
          </cell>
          <cell r="C14">
            <v>0.02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Deloitte">
  <a:themeElements>
    <a:clrScheme name="Deloitte Standard">
      <a:dk1>
        <a:sysClr val="windowText" lastClr="000000"/>
      </a:dk1>
      <a:lt1>
        <a:srgbClr val="FFFFFF"/>
      </a:lt1>
      <a:dk2>
        <a:srgbClr val="002776"/>
      </a:dk2>
      <a:lt2>
        <a:srgbClr val="FFFFFF"/>
      </a:lt2>
      <a:accent1>
        <a:srgbClr val="81BC00"/>
      </a:accent1>
      <a:accent2>
        <a:srgbClr val="00A1DE"/>
      </a:accent2>
      <a:accent3>
        <a:srgbClr val="313131"/>
      </a:accent3>
      <a:accent4>
        <a:srgbClr val="3C8A2E"/>
      </a:accent4>
      <a:accent5>
        <a:srgbClr val="575757"/>
      </a:accent5>
      <a:accent6>
        <a:srgbClr val="8C8C8C"/>
      </a:accent6>
      <a:hlink>
        <a:srgbClr val="0070C0"/>
      </a:hlink>
      <a:folHlink>
        <a:srgbClr val="7030A0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3"/>
  <sheetViews>
    <sheetView showGridLines="0" zoomScale="130" zoomScaleNormal="130" workbookViewId="0">
      <selection activeCell="D22" sqref="D22"/>
    </sheetView>
  </sheetViews>
  <sheetFormatPr defaultColWidth="9" defaultRowHeight="12.75" x14ac:dyDescent="0.2"/>
  <cols>
    <col min="1" max="1" width="2.625" style="1" customWidth="1"/>
    <col min="2" max="2" width="19.375" style="1" customWidth="1"/>
    <col min="3" max="3" width="10.625" style="1" customWidth="1"/>
    <col min="4" max="4" width="40.625" style="1" bestFit="1" customWidth="1"/>
    <col min="5" max="6" width="2.625" style="1" customWidth="1"/>
    <col min="7" max="7" width="21.625" style="1" bestFit="1" customWidth="1"/>
    <col min="8" max="8" width="9.625" style="1" bestFit="1" customWidth="1"/>
    <col min="9" max="9" width="29.875" style="1" bestFit="1" customWidth="1"/>
    <col min="10" max="10" width="9" style="1"/>
    <col min="11" max="11" width="10.375" style="1" bestFit="1" customWidth="1"/>
    <col min="12" max="16384" width="9" style="1"/>
  </cols>
  <sheetData>
    <row r="1" spans="1:12" x14ac:dyDescent="0.2">
      <c r="A1" s="2" t="s">
        <v>32</v>
      </c>
      <c r="F1" s="2" t="s">
        <v>36</v>
      </c>
      <c r="K1" s="2" t="s">
        <v>109</v>
      </c>
    </row>
    <row r="2" spans="1:12" x14ac:dyDescent="0.2">
      <c r="K2" s="1" t="s">
        <v>108</v>
      </c>
      <c r="L2" s="72"/>
    </row>
    <row r="3" spans="1:12" x14ac:dyDescent="0.2">
      <c r="B3" s="10" t="s">
        <v>18</v>
      </c>
      <c r="C3" s="8">
        <v>43830</v>
      </c>
      <c r="G3" s="5" t="s">
        <v>41</v>
      </c>
      <c r="H3" s="77">
        <v>5000</v>
      </c>
      <c r="I3" s="5"/>
    </row>
    <row r="4" spans="1:12" x14ac:dyDescent="0.2">
      <c r="G4" s="16" t="s">
        <v>42</v>
      </c>
      <c r="H4" s="78">
        <v>2500</v>
      </c>
      <c r="I4" s="16" t="s">
        <v>106</v>
      </c>
    </row>
    <row r="5" spans="1:12" x14ac:dyDescent="0.2">
      <c r="B5" s="15"/>
      <c r="C5" s="14" t="s">
        <v>54</v>
      </c>
      <c r="G5" s="5" t="s">
        <v>16</v>
      </c>
      <c r="H5" s="17">
        <f>C3</f>
        <v>43830</v>
      </c>
      <c r="I5" s="17"/>
    </row>
    <row r="6" spans="1:12" x14ac:dyDescent="0.2">
      <c r="B6" s="5" t="s">
        <v>55</v>
      </c>
      <c r="C6" s="76">
        <v>0.01</v>
      </c>
      <c r="D6" s="5" t="s">
        <v>62</v>
      </c>
      <c r="G6" s="5" t="s">
        <v>17</v>
      </c>
      <c r="H6" s="17">
        <v>27030</v>
      </c>
      <c r="I6" s="5"/>
    </row>
    <row r="7" spans="1:12" x14ac:dyDescent="0.2">
      <c r="B7" s="5" t="s">
        <v>66</v>
      </c>
      <c r="C7" s="87">
        <v>5.0000000000000001E-4</v>
      </c>
      <c r="D7" s="5" t="s">
        <v>107</v>
      </c>
      <c r="G7" s="5" t="s">
        <v>19</v>
      </c>
      <c r="H7" s="79" t="s">
        <v>22</v>
      </c>
      <c r="I7" s="5" t="str">
        <f>IF(H7="M","Male","Female")</f>
        <v>Male</v>
      </c>
    </row>
    <row r="8" spans="1:12" x14ac:dyDescent="0.2">
      <c r="G8" s="5" t="s">
        <v>20</v>
      </c>
      <c r="H8" s="79" t="s">
        <v>21</v>
      </c>
      <c r="I8" s="5" t="str">
        <f>IF(H8="N","Non-Smoker","Smoker")</f>
        <v>Non-Smoker</v>
      </c>
    </row>
    <row r="9" spans="1:12" x14ac:dyDescent="0.2">
      <c r="B9" s="15" t="s">
        <v>0</v>
      </c>
      <c r="C9" s="14" t="s">
        <v>4</v>
      </c>
      <c r="D9" s="14" t="s">
        <v>38</v>
      </c>
      <c r="G9" s="5" t="s">
        <v>92</v>
      </c>
      <c r="H9" s="80">
        <v>15</v>
      </c>
      <c r="I9" s="5" t="s">
        <v>58</v>
      </c>
    </row>
    <row r="10" spans="1:12" x14ac:dyDescent="0.2">
      <c r="B10" s="5" t="s">
        <v>101</v>
      </c>
      <c r="C10" s="82">
        <v>0.01</v>
      </c>
      <c r="D10" s="82">
        <v>5.0000000000000001E-3</v>
      </c>
    </row>
    <row r="11" spans="1:12" x14ac:dyDescent="0.2">
      <c r="B11" s="5" t="s">
        <v>1</v>
      </c>
      <c r="C11" s="83">
        <v>150</v>
      </c>
      <c r="D11" s="84">
        <v>6.5</v>
      </c>
    </row>
    <row r="12" spans="1:12" x14ac:dyDescent="0.2">
      <c r="B12" s="3"/>
      <c r="C12" s="9"/>
      <c r="D12" s="9"/>
    </row>
    <row r="13" spans="1:12" x14ac:dyDescent="0.2">
      <c r="B13" s="11" t="s">
        <v>2</v>
      </c>
      <c r="C13" s="86">
        <v>5.0000000000000001E-3</v>
      </c>
      <c r="D13" s="5" t="s">
        <v>63</v>
      </c>
    </row>
    <row r="14" spans="1:12" x14ac:dyDescent="0.2">
      <c r="B14" s="3"/>
      <c r="C14" s="9"/>
      <c r="D14" s="9"/>
    </row>
    <row r="15" spans="1:12" x14ac:dyDescent="0.2">
      <c r="B15" s="5"/>
      <c r="C15" s="44" t="s">
        <v>33</v>
      </c>
      <c r="D15" s="44" t="s">
        <v>34</v>
      </c>
    </row>
    <row r="16" spans="1:12" x14ac:dyDescent="0.2">
      <c r="B16" s="10" t="s">
        <v>5</v>
      </c>
      <c r="C16" s="6">
        <v>0.02</v>
      </c>
      <c r="D16" s="82">
        <f>(1+C16)^(1/12)-1</f>
        <v>1.6515813019202241E-3</v>
      </c>
      <c r="E16" s="88" t="s">
        <v>64</v>
      </c>
    </row>
    <row r="17" spans="2:4" x14ac:dyDescent="0.2">
      <c r="B17" s="10" t="s">
        <v>88</v>
      </c>
      <c r="C17" s="82">
        <v>0.05</v>
      </c>
      <c r="D17" s="89">
        <f>(1+C17)^(1/12)-1</f>
        <v>4.0741237836483535E-3</v>
      </c>
    </row>
    <row r="18" spans="2:4" x14ac:dyDescent="0.2">
      <c r="B18" s="10" t="s">
        <v>61</v>
      </c>
      <c r="C18" s="40">
        <v>0.3</v>
      </c>
      <c r="D18" s="7"/>
    </row>
    <row r="19" spans="2:4" x14ac:dyDescent="0.2">
      <c r="B19" s="10" t="s">
        <v>3</v>
      </c>
      <c r="C19" s="42">
        <f>'(a)'!C9</f>
        <v>5.2750000000000005E-2</v>
      </c>
      <c r="D19" s="7">
        <f>(1+C19)^(1/12)-1</f>
        <v>4.2930043261615314E-3</v>
      </c>
    </row>
    <row r="20" spans="2:4" x14ac:dyDescent="0.2">
      <c r="B20" s="12"/>
      <c r="C20" s="4"/>
      <c r="D20" s="13"/>
    </row>
    <row r="21" spans="2:4" x14ac:dyDescent="0.2">
      <c r="B21" s="10" t="s">
        <v>89</v>
      </c>
      <c r="C21" s="5"/>
      <c r="D21" s="44" t="s">
        <v>33</v>
      </c>
    </row>
    <row r="22" spans="2:4" x14ac:dyDescent="0.2">
      <c r="B22" s="5" t="s">
        <v>73</v>
      </c>
      <c r="C22" s="5">
        <v>1</v>
      </c>
      <c r="D22" s="96">
        <f>75%*C22/12*$C$17</f>
        <v>3.1250000000000002E-3</v>
      </c>
    </row>
    <row r="23" spans="2:4" x14ac:dyDescent="0.2">
      <c r="B23" s="5" t="s">
        <v>74</v>
      </c>
      <c r="C23" s="5">
        <f t="shared" ref="C23:C33" si="0">C22+1</f>
        <v>2</v>
      </c>
      <c r="D23" s="96">
        <f t="shared" ref="D23:D33" si="1">75%*C23/12*$C$17</f>
        <v>6.2500000000000003E-3</v>
      </c>
    </row>
    <row r="24" spans="2:4" x14ac:dyDescent="0.2">
      <c r="B24" s="5" t="s">
        <v>75</v>
      </c>
      <c r="C24" s="5">
        <f t="shared" si="0"/>
        <v>3</v>
      </c>
      <c r="D24" s="96">
        <f t="shared" si="1"/>
        <v>9.3750000000000014E-3</v>
      </c>
    </row>
    <row r="25" spans="2:4" x14ac:dyDescent="0.2">
      <c r="B25" s="5" t="s">
        <v>76</v>
      </c>
      <c r="C25" s="5">
        <f t="shared" si="0"/>
        <v>4</v>
      </c>
      <c r="D25" s="96">
        <f t="shared" si="1"/>
        <v>1.2500000000000001E-2</v>
      </c>
    </row>
    <row r="26" spans="2:4" x14ac:dyDescent="0.2">
      <c r="B26" s="5" t="s">
        <v>77</v>
      </c>
      <c r="C26" s="5">
        <f t="shared" si="0"/>
        <v>5</v>
      </c>
      <c r="D26" s="96">
        <f t="shared" si="1"/>
        <v>1.5625E-2</v>
      </c>
    </row>
    <row r="27" spans="2:4" x14ac:dyDescent="0.2">
      <c r="B27" s="5" t="s">
        <v>78</v>
      </c>
      <c r="C27" s="5">
        <f t="shared" si="0"/>
        <v>6</v>
      </c>
      <c r="D27" s="96">
        <f t="shared" si="1"/>
        <v>1.8750000000000003E-2</v>
      </c>
    </row>
    <row r="28" spans="2:4" x14ac:dyDescent="0.2">
      <c r="B28" s="5" t="s">
        <v>79</v>
      </c>
      <c r="C28" s="5">
        <f t="shared" si="0"/>
        <v>7</v>
      </c>
      <c r="D28" s="96">
        <f t="shared" si="1"/>
        <v>2.1875000000000002E-2</v>
      </c>
    </row>
    <row r="29" spans="2:4" x14ac:dyDescent="0.2">
      <c r="B29" s="5" t="s">
        <v>80</v>
      </c>
      <c r="C29" s="5">
        <f t="shared" si="0"/>
        <v>8</v>
      </c>
      <c r="D29" s="96">
        <f t="shared" si="1"/>
        <v>2.5000000000000001E-2</v>
      </c>
    </row>
    <row r="30" spans="2:4" x14ac:dyDescent="0.2">
      <c r="B30" s="5" t="s">
        <v>81</v>
      </c>
      <c r="C30" s="5">
        <f t="shared" si="0"/>
        <v>9</v>
      </c>
      <c r="D30" s="96">
        <f t="shared" si="1"/>
        <v>2.8125000000000001E-2</v>
      </c>
    </row>
    <row r="31" spans="2:4" x14ac:dyDescent="0.2">
      <c r="B31" s="5" t="s">
        <v>82</v>
      </c>
      <c r="C31" s="5">
        <f t="shared" si="0"/>
        <v>10</v>
      </c>
      <c r="D31" s="96">
        <f t="shared" si="1"/>
        <v>3.125E-2</v>
      </c>
    </row>
    <row r="32" spans="2:4" x14ac:dyDescent="0.2">
      <c r="B32" s="5" t="s">
        <v>83</v>
      </c>
      <c r="C32" s="5">
        <f t="shared" si="0"/>
        <v>11</v>
      </c>
      <c r="D32" s="96">
        <f t="shared" si="1"/>
        <v>3.4375000000000003E-2</v>
      </c>
    </row>
    <row r="33" spans="2:4" x14ac:dyDescent="0.2">
      <c r="B33" s="5" t="s">
        <v>84</v>
      </c>
      <c r="C33" s="5">
        <f t="shared" si="0"/>
        <v>12</v>
      </c>
      <c r="D33" s="96">
        <f t="shared" si="1"/>
        <v>3.7500000000000006E-2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showGridLines="0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8.625" defaultRowHeight="12.75" x14ac:dyDescent="0.2"/>
  <cols>
    <col min="1" max="1" width="2.625" style="19" customWidth="1"/>
    <col min="2" max="2" width="8.625" style="19"/>
    <col min="3" max="8" width="11.125" style="19" customWidth="1"/>
    <col min="9" max="9" width="8.625" style="19"/>
    <col min="10" max="10" width="10.875" style="19" bestFit="1" customWidth="1"/>
    <col min="11" max="16384" width="8.625" style="19"/>
  </cols>
  <sheetData>
    <row r="1" spans="1:8" x14ac:dyDescent="0.2">
      <c r="A1" s="18" t="s">
        <v>40</v>
      </c>
    </row>
    <row r="3" spans="1:8" x14ac:dyDescent="0.2">
      <c r="B3" s="93" t="s">
        <v>37</v>
      </c>
      <c r="C3" s="92" t="s">
        <v>7</v>
      </c>
      <c r="D3" s="92"/>
      <c r="E3" s="92"/>
      <c r="F3" s="92" t="s">
        <v>8</v>
      </c>
      <c r="G3" s="92"/>
      <c r="H3" s="92"/>
    </row>
    <row r="4" spans="1:8" x14ac:dyDescent="0.2">
      <c r="B4" s="94"/>
      <c r="C4" s="22" t="s">
        <v>9</v>
      </c>
      <c r="D4" s="22" t="s">
        <v>10</v>
      </c>
      <c r="E4" s="22" t="s">
        <v>11</v>
      </c>
      <c r="F4" s="22" t="s">
        <v>9</v>
      </c>
      <c r="G4" s="22" t="s">
        <v>10</v>
      </c>
      <c r="H4" s="22" t="s">
        <v>11</v>
      </c>
    </row>
    <row r="5" spans="1:8" x14ac:dyDescent="0.2">
      <c r="B5" s="20">
        <v>0</v>
      </c>
      <c r="C5" s="21">
        <v>5.2300000000000003E-3</v>
      </c>
      <c r="D5" s="21">
        <v>1.0460000000000001E-2</v>
      </c>
      <c r="E5" s="21">
        <v>5.2300000000000003E-3</v>
      </c>
      <c r="F5" s="21">
        <v>4.4000000000000003E-3</v>
      </c>
      <c r="G5" s="21">
        <v>7.4799999999999997E-3</v>
      </c>
      <c r="H5" s="21">
        <v>4.4000000000000003E-3</v>
      </c>
    </row>
    <row r="6" spans="1:8" x14ac:dyDescent="0.2">
      <c r="B6" s="20">
        <v>1</v>
      </c>
      <c r="C6" s="21">
        <v>2.82E-3</v>
      </c>
      <c r="D6" s="21">
        <v>5.64E-3</v>
      </c>
      <c r="E6" s="21">
        <v>2.82E-3</v>
      </c>
      <c r="F6" s="21">
        <v>2.3600000000000001E-3</v>
      </c>
      <c r="G6" s="21">
        <v>4.0099999999999997E-3</v>
      </c>
      <c r="H6" s="21">
        <v>2.3600000000000001E-3</v>
      </c>
    </row>
    <row r="7" spans="1:8" x14ac:dyDescent="0.2">
      <c r="B7" s="20">
        <v>2</v>
      </c>
      <c r="C7" s="21">
        <v>3.4000000000000002E-4</v>
      </c>
      <c r="D7" s="21">
        <v>6.8000000000000005E-4</v>
      </c>
      <c r="E7" s="21">
        <v>3.4000000000000002E-4</v>
      </c>
      <c r="F7" s="21">
        <v>2.5999999999999998E-4</v>
      </c>
      <c r="G7" s="21">
        <v>4.4000000000000002E-4</v>
      </c>
      <c r="H7" s="21">
        <v>2.5999999999999998E-4</v>
      </c>
    </row>
    <row r="8" spans="1:8" x14ac:dyDescent="0.2">
      <c r="B8" s="20">
        <v>3</v>
      </c>
      <c r="C8" s="21">
        <v>2.3000000000000001E-4</v>
      </c>
      <c r="D8" s="21">
        <v>4.6000000000000001E-4</v>
      </c>
      <c r="E8" s="21">
        <v>2.3000000000000001E-4</v>
      </c>
      <c r="F8" s="21">
        <v>1.7000000000000001E-4</v>
      </c>
      <c r="G8" s="21">
        <v>2.9E-4</v>
      </c>
      <c r="H8" s="21">
        <v>1.7000000000000001E-4</v>
      </c>
    </row>
    <row r="9" spans="1:8" x14ac:dyDescent="0.2">
      <c r="B9" s="20">
        <v>4</v>
      </c>
      <c r="C9" s="21">
        <v>1.6000000000000001E-4</v>
      </c>
      <c r="D9" s="21">
        <v>3.2000000000000003E-4</v>
      </c>
      <c r="E9" s="21">
        <v>1.6000000000000001E-4</v>
      </c>
      <c r="F9" s="21">
        <v>1.3999999999999999E-4</v>
      </c>
      <c r="G9" s="21">
        <v>2.4000000000000001E-4</v>
      </c>
      <c r="H9" s="21">
        <v>1.3999999999999999E-4</v>
      </c>
    </row>
    <row r="10" spans="1:8" x14ac:dyDescent="0.2">
      <c r="B10" s="20">
        <v>5</v>
      </c>
      <c r="C10" s="21">
        <v>1.3999999999999999E-4</v>
      </c>
      <c r="D10" s="21">
        <v>2.7999999999999998E-4</v>
      </c>
      <c r="E10" s="21">
        <v>1.3999999999999999E-4</v>
      </c>
      <c r="F10" s="21">
        <v>1.2E-4</v>
      </c>
      <c r="G10" s="21">
        <v>2.0000000000000001E-4</v>
      </c>
      <c r="H10" s="21">
        <v>1.2E-4</v>
      </c>
    </row>
    <row r="11" spans="1:8" x14ac:dyDescent="0.2">
      <c r="B11" s="20">
        <v>6</v>
      </c>
      <c r="C11" s="21">
        <v>1.2999999999999999E-4</v>
      </c>
      <c r="D11" s="21">
        <v>2.5999999999999998E-4</v>
      </c>
      <c r="E11" s="21">
        <v>1.2999999999999999E-4</v>
      </c>
      <c r="F11" s="21">
        <v>1.1E-4</v>
      </c>
      <c r="G11" s="21">
        <v>1.9000000000000001E-4</v>
      </c>
      <c r="H11" s="21">
        <v>1.1E-4</v>
      </c>
    </row>
    <row r="12" spans="1:8" x14ac:dyDescent="0.2">
      <c r="B12" s="20">
        <v>7</v>
      </c>
      <c r="C12" s="21">
        <v>1.2E-4</v>
      </c>
      <c r="D12" s="21">
        <v>2.4000000000000001E-4</v>
      </c>
      <c r="E12" s="21">
        <v>1.2E-4</v>
      </c>
      <c r="F12" s="21">
        <v>1E-4</v>
      </c>
      <c r="G12" s="21">
        <v>1.7000000000000001E-4</v>
      </c>
      <c r="H12" s="21">
        <v>1E-4</v>
      </c>
    </row>
    <row r="13" spans="1:8" x14ac:dyDescent="0.2">
      <c r="B13" s="20">
        <v>8</v>
      </c>
      <c r="C13" s="21">
        <v>1.1E-4</v>
      </c>
      <c r="D13" s="21">
        <v>2.2000000000000001E-4</v>
      </c>
      <c r="E13" s="21">
        <v>1.1E-4</v>
      </c>
      <c r="F13" s="21">
        <v>9.0000000000000006E-5</v>
      </c>
      <c r="G13" s="21">
        <v>1.4999999999999999E-4</v>
      </c>
      <c r="H13" s="21">
        <v>9.0000000000000006E-5</v>
      </c>
    </row>
    <row r="14" spans="1:8" x14ac:dyDescent="0.2">
      <c r="B14" s="20">
        <v>9</v>
      </c>
      <c r="C14" s="21">
        <v>1E-4</v>
      </c>
      <c r="D14" s="21">
        <v>2.0000000000000001E-4</v>
      </c>
      <c r="E14" s="21">
        <v>1E-4</v>
      </c>
      <c r="F14" s="21">
        <v>8.0000000000000007E-5</v>
      </c>
      <c r="G14" s="21">
        <v>1.3999999999999999E-4</v>
      </c>
      <c r="H14" s="21">
        <v>8.0000000000000007E-5</v>
      </c>
    </row>
    <row r="15" spans="1:8" x14ac:dyDescent="0.2">
      <c r="B15" s="20">
        <v>10</v>
      </c>
      <c r="C15" s="21">
        <v>1E-4</v>
      </c>
      <c r="D15" s="21">
        <v>2.0000000000000001E-4</v>
      </c>
      <c r="E15" s="21">
        <v>1E-4</v>
      </c>
      <c r="F15" s="21">
        <v>6.9999999999999994E-5</v>
      </c>
      <c r="G15" s="21">
        <v>1.2E-4</v>
      </c>
      <c r="H15" s="21">
        <v>6.9999999999999994E-5</v>
      </c>
    </row>
    <row r="16" spans="1:8" x14ac:dyDescent="0.2">
      <c r="B16" s="20">
        <v>11</v>
      </c>
      <c r="C16" s="21">
        <v>1.1E-4</v>
      </c>
      <c r="D16" s="21">
        <v>2.2000000000000001E-4</v>
      </c>
      <c r="E16" s="21">
        <v>1.1E-4</v>
      </c>
      <c r="F16" s="21">
        <v>6.9999999999999994E-5</v>
      </c>
      <c r="G16" s="21">
        <v>1.2E-4</v>
      </c>
      <c r="H16" s="21">
        <v>6.9999999999999994E-5</v>
      </c>
    </row>
    <row r="17" spans="2:8" x14ac:dyDescent="0.2">
      <c r="B17" s="20">
        <v>12</v>
      </c>
      <c r="C17" s="21">
        <v>1.2E-4</v>
      </c>
      <c r="D17" s="21">
        <v>2.4000000000000001E-4</v>
      </c>
      <c r="E17" s="21">
        <v>1.2E-4</v>
      </c>
      <c r="F17" s="21">
        <v>8.0000000000000007E-5</v>
      </c>
      <c r="G17" s="21">
        <v>1.3999999999999999E-4</v>
      </c>
      <c r="H17" s="21">
        <v>8.0000000000000007E-5</v>
      </c>
    </row>
    <row r="18" spans="2:8" x14ac:dyDescent="0.2">
      <c r="B18" s="20">
        <v>13</v>
      </c>
      <c r="C18" s="21">
        <v>1.2999999999999999E-4</v>
      </c>
      <c r="D18" s="21">
        <v>2.5999999999999998E-4</v>
      </c>
      <c r="E18" s="21">
        <v>1.2999999999999999E-4</v>
      </c>
      <c r="F18" s="21">
        <v>9.0000000000000006E-5</v>
      </c>
      <c r="G18" s="21">
        <v>1.4999999999999999E-4</v>
      </c>
      <c r="H18" s="21">
        <v>9.0000000000000006E-5</v>
      </c>
    </row>
    <row r="19" spans="2:8" x14ac:dyDescent="0.2">
      <c r="B19" s="20">
        <v>14</v>
      </c>
      <c r="C19" s="21">
        <v>1.4999999999999999E-4</v>
      </c>
      <c r="D19" s="21">
        <v>2.9999999999999997E-4</v>
      </c>
      <c r="E19" s="21">
        <v>1.4999999999999999E-4</v>
      </c>
      <c r="F19" s="21">
        <v>1.2E-4</v>
      </c>
      <c r="G19" s="21">
        <v>2.0000000000000001E-4</v>
      </c>
      <c r="H19" s="21">
        <v>1.2E-4</v>
      </c>
    </row>
    <row r="20" spans="2:8" x14ac:dyDescent="0.2">
      <c r="B20" s="20">
        <v>15</v>
      </c>
      <c r="C20" s="21">
        <v>1.9000000000000001E-4</v>
      </c>
      <c r="D20" s="21">
        <v>3.8000000000000002E-4</v>
      </c>
      <c r="E20" s="21">
        <v>1.9000000000000001E-4</v>
      </c>
      <c r="F20" s="21">
        <v>1.6000000000000001E-4</v>
      </c>
      <c r="G20" s="21">
        <v>2.7E-4</v>
      </c>
      <c r="H20" s="21">
        <v>1.6000000000000001E-4</v>
      </c>
    </row>
    <row r="21" spans="2:8" x14ac:dyDescent="0.2">
      <c r="B21" s="20">
        <v>16</v>
      </c>
      <c r="C21" s="21">
        <v>2.7999999999999998E-4</v>
      </c>
      <c r="D21" s="21">
        <v>5.5999999999999995E-4</v>
      </c>
      <c r="E21" s="21">
        <v>2.9E-4</v>
      </c>
      <c r="F21" s="21">
        <v>2.0000000000000001E-4</v>
      </c>
      <c r="G21" s="21">
        <v>3.4000000000000002E-4</v>
      </c>
      <c r="H21" s="21">
        <v>2.0000000000000001E-4</v>
      </c>
    </row>
    <row r="22" spans="2:8" x14ac:dyDescent="0.2">
      <c r="B22" s="20">
        <v>17</v>
      </c>
      <c r="C22" s="21">
        <v>4.0999999999999999E-4</v>
      </c>
      <c r="D22" s="21">
        <v>8.1999999999999998E-4</v>
      </c>
      <c r="E22" s="21">
        <v>4.2999999999999999E-4</v>
      </c>
      <c r="F22" s="21">
        <v>2.3000000000000001E-4</v>
      </c>
      <c r="G22" s="21">
        <v>3.8999999999999999E-4</v>
      </c>
      <c r="H22" s="21">
        <v>2.4000000000000001E-4</v>
      </c>
    </row>
    <row r="23" spans="2:8" x14ac:dyDescent="0.2">
      <c r="B23" s="20">
        <v>18</v>
      </c>
      <c r="C23" s="21">
        <v>4.4999999999999999E-4</v>
      </c>
      <c r="D23" s="21">
        <v>8.9999999999999998E-4</v>
      </c>
      <c r="E23" s="21">
        <v>4.8000000000000001E-4</v>
      </c>
      <c r="F23" s="21">
        <v>2.5000000000000001E-4</v>
      </c>
      <c r="G23" s="21">
        <v>4.2999999999999999E-4</v>
      </c>
      <c r="H23" s="21">
        <v>2.7E-4</v>
      </c>
    </row>
    <row r="24" spans="2:8" x14ac:dyDescent="0.2">
      <c r="B24" s="20">
        <v>19</v>
      </c>
      <c r="C24" s="21">
        <v>5.2999999999999998E-4</v>
      </c>
      <c r="D24" s="21">
        <v>1.06E-3</v>
      </c>
      <c r="E24" s="21">
        <v>5.8E-4</v>
      </c>
      <c r="F24" s="21">
        <v>2.5000000000000001E-4</v>
      </c>
      <c r="G24" s="21">
        <v>4.2999999999999999E-4</v>
      </c>
      <c r="H24" s="21">
        <v>2.7999999999999998E-4</v>
      </c>
    </row>
    <row r="25" spans="2:8" x14ac:dyDescent="0.2">
      <c r="B25" s="20">
        <v>20</v>
      </c>
      <c r="C25" s="21">
        <v>5.9999999999999995E-4</v>
      </c>
      <c r="D25" s="21">
        <v>1.1999999999999999E-3</v>
      </c>
      <c r="E25" s="21">
        <v>6.7000000000000002E-4</v>
      </c>
      <c r="F25" s="21">
        <v>2.4000000000000001E-4</v>
      </c>
      <c r="G25" s="21">
        <v>4.0999999999999999E-4</v>
      </c>
      <c r="H25" s="21">
        <v>2.7999999999999998E-4</v>
      </c>
    </row>
    <row r="26" spans="2:8" x14ac:dyDescent="0.2">
      <c r="B26" s="20">
        <v>21</v>
      </c>
      <c r="C26" s="21">
        <v>6.0999999999999997E-4</v>
      </c>
      <c r="D26" s="21">
        <v>1.2199999999999999E-3</v>
      </c>
      <c r="E26" s="21">
        <v>6.9999999999999999E-4</v>
      </c>
      <c r="F26" s="21">
        <v>2.4000000000000001E-4</v>
      </c>
      <c r="G26" s="21">
        <v>4.0999999999999999E-4</v>
      </c>
      <c r="H26" s="21">
        <v>2.7999999999999998E-4</v>
      </c>
    </row>
    <row r="27" spans="2:8" x14ac:dyDescent="0.2">
      <c r="B27" s="20">
        <v>22</v>
      </c>
      <c r="C27" s="21">
        <v>5.9999999999999995E-4</v>
      </c>
      <c r="D27" s="21">
        <v>1.1999999999999999E-3</v>
      </c>
      <c r="E27" s="21">
        <v>6.9999999999999999E-4</v>
      </c>
      <c r="F27" s="21">
        <v>2.2000000000000001E-4</v>
      </c>
      <c r="G27" s="21">
        <v>3.6999999999999999E-4</v>
      </c>
      <c r="H27" s="21">
        <v>2.7E-4</v>
      </c>
    </row>
    <row r="28" spans="2:8" x14ac:dyDescent="0.2">
      <c r="B28" s="20">
        <v>23</v>
      </c>
      <c r="C28" s="21">
        <v>5.6999999999999998E-4</v>
      </c>
      <c r="D28" s="21">
        <v>1.14E-3</v>
      </c>
      <c r="E28" s="21">
        <v>6.8999999999999997E-4</v>
      </c>
      <c r="F28" s="21">
        <v>2.1000000000000001E-4</v>
      </c>
      <c r="G28" s="21">
        <v>3.6000000000000002E-4</v>
      </c>
      <c r="H28" s="21">
        <v>2.5999999999999998E-4</v>
      </c>
    </row>
    <row r="29" spans="2:8" x14ac:dyDescent="0.2">
      <c r="B29" s="20">
        <v>24</v>
      </c>
      <c r="C29" s="21">
        <v>5.5000000000000003E-4</v>
      </c>
      <c r="D29" s="21">
        <v>1.1000000000000001E-3</v>
      </c>
      <c r="E29" s="21">
        <v>6.8000000000000005E-4</v>
      </c>
      <c r="F29" s="21">
        <v>1.9000000000000001E-4</v>
      </c>
      <c r="G29" s="21">
        <v>3.2000000000000003E-4</v>
      </c>
      <c r="H29" s="21">
        <v>2.4000000000000001E-4</v>
      </c>
    </row>
    <row r="30" spans="2:8" x14ac:dyDescent="0.2">
      <c r="B30" s="20">
        <v>25</v>
      </c>
      <c r="C30" s="21">
        <v>5.2999999999999998E-4</v>
      </c>
      <c r="D30" s="21">
        <v>1.06E-3</v>
      </c>
      <c r="E30" s="21">
        <v>6.6E-4</v>
      </c>
      <c r="F30" s="21">
        <v>1.7000000000000001E-4</v>
      </c>
      <c r="G30" s="21">
        <v>2.9E-4</v>
      </c>
      <c r="H30" s="21">
        <v>2.2000000000000001E-4</v>
      </c>
    </row>
    <row r="31" spans="2:8" x14ac:dyDescent="0.2">
      <c r="B31" s="20">
        <v>26</v>
      </c>
      <c r="C31" s="21">
        <v>5.0000000000000001E-4</v>
      </c>
      <c r="D31" s="21">
        <v>1E-3</v>
      </c>
      <c r="E31" s="21">
        <v>6.4000000000000005E-4</v>
      </c>
      <c r="F31" s="21">
        <v>1.6000000000000001E-4</v>
      </c>
      <c r="G31" s="21">
        <v>2.7E-4</v>
      </c>
      <c r="H31" s="21">
        <v>2.1000000000000001E-4</v>
      </c>
    </row>
    <row r="32" spans="2:8" x14ac:dyDescent="0.2">
      <c r="B32" s="20">
        <v>27</v>
      </c>
      <c r="C32" s="21">
        <v>4.8000000000000001E-4</v>
      </c>
      <c r="D32" s="21">
        <v>9.6000000000000002E-4</v>
      </c>
      <c r="E32" s="21">
        <v>6.2E-4</v>
      </c>
      <c r="F32" s="21">
        <v>1.6000000000000001E-4</v>
      </c>
      <c r="G32" s="21">
        <v>2.7E-4</v>
      </c>
      <c r="H32" s="21">
        <v>2.1000000000000001E-4</v>
      </c>
    </row>
    <row r="33" spans="2:8" x14ac:dyDescent="0.2">
      <c r="B33" s="20">
        <v>28</v>
      </c>
      <c r="C33" s="21">
        <v>4.6000000000000001E-4</v>
      </c>
      <c r="D33" s="21">
        <v>9.2000000000000003E-4</v>
      </c>
      <c r="E33" s="21">
        <v>5.9999999999999995E-4</v>
      </c>
      <c r="F33" s="21">
        <v>1.7000000000000001E-4</v>
      </c>
      <c r="G33" s="21">
        <v>2.9E-4</v>
      </c>
      <c r="H33" s="21">
        <v>2.2000000000000001E-4</v>
      </c>
    </row>
    <row r="34" spans="2:8" x14ac:dyDescent="0.2">
      <c r="B34" s="20">
        <v>29</v>
      </c>
      <c r="C34" s="21">
        <v>4.4999999999999999E-4</v>
      </c>
      <c r="D34" s="21">
        <v>8.9999999999999998E-4</v>
      </c>
      <c r="E34" s="21">
        <v>5.8E-4</v>
      </c>
      <c r="F34" s="21">
        <v>1.9000000000000001E-4</v>
      </c>
      <c r="G34" s="21">
        <v>3.2000000000000003E-4</v>
      </c>
      <c r="H34" s="21">
        <v>2.4000000000000001E-4</v>
      </c>
    </row>
    <row r="35" spans="2:8" x14ac:dyDescent="0.2">
      <c r="B35" s="20">
        <v>30</v>
      </c>
      <c r="C35" s="21">
        <v>4.2999999999999999E-4</v>
      </c>
      <c r="D35" s="21">
        <v>8.5999999999999998E-4</v>
      </c>
      <c r="E35" s="21">
        <v>5.5999999999999995E-4</v>
      </c>
      <c r="F35" s="21">
        <v>2.1000000000000001E-4</v>
      </c>
      <c r="G35" s="21">
        <v>3.6000000000000002E-4</v>
      </c>
      <c r="H35" s="21">
        <v>2.5999999999999998E-4</v>
      </c>
    </row>
    <row r="36" spans="2:8" x14ac:dyDescent="0.2">
      <c r="B36" s="20">
        <v>31</v>
      </c>
      <c r="C36" s="21">
        <v>4.2000000000000002E-4</v>
      </c>
      <c r="D36" s="21">
        <v>8.4000000000000003E-4</v>
      </c>
      <c r="E36" s="21">
        <v>5.5000000000000003E-4</v>
      </c>
      <c r="F36" s="21">
        <v>2.3000000000000001E-4</v>
      </c>
      <c r="G36" s="21">
        <v>3.8999999999999999E-4</v>
      </c>
      <c r="H36" s="21">
        <v>2.9E-4</v>
      </c>
    </row>
    <row r="37" spans="2:8" x14ac:dyDescent="0.2">
      <c r="B37" s="20">
        <v>32</v>
      </c>
      <c r="C37" s="21">
        <v>4.0999999999999999E-4</v>
      </c>
      <c r="D37" s="21">
        <v>8.1999999999999998E-4</v>
      </c>
      <c r="E37" s="21">
        <v>5.4000000000000001E-4</v>
      </c>
      <c r="F37" s="21">
        <v>2.5000000000000001E-4</v>
      </c>
      <c r="G37" s="21">
        <v>4.2999999999999999E-4</v>
      </c>
      <c r="H37" s="21">
        <v>3.1E-4</v>
      </c>
    </row>
    <row r="38" spans="2:8" x14ac:dyDescent="0.2">
      <c r="B38" s="20">
        <v>33</v>
      </c>
      <c r="C38" s="21">
        <v>4.0000000000000002E-4</v>
      </c>
      <c r="D38" s="21">
        <v>8.0000000000000004E-4</v>
      </c>
      <c r="E38" s="21">
        <v>5.2999999999999998E-4</v>
      </c>
      <c r="F38" s="21">
        <v>2.7E-4</v>
      </c>
      <c r="G38" s="21">
        <v>4.6000000000000001E-4</v>
      </c>
      <c r="H38" s="21">
        <v>3.3E-4</v>
      </c>
    </row>
    <row r="39" spans="2:8" x14ac:dyDescent="0.2">
      <c r="B39" s="20">
        <v>34</v>
      </c>
      <c r="C39" s="21">
        <v>4.0999999999999999E-4</v>
      </c>
      <c r="D39" s="21">
        <v>8.1999999999999998E-4</v>
      </c>
      <c r="E39" s="21">
        <v>5.2999999999999998E-4</v>
      </c>
      <c r="F39" s="21">
        <v>2.9999999999999997E-4</v>
      </c>
      <c r="G39" s="21">
        <v>5.1000000000000004E-4</v>
      </c>
      <c r="H39" s="21">
        <v>3.6000000000000002E-4</v>
      </c>
    </row>
    <row r="40" spans="2:8" x14ac:dyDescent="0.2">
      <c r="B40" s="20">
        <v>35</v>
      </c>
      <c r="C40" s="21">
        <v>4.2000000000000002E-4</v>
      </c>
      <c r="D40" s="21">
        <v>8.4000000000000003E-4</v>
      </c>
      <c r="E40" s="21">
        <v>5.4000000000000001E-4</v>
      </c>
      <c r="F40" s="21">
        <v>3.2000000000000003E-4</v>
      </c>
      <c r="G40" s="21">
        <v>5.4000000000000001E-4</v>
      </c>
      <c r="H40" s="21">
        <v>3.8000000000000002E-4</v>
      </c>
    </row>
    <row r="41" spans="2:8" x14ac:dyDescent="0.2">
      <c r="B41" s="20">
        <v>36</v>
      </c>
      <c r="C41" s="21">
        <v>4.2999999999999999E-4</v>
      </c>
      <c r="D41" s="21">
        <v>8.5999999999999998E-4</v>
      </c>
      <c r="E41" s="21">
        <v>5.5000000000000003E-4</v>
      </c>
      <c r="F41" s="21">
        <v>3.4000000000000002E-4</v>
      </c>
      <c r="G41" s="21">
        <v>5.8E-4</v>
      </c>
      <c r="H41" s="21">
        <v>4.0000000000000002E-4</v>
      </c>
    </row>
    <row r="42" spans="2:8" x14ac:dyDescent="0.2">
      <c r="B42" s="20">
        <v>37</v>
      </c>
      <c r="C42" s="21">
        <v>4.4999999999999999E-4</v>
      </c>
      <c r="D42" s="21">
        <v>8.9999999999999998E-4</v>
      </c>
      <c r="E42" s="21">
        <v>5.8E-4</v>
      </c>
      <c r="F42" s="21">
        <v>3.6999999999999999E-4</v>
      </c>
      <c r="G42" s="21">
        <v>6.3000000000000003E-4</v>
      </c>
      <c r="H42" s="21">
        <v>4.2000000000000002E-4</v>
      </c>
    </row>
    <row r="43" spans="2:8" x14ac:dyDescent="0.2">
      <c r="B43" s="20">
        <v>38</v>
      </c>
      <c r="C43" s="21">
        <v>4.8999999999999998E-4</v>
      </c>
      <c r="D43" s="21">
        <v>9.7999999999999997E-4</v>
      </c>
      <c r="E43" s="21">
        <v>6.2E-4</v>
      </c>
      <c r="F43" s="21">
        <v>4.0000000000000002E-4</v>
      </c>
      <c r="G43" s="21">
        <v>6.8000000000000005E-4</v>
      </c>
      <c r="H43" s="21">
        <v>4.4999999999999999E-4</v>
      </c>
    </row>
    <row r="44" spans="2:8" x14ac:dyDescent="0.2">
      <c r="B44" s="20">
        <v>39</v>
      </c>
      <c r="C44" s="21">
        <v>5.2999999999999998E-4</v>
      </c>
      <c r="D44" s="21">
        <v>1.06E-3</v>
      </c>
      <c r="E44" s="21">
        <v>6.7000000000000002E-4</v>
      </c>
      <c r="F44" s="21">
        <v>4.2999999999999999E-4</v>
      </c>
      <c r="G44" s="21">
        <v>7.2999999999999996E-4</v>
      </c>
      <c r="H44" s="21">
        <v>4.8999999999999998E-4</v>
      </c>
    </row>
    <row r="45" spans="2:8" x14ac:dyDescent="0.2">
      <c r="B45" s="20">
        <v>40</v>
      </c>
      <c r="C45" s="21">
        <v>5.8E-4</v>
      </c>
      <c r="D45" s="21">
        <v>1.16E-3</v>
      </c>
      <c r="E45" s="21">
        <v>7.2999999999999996E-4</v>
      </c>
      <c r="F45" s="21">
        <v>4.6999999999999999E-4</v>
      </c>
      <c r="G45" s="21">
        <v>8.0000000000000004E-4</v>
      </c>
      <c r="H45" s="21">
        <v>5.2999999999999998E-4</v>
      </c>
    </row>
    <row r="46" spans="2:8" x14ac:dyDescent="0.2">
      <c r="B46" s="20">
        <v>41</v>
      </c>
      <c r="C46" s="21">
        <v>6.3000000000000003E-4</v>
      </c>
      <c r="D46" s="21">
        <v>1.2600000000000001E-3</v>
      </c>
      <c r="E46" s="21">
        <v>7.7999999999999999E-4</v>
      </c>
      <c r="F46" s="21">
        <v>5.1000000000000004E-4</v>
      </c>
      <c r="G46" s="21">
        <v>8.7000000000000001E-4</v>
      </c>
      <c r="H46" s="21">
        <v>5.6999999999999998E-4</v>
      </c>
    </row>
    <row r="47" spans="2:8" x14ac:dyDescent="0.2">
      <c r="B47" s="20">
        <v>42</v>
      </c>
      <c r="C47" s="21">
        <v>6.8000000000000005E-4</v>
      </c>
      <c r="D47" s="21">
        <v>1.3600000000000001E-3</v>
      </c>
      <c r="E47" s="21">
        <v>8.4000000000000003E-4</v>
      </c>
      <c r="F47" s="21">
        <v>5.5000000000000003E-4</v>
      </c>
      <c r="G47" s="21">
        <v>9.3999999999999997E-4</v>
      </c>
      <c r="H47" s="21">
        <v>6.0999999999999997E-4</v>
      </c>
    </row>
    <row r="48" spans="2:8" x14ac:dyDescent="0.2">
      <c r="B48" s="20">
        <v>43</v>
      </c>
      <c r="C48" s="21">
        <v>7.3999999999999999E-4</v>
      </c>
      <c r="D48" s="21">
        <v>1.48E-3</v>
      </c>
      <c r="E48" s="21">
        <v>8.9999999999999998E-4</v>
      </c>
      <c r="F48" s="21">
        <v>5.9000000000000003E-4</v>
      </c>
      <c r="G48" s="21">
        <v>1E-3</v>
      </c>
      <c r="H48" s="21">
        <v>6.4999999999999997E-4</v>
      </c>
    </row>
    <row r="49" spans="2:13" x14ac:dyDescent="0.2">
      <c r="B49" s="20">
        <v>44</v>
      </c>
      <c r="C49" s="21">
        <v>7.9000000000000001E-4</v>
      </c>
      <c r="D49" s="21">
        <v>1.58E-3</v>
      </c>
      <c r="E49" s="21">
        <v>9.6000000000000002E-4</v>
      </c>
      <c r="F49" s="21">
        <v>6.3000000000000003E-4</v>
      </c>
      <c r="G49" s="21">
        <v>1.07E-3</v>
      </c>
      <c r="H49" s="21">
        <v>6.9999999999999999E-4</v>
      </c>
    </row>
    <row r="50" spans="2:13" x14ac:dyDescent="0.2">
      <c r="B50" s="20">
        <v>45</v>
      </c>
      <c r="C50" s="21">
        <v>8.5999999999999998E-4</v>
      </c>
      <c r="D50" s="21">
        <v>1.72E-3</v>
      </c>
      <c r="E50" s="21">
        <v>1.0300000000000001E-3</v>
      </c>
      <c r="F50" s="21">
        <v>6.8999999999999997E-4</v>
      </c>
      <c r="G50" s="21">
        <v>1.17E-3</v>
      </c>
      <c r="H50" s="21">
        <v>7.6000000000000004E-4</v>
      </c>
      <c r="M50" s="47"/>
    </row>
    <row r="51" spans="2:13" x14ac:dyDescent="0.2">
      <c r="B51" s="20">
        <v>46</v>
      </c>
      <c r="C51" s="21">
        <v>9.3000000000000005E-4</v>
      </c>
      <c r="D51" s="21">
        <v>1.8600000000000001E-3</v>
      </c>
      <c r="E51" s="21">
        <v>1.1100000000000001E-3</v>
      </c>
      <c r="F51" s="21">
        <v>7.5000000000000002E-4</v>
      </c>
      <c r="G51" s="21">
        <v>1.2800000000000001E-3</v>
      </c>
      <c r="H51" s="21">
        <v>8.3000000000000001E-4</v>
      </c>
      <c r="J51" s="45"/>
      <c r="M51" s="46"/>
    </row>
    <row r="52" spans="2:13" x14ac:dyDescent="0.2">
      <c r="B52" s="20">
        <v>47</v>
      </c>
      <c r="C52" s="21">
        <v>1.0300000000000001E-3</v>
      </c>
      <c r="D52" s="21">
        <v>2.0600000000000002E-3</v>
      </c>
      <c r="E52" s="21">
        <v>1.2199999999999999E-3</v>
      </c>
      <c r="F52" s="21">
        <v>8.4000000000000003E-4</v>
      </c>
      <c r="G52" s="21">
        <v>1.4300000000000001E-3</v>
      </c>
      <c r="H52" s="21">
        <v>9.2000000000000003E-4</v>
      </c>
      <c r="L52" s="47"/>
      <c r="M52" s="46"/>
    </row>
    <row r="53" spans="2:13" x14ac:dyDescent="0.2">
      <c r="B53" s="20">
        <v>48</v>
      </c>
      <c r="C53" s="21">
        <v>1.15E-3</v>
      </c>
      <c r="D53" s="21">
        <v>2.3E-3</v>
      </c>
      <c r="E53" s="21">
        <v>1.3500000000000001E-3</v>
      </c>
      <c r="F53" s="21">
        <v>9.3000000000000005E-4</v>
      </c>
      <c r="G53" s="21">
        <v>1.58E-3</v>
      </c>
      <c r="H53" s="21">
        <v>1.0200000000000001E-3</v>
      </c>
      <c r="L53" s="47"/>
      <c r="M53" s="46"/>
    </row>
    <row r="54" spans="2:13" x14ac:dyDescent="0.2">
      <c r="B54" s="20">
        <v>49</v>
      </c>
      <c r="C54" s="21">
        <v>1.2800000000000001E-3</v>
      </c>
      <c r="D54" s="21">
        <v>2.5600000000000002E-3</v>
      </c>
      <c r="E54" s="21">
        <v>1.5E-3</v>
      </c>
      <c r="F54" s="21">
        <v>1.0499999999999999E-3</v>
      </c>
      <c r="G54" s="21">
        <v>1.7899999999999999E-3</v>
      </c>
      <c r="H54" s="21">
        <v>1.15E-3</v>
      </c>
      <c r="L54" s="47"/>
      <c r="M54" s="46"/>
    </row>
    <row r="55" spans="2:13" x14ac:dyDescent="0.2">
      <c r="B55" s="20">
        <v>50</v>
      </c>
      <c r="C55" s="21">
        <v>1.42E-3</v>
      </c>
      <c r="D55" s="21">
        <v>2.8400000000000001E-3</v>
      </c>
      <c r="E55" s="21">
        <v>1.66E-3</v>
      </c>
      <c r="F55" s="21">
        <v>1.17E-3</v>
      </c>
      <c r="G55" s="21">
        <v>1.99E-3</v>
      </c>
      <c r="H55" s="21">
        <v>1.2800000000000001E-3</v>
      </c>
      <c r="L55" s="47"/>
      <c r="M55" s="46"/>
    </row>
    <row r="56" spans="2:13" x14ac:dyDescent="0.2">
      <c r="B56" s="20">
        <v>51</v>
      </c>
      <c r="C56" s="21">
        <v>1.56E-3</v>
      </c>
      <c r="D56" s="21">
        <v>3.1199999999999999E-3</v>
      </c>
      <c r="E56" s="21">
        <v>1.82E-3</v>
      </c>
      <c r="F56" s="21">
        <v>1.2899999999999999E-3</v>
      </c>
      <c r="G56" s="21">
        <v>2.1900000000000001E-3</v>
      </c>
      <c r="H56" s="21">
        <v>1.41E-3</v>
      </c>
      <c r="L56" s="47"/>
      <c r="M56" s="46"/>
    </row>
    <row r="57" spans="2:13" x14ac:dyDescent="0.2">
      <c r="B57" s="20">
        <v>52</v>
      </c>
      <c r="C57" s="21">
        <v>1.72E-3</v>
      </c>
      <c r="D57" s="21">
        <v>3.4399999999999999E-3</v>
      </c>
      <c r="E57" s="21">
        <v>2E-3</v>
      </c>
      <c r="F57" s="21">
        <v>1.39E-3</v>
      </c>
      <c r="G57" s="21">
        <v>2.3600000000000001E-3</v>
      </c>
      <c r="H57" s="21">
        <v>1.5200000000000001E-3</v>
      </c>
      <c r="L57" s="47"/>
      <c r="M57" s="46"/>
    </row>
    <row r="58" spans="2:13" x14ac:dyDescent="0.2">
      <c r="B58" s="20">
        <v>53</v>
      </c>
      <c r="C58" s="21">
        <v>1.89E-3</v>
      </c>
      <c r="D58" s="21">
        <v>3.7799999999999999E-3</v>
      </c>
      <c r="E58" s="21">
        <v>2.1900000000000001E-3</v>
      </c>
      <c r="F58" s="21">
        <v>1.49E-3</v>
      </c>
      <c r="G58" s="21">
        <v>2.5300000000000001E-3</v>
      </c>
      <c r="H58" s="21">
        <v>1.6299999999999999E-3</v>
      </c>
      <c r="L58" s="47"/>
      <c r="M58" s="46"/>
    </row>
    <row r="59" spans="2:13" x14ac:dyDescent="0.2">
      <c r="B59" s="20">
        <v>54</v>
      </c>
      <c r="C59" s="21">
        <v>2.0799999999999998E-3</v>
      </c>
      <c r="D59" s="21">
        <v>4.1599999999999996E-3</v>
      </c>
      <c r="E59" s="21">
        <v>2.3999999999999998E-3</v>
      </c>
      <c r="F59" s="21">
        <v>1.57E-3</v>
      </c>
      <c r="G59" s="21">
        <v>2.6700000000000001E-3</v>
      </c>
      <c r="H59" s="21">
        <v>1.72E-3</v>
      </c>
      <c r="L59" s="47"/>
      <c r="M59" s="46"/>
    </row>
    <row r="60" spans="2:13" x14ac:dyDescent="0.2">
      <c r="B60" s="20">
        <v>55</v>
      </c>
      <c r="C60" s="21">
        <v>2.3E-3</v>
      </c>
      <c r="D60" s="21">
        <v>4.5999999999999999E-3</v>
      </c>
      <c r="E60" s="21">
        <v>2.64E-3</v>
      </c>
      <c r="F60" s="21">
        <v>1.66E-3</v>
      </c>
      <c r="G60" s="21">
        <v>2.82E-3</v>
      </c>
      <c r="H60" s="21">
        <v>1.81E-3</v>
      </c>
      <c r="L60" s="47"/>
      <c r="M60" s="46"/>
    </row>
    <row r="61" spans="2:13" x14ac:dyDescent="0.2">
      <c r="B61" s="20">
        <v>56</v>
      </c>
      <c r="C61" s="21">
        <v>2.5500000000000002E-3</v>
      </c>
      <c r="D61" s="21">
        <v>5.1000000000000004E-3</v>
      </c>
      <c r="E61" s="21">
        <v>2.9199999999999999E-3</v>
      </c>
      <c r="F61" s="21">
        <v>1.7899999999999999E-3</v>
      </c>
      <c r="G61" s="21">
        <v>3.0400000000000002E-3</v>
      </c>
      <c r="H61" s="21">
        <v>1.9499999999999999E-3</v>
      </c>
      <c r="L61" s="47"/>
      <c r="M61" s="46"/>
    </row>
    <row r="62" spans="2:13" x14ac:dyDescent="0.2">
      <c r="B62" s="20">
        <v>57</v>
      </c>
      <c r="C62" s="21">
        <v>2.8600000000000001E-3</v>
      </c>
      <c r="D62" s="21">
        <v>5.7200000000000003E-3</v>
      </c>
      <c r="E62" s="21">
        <v>3.2599999999999999E-3</v>
      </c>
      <c r="F62" s="21">
        <v>1.9599999999999999E-3</v>
      </c>
      <c r="G62" s="21">
        <v>3.3300000000000001E-3</v>
      </c>
      <c r="H62" s="21">
        <v>2.1299999999999999E-3</v>
      </c>
      <c r="L62" s="47"/>
      <c r="M62" s="46"/>
    </row>
    <row r="63" spans="2:13" x14ac:dyDescent="0.2">
      <c r="B63" s="20">
        <v>58</v>
      </c>
      <c r="C63" s="21">
        <v>3.2000000000000002E-3</v>
      </c>
      <c r="D63" s="21">
        <v>6.4000000000000003E-3</v>
      </c>
      <c r="E63" s="21">
        <v>3.64E-3</v>
      </c>
      <c r="F63" s="21">
        <v>2.1900000000000001E-3</v>
      </c>
      <c r="G63" s="21">
        <v>3.7200000000000002E-3</v>
      </c>
      <c r="H63" s="21">
        <v>2.3800000000000002E-3</v>
      </c>
      <c r="L63" s="47"/>
    </row>
    <row r="64" spans="2:13" x14ac:dyDescent="0.2">
      <c r="B64" s="20">
        <v>59</v>
      </c>
      <c r="C64" s="21">
        <v>3.5799999999999998E-3</v>
      </c>
      <c r="D64" s="21">
        <v>7.1599999999999997E-3</v>
      </c>
      <c r="E64" s="21">
        <v>4.0499999999999998E-3</v>
      </c>
      <c r="F64" s="21">
        <v>2.48E-3</v>
      </c>
      <c r="G64" s="21">
        <v>4.2199999999999998E-3</v>
      </c>
      <c r="H64" s="21">
        <v>2.6900000000000001E-3</v>
      </c>
    </row>
    <row r="65" spans="2:8" x14ac:dyDescent="0.2">
      <c r="B65" s="20">
        <v>60</v>
      </c>
      <c r="C65" s="21">
        <v>3.9699999999999996E-3</v>
      </c>
      <c r="D65" s="21">
        <v>7.9399999999999991E-3</v>
      </c>
      <c r="E65" s="21">
        <v>4.47E-3</v>
      </c>
      <c r="F65" s="21">
        <v>2.8400000000000001E-3</v>
      </c>
      <c r="G65" s="21">
        <v>4.8300000000000001E-3</v>
      </c>
      <c r="H65" s="21">
        <v>3.0799999999999998E-3</v>
      </c>
    </row>
    <row r="66" spans="2:8" x14ac:dyDescent="0.2">
      <c r="B66" s="20">
        <v>61</v>
      </c>
      <c r="C66" s="21">
        <v>4.3800000000000002E-3</v>
      </c>
      <c r="D66" s="21">
        <v>8.7600000000000004E-3</v>
      </c>
      <c r="E66" s="21">
        <v>4.9100000000000003E-3</v>
      </c>
      <c r="F66" s="21">
        <v>3.2699999999999999E-3</v>
      </c>
      <c r="G66" s="21">
        <v>5.5599999999999998E-3</v>
      </c>
      <c r="H66" s="21">
        <v>3.5300000000000002E-3</v>
      </c>
    </row>
    <row r="67" spans="2:8" x14ac:dyDescent="0.2">
      <c r="B67" s="20">
        <v>62</v>
      </c>
      <c r="C67" s="21">
        <v>4.79E-3</v>
      </c>
      <c r="D67" s="21">
        <v>9.58E-3</v>
      </c>
      <c r="E67" s="21">
        <v>5.3499999999999997E-3</v>
      </c>
      <c r="F67" s="21">
        <v>3.7499999999999999E-3</v>
      </c>
      <c r="G67" s="21">
        <v>6.3800000000000003E-3</v>
      </c>
      <c r="H67" s="21">
        <v>4.0400000000000002E-3</v>
      </c>
    </row>
    <row r="68" spans="2:8" x14ac:dyDescent="0.2">
      <c r="B68" s="20">
        <v>63</v>
      </c>
      <c r="C68" s="21">
        <v>5.2500000000000003E-3</v>
      </c>
      <c r="D68" s="21">
        <v>1.0500000000000001E-2</v>
      </c>
      <c r="E68" s="21">
        <v>5.8300000000000001E-3</v>
      </c>
      <c r="F68" s="21">
        <v>4.28E-3</v>
      </c>
      <c r="G68" s="21">
        <v>7.28E-3</v>
      </c>
      <c r="H68" s="21">
        <v>4.5999999999999999E-3</v>
      </c>
    </row>
    <row r="69" spans="2:8" x14ac:dyDescent="0.2">
      <c r="B69" s="20">
        <v>64</v>
      </c>
      <c r="C69" s="21">
        <v>5.79E-3</v>
      </c>
      <c r="D69" s="21">
        <v>1.158E-2</v>
      </c>
      <c r="E69" s="21">
        <v>6.4000000000000003E-3</v>
      </c>
      <c r="F69" s="21">
        <v>4.8599999999999997E-3</v>
      </c>
      <c r="G69" s="21">
        <v>8.26E-3</v>
      </c>
      <c r="H69" s="21">
        <v>5.2100000000000002E-3</v>
      </c>
    </row>
    <row r="70" spans="2:8" x14ac:dyDescent="0.2">
      <c r="B70" s="20">
        <v>65</v>
      </c>
      <c r="C70" s="21">
        <v>6.4599999999999996E-3</v>
      </c>
      <c r="D70" s="21">
        <v>1.2919999999999999E-2</v>
      </c>
      <c r="E70" s="21">
        <v>7.11E-3</v>
      </c>
      <c r="F70" s="21">
        <v>5.4900000000000001E-3</v>
      </c>
      <c r="G70" s="21">
        <v>9.3299999999999998E-3</v>
      </c>
      <c r="H70" s="21">
        <v>5.8700000000000002E-3</v>
      </c>
    </row>
    <row r="71" spans="2:8" x14ac:dyDescent="0.2">
      <c r="B71" s="20">
        <v>66</v>
      </c>
      <c r="C71" s="21">
        <v>7.3200000000000001E-3</v>
      </c>
      <c r="D71" s="21">
        <v>1.464E-2</v>
      </c>
      <c r="E71" s="21">
        <v>8.0099999999999998E-3</v>
      </c>
      <c r="F71" s="21">
        <v>6.1599999999999997E-3</v>
      </c>
      <c r="G71" s="21">
        <v>1.047E-2</v>
      </c>
      <c r="H71" s="21">
        <v>6.5700000000000003E-3</v>
      </c>
    </row>
    <row r="72" spans="2:8" x14ac:dyDescent="0.2">
      <c r="B72" s="20">
        <v>67</v>
      </c>
      <c r="C72" s="21">
        <v>8.4200000000000004E-3</v>
      </c>
      <c r="D72" s="21">
        <v>1.6840000000000001E-2</v>
      </c>
      <c r="E72" s="21">
        <v>9.1699999999999993E-3</v>
      </c>
      <c r="F72" s="21">
        <v>6.9100000000000003E-3</v>
      </c>
      <c r="G72" s="21">
        <v>1.175E-2</v>
      </c>
      <c r="H72" s="21">
        <v>7.3499999999999998E-3</v>
      </c>
    </row>
    <row r="73" spans="2:8" x14ac:dyDescent="0.2">
      <c r="B73" s="20">
        <v>68</v>
      </c>
      <c r="C73" s="21">
        <v>9.7699999999999992E-3</v>
      </c>
      <c r="D73" s="21">
        <v>1.9539999999999998E-2</v>
      </c>
      <c r="E73" s="21">
        <v>1.0580000000000001E-2</v>
      </c>
      <c r="F73" s="21">
        <v>7.7299999999999999E-3</v>
      </c>
      <c r="G73" s="21">
        <v>1.3140000000000001E-2</v>
      </c>
      <c r="H73" s="21">
        <v>8.1899999999999994E-3</v>
      </c>
    </row>
    <row r="74" spans="2:8" x14ac:dyDescent="0.2">
      <c r="B74" s="20">
        <v>69</v>
      </c>
      <c r="C74" s="21">
        <v>1.136E-2</v>
      </c>
      <c r="D74" s="21">
        <v>2.2720000000000001E-2</v>
      </c>
      <c r="E74" s="21">
        <v>1.2239999999999999E-2</v>
      </c>
      <c r="F74" s="21">
        <v>8.6499999999999997E-3</v>
      </c>
      <c r="G74" s="21">
        <v>1.4710000000000001E-2</v>
      </c>
      <c r="H74" s="21">
        <v>9.1299999999999992E-3</v>
      </c>
    </row>
    <row r="75" spans="2:8" x14ac:dyDescent="0.2">
      <c r="B75" s="20">
        <v>70</v>
      </c>
      <c r="C75" s="21">
        <v>1.321E-2</v>
      </c>
      <c r="D75" s="21">
        <v>2.6419999999999999E-2</v>
      </c>
      <c r="E75" s="21">
        <v>1.4160000000000001E-2</v>
      </c>
      <c r="F75" s="21">
        <v>9.6699999999999998E-3</v>
      </c>
      <c r="G75" s="21">
        <v>1.644E-2</v>
      </c>
      <c r="H75" s="21">
        <v>1.017E-2</v>
      </c>
    </row>
    <row r="76" spans="2:8" x14ac:dyDescent="0.2">
      <c r="B76" s="20">
        <v>71</v>
      </c>
      <c r="C76" s="21">
        <v>1.5350000000000001E-2</v>
      </c>
      <c r="D76" s="21">
        <v>3.0700000000000002E-2</v>
      </c>
      <c r="E76" s="21">
        <v>1.6379999999999999E-2</v>
      </c>
      <c r="F76" s="21">
        <v>1.0829999999999999E-2</v>
      </c>
      <c r="G76" s="21">
        <v>1.8409999999999999E-2</v>
      </c>
      <c r="H76" s="21">
        <v>1.1350000000000001E-2</v>
      </c>
    </row>
    <row r="77" spans="2:8" x14ac:dyDescent="0.2">
      <c r="B77" s="20">
        <v>72</v>
      </c>
      <c r="C77" s="21">
        <v>1.78E-2</v>
      </c>
      <c r="D77" s="21">
        <v>3.56E-2</v>
      </c>
      <c r="E77" s="21">
        <v>1.891E-2</v>
      </c>
      <c r="F77" s="21">
        <v>1.2160000000000001E-2</v>
      </c>
      <c r="G77" s="21">
        <v>2.0670000000000001E-2</v>
      </c>
      <c r="H77" s="21">
        <v>1.2699999999999999E-2</v>
      </c>
    </row>
    <row r="78" spans="2:8" x14ac:dyDescent="0.2">
      <c r="B78" s="20">
        <v>73</v>
      </c>
      <c r="C78" s="21">
        <v>2.0480000000000002E-2</v>
      </c>
      <c r="D78" s="21">
        <v>4.0960000000000003E-2</v>
      </c>
      <c r="E78" s="21">
        <v>2.1659999999999999E-2</v>
      </c>
      <c r="F78" s="21">
        <v>1.3690000000000001E-2</v>
      </c>
      <c r="G78" s="21">
        <v>2.3269999999999999E-2</v>
      </c>
      <c r="H78" s="21">
        <v>1.4250000000000001E-2</v>
      </c>
    </row>
    <row r="79" spans="2:8" x14ac:dyDescent="0.2">
      <c r="B79" s="20">
        <v>74</v>
      </c>
      <c r="C79" s="21">
        <v>2.341E-2</v>
      </c>
      <c r="D79" s="21">
        <v>4.6820000000000001E-2</v>
      </c>
      <c r="E79" s="21">
        <v>2.4670000000000001E-2</v>
      </c>
      <c r="F79" s="21">
        <v>1.5469999999999999E-2</v>
      </c>
      <c r="G79" s="21">
        <v>2.63E-2</v>
      </c>
      <c r="H79" s="21">
        <v>1.6049999999999998E-2</v>
      </c>
    </row>
    <row r="80" spans="2:8" x14ac:dyDescent="0.2">
      <c r="B80" s="20">
        <v>75</v>
      </c>
      <c r="C80" s="21">
        <v>2.674E-2</v>
      </c>
      <c r="D80" s="21">
        <v>5.348E-2</v>
      </c>
      <c r="E80" s="21">
        <v>2.8080000000000001E-2</v>
      </c>
      <c r="F80" s="21">
        <v>1.7510000000000001E-2</v>
      </c>
      <c r="G80" s="21">
        <v>2.9770000000000001E-2</v>
      </c>
      <c r="H80" s="21">
        <v>1.8120000000000001E-2</v>
      </c>
    </row>
    <row r="81" spans="2:8" x14ac:dyDescent="0.2">
      <c r="B81" s="20">
        <v>76</v>
      </c>
      <c r="C81" s="21">
        <v>3.0630000000000001E-2</v>
      </c>
      <c r="D81" s="21">
        <v>6.0339999999999998E-2</v>
      </c>
      <c r="E81" s="21">
        <v>3.202E-2</v>
      </c>
      <c r="F81" s="21">
        <v>1.985E-2</v>
      </c>
      <c r="G81" s="21">
        <v>3.3390000000000003E-2</v>
      </c>
      <c r="H81" s="21">
        <v>2.0480000000000002E-2</v>
      </c>
    </row>
    <row r="82" spans="2:8" x14ac:dyDescent="0.2">
      <c r="B82" s="20">
        <v>77</v>
      </c>
      <c r="C82" s="21">
        <v>3.5069999999999997E-2</v>
      </c>
      <c r="D82" s="21">
        <v>6.8040000000000003E-2</v>
      </c>
      <c r="E82" s="21">
        <v>3.6519999999999997E-2</v>
      </c>
      <c r="F82" s="21">
        <v>2.256E-2</v>
      </c>
      <c r="G82" s="21">
        <v>3.7539999999999997E-2</v>
      </c>
      <c r="H82" s="21">
        <v>2.3210000000000001E-2</v>
      </c>
    </row>
    <row r="83" spans="2:8" x14ac:dyDescent="0.2">
      <c r="B83" s="20">
        <v>78</v>
      </c>
      <c r="C83" s="21">
        <v>4.0099999999999997E-2</v>
      </c>
      <c r="D83" s="21">
        <v>7.6590000000000005E-2</v>
      </c>
      <c r="E83" s="21">
        <v>4.1619999999999997E-2</v>
      </c>
      <c r="F83" s="21">
        <v>2.5680000000000001E-2</v>
      </c>
      <c r="G83" s="21">
        <v>4.2270000000000002E-2</v>
      </c>
      <c r="H83" s="21">
        <v>2.6360000000000001E-2</v>
      </c>
    </row>
    <row r="84" spans="2:8" x14ac:dyDescent="0.2">
      <c r="B84" s="20">
        <v>79</v>
      </c>
      <c r="C84" s="21">
        <v>4.5749999999999999E-2</v>
      </c>
      <c r="D84" s="21">
        <v>8.6010000000000003E-2</v>
      </c>
      <c r="E84" s="21">
        <v>4.734E-2</v>
      </c>
      <c r="F84" s="21">
        <v>2.93E-2</v>
      </c>
      <c r="G84" s="21">
        <v>4.7699999999999999E-2</v>
      </c>
      <c r="H84" s="21">
        <v>3.0020000000000002E-2</v>
      </c>
    </row>
    <row r="85" spans="2:8" x14ac:dyDescent="0.2">
      <c r="B85" s="20">
        <v>80</v>
      </c>
      <c r="C85" s="21">
        <v>5.2060000000000002E-2</v>
      </c>
      <c r="D85" s="21">
        <v>9.6310000000000007E-2</v>
      </c>
      <c r="E85" s="21">
        <v>5.373E-2</v>
      </c>
      <c r="F85" s="21">
        <v>3.347E-2</v>
      </c>
      <c r="G85" s="21">
        <v>5.389E-2</v>
      </c>
      <c r="H85" s="21">
        <v>3.4229999999999997E-2</v>
      </c>
    </row>
    <row r="86" spans="2:8" x14ac:dyDescent="0.2">
      <c r="B86" s="20">
        <v>81</v>
      </c>
      <c r="C86" s="21">
        <v>5.9020000000000003E-2</v>
      </c>
      <c r="D86" s="21">
        <v>0.10742</v>
      </c>
      <c r="E86" s="21">
        <v>6.0769999999999998E-2</v>
      </c>
      <c r="F86" s="21">
        <v>3.8370000000000001E-2</v>
      </c>
      <c r="G86" s="21">
        <v>6.1089999999999998E-2</v>
      </c>
      <c r="H86" s="21">
        <v>3.918E-2</v>
      </c>
    </row>
    <row r="87" spans="2:8" x14ac:dyDescent="0.2">
      <c r="B87" s="20">
        <v>82</v>
      </c>
      <c r="C87" s="21">
        <v>6.6110000000000002E-2</v>
      </c>
      <c r="D87" s="21">
        <v>0.11834</v>
      </c>
      <c r="E87" s="21">
        <v>6.7909999999999998E-2</v>
      </c>
      <c r="F87" s="21">
        <v>4.385E-2</v>
      </c>
      <c r="G87" s="21">
        <v>6.9019999999999998E-2</v>
      </c>
      <c r="H87" s="21">
        <v>4.471E-2</v>
      </c>
    </row>
    <row r="88" spans="2:8" x14ac:dyDescent="0.2">
      <c r="B88" s="20">
        <v>83</v>
      </c>
      <c r="C88" s="21">
        <v>7.3859999999999995E-2</v>
      </c>
      <c r="D88" s="21">
        <v>0.12998999999999999</v>
      </c>
      <c r="E88" s="21">
        <v>7.5719999999999996E-2</v>
      </c>
      <c r="F88" s="21">
        <v>5.0139999999999997E-2</v>
      </c>
      <c r="G88" s="21">
        <v>7.8020000000000006E-2</v>
      </c>
      <c r="H88" s="21">
        <v>5.1060000000000001E-2</v>
      </c>
    </row>
    <row r="89" spans="2:8" x14ac:dyDescent="0.2">
      <c r="B89" s="20">
        <v>84</v>
      </c>
      <c r="C89" s="21">
        <v>8.2500000000000004E-2</v>
      </c>
      <c r="D89" s="21">
        <v>0.14273</v>
      </c>
      <c r="E89" s="21">
        <v>8.4400000000000003E-2</v>
      </c>
      <c r="F89" s="21">
        <v>5.7340000000000002E-2</v>
      </c>
      <c r="G89" s="21">
        <v>8.8190000000000004E-2</v>
      </c>
      <c r="H89" s="21">
        <v>5.8310000000000001E-2</v>
      </c>
    </row>
    <row r="90" spans="2:8" x14ac:dyDescent="0.2">
      <c r="B90" s="20">
        <v>85</v>
      </c>
      <c r="C90" s="21">
        <v>9.2090000000000005E-2</v>
      </c>
      <c r="D90" s="21">
        <v>0.15654999999999999</v>
      </c>
      <c r="E90" s="21">
        <v>9.4020000000000006E-2</v>
      </c>
      <c r="F90" s="21">
        <v>6.5500000000000003E-2</v>
      </c>
      <c r="G90" s="21">
        <v>9.9559999999999996E-2</v>
      </c>
      <c r="H90" s="21">
        <v>6.6519999999999996E-2</v>
      </c>
    </row>
    <row r="91" spans="2:8" x14ac:dyDescent="0.2">
      <c r="B91" s="20">
        <v>86</v>
      </c>
      <c r="C91" s="21">
        <v>0.10269</v>
      </c>
      <c r="D91" s="21">
        <v>0.17149</v>
      </c>
      <c r="E91" s="21">
        <v>0.10464</v>
      </c>
      <c r="F91" s="21">
        <v>7.4709999999999999E-2</v>
      </c>
      <c r="G91" s="21">
        <v>0.11221</v>
      </c>
      <c r="H91" s="21">
        <v>7.5770000000000004E-2</v>
      </c>
    </row>
    <row r="92" spans="2:8" x14ac:dyDescent="0.2">
      <c r="B92" s="20">
        <v>87</v>
      </c>
      <c r="C92" s="21">
        <v>0.11434</v>
      </c>
      <c r="D92" s="21">
        <v>0.18751999999999999</v>
      </c>
      <c r="E92" s="21">
        <v>0.11627999999999999</v>
      </c>
      <c r="F92" s="21">
        <v>8.5010000000000002E-2</v>
      </c>
      <c r="G92" s="21">
        <v>0.12615000000000001</v>
      </c>
      <c r="H92" s="21">
        <v>8.6099999999999996E-2</v>
      </c>
    </row>
    <row r="93" spans="2:8" x14ac:dyDescent="0.2">
      <c r="B93" s="20">
        <v>88</v>
      </c>
      <c r="C93" s="21">
        <v>0.12695000000000001</v>
      </c>
      <c r="D93" s="21">
        <v>0.20438999999999999</v>
      </c>
      <c r="E93" s="21">
        <v>0.12884999999999999</v>
      </c>
      <c r="F93" s="21">
        <v>9.6449999999999994E-2</v>
      </c>
      <c r="G93" s="21">
        <v>0.1414</v>
      </c>
      <c r="H93" s="21">
        <v>9.7559999999999994E-2</v>
      </c>
    </row>
    <row r="94" spans="2:8" x14ac:dyDescent="0.2">
      <c r="B94" s="20">
        <v>89</v>
      </c>
      <c r="C94" s="21">
        <v>0.14029</v>
      </c>
      <c r="D94" s="21">
        <v>0.22166</v>
      </c>
      <c r="E94" s="21">
        <v>0.14213000000000001</v>
      </c>
      <c r="F94" s="21">
        <v>0.10907</v>
      </c>
      <c r="G94" s="21">
        <v>0.15792999999999999</v>
      </c>
      <c r="H94" s="21">
        <v>0.11018</v>
      </c>
    </row>
    <row r="95" spans="2:8" x14ac:dyDescent="0.2">
      <c r="B95" s="20">
        <v>90</v>
      </c>
      <c r="C95" s="21">
        <v>0.15415000000000001</v>
      </c>
      <c r="D95" s="21">
        <v>0.23893</v>
      </c>
      <c r="E95" s="21">
        <v>0.15589</v>
      </c>
      <c r="F95" s="21">
        <v>0.12277</v>
      </c>
      <c r="G95" s="21">
        <v>0.17555999999999999</v>
      </c>
      <c r="H95" s="21">
        <v>0.12386</v>
      </c>
    </row>
    <row r="96" spans="2:8" x14ac:dyDescent="0.2">
      <c r="B96" s="20">
        <v>91</v>
      </c>
      <c r="C96" s="21">
        <v>0.16829</v>
      </c>
      <c r="D96" s="21">
        <v>0.25580000000000003</v>
      </c>
      <c r="E96" s="21">
        <v>0.16991000000000001</v>
      </c>
      <c r="F96" s="21">
        <v>0.13735</v>
      </c>
      <c r="G96" s="21">
        <v>0.19394</v>
      </c>
      <c r="H96" s="21">
        <v>0.1384</v>
      </c>
    </row>
    <row r="97" spans="2:8" x14ac:dyDescent="0.2">
      <c r="B97" s="20">
        <v>92</v>
      </c>
      <c r="C97" s="21">
        <v>0.18253</v>
      </c>
      <c r="D97" s="21">
        <v>0.27196999999999999</v>
      </c>
      <c r="E97" s="21">
        <v>0.18398999999999999</v>
      </c>
      <c r="F97" s="21">
        <v>0.15259</v>
      </c>
      <c r="G97" s="21">
        <v>0.21271000000000001</v>
      </c>
      <c r="H97" s="21">
        <v>0.15357999999999999</v>
      </c>
    </row>
    <row r="98" spans="2:8" x14ac:dyDescent="0.2">
      <c r="B98" s="20">
        <v>93</v>
      </c>
      <c r="C98" s="21">
        <v>0.19664000000000001</v>
      </c>
      <c r="D98" s="21">
        <v>0.28709000000000001</v>
      </c>
      <c r="E98" s="21">
        <v>0.19792999999999999</v>
      </c>
      <c r="F98" s="21">
        <v>0.16830000000000001</v>
      </c>
      <c r="G98" s="21">
        <v>0.23158000000000001</v>
      </c>
      <c r="H98" s="21">
        <v>0.16919999999999999</v>
      </c>
    </row>
    <row r="99" spans="2:8" x14ac:dyDescent="0.2">
      <c r="B99" s="20">
        <v>94</v>
      </c>
      <c r="C99" s="21">
        <v>0.21045</v>
      </c>
      <c r="D99" s="21">
        <v>0.30093999999999999</v>
      </c>
      <c r="E99" s="21">
        <v>0.21154000000000001</v>
      </c>
      <c r="F99" s="21">
        <v>0.18426999999999999</v>
      </c>
      <c r="G99" s="21">
        <v>0.25024000000000002</v>
      </c>
      <c r="H99" s="21">
        <v>0.18507000000000001</v>
      </c>
    </row>
    <row r="100" spans="2:8" x14ac:dyDescent="0.2">
      <c r="B100" s="20">
        <v>95</v>
      </c>
      <c r="C100" s="21">
        <v>0.22375</v>
      </c>
      <c r="D100" s="21">
        <v>0.31324999999999997</v>
      </c>
      <c r="E100" s="21">
        <v>0.22464999999999999</v>
      </c>
      <c r="F100" s="21">
        <v>0.20032</v>
      </c>
      <c r="G100" s="21">
        <v>0.26843</v>
      </c>
      <c r="H100" s="21">
        <v>0.20100000000000001</v>
      </c>
    </row>
    <row r="101" spans="2:8" x14ac:dyDescent="0.2">
      <c r="B101" s="20">
        <v>96</v>
      </c>
      <c r="C101" s="21">
        <v>0.23641000000000001</v>
      </c>
      <c r="D101" s="21">
        <v>0.32388</v>
      </c>
      <c r="E101" s="21">
        <v>0.23710999999999999</v>
      </c>
      <c r="F101" s="21">
        <v>0.21626000000000001</v>
      </c>
      <c r="G101" s="21">
        <v>0.28589999999999999</v>
      </c>
      <c r="H101" s="21">
        <v>0.21681</v>
      </c>
    </row>
    <row r="102" spans="2:8" x14ac:dyDescent="0.2">
      <c r="B102" s="20">
        <v>97</v>
      </c>
      <c r="C102" s="21">
        <v>0.24826000000000001</v>
      </c>
      <c r="D102" s="21">
        <v>0.33267000000000002</v>
      </c>
      <c r="E102" s="21">
        <v>0.24876000000000001</v>
      </c>
      <c r="F102" s="21">
        <v>0.23194000000000001</v>
      </c>
      <c r="G102" s="21">
        <v>0.30245</v>
      </c>
      <c r="H102" s="21">
        <v>0.23236000000000001</v>
      </c>
    </row>
    <row r="103" spans="2:8" x14ac:dyDescent="0.2">
      <c r="B103" s="20">
        <v>98</v>
      </c>
      <c r="C103" s="21">
        <v>0.25916</v>
      </c>
      <c r="D103" s="21">
        <v>0.33950000000000002</v>
      </c>
      <c r="E103" s="21">
        <v>0.25947999999999999</v>
      </c>
      <c r="F103" s="21">
        <v>0.24722</v>
      </c>
      <c r="G103" s="21">
        <v>0.31791999999999998</v>
      </c>
      <c r="H103" s="21">
        <v>0.2475</v>
      </c>
    </row>
    <row r="104" spans="2:8" x14ac:dyDescent="0.2">
      <c r="B104" s="20">
        <v>99</v>
      </c>
      <c r="C104" s="21">
        <v>0.26896999999999999</v>
      </c>
      <c r="D104" s="21">
        <v>0.34427999999999997</v>
      </c>
      <c r="E104" s="21">
        <v>0.26912000000000003</v>
      </c>
      <c r="F104" s="21">
        <v>0.26196000000000003</v>
      </c>
      <c r="G104" s="21">
        <v>0.33217000000000002</v>
      </c>
      <c r="H104" s="21">
        <v>0.2621</v>
      </c>
    </row>
    <row r="105" spans="2:8" x14ac:dyDescent="0.2">
      <c r="B105" s="20">
        <v>100</v>
      </c>
      <c r="C105" s="21">
        <v>1</v>
      </c>
      <c r="D105" s="21">
        <v>1</v>
      </c>
      <c r="E105" s="21">
        <v>1</v>
      </c>
      <c r="F105" s="21">
        <v>1</v>
      </c>
      <c r="G105" s="21">
        <v>1</v>
      </c>
      <c r="H105" s="21">
        <v>1</v>
      </c>
    </row>
  </sheetData>
  <mergeCells count="3">
    <mergeCell ref="C3:E3"/>
    <mergeCell ref="F3:H3"/>
    <mergeCell ref="B3:B4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GridLines="0" workbookViewId="0">
      <pane ySplit="3" topLeftCell="A4" activePane="bottomLeft" state="frozen"/>
      <selection pane="bottomLeft" activeCell="A4" sqref="A4"/>
    </sheetView>
  </sheetViews>
  <sheetFormatPr defaultColWidth="8.625" defaultRowHeight="12.75" x14ac:dyDescent="0.2"/>
  <cols>
    <col min="1" max="1" width="2.625" style="19" customWidth="1"/>
    <col min="2" max="3" width="10.875" style="19" customWidth="1"/>
    <col min="4" max="16384" width="8.625" style="19"/>
  </cols>
  <sheetData>
    <row r="1" spans="1:3" x14ac:dyDescent="0.2">
      <c r="A1" s="18" t="s">
        <v>12</v>
      </c>
    </row>
    <row r="3" spans="1:3" ht="25.5" x14ac:dyDescent="0.2">
      <c r="B3" s="23" t="s">
        <v>14</v>
      </c>
      <c r="C3" s="23" t="s">
        <v>13</v>
      </c>
    </row>
    <row r="4" spans="1:3" x14ac:dyDescent="0.2">
      <c r="B4" s="24">
        <v>0</v>
      </c>
      <c r="C4" s="25">
        <v>0.1</v>
      </c>
    </row>
    <row r="5" spans="1:3" x14ac:dyDescent="0.2">
      <c r="B5" s="24">
        <f t="shared" ref="B5:B13" si="0">B4+1</f>
        <v>1</v>
      </c>
      <c r="C5" s="25">
        <v>0.08</v>
      </c>
    </row>
    <row r="6" spans="1:3" x14ac:dyDescent="0.2">
      <c r="B6" s="24">
        <f t="shared" si="0"/>
        <v>2</v>
      </c>
      <c r="C6" s="25">
        <v>7.0000000000000007E-2</v>
      </c>
    </row>
    <row r="7" spans="1:3" x14ac:dyDescent="0.2">
      <c r="B7" s="24">
        <f t="shared" si="0"/>
        <v>3</v>
      </c>
      <c r="C7" s="25">
        <v>0.06</v>
      </c>
    </row>
    <row r="8" spans="1:3" x14ac:dyDescent="0.2">
      <c r="B8" s="24">
        <f t="shared" si="0"/>
        <v>4</v>
      </c>
      <c r="C8" s="25">
        <v>0.05</v>
      </c>
    </row>
    <row r="9" spans="1:3" x14ac:dyDescent="0.2">
      <c r="B9" s="24">
        <f t="shared" si="0"/>
        <v>5</v>
      </c>
      <c r="C9" s="25">
        <v>0.04</v>
      </c>
    </row>
    <row r="10" spans="1:3" x14ac:dyDescent="0.2">
      <c r="B10" s="24">
        <f t="shared" si="0"/>
        <v>6</v>
      </c>
      <c r="C10" s="25">
        <v>0.03</v>
      </c>
    </row>
    <row r="11" spans="1:3" x14ac:dyDescent="0.2">
      <c r="B11" s="24">
        <f t="shared" si="0"/>
        <v>7</v>
      </c>
      <c r="C11" s="25">
        <v>0.02</v>
      </c>
    </row>
    <row r="12" spans="1:3" x14ac:dyDescent="0.2">
      <c r="B12" s="24">
        <f t="shared" si="0"/>
        <v>8</v>
      </c>
      <c r="C12" s="25">
        <v>0.02</v>
      </c>
    </row>
    <row r="13" spans="1:3" x14ac:dyDescent="0.2">
      <c r="B13" s="24">
        <f t="shared" si="0"/>
        <v>9</v>
      </c>
      <c r="C13" s="25">
        <v>0.02</v>
      </c>
    </row>
    <row r="14" spans="1:3" x14ac:dyDescent="0.2">
      <c r="B14" s="24" t="s">
        <v>15</v>
      </c>
      <c r="C14" s="25">
        <v>0.02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17"/>
  <sheetViews>
    <sheetView showGridLines="0" workbookViewId="0"/>
  </sheetViews>
  <sheetFormatPr defaultColWidth="9" defaultRowHeight="12.75" x14ac:dyDescent="0.2"/>
  <cols>
    <col min="1" max="1" width="2.625" style="27" customWidth="1"/>
    <col min="2" max="2" width="11.75" style="27" customWidth="1"/>
    <col min="3" max="3" width="14" style="27" customWidth="1"/>
    <col min="4" max="7" width="13.25" style="27" customWidth="1"/>
    <col min="8" max="9" width="9.25" style="27" customWidth="1"/>
    <col min="10" max="13" width="9" style="27"/>
    <col min="14" max="14" width="10.375" style="27" bestFit="1" customWidth="1"/>
    <col min="15" max="16384" width="9" style="27"/>
  </cols>
  <sheetData>
    <row r="1" spans="1:15" x14ac:dyDescent="0.2">
      <c r="A1" s="26" t="s">
        <v>43</v>
      </c>
      <c r="N1" s="2" t="s">
        <v>109</v>
      </c>
      <c r="O1" s="1"/>
    </row>
    <row r="2" spans="1:15" x14ac:dyDescent="0.2">
      <c r="N2" s="1" t="s">
        <v>108</v>
      </c>
      <c r="O2" s="72"/>
    </row>
    <row r="3" spans="1:15" ht="38.25" x14ac:dyDescent="0.2">
      <c r="B3" s="34" t="s">
        <v>44</v>
      </c>
      <c r="C3" s="35" t="s">
        <v>53</v>
      </c>
      <c r="D3" s="35" t="s">
        <v>71</v>
      </c>
      <c r="E3" s="35" t="s">
        <v>45</v>
      </c>
      <c r="F3" s="35" t="s">
        <v>72</v>
      </c>
    </row>
    <row r="4" spans="1:15" x14ac:dyDescent="0.2">
      <c r="B4" s="28" t="s">
        <v>46</v>
      </c>
      <c r="C4" s="41">
        <v>8.5000000000000006E-2</v>
      </c>
      <c r="D4" s="29">
        <v>0.14000000000000001</v>
      </c>
      <c r="E4" s="29">
        <v>0.15</v>
      </c>
      <c r="F4" s="31">
        <f>D4*E4</f>
        <v>2.1000000000000001E-2</v>
      </c>
      <c r="I4" s="73"/>
    </row>
    <row r="5" spans="1:15" x14ac:dyDescent="0.2">
      <c r="B5" s="28" t="s">
        <v>47</v>
      </c>
      <c r="C5" s="41">
        <v>7.0000000000000007E-2</v>
      </c>
      <c r="D5" s="29">
        <v>0.15</v>
      </c>
      <c r="E5" s="29">
        <v>0.15</v>
      </c>
      <c r="F5" s="31">
        <f t="shared" ref="F5:F8" si="0">D5*E5</f>
        <v>2.2499999999999999E-2</v>
      </c>
      <c r="H5" s="73"/>
      <c r="I5" s="73"/>
    </row>
    <row r="6" spans="1:15" ht="25.5" x14ac:dyDescent="0.2">
      <c r="B6" s="28" t="s">
        <v>48</v>
      </c>
      <c r="C6" s="41">
        <v>6.5000000000000002E-2</v>
      </c>
      <c r="D6" s="29">
        <v>0.1</v>
      </c>
      <c r="E6" s="29">
        <v>0.2</v>
      </c>
      <c r="F6" s="31">
        <f t="shared" si="0"/>
        <v>2.0000000000000004E-2</v>
      </c>
      <c r="H6" s="73"/>
    </row>
    <row r="7" spans="1:15" ht="25.5" x14ac:dyDescent="0.2">
      <c r="B7" s="28" t="s">
        <v>49</v>
      </c>
      <c r="C7" s="41">
        <v>4.4999999999999998E-2</v>
      </c>
      <c r="D7" s="29">
        <v>0.06</v>
      </c>
      <c r="E7" s="29">
        <v>0.2</v>
      </c>
      <c r="F7" s="31">
        <f t="shared" si="0"/>
        <v>1.2E-2</v>
      </c>
      <c r="H7" s="73"/>
      <c r="I7" s="74"/>
    </row>
    <row r="8" spans="1:15" x14ac:dyDescent="0.2">
      <c r="B8" s="28" t="s">
        <v>50</v>
      </c>
      <c r="C8" s="41">
        <v>2.5000000000000001E-2</v>
      </c>
      <c r="D8" s="29">
        <v>0.01</v>
      </c>
      <c r="E8" s="29">
        <v>0.3</v>
      </c>
      <c r="F8" s="31">
        <f t="shared" si="0"/>
        <v>3.0000000000000001E-3</v>
      </c>
    </row>
    <row r="9" spans="1:15" x14ac:dyDescent="0.2">
      <c r="B9" s="30" t="s">
        <v>52</v>
      </c>
      <c r="C9" s="31">
        <f>SUMPRODUCT(C4:C8,E4:E8)</f>
        <v>5.2750000000000005E-2</v>
      </c>
      <c r="D9" s="31">
        <f t="array" ref="D9">SQRT(MMULT(MMULT(TRANSPOSE(F4:F8),C13:G17),F4:F8))</f>
        <v>5.334275958365859E-2</v>
      </c>
      <c r="E9" s="39">
        <f>SUM(E4:E8)</f>
        <v>1</v>
      </c>
      <c r="F9" s="36"/>
    </row>
    <row r="10" spans="1:15" x14ac:dyDescent="0.2">
      <c r="B10" s="30" t="s">
        <v>70</v>
      </c>
      <c r="C10" s="31">
        <f>(1+C9)^(1/12)-1</f>
        <v>4.2930043261615314E-3</v>
      </c>
      <c r="D10" s="43"/>
      <c r="E10" s="43"/>
      <c r="F10" s="43"/>
    </row>
    <row r="12" spans="1:15" ht="25.5" x14ac:dyDescent="0.2">
      <c r="B12" s="37" t="s">
        <v>51</v>
      </c>
      <c r="C12" s="38" t="str">
        <f t="array" ref="C12:G12">TRANSPOSE(B13:B17)</f>
        <v>Equities</v>
      </c>
      <c r="D12" s="38" t="str">
        <v>Property</v>
      </c>
      <c r="E12" s="38" t="str">
        <v>Corporate Bonds</v>
      </c>
      <c r="F12" s="38" t="str">
        <v>Government Bonds</v>
      </c>
      <c r="G12" s="38" t="str">
        <v>Cash</v>
      </c>
    </row>
    <row r="13" spans="1:15" x14ac:dyDescent="0.2">
      <c r="B13" s="32" t="s">
        <v>46</v>
      </c>
      <c r="C13" s="33">
        <v>1</v>
      </c>
      <c r="D13" s="33">
        <f t="array" ref="D13:G13">TRANSPOSE(C14:C17)</f>
        <v>0.6</v>
      </c>
      <c r="E13" s="33">
        <v>-0.25</v>
      </c>
      <c r="F13" s="33">
        <v>-0.2</v>
      </c>
      <c r="G13" s="33">
        <v>0</v>
      </c>
    </row>
    <row r="14" spans="1:15" x14ac:dyDescent="0.2">
      <c r="B14" s="32" t="s">
        <v>47</v>
      </c>
      <c r="C14" s="33">
        <v>0.6</v>
      </c>
      <c r="D14" s="33">
        <v>1</v>
      </c>
      <c r="E14" s="33">
        <f t="array" ref="E14:G14">TRANSPOSE(D15:D17)</f>
        <v>0.5</v>
      </c>
      <c r="F14" s="33">
        <v>0.25</v>
      </c>
      <c r="G14" s="33">
        <v>0</v>
      </c>
    </row>
    <row r="15" spans="1:15" ht="25.5" x14ac:dyDescent="0.2">
      <c r="B15" s="32" t="s">
        <v>48</v>
      </c>
      <c r="C15" s="33">
        <v>-0.25</v>
      </c>
      <c r="D15" s="33">
        <v>0.5</v>
      </c>
      <c r="E15" s="33">
        <v>1</v>
      </c>
      <c r="F15" s="33">
        <f t="array" ref="F15:G15">TRANSPOSE(E16:E17)</f>
        <v>0.75</v>
      </c>
      <c r="G15" s="33">
        <v>0.75</v>
      </c>
    </row>
    <row r="16" spans="1:15" ht="25.5" x14ac:dyDescent="0.2">
      <c r="B16" s="32" t="s">
        <v>49</v>
      </c>
      <c r="C16" s="33">
        <v>-0.2</v>
      </c>
      <c r="D16" s="33">
        <v>0.25</v>
      </c>
      <c r="E16" s="33">
        <v>0.75</v>
      </c>
      <c r="F16" s="33">
        <v>1</v>
      </c>
      <c r="G16" s="33">
        <f>F17</f>
        <v>0.75</v>
      </c>
    </row>
    <row r="17" spans="2:7" x14ac:dyDescent="0.2">
      <c r="B17" s="32" t="s">
        <v>50</v>
      </c>
      <c r="C17" s="33">
        <v>0</v>
      </c>
      <c r="D17" s="33">
        <v>0</v>
      </c>
      <c r="E17" s="33">
        <v>0.75</v>
      </c>
      <c r="F17" s="33">
        <v>0.75</v>
      </c>
      <c r="G17" s="33">
        <v>1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L259"/>
  <sheetViews>
    <sheetView showGridLines="0" tabSelected="1" zoomScaleNormal="100" workbookViewId="0">
      <pane xSplit="2" ySplit="6" topLeftCell="M7" activePane="bottomRight" state="frozen"/>
      <selection pane="topRight"/>
      <selection pane="bottomLeft"/>
      <selection pane="bottomRight" activeCell="V8" sqref="V8"/>
    </sheetView>
  </sheetViews>
  <sheetFormatPr defaultColWidth="8.625" defaultRowHeight="12.75" x14ac:dyDescent="0.2"/>
  <cols>
    <col min="1" max="1" width="2.625" style="1" customWidth="1"/>
    <col min="2" max="2" width="13.5" style="1" bestFit="1" customWidth="1"/>
    <col min="3" max="3" width="8.375" style="1" bestFit="1" customWidth="1"/>
    <col min="4" max="5" width="8.625" style="1"/>
    <col min="6" max="6" width="12.125" style="1" bestFit="1" customWidth="1"/>
    <col min="7" max="7" width="11.25" style="1" bestFit="1" customWidth="1"/>
    <col min="8" max="8" width="7.625" style="1" customWidth="1"/>
    <col min="9" max="9" width="14.125" style="1" bestFit="1" customWidth="1"/>
    <col min="10" max="10" width="8.625" style="1" bestFit="1" customWidth="1"/>
    <col min="11" max="11" width="9.375" style="1" bestFit="1" customWidth="1"/>
    <col min="12" max="12" width="2.625" style="1" customWidth="1"/>
    <col min="13" max="13" width="16" style="1" customWidth="1"/>
    <col min="14" max="14" width="16" style="1" bestFit="1" customWidth="1"/>
    <col min="15" max="20" width="16" style="1" customWidth="1"/>
    <col min="21" max="21" width="14.625" style="1" customWidth="1"/>
    <col min="22" max="23" width="16" style="1" customWidth="1"/>
    <col min="24" max="27" width="12" style="1" customWidth="1"/>
    <col min="28" max="28" width="9.25" style="1" bestFit="1" customWidth="1"/>
    <col min="29" max="29" width="11.125" style="1" bestFit="1" customWidth="1"/>
    <col min="30" max="30" width="10.25" style="1" bestFit="1" customWidth="1"/>
    <col min="31" max="32" width="12.375" style="1" customWidth="1"/>
    <col min="33" max="33" width="13.625" style="1" bestFit="1" customWidth="1"/>
    <col min="34" max="34" width="12.625" style="1" bestFit="1" customWidth="1"/>
    <col min="35" max="35" width="13.625" style="1" bestFit="1" customWidth="1"/>
    <col min="36" max="36" width="2.625" style="1" customWidth="1"/>
    <col min="37" max="37" width="12.625" style="1" customWidth="1"/>
    <col min="38" max="38" width="10.125" style="1" bestFit="1" customWidth="1"/>
    <col min="39" max="16384" width="8.625" style="1"/>
  </cols>
  <sheetData>
    <row r="1" spans="1:38" x14ac:dyDescent="0.2">
      <c r="A1" s="50" t="s">
        <v>39</v>
      </c>
      <c r="C1" s="51"/>
      <c r="D1" s="51"/>
      <c r="E1" s="51"/>
      <c r="F1" s="51"/>
      <c r="G1" s="2" t="s">
        <v>109</v>
      </c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</row>
    <row r="2" spans="1:38" x14ac:dyDescent="0.2">
      <c r="C2" s="52"/>
      <c r="D2" s="52"/>
      <c r="E2" s="52"/>
      <c r="F2" s="52"/>
      <c r="G2" s="1" t="s">
        <v>108</v>
      </c>
      <c r="H2" s="72"/>
      <c r="I2" s="52"/>
      <c r="J2" s="52"/>
      <c r="K2" s="52"/>
      <c r="L2" s="52"/>
      <c r="M2" s="52"/>
      <c r="N2" s="53"/>
      <c r="O2" s="53"/>
      <c r="P2" s="53"/>
      <c r="Q2" s="52"/>
      <c r="R2" s="53"/>
      <c r="S2" s="52"/>
      <c r="T2" s="52"/>
      <c r="U2" s="52"/>
      <c r="V2" s="52"/>
      <c r="W2" s="53"/>
      <c r="X2" s="52"/>
      <c r="Y2" s="53"/>
      <c r="Z2" s="52"/>
      <c r="AA2" s="54"/>
      <c r="AB2" s="52"/>
      <c r="AC2" s="52"/>
      <c r="AD2" s="52"/>
      <c r="AE2" s="52"/>
      <c r="AF2" s="52"/>
      <c r="AG2" s="53"/>
      <c r="AH2" s="52"/>
      <c r="AI2" s="52"/>
      <c r="AJ2" s="52"/>
      <c r="AK2" s="52"/>
      <c r="AL2" s="52"/>
    </row>
    <row r="3" spans="1:38" ht="25.5" x14ac:dyDescent="0.2">
      <c r="B3" s="5"/>
      <c r="C3" s="14" t="s">
        <v>24</v>
      </c>
      <c r="D3" s="5"/>
      <c r="E3" s="14" t="s">
        <v>29</v>
      </c>
      <c r="L3" s="55" t="s">
        <v>35</v>
      </c>
      <c r="M3" s="56"/>
      <c r="N3" s="57">
        <f>NPV(Assumptions!$D$19,N8:N259)*(1+Assumptions!$D$19)</f>
        <v>95537752.39689289</v>
      </c>
      <c r="O3" s="57">
        <f>NPV(Assumptions!$D$19,O8:O259)*(1+Assumptions!$D$19)</f>
        <v>125000</v>
      </c>
      <c r="P3" s="85">
        <f>NPV(Assumptions!$D$19,P8:P259)*(1+Assumptions!$D$19)^0.5</f>
        <v>150022040.25868681</v>
      </c>
      <c r="Q3" s="85">
        <f>NPV(Assumptions!$D$19,Q8:Q259)*(1+Assumptions!$D$19)^0.5</f>
        <v>18310728.323886592</v>
      </c>
      <c r="R3" s="57">
        <f>NPV(Assumptions!$D$19,R8:R259)*(1+Assumptions!$D$19)</f>
        <v>357922.729115316</v>
      </c>
      <c r="S3" s="56"/>
      <c r="T3" s="58"/>
      <c r="U3" s="58"/>
      <c r="V3" s="57"/>
      <c r="W3" s="57">
        <f>NPV(Assumptions!$D$19,W8:W259)*(1+Assumptions!$D$19)</f>
        <v>875000</v>
      </c>
      <c r="X3" s="57">
        <f>NPV(Assumptions!$D$19,X8:X259)*(1+Assumptions!$D$19)</f>
        <v>818083.02932983031</v>
      </c>
      <c r="Y3" s="57">
        <f>NPV(Assumptions!$D$19,Y8:Y259)*(1+Assumptions!$D$19)</f>
        <v>477688.7619844643</v>
      </c>
      <c r="Z3" s="56"/>
      <c r="AA3" s="56"/>
      <c r="AC3" s="56"/>
      <c r="AD3" s="56"/>
      <c r="AE3" s="56"/>
      <c r="AF3" s="56"/>
      <c r="AG3" s="57">
        <f>NPV(Assumptions!$D$19,AG8:AG259)</f>
        <v>0</v>
      </c>
      <c r="AH3" s="57">
        <f>NPV(Assumptions!$D$19,AH8:AH259)</f>
        <v>0</v>
      </c>
      <c r="AI3" s="57">
        <f>NPV(Assumptions!$D$19,AI8:AI259)</f>
        <v>0</v>
      </c>
      <c r="AK3" s="57">
        <f>NPV(Assumptions!$D$19,AK8:AK259)</f>
        <v>0</v>
      </c>
      <c r="AL3" s="57">
        <f>NPV(Assumptions!$D$19,AL8:AL259)</f>
        <v>0</v>
      </c>
    </row>
    <row r="4" spans="1:38" x14ac:dyDescent="0.2">
      <c r="B4" s="59" t="s">
        <v>93</v>
      </c>
      <c r="C4" s="5">
        <f>DATEDIF(Assumptions!H5,Assumptions!C3,"M")</f>
        <v>0</v>
      </c>
      <c r="D4" s="5"/>
      <c r="E4" s="5">
        <f>DATEDIF(Assumptions!H6,Assumptions!C3,"m")</f>
        <v>551</v>
      </c>
      <c r="Z4" s="5" t="s">
        <v>60</v>
      </c>
      <c r="AA4" s="60">
        <f>W8/N3</f>
        <v>9.1586831179048863E-3</v>
      </c>
      <c r="AL4" s="52"/>
    </row>
    <row r="5" spans="1:38" x14ac:dyDescent="0.2">
      <c r="I5" s="95" t="s">
        <v>41</v>
      </c>
      <c r="J5" s="95"/>
      <c r="K5" s="95"/>
      <c r="AL5" s="52"/>
    </row>
    <row r="6" spans="1:38" ht="51" x14ac:dyDescent="0.2">
      <c r="B6" s="61" t="s">
        <v>23</v>
      </c>
      <c r="C6" s="14" t="s">
        <v>24</v>
      </c>
      <c r="D6" s="14" t="s">
        <v>26</v>
      </c>
      <c r="E6" s="14" t="s">
        <v>37</v>
      </c>
      <c r="F6" s="14" t="s">
        <v>25</v>
      </c>
      <c r="G6" s="14" t="s">
        <v>6</v>
      </c>
      <c r="I6" s="14" t="s">
        <v>31</v>
      </c>
      <c r="J6" s="14" t="s">
        <v>28</v>
      </c>
      <c r="K6" s="14" t="s">
        <v>27</v>
      </c>
      <c r="M6" s="62" t="s">
        <v>85</v>
      </c>
      <c r="N6" s="62" t="s">
        <v>30</v>
      </c>
      <c r="O6" s="62" t="s">
        <v>65</v>
      </c>
      <c r="P6" s="62" t="s">
        <v>95</v>
      </c>
      <c r="Q6" s="62" t="s">
        <v>96</v>
      </c>
      <c r="R6" s="62" t="s">
        <v>104</v>
      </c>
      <c r="S6" s="62" t="s">
        <v>105</v>
      </c>
      <c r="T6" s="62" t="s">
        <v>97</v>
      </c>
      <c r="U6" s="62" t="s">
        <v>98</v>
      </c>
      <c r="V6" s="62" t="s">
        <v>94</v>
      </c>
      <c r="W6" s="62" t="s">
        <v>99</v>
      </c>
      <c r="X6" s="62" t="s">
        <v>100</v>
      </c>
      <c r="Y6" s="62" t="s">
        <v>59</v>
      </c>
      <c r="Z6" s="62" t="s">
        <v>87</v>
      </c>
      <c r="AA6" s="62" t="s">
        <v>103</v>
      </c>
      <c r="AC6" s="62" t="s">
        <v>56</v>
      </c>
      <c r="AD6" s="62" t="s">
        <v>67</v>
      </c>
      <c r="AE6" s="62" t="s">
        <v>57</v>
      </c>
      <c r="AF6" s="62" t="s">
        <v>102</v>
      </c>
      <c r="AG6" s="62" t="s">
        <v>69</v>
      </c>
      <c r="AH6" s="62" t="s">
        <v>86</v>
      </c>
      <c r="AI6" s="62" t="s">
        <v>68</v>
      </c>
      <c r="AK6" s="62" t="s">
        <v>90</v>
      </c>
      <c r="AL6" s="62" t="s">
        <v>91</v>
      </c>
    </row>
    <row r="7" spans="1:38" x14ac:dyDescent="0.2">
      <c r="B7" s="5">
        <v>0</v>
      </c>
      <c r="C7" s="14"/>
      <c r="D7" s="14"/>
      <c r="E7" s="14"/>
      <c r="F7" s="14"/>
      <c r="G7" s="14"/>
      <c r="I7" s="63">
        <f>Assumptions!H3</f>
        <v>5000</v>
      </c>
      <c r="J7" s="14"/>
      <c r="K7" s="14"/>
      <c r="M7" s="62"/>
      <c r="N7" s="62"/>
      <c r="O7" s="62"/>
      <c r="P7" s="48"/>
      <c r="Q7" s="62"/>
      <c r="R7" s="49"/>
      <c r="S7" s="62"/>
      <c r="T7" s="62"/>
      <c r="U7" s="62"/>
      <c r="V7" s="49"/>
      <c r="W7" s="62"/>
      <c r="X7" s="62"/>
      <c r="Y7" s="62"/>
      <c r="Z7" s="62"/>
      <c r="AA7" s="62"/>
      <c r="AC7" s="62"/>
      <c r="AD7" s="62"/>
      <c r="AE7" s="62"/>
      <c r="AF7" s="62"/>
      <c r="AG7" s="62"/>
      <c r="AH7" s="62"/>
      <c r="AI7" s="62"/>
      <c r="AK7" s="62"/>
      <c r="AL7" s="62"/>
    </row>
    <row r="8" spans="1:38" x14ac:dyDescent="0.2">
      <c r="B8" s="5">
        <f t="shared" ref="B8:B71" si="0">B7+1</f>
        <v>1</v>
      </c>
      <c r="C8" s="5">
        <f t="shared" ref="C8:C71" si="1">$C$4+B8</f>
        <v>1</v>
      </c>
      <c r="D8" s="5">
        <f t="shared" ref="D8:D71" si="2">ROUNDDOWN((C8-1)/12,0)</f>
        <v>0</v>
      </c>
      <c r="E8" s="5">
        <f t="shared" ref="E8:E71" si="3">ROUNDDOWN(($E$4+B8)/12,0)</f>
        <v>46</v>
      </c>
      <c r="F8" s="64">
        <f>1-(1-VLOOKUP($E8,'Annual Mortality Rates'!$B$5:$C$105,2,FALSE))^(1/12)</f>
        <v>7.7533054016254432E-5</v>
      </c>
      <c r="G8" s="75">
        <f>IF(C8&gt;=[1]Assumptions!$H$9*12,100%,1-(1-IF(D8&gt;=7,2%,VLOOKUP($D8,'[1]Annual Lapse Rates'!$B$4:$C$14,2,FALSE)))^(1/12))</f>
        <v>8.7416109546967213E-3</v>
      </c>
      <c r="H8" s="81">
        <f>MOD(C8,12)+(MOD(C8,12)=0)*12</f>
        <v>1</v>
      </c>
      <c r="I8" s="65">
        <f>I7-J7-K7</f>
        <v>5000</v>
      </c>
      <c r="J8" s="66">
        <f>$I8*F8</f>
        <v>0.38766527008127216</v>
      </c>
      <c r="K8" s="66">
        <f>IF(G8=100%,I8-J8,$I7*G8)</f>
        <v>43.70805477348361</v>
      </c>
      <c r="M8" s="63">
        <v>0</v>
      </c>
      <c r="N8" s="67">
        <f>IF(AND(MOD(C8,12)=1,D8&lt;15),Assumptions!$H$4*I7,0)</f>
        <v>12500000</v>
      </c>
      <c r="O8" s="67">
        <f>Assumptions!$C$6*N8</f>
        <v>125000</v>
      </c>
      <c r="P8" s="90">
        <f>M8*(F8+G8)</f>
        <v>0</v>
      </c>
      <c r="Q8" s="90">
        <f>M8*VLOOKUP(MOD(C8,12)+(MOD(C8,12)=0)*12,Assumptions!$C$22:$D$33,2,FALSE)*(F8+G8)</f>
        <v>0</v>
      </c>
      <c r="R8" s="67">
        <f>IF(AND(MOD(C8,12)=0,D8&lt;15),Assumptions!$C$7*M8,0)</f>
        <v>0</v>
      </c>
      <c r="S8" s="68">
        <f>IF(MOD(C8,12)=0,M8*Assumptions!$D$17,0)</f>
        <v>0</v>
      </c>
      <c r="T8" s="68">
        <f>(M8+S8)*(G8=100%)</f>
        <v>0</v>
      </c>
      <c r="U8" s="67">
        <f>T8+AE8*(1+Assumptions!$D$17)</f>
        <v>53559.693564111731</v>
      </c>
      <c r="V8" s="67">
        <f>(M8+N8-O8)*(1+Assumptions!$D$17)-(P8+Q8)*(1+Assumptions!$D$17)^0.5-R8-T8</f>
        <v>12425417.281822648</v>
      </c>
      <c r="W8" s="67">
        <f>Assumptions!$C$10*N8+Assumptions!$C$11*$I$7</f>
        <v>875000</v>
      </c>
      <c r="X8" s="67"/>
      <c r="Y8" s="65">
        <f>Assumptions!$C$13*N8</f>
        <v>62500</v>
      </c>
      <c r="Z8" s="65">
        <f>NPV(Assumptions!$D$19,N8:$N$259)*(1+Assumptions!$D$19)</f>
        <v>95537752.39689289</v>
      </c>
      <c r="AA8" s="68">
        <f>Z9*$AA$4</f>
        <v>763781.36148349126</v>
      </c>
      <c r="AB8" s="69"/>
      <c r="AC8" s="67">
        <f>V8</f>
        <v>12425417.281822648</v>
      </c>
      <c r="AD8" s="91">
        <f>AC8*Assumptions!$D$19</f>
        <v>53342.370145226887</v>
      </c>
      <c r="AE8" s="67">
        <f>AD8-S8</f>
        <v>53342.370145226887</v>
      </c>
      <c r="AF8" s="67"/>
      <c r="AG8" s="67"/>
      <c r="AH8" s="67"/>
      <c r="AI8" s="67"/>
      <c r="AK8" s="67"/>
      <c r="AL8" s="70">
        <f t="shared" ref="AL8:AL71" si="4">ROUND(AK8-AG8,3)</f>
        <v>0</v>
      </c>
    </row>
    <row r="9" spans="1:38" x14ac:dyDescent="0.2">
      <c r="B9" s="5">
        <f t="shared" si="0"/>
        <v>2</v>
      </c>
      <c r="C9" s="5">
        <f t="shared" si="1"/>
        <v>2</v>
      </c>
      <c r="D9" s="5">
        <f t="shared" si="2"/>
        <v>0</v>
      </c>
      <c r="E9" s="5">
        <f t="shared" si="3"/>
        <v>46</v>
      </c>
      <c r="F9" s="64">
        <f>1-(1-VLOOKUP($E9,'Annual Mortality Rates'!$B$5:$C$105,2,FALSE))^(1/12)</f>
        <v>7.7533054016254432E-5</v>
      </c>
      <c r="G9" s="75">
        <f>IF(C9&gt;=[1]Assumptions!$H$9*12,100%,1-(1-IF(D9&gt;=7,2%,VLOOKUP($D9,'[1]Annual Lapse Rates'!$B$4:$C$14,2,FALSE)))^(1/12))</f>
        <v>8.7416109546967213E-3</v>
      </c>
      <c r="H9" s="81">
        <f t="shared" ref="H9:H72" si="5">MOD(C9,12)+(MOD(C9,12)=0)*12</f>
        <v>2</v>
      </c>
      <c r="I9" s="65">
        <f t="shared" ref="I9:I72" si="6">I8-J8-K8</f>
        <v>4955.9042799564349</v>
      </c>
      <c r="J9" s="66">
        <f t="shared" ref="J9:J72" si="7">$I9*F9</f>
        <v>0.38424639423724882</v>
      </c>
      <c r="K9" s="66">
        <f t="shared" ref="K9:K72" si="8">IF(G9=100%,I9-J9,$I8*G9)</f>
        <v>43.70805477348361</v>
      </c>
      <c r="M9" s="67">
        <f>V8</f>
        <v>12425417.281822648</v>
      </c>
      <c r="N9" s="67">
        <f>IF(AND(MOD(C9,12)=1,D9&lt;15),Assumptions!$H$4*I8,0)</f>
        <v>0</v>
      </c>
      <c r="O9" s="67"/>
      <c r="P9" s="90">
        <f t="shared" ref="P9:P72" si="9">M9*(F9+G9)</f>
        <v>109581.54437674487</v>
      </c>
      <c r="Q9" s="90">
        <f>M9*VLOOKUP(MOD(C9,12)+(MOD(C9,12)=0)*12,Assumptions!$C$22:$D$33,2,FALSE)*(F9+G9)</f>
        <v>684.88465235465549</v>
      </c>
      <c r="R9" s="67">
        <f>IF(AND(MOD(C9,12)=0,D9&lt;15),Assumptions!$C$7*M9,0)</f>
        <v>0</v>
      </c>
      <c r="S9" s="68">
        <f>IF(MOD(C9,12)=0,M9*Assumptions!$D$17,0)</f>
        <v>0</v>
      </c>
      <c r="T9" s="68">
        <f t="shared" ref="T9:T72" si="10">(M9+S9)*(G9=100%)</f>
        <v>0</v>
      </c>
      <c r="U9" s="67">
        <f>T9+AE9*(1+Assumptions!$D$17)</f>
        <v>0</v>
      </c>
      <c r="V9" s="67">
        <f>(M9+N9-O9)*(1+Assumptions!$D$17)-(P9+Q9)*(1+Assumptions!$D$17)^0.5-R9-T9</f>
        <v>12365549.149639748</v>
      </c>
      <c r="W9" s="67"/>
      <c r="X9" s="67"/>
      <c r="Y9" s="65">
        <f>Assumptions!$C$13*N9</f>
        <v>0</v>
      </c>
      <c r="Z9" s="65">
        <f>NPV(Assumptions!$D$19,N9:$N$259)*(1+Assumptions!$D$19)</f>
        <v>83394233.827167466</v>
      </c>
      <c r="AA9" s="68">
        <f t="shared" ref="AA9:AA72" si="11">Z10*$AA$4</f>
        <v>767060.27817258111</v>
      </c>
      <c r="AC9" s="67">
        <f t="shared" ref="AC9:AC72" si="12">V9</f>
        <v>12365549.149639748</v>
      </c>
      <c r="AD9" s="67"/>
      <c r="AE9" s="67"/>
      <c r="AF9" s="67"/>
      <c r="AG9" s="67"/>
      <c r="AH9" s="67"/>
      <c r="AI9" s="67"/>
      <c r="AK9" s="67"/>
      <c r="AL9" s="70">
        <f t="shared" si="4"/>
        <v>0</v>
      </c>
    </row>
    <row r="10" spans="1:38" x14ac:dyDescent="0.2">
      <c r="B10" s="5">
        <f t="shared" si="0"/>
        <v>3</v>
      </c>
      <c r="C10" s="5">
        <f t="shared" si="1"/>
        <v>3</v>
      </c>
      <c r="D10" s="5">
        <f t="shared" si="2"/>
        <v>0</v>
      </c>
      <c r="E10" s="5">
        <f t="shared" si="3"/>
        <v>46</v>
      </c>
      <c r="F10" s="64">
        <f>1-(1-VLOOKUP($E10,'Annual Mortality Rates'!$B$5:$C$105,2,FALSE))^(1/12)</f>
        <v>7.7533054016254432E-5</v>
      </c>
      <c r="G10" s="75">
        <f>IF(C10&gt;=[1]Assumptions!$H$9*12,100%,1-(1-IF(D10&gt;=7,2%,VLOOKUP($D10,'[1]Annual Lapse Rates'!$B$4:$C$14,2,FALSE)))^(1/12))</f>
        <v>8.7416109546967213E-3</v>
      </c>
      <c r="H10" s="81">
        <f t="shared" si="5"/>
        <v>3</v>
      </c>
      <c r="I10" s="65">
        <f t="shared" si="6"/>
        <v>4911.8119787887135</v>
      </c>
      <c r="J10" s="66">
        <f t="shared" si="7"/>
        <v>0.38082778346911089</v>
      </c>
      <c r="K10" s="66">
        <f t="shared" si="8"/>
        <v>43.322587144095536</v>
      </c>
      <c r="M10" s="67">
        <f t="shared" ref="M10:M73" si="13">V9</f>
        <v>12365549.149639748</v>
      </c>
      <c r="N10" s="67">
        <f>IF(AND(MOD(C10,12)=1,D10&lt;15),Assumptions!$H$4*I9,0)</f>
        <v>0</v>
      </c>
      <c r="O10" s="67"/>
      <c r="P10" s="90">
        <f t="shared" si="9"/>
        <v>109053.55869749121</v>
      </c>
      <c r="Q10" s="90">
        <f>M10*VLOOKUP(MOD(C10,12)+(MOD(C10,12)=0)*12,Assumptions!$C$22:$D$33,2,FALSE)*(F10+G10)</f>
        <v>1022.3771127889803</v>
      </c>
      <c r="R10" s="67">
        <f>IF(AND(MOD(C10,12)=0,D10&lt;15),Assumptions!$C$7*M10,0)</f>
        <v>0</v>
      </c>
      <c r="S10" s="68">
        <f>IF(MOD(C10,12)=0,M10*Assumptions!$D$17,0)</f>
        <v>0</v>
      </c>
      <c r="T10" s="68">
        <f t="shared" si="10"/>
        <v>0</v>
      </c>
      <c r="U10" s="67">
        <f>T10+AE10*(1+Assumptions!$D$17)</f>
        <v>0</v>
      </c>
      <c r="V10" s="67">
        <f>(M10+N10-O10)*(1+Assumptions!$D$17)-(P10+Q10)*(1+Assumptions!$D$17)^0.5-R10-T10</f>
        <v>12305627.988146501</v>
      </c>
      <c r="W10" s="67"/>
      <c r="X10" s="67"/>
      <c r="Y10" s="65">
        <f>Assumptions!$C$13*N10</f>
        <v>0</v>
      </c>
      <c r="Z10" s="65">
        <f>NPV(Assumptions!$D$19,N10:$N$259)*(1+Assumptions!$D$19)</f>
        <v>83752245.633764386</v>
      </c>
      <c r="AA10" s="68">
        <f t="shared" si="11"/>
        <v>770353.27126520278</v>
      </c>
      <c r="AC10" s="67">
        <f t="shared" si="12"/>
        <v>12305627.988146501</v>
      </c>
      <c r="AD10" s="67"/>
      <c r="AE10" s="67"/>
      <c r="AF10" s="67"/>
      <c r="AG10" s="67"/>
      <c r="AH10" s="67"/>
      <c r="AI10" s="67"/>
      <c r="AK10" s="67"/>
      <c r="AL10" s="70">
        <f t="shared" si="4"/>
        <v>0</v>
      </c>
    </row>
    <row r="11" spans="1:38" x14ac:dyDescent="0.2">
      <c r="B11" s="5">
        <f t="shared" si="0"/>
        <v>4</v>
      </c>
      <c r="C11" s="5">
        <f t="shared" si="1"/>
        <v>4</v>
      </c>
      <c r="D11" s="5">
        <f t="shared" si="2"/>
        <v>0</v>
      </c>
      <c r="E11" s="5">
        <f t="shared" si="3"/>
        <v>46</v>
      </c>
      <c r="F11" s="64">
        <f>1-(1-VLOOKUP($E11,'Annual Mortality Rates'!$B$5:$C$105,2,FALSE))^(1/12)</f>
        <v>7.7533054016254432E-5</v>
      </c>
      <c r="G11" s="75">
        <f>IF(C11&gt;=[1]Assumptions!$H$9*12,100%,1-(1-IF(D11&gt;=7,2%,VLOOKUP($D11,'[1]Annual Lapse Rates'!$B$4:$C$14,2,FALSE)))^(1/12))</f>
        <v>8.7416109546967213E-3</v>
      </c>
      <c r="H11" s="81">
        <f t="shared" si="5"/>
        <v>4</v>
      </c>
      <c r="I11" s="65">
        <f t="shared" si="6"/>
        <v>4868.1085638611494</v>
      </c>
      <c r="J11" s="66">
        <f t="shared" si="7"/>
        <v>0.3774393242388373</v>
      </c>
      <c r="K11" s="66">
        <f t="shared" si="8"/>
        <v>42.937149401189998</v>
      </c>
      <c r="M11" s="67">
        <f t="shared" si="13"/>
        <v>12305627.988146501</v>
      </c>
      <c r="N11" s="67">
        <f>IF(AND(MOD(C11,12)=1,D11&lt;15),Assumptions!$H$4*I10,0)</f>
        <v>0</v>
      </c>
      <c r="O11" s="67"/>
      <c r="P11" s="90">
        <f t="shared" si="9"/>
        <v>108525.10534511293</v>
      </c>
      <c r="Q11" s="90">
        <f>M11*VLOOKUP(MOD(C11,12)+(MOD(C11,12)=0)*12,Assumptions!$C$22:$D$33,2,FALSE)*(F11+G11)</f>
        <v>1356.5638168139117</v>
      </c>
      <c r="R11" s="67">
        <f>IF(AND(MOD(C11,12)=0,D11&lt;15),Assumptions!$C$7*M11,0)</f>
        <v>0</v>
      </c>
      <c r="S11" s="68">
        <f>IF(MOD(C11,12)=0,M11*Assumptions!$D$17,0)</f>
        <v>0</v>
      </c>
      <c r="T11" s="68">
        <f t="shared" si="10"/>
        <v>0</v>
      </c>
      <c r="U11" s="67">
        <f>T11+AE11*(1+Assumptions!$D$17)</f>
        <v>0</v>
      </c>
      <c r="V11" s="67">
        <f>(M11+N11-O11)*(1+Assumptions!$D$17)-(P11+Q11)*(1+Assumptions!$D$17)^0.5-R11-T11</f>
        <v>12245657.362403363</v>
      </c>
      <c r="W11" s="67"/>
      <c r="X11" s="67"/>
      <c r="Y11" s="65">
        <f>Assumptions!$C$13*N11</f>
        <v>0</v>
      </c>
      <c r="Z11" s="65">
        <f>NPV(Assumptions!$D$19,N11:$N$259)*(1+Assumptions!$D$19)</f>
        <v>84111794.38659589</v>
      </c>
      <c r="AA11" s="68">
        <f t="shared" si="11"/>
        <v>773660.40119141701</v>
      </c>
      <c r="AC11" s="67">
        <f t="shared" si="12"/>
        <v>12245657.362403363</v>
      </c>
      <c r="AD11" s="67"/>
      <c r="AE11" s="67"/>
      <c r="AF11" s="67"/>
      <c r="AG11" s="67"/>
      <c r="AH11" s="67"/>
      <c r="AI11" s="67"/>
      <c r="AK11" s="67"/>
      <c r="AL11" s="70">
        <f t="shared" si="4"/>
        <v>0</v>
      </c>
    </row>
    <row r="12" spans="1:38" x14ac:dyDescent="0.2">
      <c r="B12" s="5">
        <f t="shared" si="0"/>
        <v>5</v>
      </c>
      <c r="C12" s="5">
        <f t="shared" si="1"/>
        <v>5</v>
      </c>
      <c r="D12" s="5">
        <f t="shared" si="2"/>
        <v>0</v>
      </c>
      <c r="E12" s="5">
        <f t="shared" si="3"/>
        <v>46</v>
      </c>
      <c r="F12" s="64">
        <f>1-(1-VLOOKUP($E12,'Annual Mortality Rates'!$B$5:$C$105,2,FALSE))^(1/12)</f>
        <v>7.7533054016254432E-5</v>
      </c>
      <c r="G12" s="75">
        <f>IF(C12&gt;=[1]Assumptions!$H$9*12,100%,1-(1-IF(D12&gt;=7,2%,VLOOKUP($D12,'[1]Annual Lapse Rates'!$B$4:$C$14,2,FALSE)))^(1/12))</f>
        <v>8.7416109546967213E-3</v>
      </c>
      <c r="H12" s="81">
        <f t="shared" si="5"/>
        <v>5</v>
      </c>
      <c r="I12" s="65">
        <f t="shared" si="6"/>
        <v>4824.7939751357198</v>
      </c>
      <c r="J12" s="66">
        <f t="shared" si="7"/>
        <v>0.37408101189149673</v>
      </c>
      <c r="K12" s="66">
        <f t="shared" si="8"/>
        <v>42.555111150501546</v>
      </c>
      <c r="M12" s="67">
        <f t="shared" si="13"/>
        <v>12245657.362403363</v>
      </c>
      <c r="N12" s="67">
        <f>IF(AND(MOD(C12,12)=1,D12&lt;15),Assumptions!$H$4*I11,0)</f>
        <v>0</v>
      </c>
      <c r="O12" s="67"/>
      <c r="P12" s="90">
        <f t="shared" si="9"/>
        <v>107996.21576039155</v>
      </c>
      <c r="Q12" s="90">
        <f>M12*VLOOKUP(MOD(C12,12)+(MOD(C12,12)=0)*12,Assumptions!$C$22:$D$33,2,FALSE)*(F12+G12)</f>
        <v>1687.440871256118</v>
      </c>
      <c r="R12" s="67">
        <f>IF(AND(MOD(C12,12)=0,D12&lt;15),Assumptions!$C$7*M12,0)</f>
        <v>0</v>
      </c>
      <c r="S12" s="68">
        <f>IF(MOD(C12,12)=0,M12*Assumptions!$D$17,0)</f>
        <v>0</v>
      </c>
      <c r="T12" s="68">
        <f t="shared" si="10"/>
        <v>0</v>
      </c>
      <c r="U12" s="67">
        <f>T12+AE12*(1+Assumptions!$D$17)</f>
        <v>0</v>
      </c>
      <c r="V12" s="67">
        <f>(M12+N12-O12)*(1+Assumptions!$D$17)-(P12+Q12)*(1+Assumptions!$D$17)^0.5-R12-T12</f>
        <v>12185640.824391618</v>
      </c>
      <c r="W12" s="67"/>
      <c r="X12" s="67"/>
      <c r="Y12" s="65">
        <f>Assumptions!$C$13*N12</f>
        <v>0</v>
      </c>
      <c r="Z12" s="65">
        <f>NPV(Assumptions!$D$19,N12:$N$259)*(1+Assumptions!$D$19)</f>
        <v>84472886.683778763</v>
      </c>
      <c r="AA12" s="68">
        <f t="shared" si="11"/>
        <v>776981.72864071175</v>
      </c>
      <c r="AC12" s="67">
        <f t="shared" si="12"/>
        <v>12185640.824391618</v>
      </c>
      <c r="AD12" s="67"/>
      <c r="AE12" s="67"/>
      <c r="AF12" s="67"/>
      <c r="AG12" s="67"/>
      <c r="AH12" s="67"/>
      <c r="AI12" s="67"/>
      <c r="AK12" s="67"/>
      <c r="AL12" s="70">
        <f t="shared" si="4"/>
        <v>0</v>
      </c>
    </row>
    <row r="13" spans="1:38" x14ac:dyDescent="0.2">
      <c r="B13" s="5">
        <f t="shared" si="0"/>
        <v>6</v>
      </c>
      <c r="C13" s="5">
        <f t="shared" si="1"/>
        <v>6</v>
      </c>
      <c r="D13" s="5">
        <f t="shared" si="2"/>
        <v>0</v>
      </c>
      <c r="E13" s="5">
        <f t="shared" si="3"/>
        <v>46</v>
      </c>
      <c r="F13" s="64">
        <f>1-(1-VLOOKUP($E13,'Annual Mortality Rates'!$B$5:$C$105,2,FALSE))^(1/12)</f>
        <v>7.7533054016254432E-5</v>
      </c>
      <c r="G13" s="75">
        <f>IF(C13&gt;=[1]Assumptions!$H$9*12,100%,1-(1-IF(D13&gt;=7,2%,VLOOKUP($D13,'[1]Annual Lapse Rates'!$B$4:$C$14,2,FALSE)))^(1/12))</f>
        <v>8.7416109546967213E-3</v>
      </c>
      <c r="H13" s="81">
        <f t="shared" si="5"/>
        <v>6</v>
      </c>
      <c r="I13" s="65">
        <f t="shared" si="6"/>
        <v>4781.8647829733263</v>
      </c>
      <c r="J13" s="66">
        <f t="shared" si="7"/>
        <v>0.37075258051669568</v>
      </c>
      <c r="K13" s="66">
        <f t="shared" si="8"/>
        <v>42.176471867201151</v>
      </c>
      <c r="M13" s="67">
        <f t="shared" si="13"/>
        <v>12185640.824391618</v>
      </c>
      <c r="N13" s="67">
        <f>IF(AND(MOD(C13,12)=1,D13&lt;15),Assumptions!$H$4*I12,0)</f>
        <v>0</v>
      </c>
      <c r="O13" s="67"/>
      <c r="P13" s="90">
        <f t="shared" si="9"/>
        <v>107466.92126876159</v>
      </c>
      <c r="Q13" s="90">
        <f>M13*VLOOKUP(MOD(C13,12)+(MOD(C13,12)=0)*12,Assumptions!$C$22:$D$33,2,FALSE)*(F13+G13)</f>
        <v>2015.0047737892801</v>
      </c>
      <c r="R13" s="67">
        <f>IF(AND(MOD(C13,12)=0,D13&lt;15),Assumptions!$C$7*M13,0)</f>
        <v>0</v>
      </c>
      <c r="S13" s="68">
        <f>IF(MOD(C13,12)=0,M13*Assumptions!$D$17,0)</f>
        <v>0</v>
      </c>
      <c r="T13" s="68">
        <f t="shared" si="10"/>
        <v>0</v>
      </c>
      <c r="U13" s="67">
        <f>T13+AE13*(1+Assumptions!$D$17)</f>
        <v>0</v>
      </c>
      <c r="V13" s="67">
        <f>(M13+N13-O13)*(1+Assumptions!$D$17)-(P13+Q13)*(1+Assumptions!$D$17)^0.5-R13-T13</f>
        <v>12125581.912684038</v>
      </c>
      <c r="W13" s="67"/>
      <c r="X13" s="67"/>
      <c r="Y13" s="65">
        <f>Assumptions!$C$13*N13</f>
        <v>0</v>
      </c>
      <c r="Z13" s="65">
        <f>NPV(Assumptions!$D$19,N13:$N$259)*(1+Assumptions!$D$19)</f>
        <v>84835529.151755586</v>
      </c>
      <c r="AA13" s="68">
        <f t="shared" si="11"/>
        <v>780317.31456311489</v>
      </c>
      <c r="AC13" s="67">
        <f t="shared" si="12"/>
        <v>12125581.912684038</v>
      </c>
      <c r="AD13" s="67"/>
      <c r="AE13" s="67"/>
      <c r="AF13" s="67"/>
      <c r="AG13" s="67"/>
      <c r="AH13" s="67"/>
      <c r="AI13" s="67"/>
      <c r="AK13" s="67"/>
      <c r="AL13" s="70">
        <f t="shared" si="4"/>
        <v>0</v>
      </c>
    </row>
    <row r="14" spans="1:38" x14ac:dyDescent="0.2">
      <c r="B14" s="5">
        <f t="shared" si="0"/>
        <v>7</v>
      </c>
      <c r="C14" s="5">
        <f t="shared" si="1"/>
        <v>7</v>
      </c>
      <c r="D14" s="5">
        <f t="shared" si="2"/>
        <v>0</v>
      </c>
      <c r="E14" s="5">
        <f t="shared" si="3"/>
        <v>46</v>
      </c>
      <c r="F14" s="64">
        <f>1-(1-VLOOKUP($E14,'Annual Mortality Rates'!$B$5:$C$105,2,FALSE))^(1/12)</f>
        <v>7.7533054016254432E-5</v>
      </c>
      <c r="G14" s="75">
        <f>IF(C14&gt;=[1]Assumptions!$H$9*12,100%,1-(1-IF(D14&gt;=7,2%,VLOOKUP($D14,'[1]Annual Lapse Rates'!$B$4:$C$14,2,FALSE)))^(1/12))</f>
        <v>8.7416109546967213E-3</v>
      </c>
      <c r="H14" s="81">
        <f t="shared" si="5"/>
        <v>7</v>
      </c>
      <c r="I14" s="65">
        <f t="shared" si="6"/>
        <v>4739.3175585256085</v>
      </c>
      <c r="J14" s="66">
        <f t="shared" si="7"/>
        <v>0.36745376426534909</v>
      </c>
      <c r="K14" s="66">
        <f t="shared" si="8"/>
        <v>41.801201570718092</v>
      </c>
      <c r="M14" s="67">
        <f t="shared" si="13"/>
        <v>12125581.912684038</v>
      </c>
      <c r="N14" s="67">
        <f>IF(AND(MOD(C14,12)=1,D14&lt;15),Assumptions!$H$4*I13,0)</f>
        <v>0</v>
      </c>
      <c r="O14" s="67"/>
      <c r="P14" s="90">
        <f t="shared" si="9"/>
        <v>106937.25307740587</v>
      </c>
      <c r="Q14" s="90">
        <f>M14*VLOOKUP(MOD(C14,12)+(MOD(C14,12)=0)*12,Assumptions!$C$22:$D$33,2,FALSE)*(F14+G14)</f>
        <v>2339.2524110682534</v>
      </c>
      <c r="R14" s="67">
        <f>IF(AND(MOD(C14,12)=0,D14&lt;15),Assumptions!$C$7*M14,0)</f>
        <v>0</v>
      </c>
      <c r="S14" s="68">
        <f>IF(MOD(C14,12)=0,M14*Assumptions!$D$17,0)</f>
        <v>0</v>
      </c>
      <c r="T14" s="68">
        <f t="shared" si="10"/>
        <v>0</v>
      </c>
      <c r="U14" s="67">
        <f>T14+AE14*(1+Assumptions!$D$17)</f>
        <v>0</v>
      </c>
      <c r="V14" s="67">
        <f>(M14+N14-O14)*(1+Assumptions!$D$17)-(P14+Q14)*(1+Assumptions!$D$17)^0.5-R14-T14</f>
        <v>12065484.152118968</v>
      </c>
      <c r="W14" s="67"/>
      <c r="X14" s="67"/>
      <c r="Y14" s="65">
        <f>Assumptions!$C$13*N14</f>
        <v>0</v>
      </c>
      <c r="Z14" s="65">
        <f>NPV(Assumptions!$D$19,N14:$N$259)*(1+Assumptions!$D$19)</f>
        <v>85199728.445416287</v>
      </c>
      <c r="AA14" s="68">
        <f t="shared" si="11"/>
        <v>783667.22017031314</v>
      </c>
      <c r="AC14" s="67">
        <f t="shared" si="12"/>
        <v>12065484.152118968</v>
      </c>
      <c r="AD14" s="67"/>
      <c r="AE14" s="67"/>
      <c r="AF14" s="67"/>
      <c r="AG14" s="67"/>
      <c r="AH14" s="67"/>
      <c r="AI14" s="67"/>
      <c r="AK14" s="67"/>
      <c r="AL14" s="70">
        <f t="shared" si="4"/>
        <v>0</v>
      </c>
    </row>
    <row r="15" spans="1:38" x14ac:dyDescent="0.2">
      <c r="B15" s="5">
        <f t="shared" si="0"/>
        <v>8</v>
      </c>
      <c r="C15" s="5">
        <f t="shared" si="1"/>
        <v>8</v>
      </c>
      <c r="D15" s="5">
        <f t="shared" si="2"/>
        <v>0</v>
      </c>
      <c r="E15" s="5">
        <f t="shared" si="3"/>
        <v>46</v>
      </c>
      <c r="F15" s="64">
        <f>1-(1-VLOOKUP($E15,'Annual Mortality Rates'!$B$5:$C$105,2,FALSE))^(1/12)</f>
        <v>7.7533054016254432E-5</v>
      </c>
      <c r="G15" s="75">
        <f>IF(C15&gt;=[1]Assumptions!$H$9*12,100%,1-(1-IF(D15&gt;=7,2%,VLOOKUP($D15,'[1]Annual Lapse Rates'!$B$4:$C$14,2,FALSE)))^(1/12))</f>
        <v>8.7416109546967213E-3</v>
      </c>
      <c r="H15" s="81">
        <f t="shared" si="5"/>
        <v>8</v>
      </c>
      <c r="I15" s="65">
        <f t="shared" si="6"/>
        <v>4697.1489031906249</v>
      </c>
      <c r="J15" s="66">
        <f t="shared" si="7"/>
        <v>0.36418429963346899</v>
      </c>
      <c r="K15" s="66">
        <f t="shared" si="8"/>
        <v>41.429270287393976</v>
      </c>
      <c r="M15" s="67">
        <f t="shared" si="13"/>
        <v>12065484.152118968</v>
      </c>
      <c r="N15" s="67">
        <f>IF(AND(MOD(C15,12)=1,D15&lt;15),Assumptions!$H$4*I14,0)</f>
        <v>0</v>
      </c>
      <c r="O15" s="67"/>
      <c r="P15" s="90">
        <f t="shared" si="9"/>
        <v>106407.24227238135</v>
      </c>
      <c r="Q15" s="90">
        <f>M15*VLOOKUP(MOD(C15,12)+(MOD(C15,12)=0)*12,Assumptions!$C$22:$D$33,2,FALSE)*(F15+G15)</f>
        <v>2660.1810568095339</v>
      </c>
      <c r="R15" s="67">
        <f>IF(AND(MOD(C15,12)=0,D15&lt;15),Assumptions!$C$7*M15,0)</f>
        <v>0</v>
      </c>
      <c r="S15" s="68">
        <f>IF(MOD(C15,12)=0,M15*Assumptions!$D$17,0)</f>
        <v>0</v>
      </c>
      <c r="T15" s="68">
        <f t="shared" si="10"/>
        <v>0</v>
      </c>
      <c r="U15" s="67">
        <f>T15+AE15*(1+Assumptions!$D$17)</f>
        <v>0</v>
      </c>
      <c r="V15" s="67">
        <f>(M15+N15-O15)*(1+Assumptions!$D$17)-(P15+Q15)*(1+Assumptions!$D$17)^0.5-R15-T15</f>
        <v>12005351.053477893</v>
      </c>
      <c r="W15" s="67"/>
      <c r="X15" s="67"/>
      <c r="Y15" s="65">
        <f>Assumptions!$C$13*N15</f>
        <v>0</v>
      </c>
      <c r="Z15" s="65">
        <f>NPV(Assumptions!$D$19,N15:$N$259)*(1+Assumptions!$D$19)</f>
        <v>85565491.24822025</v>
      </c>
      <c r="AA15" s="68">
        <f t="shared" si="11"/>
        <v>787031.50693677517</v>
      </c>
      <c r="AC15" s="67">
        <f t="shared" si="12"/>
        <v>12005351.053477893</v>
      </c>
      <c r="AD15" s="67"/>
      <c r="AE15" s="67"/>
      <c r="AF15" s="67"/>
      <c r="AG15" s="67"/>
      <c r="AH15" s="67"/>
      <c r="AI15" s="67"/>
      <c r="AK15" s="67"/>
      <c r="AL15" s="70">
        <f t="shared" si="4"/>
        <v>0</v>
      </c>
    </row>
    <row r="16" spans="1:38" x14ac:dyDescent="0.2">
      <c r="B16" s="5">
        <f t="shared" si="0"/>
        <v>9</v>
      </c>
      <c r="C16" s="5">
        <f t="shared" si="1"/>
        <v>9</v>
      </c>
      <c r="D16" s="5">
        <f t="shared" si="2"/>
        <v>0</v>
      </c>
      <c r="E16" s="5">
        <f t="shared" si="3"/>
        <v>46</v>
      </c>
      <c r="F16" s="64">
        <f>1-(1-VLOOKUP($E16,'Annual Mortality Rates'!$B$5:$C$105,2,FALSE))^(1/12)</f>
        <v>7.7533054016254432E-5</v>
      </c>
      <c r="G16" s="75">
        <f>IF(C16&gt;=[1]Assumptions!$H$9*12,100%,1-(1-IF(D16&gt;=7,2%,VLOOKUP($D16,'[1]Annual Lapse Rates'!$B$4:$C$14,2,FALSE)))^(1/12))</f>
        <v>8.7416109546967213E-3</v>
      </c>
      <c r="H16" s="81">
        <f t="shared" si="5"/>
        <v>9</v>
      </c>
      <c r="I16" s="65">
        <f t="shared" si="6"/>
        <v>4655.3554486035982</v>
      </c>
      <c r="J16" s="66">
        <f t="shared" si="7"/>
        <v>0.36094392546144716</v>
      </c>
      <c r="K16" s="66">
        <f t="shared" si="8"/>
        <v>41.060648307972855</v>
      </c>
      <c r="M16" s="67">
        <f t="shared" si="13"/>
        <v>12005351.053477893</v>
      </c>
      <c r="N16" s="67">
        <f>IF(AND(MOD(C16,12)=1,D16&lt;15),Assumptions!$H$4*I15,0)</f>
        <v>0</v>
      </c>
      <c r="O16" s="67"/>
      <c r="P16" s="90">
        <f t="shared" si="9"/>
        <v>105876.91981577557</v>
      </c>
      <c r="Q16" s="90">
        <f>M16*VLOOKUP(MOD(C16,12)+(MOD(C16,12)=0)*12,Assumptions!$C$22:$D$33,2,FALSE)*(F16+G16)</f>
        <v>2977.7883698186879</v>
      </c>
      <c r="R16" s="67">
        <f>IF(AND(MOD(C16,12)=0,D16&lt;15),Assumptions!$C$7*M16,0)</f>
        <v>0</v>
      </c>
      <c r="S16" s="68">
        <f>IF(MOD(C16,12)=0,M16*Assumptions!$D$17,0)</f>
        <v>0</v>
      </c>
      <c r="T16" s="68">
        <f t="shared" si="10"/>
        <v>0</v>
      </c>
      <c r="U16" s="67">
        <f>T16+AE16*(1+Assumptions!$D$17)</f>
        <v>0</v>
      </c>
      <c r="V16" s="67">
        <f>(M16+N16-O16)*(1+Assumptions!$D$17)-(P16+Q16)*(1+Assumptions!$D$17)^0.5-R16-T16</f>
        <v>11945186.11316652</v>
      </c>
      <c r="W16" s="67"/>
      <c r="X16" s="67"/>
      <c r="Y16" s="65">
        <f>Assumptions!$C$13*N16</f>
        <v>0</v>
      </c>
      <c r="Z16" s="65">
        <f>NPV(Assumptions!$D$19,N16:$N$259)*(1+Assumptions!$D$19)</f>
        <v>85932824.272318989</v>
      </c>
      <c r="AA16" s="68">
        <f t="shared" si="11"/>
        <v>790410.23660088016</v>
      </c>
      <c r="AC16" s="67">
        <f t="shared" si="12"/>
        <v>11945186.11316652</v>
      </c>
      <c r="AD16" s="67"/>
      <c r="AE16" s="67"/>
      <c r="AF16" s="67"/>
      <c r="AG16" s="67"/>
      <c r="AH16" s="67"/>
      <c r="AI16" s="67"/>
      <c r="AK16" s="67"/>
      <c r="AL16" s="70">
        <f t="shared" si="4"/>
        <v>0</v>
      </c>
    </row>
    <row r="17" spans="2:38" x14ac:dyDescent="0.2">
      <c r="B17" s="5">
        <f t="shared" si="0"/>
        <v>10</v>
      </c>
      <c r="C17" s="5">
        <f t="shared" si="1"/>
        <v>10</v>
      </c>
      <c r="D17" s="5">
        <f t="shared" si="2"/>
        <v>0</v>
      </c>
      <c r="E17" s="5">
        <f t="shared" si="3"/>
        <v>46</v>
      </c>
      <c r="F17" s="64">
        <f>1-(1-VLOOKUP($E17,'Annual Mortality Rates'!$B$5:$C$105,2,FALSE))^(1/12)</f>
        <v>7.7533054016254432E-5</v>
      </c>
      <c r="G17" s="75">
        <f>IF(C17&gt;=[1]Assumptions!$H$9*12,100%,1-(1-IF(D17&gt;=7,2%,VLOOKUP($D17,'[1]Annual Lapse Rates'!$B$4:$C$14,2,FALSE)))^(1/12))</f>
        <v>8.7416109546967213E-3</v>
      </c>
      <c r="H17" s="81">
        <f t="shared" si="5"/>
        <v>10</v>
      </c>
      <c r="I17" s="65">
        <f t="shared" si="6"/>
        <v>4613.933856370164</v>
      </c>
      <c r="J17" s="66">
        <f t="shared" si="7"/>
        <v>0.35773238291337306</v>
      </c>
      <c r="K17" s="66">
        <f t="shared" si="8"/>
        <v>40.695306187520281</v>
      </c>
      <c r="M17" s="67">
        <f t="shared" si="13"/>
        <v>11945186.11316652</v>
      </c>
      <c r="N17" s="67">
        <f>IF(AND(MOD(C17,12)=1,D17&lt;15),Assumptions!$H$4*I16,0)</f>
        <v>0</v>
      </c>
      <c r="O17" s="67"/>
      <c r="P17" s="90">
        <f t="shared" si="9"/>
        <v>105346.31654289395</v>
      </c>
      <c r="Q17" s="90">
        <f>M17*VLOOKUP(MOD(C17,12)+(MOD(C17,12)=0)*12,Assumptions!$C$22:$D$33,2,FALSE)*(F17+G17)</f>
        <v>3292.0723919654361</v>
      </c>
      <c r="R17" s="67">
        <f>IF(AND(MOD(C17,12)=0,D17&lt;15),Assumptions!$C$7*M17,0)</f>
        <v>0</v>
      </c>
      <c r="S17" s="68">
        <f>IF(MOD(C17,12)=0,M17*Assumptions!$D$17,0)</f>
        <v>0</v>
      </c>
      <c r="T17" s="68">
        <f t="shared" si="10"/>
        <v>0</v>
      </c>
      <c r="U17" s="67">
        <f>T17+AE17*(1+Assumptions!$D$17)</f>
        <v>0</v>
      </c>
      <c r="V17" s="67">
        <f>(M17+N17-O17)*(1+Assumptions!$D$17)-(P17+Q17)*(1+Assumptions!$D$17)^0.5-R17-T17</f>
        <v>11884992.812899413</v>
      </c>
      <c r="W17" s="67"/>
      <c r="X17" s="67"/>
      <c r="Y17" s="65">
        <f>Assumptions!$C$13*N17</f>
        <v>0</v>
      </c>
      <c r="Z17" s="65">
        <f>NPV(Assumptions!$D$19,N17:$N$259)*(1+Assumptions!$D$19)</f>
        <v>86301734.25867933</v>
      </c>
      <c r="AA17" s="68">
        <f t="shared" si="11"/>
        <v>793803.47116605018</v>
      </c>
      <c r="AC17" s="67">
        <f t="shared" si="12"/>
        <v>11884992.812899413</v>
      </c>
      <c r="AD17" s="67"/>
      <c r="AE17" s="67"/>
      <c r="AF17" s="67"/>
      <c r="AG17" s="67"/>
      <c r="AH17" s="67"/>
      <c r="AI17" s="67"/>
      <c r="AK17" s="67"/>
      <c r="AL17" s="70">
        <f t="shared" si="4"/>
        <v>0</v>
      </c>
    </row>
    <row r="18" spans="2:38" x14ac:dyDescent="0.2">
      <c r="B18" s="5">
        <f t="shared" si="0"/>
        <v>11</v>
      </c>
      <c r="C18" s="5">
        <f t="shared" si="1"/>
        <v>11</v>
      </c>
      <c r="D18" s="5">
        <f t="shared" si="2"/>
        <v>0</v>
      </c>
      <c r="E18" s="5">
        <f t="shared" si="3"/>
        <v>46</v>
      </c>
      <c r="F18" s="64">
        <f>1-(1-VLOOKUP($E18,'Annual Mortality Rates'!$B$5:$C$105,2,FALSE))^(1/12)</f>
        <v>7.7533054016254432E-5</v>
      </c>
      <c r="G18" s="75">
        <f>IF(C18&gt;=[1]Assumptions!$H$9*12,100%,1-(1-IF(D18&gt;=7,2%,VLOOKUP($D18,'[1]Annual Lapse Rates'!$B$4:$C$14,2,FALSE)))^(1/12))</f>
        <v>8.7416109546967213E-3</v>
      </c>
      <c r="H18" s="81">
        <f t="shared" si="5"/>
        <v>11</v>
      </c>
      <c r="I18" s="65">
        <f t="shared" si="6"/>
        <v>4572.8808177997307</v>
      </c>
      <c r="J18" s="66">
        <f t="shared" si="7"/>
        <v>0.35454941545636026</v>
      </c>
      <c r="K18" s="66">
        <f t="shared" si="8"/>
        <v>40.333214743091517</v>
      </c>
      <c r="M18" s="67">
        <f t="shared" si="13"/>
        <v>11884992.812899413</v>
      </c>
      <c r="N18" s="67">
        <f>IF(AND(MOD(C18,12)=1,D18&lt;15),Assumptions!$H$4*I17,0)</f>
        <v>0</v>
      </c>
      <c r="O18" s="67"/>
      <c r="P18" s="90">
        <f t="shared" si="9"/>
        <v>104815.46315947863</v>
      </c>
      <c r="Q18" s="90">
        <f>M18*VLOOKUP(MOD(C18,12)+(MOD(C18,12)=0)*12,Assumptions!$C$22:$D$33,2,FALSE)*(F18+G18)</f>
        <v>3603.0315461070782</v>
      </c>
      <c r="R18" s="67">
        <f>IF(AND(MOD(C18,12)=0,D18&lt;15),Assumptions!$C$7*M18,0)</f>
        <v>0</v>
      </c>
      <c r="S18" s="68">
        <f>IF(MOD(C18,12)=0,M18*Assumptions!$D$17,0)</f>
        <v>0</v>
      </c>
      <c r="T18" s="68">
        <f t="shared" si="10"/>
        <v>0</v>
      </c>
      <c r="U18" s="67">
        <f>T18+AE18*(1+Assumptions!$D$17)</f>
        <v>0</v>
      </c>
      <c r="V18" s="67">
        <f>(M18+N18-O18)*(1+Assumptions!$D$17)-(P18+Q18)*(1+Assumptions!$D$17)^0.5-R18-T18</f>
        <v>11824774.619388185</v>
      </c>
      <c r="W18" s="67"/>
      <c r="X18" s="67"/>
      <c r="Y18" s="65">
        <f>Assumptions!$C$13*N18</f>
        <v>0</v>
      </c>
      <c r="Z18" s="65">
        <f>NPV(Assumptions!$D$19,N18:$N$259)*(1+Assumptions!$D$19)</f>
        <v>86672227.977207094</v>
      </c>
      <c r="AA18" s="68">
        <f t="shared" si="11"/>
        <v>797211.27290188789</v>
      </c>
      <c r="AC18" s="67">
        <f t="shared" si="12"/>
        <v>11824774.619388185</v>
      </c>
      <c r="AD18" s="67"/>
      <c r="AE18" s="67"/>
      <c r="AF18" s="67"/>
      <c r="AG18" s="67"/>
      <c r="AH18" s="67"/>
      <c r="AI18" s="67"/>
      <c r="AK18" s="67"/>
      <c r="AL18" s="70">
        <f t="shared" si="4"/>
        <v>0</v>
      </c>
    </row>
    <row r="19" spans="2:38" x14ac:dyDescent="0.2">
      <c r="B19" s="5">
        <f t="shared" si="0"/>
        <v>12</v>
      </c>
      <c r="C19" s="5">
        <f t="shared" si="1"/>
        <v>12</v>
      </c>
      <c r="D19" s="5">
        <f t="shared" si="2"/>
        <v>0</v>
      </c>
      <c r="E19" s="5">
        <f t="shared" si="3"/>
        <v>46</v>
      </c>
      <c r="F19" s="64">
        <f>1-(1-VLOOKUP($E19,'Annual Mortality Rates'!$B$5:$C$105,2,FALSE))^(1/12)</f>
        <v>7.7533054016254432E-5</v>
      </c>
      <c r="G19" s="75">
        <f>IF(C19&gt;=[1]Assumptions!$H$9*12,100%,1-(1-IF(D19&gt;=7,2%,VLOOKUP($D19,'[1]Annual Lapse Rates'!$B$4:$C$14,2,FALSE)))^(1/12))</f>
        <v>8.7416109546967213E-3</v>
      </c>
      <c r="H19" s="81">
        <f t="shared" si="5"/>
        <v>12</v>
      </c>
      <c r="I19" s="65">
        <f t="shared" si="6"/>
        <v>4532.1930536411828</v>
      </c>
      <c r="J19" s="66">
        <f t="shared" si="7"/>
        <v>0.35139476884005494</v>
      </c>
      <c r="K19" s="66">
        <f t="shared" si="8"/>
        <v>39.974345051400626</v>
      </c>
      <c r="M19" s="67">
        <f t="shared" si="13"/>
        <v>11824774.619388185</v>
      </c>
      <c r="N19" s="67">
        <f>IF(AND(MOD(C19,12)=1,D19&lt;15),Assumptions!$H$4*I18,0)</f>
        <v>0</v>
      </c>
      <c r="O19" s="67"/>
      <c r="P19" s="90">
        <f t="shared" si="9"/>
        <v>104284.39023895857</v>
      </c>
      <c r="Q19" s="90">
        <f>M19*VLOOKUP(MOD(C19,12)+(MOD(C19,12)=0)*12,Assumptions!$C$22:$D$33,2,FALSE)*(F19+G19)</f>
        <v>3910.6646339609474</v>
      </c>
      <c r="R19" s="67">
        <f>IF(AND(MOD(C19,12)=0,D19&lt;15),Assumptions!$C$7*M19,0)</f>
        <v>5912.3873096940924</v>
      </c>
      <c r="S19" s="68">
        <f>IF(MOD(C19,12)=0,M19*Assumptions!$D$17,0)</f>
        <v>48175.595513130815</v>
      </c>
      <c r="T19" s="68">
        <f t="shared" si="10"/>
        <v>0</v>
      </c>
      <c r="U19" s="67">
        <f>T19+AE19*(1+Assumptions!$D$17)</f>
        <v>0</v>
      </c>
      <c r="V19" s="67">
        <f>(M19+N19-O19)*(1+Assumptions!$D$17)-(P19+Q19)*(1+Assumptions!$D$17)^0.5-R19-T19</f>
        <v>11758622.596723653</v>
      </c>
      <c r="W19" s="67"/>
      <c r="X19" s="67"/>
      <c r="Y19" s="65">
        <f>Assumptions!$C$13*N19</f>
        <v>0</v>
      </c>
      <c r="Z19" s="65">
        <f>NPV(Assumptions!$D$19,N19:$N$259)*(1+Assumptions!$D$19)</f>
        <v>87044312.226871282</v>
      </c>
      <c r="AA19" s="68">
        <f t="shared" si="11"/>
        <v>800633.7043453207</v>
      </c>
      <c r="AC19" s="67">
        <f t="shared" si="12"/>
        <v>11758622.596723653</v>
      </c>
      <c r="AD19" s="67"/>
      <c r="AE19" s="67"/>
      <c r="AF19" s="67"/>
      <c r="AG19" s="67"/>
      <c r="AH19" s="67"/>
      <c r="AI19" s="67"/>
      <c r="AK19" s="67"/>
      <c r="AL19" s="70">
        <f t="shared" si="4"/>
        <v>0</v>
      </c>
    </row>
    <row r="20" spans="2:38" x14ac:dyDescent="0.2">
      <c r="B20" s="5">
        <f t="shared" si="0"/>
        <v>13</v>
      </c>
      <c r="C20" s="5">
        <f t="shared" si="1"/>
        <v>13</v>
      </c>
      <c r="D20" s="5">
        <f t="shared" si="2"/>
        <v>1</v>
      </c>
      <c r="E20" s="5">
        <f t="shared" si="3"/>
        <v>47</v>
      </c>
      <c r="F20" s="64">
        <f>1-(1-VLOOKUP($E20,'Annual Mortality Rates'!$B$5:$C$105,2,FALSE))^(1/12)</f>
        <v>8.5873880504183653E-5</v>
      </c>
      <c r="G20" s="75">
        <f>IF(C20&gt;=[1]Assumptions!$H$9*12,100%,1-(1-IF(D20&gt;=7,2%,VLOOKUP($D20,'[1]Annual Lapse Rates'!$B$4:$C$14,2,FALSE)))^(1/12))</f>
        <v>6.9243826282994192E-3</v>
      </c>
      <c r="H20" s="81">
        <f t="shared" si="5"/>
        <v>1</v>
      </c>
      <c r="I20" s="65">
        <f t="shared" si="6"/>
        <v>4491.8673138209424</v>
      </c>
      <c r="J20" s="66">
        <f t="shared" si="7"/>
        <v>0.385734076947708</v>
      </c>
      <c r="K20" s="66">
        <f t="shared" si="8"/>
        <v>31.382638848732302</v>
      </c>
      <c r="M20" s="67">
        <f t="shared" si="13"/>
        <v>11758622.596723653</v>
      </c>
      <c r="N20" s="67">
        <f>IF(AND(MOD(C20,12)=1,D20&lt;15),Assumptions!$H$4*I19,0)</f>
        <v>11330482.634102957</v>
      </c>
      <c r="O20" s="67"/>
      <c r="P20" s="90">
        <f t="shared" si="9"/>
        <v>82430.960593247117</v>
      </c>
      <c r="Q20" s="90">
        <f>M20*VLOOKUP(MOD(C20,12)+(MOD(C20,12)=0)*12,Assumptions!$C$22:$D$33,2,FALSE)*(F20+G20)</f>
        <v>257.59675185389722</v>
      </c>
      <c r="R20" s="67">
        <f>IF(AND(MOD(C20,12)=0,D20&lt;15),Assumptions!$C$7*M20,0)</f>
        <v>0</v>
      </c>
      <c r="S20" s="68">
        <f>IF(MOD(C20,12)=0,M20*Assumptions!$D$17,0)</f>
        <v>0</v>
      </c>
      <c r="T20" s="68">
        <f t="shared" si="10"/>
        <v>0</v>
      </c>
      <c r="U20" s="67">
        <f>T20+AE20*(1+Assumptions!$D$17)</f>
        <v>0</v>
      </c>
      <c r="V20" s="67">
        <f>(M20+N20-O20)*(1+Assumptions!$D$17)-(P20+Q20)*(1+Assumptions!$D$17)^0.5-R20-T20</f>
        <v>23100316.275751017</v>
      </c>
      <c r="W20" s="67"/>
      <c r="X20" s="67">
        <f>IF(AND(H20=1,D20&lt;15),Assumptions!$D$10*N20+Assumptions!$D$11*(1+Assumptions!$D$16)^(B20-1)*$I$7,0)</f>
        <v>89802.413170514803</v>
      </c>
      <c r="Y20" s="65">
        <f>Assumptions!$C$13*N20</f>
        <v>56652.413170514788</v>
      </c>
      <c r="Z20" s="65">
        <f>NPV(Assumptions!$D$19,N20:$N$259)*(1+Assumptions!$D$19)</f>
        <v>87417993.83582902</v>
      </c>
      <c r="AA20" s="68">
        <f t="shared" si="11"/>
        <v>699853.03335015662</v>
      </c>
      <c r="AC20" s="67">
        <f t="shared" si="12"/>
        <v>23100316.275751017</v>
      </c>
      <c r="AD20" s="67"/>
      <c r="AE20" s="67"/>
      <c r="AF20" s="67"/>
      <c r="AG20" s="67"/>
      <c r="AH20" s="67"/>
      <c r="AI20" s="67"/>
      <c r="AK20" s="67"/>
      <c r="AL20" s="70">
        <f t="shared" si="4"/>
        <v>0</v>
      </c>
    </row>
    <row r="21" spans="2:38" x14ac:dyDescent="0.2">
      <c r="B21" s="5">
        <f t="shared" si="0"/>
        <v>14</v>
      </c>
      <c r="C21" s="5">
        <f t="shared" si="1"/>
        <v>14</v>
      </c>
      <c r="D21" s="5">
        <f t="shared" si="2"/>
        <v>1</v>
      </c>
      <c r="E21" s="5">
        <f t="shared" si="3"/>
        <v>47</v>
      </c>
      <c r="F21" s="64">
        <f>1-(1-VLOOKUP($E21,'Annual Mortality Rates'!$B$5:$C$105,2,FALSE))^(1/12)</f>
        <v>8.5873880504183653E-5</v>
      </c>
      <c r="G21" s="75">
        <f>IF(C21&gt;=[1]Assumptions!$H$9*12,100%,1-(1-IF(D21&gt;=7,2%,VLOOKUP($D21,'[1]Annual Lapse Rates'!$B$4:$C$14,2,FALSE)))^(1/12))</f>
        <v>6.9243826282994192E-3</v>
      </c>
      <c r="H21" s="81">
        <f t="shared" si="5"/>
        <v>2</v>
      </c>
      <c r="I21" s="65">
        <f t="shared" si="6"/>
        <v>4460.0989408952628</v>
      </c>
      <c r="J21" s="66">
        <f t="shared" si="7"/>
        <v>0.38300600348727587</v>
      </c>
      <c r="K21" s="66">
        <f t="shared" si="8"/>
        <v>31.103407996447711</v>
      </c>
      <c r="M21" s="67">
        <f t="shared" si="13"/>
        <v>23100316.275751017</v>
      </c>
      <c r="N21" s="67">
        <f>IF(AND(MOD(C21,12)=1,D21&lt;15),Assumptions!$H$4*I20,0)</f>
        <v>0</v>
      </c>
      <c r="O21" s="67"/>
      <c r="P21" s="90">
        <f t="shared" si="9"/>
        <v>161939.14252750538</v>
      </c>
      <c r="Q21" s="90">
        <f>M21*VLOOKUP(MOD(C21,12)+(MOD(C21,12)=0)*12,Assumptions!$C$22:$D$33,2,FALSE)*(F21+G21)</f>
        <v>1012.1196407969086</v>
      </c>
      <c r="R21" s="67">
        <f>IF(AND(MOD(C21,12)=0,D21&lt;15),Assumptions!$C$7*M21,0)</f>
        <v>0</v>
      </c>
      <c r="S21" s="68">
        <f>IF(MOD(C21,12)=0,M21*Assumptions!$D$17,0)</f>
        <v>0</v>
      </c>
      <c r="T21" s="68">
        <f t="shared" si="10"/>
        <v>0</v>
      </c>
      <c r="U21" s="67">
        <f>T21+AE21*(1+Assumptions!$D$17)</f>
        <v>0</v>
      </c>
      <c r="V21" s="67">
        <f>(M21+N21-O21)*(1+Assumptions!$D$17)-(P21+Q21)*(1+Assumptions!$D$17)^0.5-R21-T21</f>
        <v>23031146.9571312</v>
      </c>
      <c r="W21" s="67"/>
      <c r="X21" s="67">
        <f>IF(AND(H21=1,D21&lt;15),Assumptions!$D$10*N21+Assumptions!$D$11*(1+Assumptions!$D$16)^(B21-1)*$I$7,0)</f>
        <v>0</v>
      </c>
      <c r="Y21" s="65">
        <f>Assumptions!$C$13*N21</f>
        <v>0</v>
      </c>
      <c r="Z21" s="65">
        <f>NPV(Assumptions!$D$19,N21:$N$259)*(1+Assumptions!$D$19)</f>
        <v>76414155.216481924</v>
      </c>
      <c r="AA21" s="68">
        <f t="shared" si="11"/>
        <v>702857.50545000588</v>
      </c>
      <c r="AC21" s="67">
        <f t="shared" si="12"/>
        <v>23031146.9571312</v>
      </c>
      <c r="AD21" s="67"/>
      <c r="AE21" s="67"/>
      <c r="AF21" s="67"/>
      <c r="AG21" s="67"/>
      <c r="AH21" s="67"/>
      <c r="AI21" s="67"/>
      <c r="AK21" s="67"/>
      <c r="AL21" s="70">
        <f t="shared" si="4"/>
        <v>0</v>
      </c>
    </row>
    <row r="22" spans="2:38" x14ac:dyDescent="0.2">
      <c r="B22" s="5">
        <f t="shared" si="0"/>
        <v>15</v>
      </c>
      <c r="C22" s="5">
        <f t="shared" si="1"/>
        <v>15</v>
      </c>
      <c r="D22" s="5">
        <f t="shared" si="2"/>
        <v>1</v>
      </c>
      <c r="E22" s="5">
        <f t="shared" si="3"/>
        <v>47</v>
      </c>
      <c r="F22" s="64">
        <f>1-(1-VLOOKUP($E22,'Annual Mortality Rates'!$B$5:$C$105,2,FALSE))^(1/12)</f>
        <v>8.5873880504183653E-5</v>
      </c>
      <c r="G22" s="75">
        <f>IF(C22&gt;=[1]Assumptions!$H$9*12,100%,1-(1-IF(D22&gt;=7,2%,VLOOKUP($D22,'[1]Annual Lapse Rates'!$B$4:$C$14,2,FALSE)))^(1/12))</f>
        <v>6.9243826282994192E-3</v>
      </c>
      <c r="H22" s="81">
        <f t="shared" si="5"/>
        <v>3</v>
      </c>
      <c r="I22" s="65">
        <f t="shared" si="6"/>
        <v>4428.6125268953283</v>
      </c>
      <c r="J22" s="66">
        <f t="shared" si="7"/>
        <v>0.38030214293394021</v>
      </c>
      <c r="K22" s="66">
        <f t="shared" si="8"/>
        <v>30.883431626831797</v>
      </c>
      <c r="M22" s="67">
        <f t="shared" si="13"/>
        <v>23031146.9571312</v>
      </c>
      <c r="N22" s="67">
        <f>IF(AND(MOD(C22,12)=1,D22&lt;15),Assumptions!$H$4*I21,0)</f>
        <v>0</v>
      </c>
      <c r="O22" s="67"/>
      <c r="P22" s="90">
        <f t="shared" si="9"/>
        <v>161454.24786144128</v>
      </c>
      <c r="Q22" s="90">
        <f>M22*VLOOKUP(MOD(C22,12)+(MOD(C22,12)=0)*12,Assumptions!$C$22:$D$33,2,FALSE)*(F22+G22)</f>
        <v>1513.6335737010122</v>
      </c>
      <c r="R22" s="67">
        <f>IF(AND(MOD(C22,12)=0,D22&lt;15),Assumptions!$C$7*M22,0)</f>
        <v>0</v>
      </c>
      <c r="S22" s="68">
        <f>IF(MOD(C22,12)=0,M22*Assumptions!$D$17,0)</f>
        <v>0</v>
      </c>
      <c r="T22" s="68">
        <f t="shared" si="10"/>
        <v>0</v>
      </c>
      <c r="U22" s="67">
        <f>T22+AE22*(1+Assumptions!$D$17)</f>
        <v>0</v>
      </c>
      <c r="V22" s="67">
        <f>(M22+N22-O22)*(1+Assumptions!$D$17)-(P22+Q22)*(1+Assumptions!$D$17)^0.5-R22-T22</f>
        <v>22961679.181058388</v>
      </c>
      <c r="W22" s="67"/>
      <c r="X22" s="67">
        <f>IF(AND(H22=1,D22&lt;15),Assumptions!$D$10*N22+Assumptions!$D$11*(1+Assumptions!$D$16)^(B22-1)*$I$7,0)</f>
        <v>0</v>
      </c>
      <c r="Y22" s="65">
        <f>Assumptions!$C$13*N22</f>
        <v>0</v>
      </c>
      <c r="Z22" s="65">
        <f>NPV(Assumptions!$D$19,N22:$N$259)*(1+Assumptions!$D$19)</f>
        <v>76742201.515406236</v>
      </c>
      <c r="AA22" s="68">
        <f t="shared" si="11"/>
        <v>705874.87576157798</v>
      </c>
      <c r="AC22" s="67">
        <f t="shared" si="12"/>
        <v>22961679.181058388</v>
      </c>
      <c r="AD22" s="67"/>
      <c r="AE22" s="67"/>
      <c r="AF22" s="67"/>
      <c r="AG22" s="67"/>
      <c r="AH22" s="67"/>
      <c r="AI22" s="67"/>
      <c r="AK22" s="67"/>
      <c r="AL22" s="70">
        <f t="shared" si="4"/>
        <v>0</v>
      </c>
    </row>
    <row r="23" spans="2:38" x14ac:dyDescent="0.2">
      <c r="B23" s="5">
        <f t="shared" si="0"/>
        <v>16</v>
      </c>
      <c r="C23" s="5">
        <f t="shared" si="1"/>
        <v>16</v>
      </c>
      <c r="D23" s="5">
        <f t="shared" si="2"/>
        <v>1</v>
      </c>
      <c r="E23" s="5">
        <f t="shared" si="3"/>
        <v>47</v>
      </c>
      <c r="F23" s="64">
        <f>1-(1-VLOOKUP($E23,'Annual Mortality Rates'!$B$5:$C$105,2,FALSE))^(1/12)</f>
        <v>8.5873880504183653E-5</v>
      </c>
      <c r="G23" s="75">
        <f>IF(C23&gt;=[1]Assumptions!$H$9*12,100%,1-(1-IF(D23&gt;=7,2%,VLOOKUP($D23,'[1]Annual Lapse Rates'!$B$4:$C$14,2,FALSE)))^(1/12))</f>
        <v>6.9243826282994192E-3</v>
      </c>
      <c r="H23" s="81">
        <f t="shared" si="5"/>
        <v>4</v>
      </c>
      <c r="I23" s="65">
        <f t="shared" si="6"/>
        <v>4397.3487931255622</v>
      </c>
      <c r="J23" s="66">
        <f t="shared" si="7"/>
        <v>0.37761740479608075</v>
      </c>
      <c r="K23" s="66">
        <f t="shared" si="8"/>
        <v>30.665407648703205</v>
      </c>
      <c r="M23" s="67">
        <f t="shared" si="13"/>
        <v>22961679.181058388</v>
      </c>
      <c r="N23" s="67">
        <f>IF(AND(MOD(C23,12)=1,D23&lt;15),Assumptions!$H$4*I22,0)</f>
        <v>0</v>
      </c>
      <c r="O23" s="67"/>
      <c r="P23" s="90">
        <f t="shared" si="9"/>
        <v>160967.26093207474</v>
      </c>
      <c r="Q23" s="90">
        <f>M23*VLOOKUP(MOD(C23,12)+(MOD(C23,12)=0)*12,Assumptions!$C$22:$D$33,2,FALSE)*(F23+G23)</f>
        <v>2012.0907616509344</v>
      </c>
      <c r="R23" s="67">
        <f>IF(AND(MOD(C23,12)=0,D23&lt;15),Assumptions!$C$7*M23,0)</f>
        <v>0</v>
      </c>
      <c r="S23" s="68">
        <f>IF(MOD(C23,12)=0,M23*Assumptions!$D$17,0)</f>
        <v>0</v>
      </c>
      <c r="T23" s="68">
        <f t="shared" si="10"/>
        <v>0</v>
      </c>
      <c r="U23" s="67">
        <f>T23+AE23*(1+Assumptions!$D$17)</f>
        <v>0</v>
      </c>
      <c r="V23" s="67">
        <f>(M23+N23-O23)*(1+Assumptions!$D$17)-(P23+Q23)*(1+Assumptions!$D$17)^0.5-R23-T23</f>
        <v>22891916.891066425</v>
      </c>
      <c r="W23" s="67"/>
      <c r="X23" s="67">
        <f>IF(AND(H23=1,D23&lt;15),Assumptions!$D$10*N23+Assumptions!$D$11*(1+Assumptions!$D$16)^(B23-1)*$I$7,0)</f>
        <v>0</v>
      </c>
      <c r="Y23" s="65">
        <f>Assumptions!$C$13*N23</f>
        <v>0</v>
      </c>
      <c r="Z23" s="65">
        <f>NPV(Assumptions!$D$19,N23:$N$259)*(1+Assumptions!$D$19)</f>
        <v>77071656.118511051</v>
      </c>
      <c r="AA23" s="68">
        <f t="shared" si="11"/>
        <v>708905.19965695124</v>
      </c>
      <c r="AC23" s="67">
        <f t="shared" si="12"/>
        <v>22891916.891066425</v>
      </c>
      <c r="AD23" s="67"/>
      <c r="AE23" s="67"/>
      <c r="AF23" s="67"/>
      <c r="AG23" s="67"/>
      <c r="AH23" s="67"/>
      <c r="AI23" s="67"/>
      <c r="AK23" s="67"/>
      <c r="AL23" s="70">
        <f t="shared" si="4"/>
        <v>0</v>
      </c>
    </row>
    <row r="24" spans="2:38" x14ac:dyDescent="0.2">
      <c r="B24" s="5">
        <f t="shared" si="0"/>
        <v>17</v>
      </c>
      <c r="C24" s="5">
        <f t="shared" si="1"/>
        <v>17</v>
      </c>
      <c r="D24" s="5">
        <f t="shared" si="2"/>
        <v>1</v>
      </c>
      <c r="E24" s="5">
        <f t="shared" si="3"/>
        <v>47</v>
      </c>
      <c r="F24" s="64">
        <f>1-(1-VLOOKUP($E24,'Annual Mortality Rates'!$B$5:$C$105,2,FALSE))^(1/12)</f>
        <v>8.5873880504183653E-5</v>
      </c>
      <c r="G24" s="75">
        <f>IF(C24&gt;=[1]Assumptions!$H$9*12,100%,1-(1-IF(D24&gt;=7,2%,VLOOKUP($D24,'[1]Annual Lapse Rates'!$B$4:$C$14,2,FALSE)))^(1/12))</f>
        <v>6.9243826282994192E-3</v>
      </c>
      <c r="H24" s="81">
        <f t="shared" si="5"/>
        <v>5</v>
      </c>
      <c r="I24" s="65">
        <f t="shared" si="6"/>
        <v>4366.3057680720631</v>
      </c>
      <c r="J24" s="66">
        <f t="shared" si="7"/>
        <v>0.37495161977214819</v>
      </c>
      <c r="K24" s="66">
        <f t="shared" si="8"/>
        <v>30.44892559369206</v>
      </c>
      <c r="M24" s="67">
        <f t="shared" si="13"/>
        <v>22891916.891066425</v>
      </c>
      <c r="N24" s="67">
        <f>IF(AND(MOD(C24,12)=1,D24&lt;15),Assumptions!$H$4*I23,0)</f>
        <v>0</v>
      </c>
      <c r="O24" s="67"/>
      <c r="P24" s="90">
        <f t="shared" si="9"/>
        <v>160478.20938458954</v>
      </c>
      <c r="Q24" s="90">
        <f>M24*VLOOKUP(MOD(C24,12)+(MOD(C24,12)=0)*12,Assumptions!$C$22:$D$33,2,FALSE)*(F24+G24)</f>
        <v>2507.4720216342116</v>
      </c>
      <c r="R24" s="67">
        <f>IF(AND(MOD(C24,12)=0,D24&lt;15),Assumptions!$C$7*M24,0)</f>
        <v>0</v>
      </c>
      <c r="S24" s="68">
        <f>IF(MOD(C24,12)=0,M24*Assumptions!$D$17,0)</f>
        <v>0</v>
      </c>
      <c r="T24" s="68">
        <f t="shared" si="10"/>
        <v>0</v>
      </c>
      <c r="U24" s="67">
        <f>T24+AE24*(1+Assumptions!$D$17)</f>
        <v>0</v>
      </c>
      <c r="V24" s="67">
        <f>(M24+N24-O24)*(1+Assumptions!$D$17)-(P24+Q24)*(1+Assumptions!$D$17)^0.5-R24-T24</f>
        <v>22821864.038276192</v>
      </c>
      <c r="W24" s="67"/>
      <c r="X24" s="67">
        <f>IF(AND(H24=1,D24&lt;15),Assumptions!$D$10*N24+Assumptions!$D$11*(1+Assumptions!$D$16)^(B24-1)*$I$7,0)</f>
        <v>0</v>
      </c>
      <c r="Y24" s="65">
        <f>Assumptions!$C$13*N24</f>
        <v>0</v>
      </c>
      <c r="Z24" s="65">
        <f>NPV(Assumptions!$D$19,N24:$N$259)*(1+Assumptions!$D$19)</f>
        <v>77402525.071652263</v>
      </c>
      <c r="AA24" s="68">
        <f t="shared" si="11"/>
        <v>711948.53274591686</v>
      </c>
      <c r="AC24" s="67">
        <f t="shared" si="12"/>
        <v>22821864.038276192</v>
      </c>
      <c r="AD24" s="67"/>
      <c r="AE24" s="67"/>
      <c r="AF24" s="67"/>
      <c r="AG24" s="67"/>
      <c r="AH24" s="67"/>
      <c r="AI24" s="67"/>
      <c r="AK24" s="67"/>
      <c r="AL24" s="70">
        <f t="shared" si="4"/>
        <v>0</v>
      </c>
    </row>
    <row r="25" spans="2:38" x14ac:dyDescent="0.2">
      <c r="B25" s="5">
        <f t="shared" si="0"/>
        <v>18</v>
      </c>
      <c r="C25" s="5">
        <f t="shared" si="1"/>
        <v>18</v>
      </c>
      <c r="D25" s="5">
        <f t="shared" si="2"/>
        <v>1</v>
      </c>
      <c r="E25" s="5">
        <f t="shared" si="3"/>
        <v>47</v>
      </c>
      <c r="F25" s="64">
        <f>1-(1-VLOOKUP($E25,'Annual Mortality Rates'!$B$5:$C$105,2,FALSE))^(1/12)</f>
        <v>8.5873880504183653E-5</v>
      </c>
      <c r="G25" s="75">
        <f>IF(C25&gt;=[1]Assumptions!$H$9*12,100%,1-(1-IF(D25&gt;=7,2%,VLOOKUP($D25,'[1]Annual Lapse Rates'!$B$4:$C$14,2,FALSE)))^(1/12))</f>
        <v>6.9243826282994192E-3</v>
      </c>
      <c r="H25" s="81">
        <f t="shared" si="5"/>
        <v>6</v>
      </c>
      <c r="I25" s="65">
        <f t="shared" si="6"/>
        <v>4335.4818908585985</v>
      </c>
      <c r="J25" s="66">
        <f t="shared" si="7"/>
        <v>0.37230465382364347</v>
      </c>
      <c r="K25" s="66">
        <f t="shared" si="8"/>
        <v>30.233971810281748</v>
      </c>
      <c r="M25" s="67">
        <f t="shared" si="13"/>
        <v>22821864.038276192</v>
      </c>
      <c r="N25" s="67">
        <f>IF(AND(MOD(C25,12)=1,D25&lt;15),Assumptions!$H$4*I24,0)</f>
        <v>0</v>
      </c>
      <c r="O25" s="67"/>
      <c r="P25" s="90">
        <f t="shared" si="9"/>
        <v>159987.12091735654</v>
      </c>
      <c r="Q25" s="90">
        <f>M25*VLOOKUP(MOD(C25,12)+(MOD(C25,12)=0)*12,Assumptions!$C$22:$D$33,2,FALSE)*(F25+G25)</f>
        <v>2999.7585172004356</v>
      </c>
      <c r="R25" s="67">
        <f>IF(AND(MOD(C25,12)=0,D25&lt;15),Assumptions!$C$7*M25,0)</f>
        <v>0</v>
      </c>
      <c r="S25" s="68">
        <f>IF(MOD(C25,12)=0,M25*Assumptions!$D$17,0)</f>
        <v>0</v>
      </c>
      <c r="T25" s="68">
        <f t="shared" si="10"/>
        <v>0</v>
      </c>
      <c r="U25" s="67">
        <f>T25+AE25*(1+Assumptions!$D$17)</f>
        <v>0</v>
      </c>
      <c r="V25" s="67">
        <f>(M25+N25-O25)*(1+Assumptions!$D$17)-(P25+Q25)*(1+Assumptions!$D$17)^0.5-R25-T25</f>
        <v>22751524.581025984</v>
      </c>
      <c r="W25" s="67"/>
      <c r="X25" s="67">
        <f>IF(AND(H25=1,D25&lt;15),Assumptions!$D$10*N25+Assumptions!$D$11*(1+Assumptions!$D$16)^(B25-1)*$I$7,0)</f>
        <v>0</v>
      </c>
      <c r="Y25" s="65">
        <f>Assumptions!$C$13*N25</f>
        <v>0</v>
      </c>
      <c r="Z25" s="65">
        <f>NPV(Assumptions!$D$19,N25:$N$259)*(1+Assumptions!$D$19)</f>
        <v>77734814.446640685</v>
      </c>
      <c r="AA25" s="68">
        <f t="shared" si="11"/>
        <v>715004.93087699951</v>
      </c>
      <c r="AC25" s="67">
        <f t="shared" si="12"/>
        <v>22751524.581025984</v>
      </c>
      <c r="AD25" s="67"/>
      <c r="AE25" s="67"/>
      <c r="AF25" s="67"/>
      <c r="AG25" s="67"/>
      <c r="AH25" s="67"/>
      <c r="AI25" s="67"/>
      <c r="AK25" s="67"/>
      <c r="AL25" s="70">
        <f t="shared" si="4"/>
        <v>0</v>
      </c>
    </row>
    <row r="26" spans="2:38" x14ac:dyDescent="0.2">
      <c r="B26" s="5">
        <f t="shared" si="0"/>
        <v>19</v>
      </c>
      <c r="C26" s="5">
        <f t="shared" si="1"/>
        <v>19</v>
      </c>
      <c r="D26" s="5">
        <f t="shared" si="2"/>
        <v>1</v>
      </c>
      <c r="E26" s="5">
        <f t="shared" si="3"/>
        <v>47</v>
      </c>
      <c r="F26" s="64">
        <f>1-(1-VLOOKUP($E26,'Annual Mortality Rates'!$B$5:$C$105,2,FALSE))^(1/12)</f>
        <v>8.5873880504183653E-5</v>
      </c>
      <c r="G26" s="75">
        <f>IF(C26&gt;=[1]Assumptions!$H$9*12,100%,1-(1-IF(D26&gt;=7,2%,VLOOKUP($D26,'[1]Annual Lapse Rates'!$B$4:$C$14,2,FALSE)))^(1/12))</f>
        <v>6.9243826282994192E-3</v>
      </c>
      <c r="H26" s="81">
        <f t="shared" si="5"/>
        <v>7</v>
      </c>
      <c r="I26" s="65">
        <f t="shared" si="6"/>
        <v>4304.8756143944929</v>
      </c>
      <c r="J26" s="66">
        <f t="shared" si="7"/>
        <v>0.36967637409588688</v>
      </c>
      <c r="K26" s="66">
        <f t="shared" si="8"/>
        <v>30.020535490367998</v>
      </c>
      <c r="M26" s="67">
        <f t="shared" si="13"/>
        <v>22751524.581025984</v>
      </c>
      <c r="N26" s="67">
        <f>IF(AND(MOD(C26,12)=1,D26&lt;15),Assumptions!$H$4*I25,0)</f>
        <v>0</v>
      </c>
      <c r="O26" s="67"/>
      <c r="P26" s="90">
        <f t="shared" si="9"/>
        <v>159494.02327934257</v>
      </c>
      <c r="Q26" s="90">
        <f>M26*VLOOKUP(MOD(C26,12)+(MOD(C26,12)=0)*12,Assumptions!$C$22:$D$33,2,FALSE)*(F26+G26)</f>
        <v>3488.9317592356188</v>
      </c>
      <c r="R26" s="67">
        <f>IF(AND(MOD(C26,12)=0,D26&lt;15),Assumptions!$C$7*M26,0)</f>
        <v>0</v>
      </c>
      <c r="S26" s="68">
        <f>IF(MOD(C26,12)=0,M26*Assumptions!$D$17,0)</f>
        <v>0</v>
      </c>
      <c r="T26" s="68">
        <f t="shared" si="10"/>
        <v>0</v>
      </c>
      <c r="U26" s="67">
        <f>T26+AE26*(1+Assumptions!$D$17)</f>
        <v>0</v>
      </c>
      <c r="V26" s="67">
        <f>(M26+N26-O26)*(1+Assumptions!$D$17)-(P26+Q26)*(1+Assumptions!$D$17)^0.5-R26-T26</f>
        <v>22680902.484502155</v>
      </c>
      <c r="W26" s="67"/>
      <c r="X26" s="67">
        <f>IF(AND(H26=1,D26&lt;15),Assumptions!$D$10*N26+Assumptions!$D$11*(1+Assumptions!$D$16)^(B26-1)*$I$7,0)</f>
        <v>0</v>
      </c>
      <c r="Y26" s="65">
        <f>Assumptions!$C$13*N26</f>
        <v>0</v>
      </c>
      <c r="Z26" s="65">
        <f>NPV(Assumptions!$D$19,N26:$N$259)*(1+Assumptions!$D$19)</f>
        <v>78068530.341353476</v>
      </c>
      <c r="AA26" s="68">
        <f t="shared" si="11"/>
        <v>718074.45013848133</v>
      </c>
      <c r="AC26" s="67">
        <f t="shared" si="12"/>
        <v>22680902.484502155</v>
      </c>
      <c r="AD26" s="67"/>
      <c r="AE26" s="67"/>
      <c r="AF26" s="67"/>
      <c r="AG26" s="67"/>
      <c r="AH26" s="67"/>
      <c r="AI26" s="67"/>
      <c r="AK26" s="67"/>
      <c r="AL26" s="70">
        <f t="shared" si="4"/>
        <v>0</v>
      </c>
    </row>
    <row r="27" spans="2:38" x14ac:dyDescent="0.2">
      <c r="B27" s="5">
        <f t="shared" si="0"/>
        <v>20</v>
      </c>
      <c r="C27" s="5">
        <f t="shared" si="1"/>
        <v>20</v>
      </c>
      <c r="D27" s="5">
        <f t="shared" si="2"/>
        <v>1</v>
      </c>
      <c r="E27" s="5">
        <f t="shared" si="3"/>
        <v>47</v>
      </c>
      <c r="F27" s="64">
        <f>1-(1-VLOOKUP($E27,'Annual Mortality Rates'!$B$5:$C$105,2,FALSE))^(1/12)</f>
        <v>8.5873880504183653E-5</v>
      </c>
      <c r="G27" s="75">
        <f>IF(C27&gt;=[1]Assumptions!$H$9*12,100%,1-(1-IF(D27&gt;=7,2%,VLOOKUP($D27,'[1]Annual Lapse Rates'!$B$4:$C$14,2,FALSE)))^(1/12))</f>
        <v>6.9243826282994192E-3</v>
      </c>
      <c r="H27" s="81">
        <f t="shared" si="5"/>
        <v>8</v>
      </c>
      <c r="I27" s="65">
        <f t="shared" si="6"/>
        <v>4274.4854025300292</v>
      </c>
      <c r="J27" s="66">
        <f t="shared" si="7"/>
        <v>0.36706664867374111</v>
      </c>
      <c r="K27" s="66">
        <f t="shared" si="8"/>
        <v>29.808605921303016</v>
      </c>
      <c r="M27" s="67">
        <f t="shared" si="13"/>
        <v>22680902.484502155</v>
      </c>
      <c r="N27" s="67">
        <f>IF(AND(MOD(C27,12)=1,D27&lt;15),Assumptions!$H$4*I26,0)</f>
        <v>0</v>
      </c>
      <c r="O27" s="67"/>
      <c r="P27" s="90">
        <f t="shared" si="9"/>
        <v>158998.94426752103</v>
      </c>
      <c r="Q27" s="90">
        <f>M27*VLOOKUP(MOD(C27,12)+(MOD(C27,12)=0)*12,Assumptions!$C$22:$D$33,2,FALSE)*(F27+G27)</f>
        <v>3974.9736066880259</v>
      </c>
      <c r="R27" s="67">
        <f>IF(AND(MOD(C27,12)=0,D27&lt;15),Assumptions!$C$7*M27,0)</f>
        <v>0</v>
      </c>
      <c r="S27" s="68">
        <f>IF(MOD(C27,12)=0,M27*Assumptions!$D$17,0)</f>
        <v>0</v>
      </c>
      <c r="T27" s="68">
        <f t="shared" si="10"/>
        <v>0</v>
      </c>
      <c r="U27" s="67">
        <f>T27+AE27*(1+Assumptions!$D$17)</f>
        <v>0</v>
      </c>
      <c r="V27" s="67">
        <f>(M27+N27-O27)*(1+Assumptions!$D$17)-(P27+Q27)*(1+Assumptions!$D$17)^0.5-R27-T27</f>
        <v>22610001.720370147</v>
      </c>
      <c r="W27" s="67"/>
      <c r="X27" s="67">
        <f>IF(AND(H27=1,D27&lt;15),Assumptions!$D$10*N27+Assumptions!$D$11*(1+Assumptions!$D$16)^(B27-1)*$I$7,0)</f>
        <v>0</v>
      </c>
      <c r="Y27" s="65">
        <f>Assumptions!$C$13*N27</f>
        <v>0</v>
      </c>
      <c r="Z27" s="65">
        <f>NPV(Assumptions!$D$19,N27:$N$259)*(1+Assumptions!$D$19)</f>
        <v>78403678.879845992</v>
      </c>
      <c r="AA27" s="68">
        <f t="shared" si="11"/>
        <v>721157.14685943164</v>
      </c>
      <c r="AC27" s="67">
        <f t="shared" si="12"/>
        <v>22610001.720370147</v>
      </c>
      <c r="AD27" s="67"/>
      <c r="AE27" s="67"/>
      <c r="AF27" s="67"/>
      <c r="AG27" s="67"/>
      <c r="AH27" s="67"/>
      <c r="AI27" s="67"/>
      <c r="AK27" s="67"/>
      <c r="AL27" s="70">
        <f t="shared" si="4"/>
        <v>0</v>
      </c>
    </row>
    <row r="28" spans="2:38" x14ac:dyDescent="0.2">
      <c r="B28" s="5">
        <f t="shared" si="0"/>
        <v>21</v>
      </c>
      <c r="C28" s="5">
        <f t="shared" si="1"/>
        <v>21</v>
      </c>
      <c r="D28" s="5">
        <f t="shared" si="2"/>
        <v>1</v>
      </c>
      <c r="E28" s="5">
        <f t="shared" si="3"/>
        <v>47</v>
      </c>
      <c r="F28" s="64">
        <f>1-(1-VLOOKUP($E28,'Annual Mortality Rates'!$B$5:$C$105,2,FALSE))^(1/12)</f>
        <v>8.5873880504183653E-5</v>
      </c>
      <c r="G28" s="75">
        <f>IF(C28&gt;=[1]Assumptions!$H$9*12,100%,1-(1-IF(D28&gt;=7,2%,VLOOKUP($D28,'[1]Annual Lapse Rates'!$B$4:$C$14,2,FALSE)))^(1/12))</f>
        <v>6.9243826282994192E-3</v>
      </c>
      <c r="H28" s="81">
        <f t="shared" si="5"/>
        <v>9</v>
      </c>
      <c r="I28" s="65">
        <f t="shared" si="6"/>
        <v>4244.3097299600522</v>
      </c>
      <c r="J28" s="66">
        <f t="shared" si="7"/>
        <v>0.36447534657333353</v>
      </c>
      <c r="K28" s="66">
        <f t="shared" si="8"/>
        <v>29.598172466198385</v>
      </c>
      <c r="M28" s="67">
        <f t="shared" si="13"/>
        <v>22610001.720370147</v>
      </c>
      <c r="N28" s="67">
        <f>IF(AND(MOD(C28,12)=1,D28&lt;15),Assumptions!$H$4*I27,0)</f>
        <v>0</v>
      </c>
      <c r="O28" s="67"/>
      <c r="P28" s="90">
        <f t="shared" si="9"/>
        <v>158501.91172428548</v>
      </c>
      <c r="Q28" s="90">
        <f>M28*VLOOKUP(MOD(C28,12)+(MOD(C28,12)=0)*12,Assumptions!$C$22:$D$33,2,FALSE)*(F28+G28)</f>
        <v>4457.8662672455293</v>
      </c>
      <c r="R28" s="67">
        <f>IF(AND(MOD(C28,12)=0,D28&lt;15),Assumptions!$C$7*M28,0)</f>
        <v>0</v>
      </c>
      <c r="S28" s="68">
        <f>IF(MOD(C28,12)=0,M28*Assumptions!$D$17,0)</f>
        <v>0</v>
      </c>
      <c r="T28" s="68">
        <f t="shared" si="10"/>
        <v>0</v>
      </c>
      <c r="U28" s="67">
        <f>T28+AE28*(1+Assumptions!$D$17)</f>
        <v>0</v>
      </c>
      <c r="V28" s="67">
        <f>(M28+N28-O28)*(1+Assumptions!$D$17)-(P28+Q28)*(1+Assumptions!$D$17)^0.5-R28-T28</f>
        <v>22538826.266405925</v>
      </c>
      <c r="W28" s="67"/>
      <c r="X28" s="67">
        <f>IF(AND(H28=1,D28&lt;15),Assumptions!$D$10*N28+Assumptions!$D$11*(1+Assumptions!$D$16)^(B28-1)*$I$7,0)</f>
        <v>0</v>
      </c>
      <c r="Y28" s="65">
        <f>Assumptions!$C$13*N28</f>
        <v>0</v>
      </c>
      <c r="Z28" s="65">
        <f>NPV(Assumptions!$D$19,N28:$N$259)*(1+Assumptions!$D$19)</f>
        <v>78740266.212464124</v>
      </c>
      <c r="AA28" s="68">
        <f t="shared" si="11"/>
        <v>724253.0776107416</v>
      </c>
      <c r="AC28" s="67">
        <f t="shared" si="12"/>
        <v>22538826.266405925</v>
      </c>
      <c r="AD28" s="67"/>
      <c r="AE28" s="67"/>
      <c r="AF28" s="67"/>
      <c r="AG28" s="67"/>
      <c r="AH28" s="67"/>
      <c r="AI28" s="67"/>
      <c r="AK28" s="67"/>
      <c r="AL28" s="70">
        <f t="shared" si="4"/>
        <v>0</v>
      </c>
    </row>
    <row r="29" spans="2:38" x14ac:dyDescent="0.2">
      <c r="B29" s="5">
        <f t="shared" si="0"/>
        <v>22</v>
      </c>
      <c r="C29" s="5">
        <f t="shared" si="1"/>
        <v>22</v>
      </c>
      <c r="D29" s="5">
        <f t="shared" si="2"/>
        <v>1</v>
      </c>
      <c r="E29" s="5">
        <f t="shared" si="3"/>
        <v>47</v>
      </c>
      <c r="F29" s="64">
        <f>1-(1-VLOOKUP($E29,'Annual Mortality Rates'!$B$5:$C$105,2,FALSE))^(1/12)</f>
        <v>8.5873880504183653E-5</v>
      </c>
      <c r="G29" s="75">
        <f>IF(C29&gt;=[1]Assumptions!$H$9*12,100%,1-(1-IF(D29&gt;=7,2%,VLOOKUP($D29,'[1]Annual Lapse Rates'!$B$4:$C$14,2,FALSE)))^(1/12))</f>
        <v>6.9243826282994192E-3</v>
      </c>
      <c r="H29" s="81">
        <f t="shared" si="5"/>
        <v>10</v>
      </c>
      <c r="I29" s="65">
        <f t="shared" si="6"/>
        <v>4214.3470821472802</v>
      </c>
      <c r="J29" s="66">
        <f t="shared" si="7"/>
        <v>0.36190233773547059</v>
      </c>
      <c r="K29" s="66">
        <f t="shared" si="8"/>
        <v>29.389224563257585</v>
      </c>
      <c r="M29" s="67">
        <f t="shared" si="13"/>
        <v>22538826.266405925</v>
      </c>
      <c r="N29" s="67">
        <f>IF(AND(MOD(C29,12)=1,D29&lt;15),Assumptions!$H$4*I28,0)</f>
        <v>0</v>
      </c>
      <c r="O29" s="67"/>
      <c r="P29" s="90">
        <f t="shared" si="9"/>
        <v>158002.95353486575</v>
      </c>
      <c r="Q29" s="90">
        <f>M29*VLOOKUP(MOD(C29,12)+(MOD(C29,12)=0)*12,Assumptions!$C$22:$D$33,2,FALSE)*(F29+G29)</f>
        <v>4937.5922979645547</v>
      </c>
      <c r="R29" s="67">
        <f>IF(AND(MOD(C29,12)=0,D29&lt;15),Assumptions!$C$7*M29,0)</f>
        <v>0</v>
      </c>
      <c r="S29" s="68">
        <f>IF(MOD(C29,12)=0,M29*Assumptions!$D$17,0)</f>
        <v>0</v>
      </c>
      <c r="T29" s="68">
        <f t="shared" si="10"/>
        <v>0</v>
      </c>
      <c r="U29" s="67">
        <f>T29+AE29*(1+Assumptions!$D$17)</f>
        <v>0</v>
      </c>
      <c r="V29" s="67">
        <f>(M29+N29-O29)*(1+Assumptions!$D$17)-(P29+Q29)*(1+Assumptions!$D$17)^0.5-R29-T29</f>
        <v>22467380.106127873</v>
      </c>
      <c r="W29" s="67"/>
      <c r="X29" s="67">
        <f>IF(AND(H29=1,D29&lt;15),Assumptions!$D$10*N29+Assumptions!$D$11*(1+Assumptions!$D$16)^(B29-1)*$I$7,0)</f>
        <v>0</v>
      </c>
      <c r="Y29" s="65">
        <f>Assumptions!$C$13*N29</f>
        <v>0</v>
      </c>
      <c r="Z29" s="65">
        <f>NPV(Assumptions!$D$19,N29:$N$259)*(1+Assumptions!$D$19)</f>
        <v>79078298.515957355</v>
      </c>
      <c r="AA29" s="68">
        <f t="shared" si="11"/>
        <v>727362.29920616024</v>
      </c>
      <c r="AC29" s="67">
        <f t="shared" si="12"/>
        <v>22467380.106127873</v>
      </c>
      <c r="AD29" s="67"/>
      <c r="AE29" s="67"/>
      <c r="AF29" s="67"/>
      <c r="AG29" s="67"/>
      <c r="AH29" s="67"/>
      <c r="AI29" s="67"/>
      <c r="AK29" s="67"/>
      <c r="AL29" s="70">
        <f t="shared" si="4"/>
        <v>0</v>
      </c>
    </row>
    <row r="30" spans="2:38" x14ac:dyDescent="0.2">
      <c r="B30" s="5">
        <f t="shared" si="0"/>
        <v>23</v>
      </c>
      <c r="C30" s="5">
        <f t="shared" si="1"/>
        <v>23</v>
      </c>
      <c r="D30" s="5">
        <f t="shared" si="2"/>
        <v>1</v>
      </c>
      <c r="E30" s="5">
        <f t="shared" si="3"/>
        <v>47</v>
      </c>
      <c r="F30" s="64">
        <f>1-(1-VLOOKUP($E30,'Annual Mortality Rates'!$B$5:$C$105,2,FALSE))^(1/12)</f>
        <v>8.5873880504183653E-5</v>
      </c>
      <c r="G30" s="75">
        <f>IF(C30&gt;=[1]Assumptions!$H$9*12,100%,1-(1-IF(D30&gt;=7,2%,VLOOKUP($D30,'[1]Annual Lapse Rates'!$B$4:$C$14,2,FALSE)))^(1/12))</f>
        <v>6.9243826282994192E-3</v>
      </c>
      <c r="H30" s="81">
        <f t="shared" si="5"/>
        <v>11</v>
      </c>
      <c r="I30" s="65">
        <f t="shared" si="6"/>
        <v>4184.5959552462873</v>
      </c>
      <c r="J30" s="66">
        <f t="shared" si="7"/>
        <v>0.3593474930191099</v>
      </c>
      <c r="K30" s="66">
        <f t="shared" si="8"/>
        <v>29.181751725244972</v>
      </c>
      <c r="M30" s="67">
        <f t="shared" si="13"/>
        <v>22467380.106127873</v>
      </c>
      <c r="N30" s="67">
        <f>IF(AND(MOD(C30,12)=1,D30&lt;15),Assumptions!$H$4*I29,0)</f>
        <v>0</v>
      </c>
      <c r="O30" s="67"/>
      <c r="P30" s="90">
        <f t="shared" si="9"/>
        <v>157502.09762474749</v>
      </c>
      <c r="Q30" s="90">
        <f>M30*VLOOKUP(MOD(C30,12)+(MOD(C30,12)=0)*12,Assumptions!$C$22:$D$33,2,FALSE)*(F30+G30)</f>
        <v>5414.1346058506961</v>
      </c>
      <c r="R30" s="67">
        <f>IF(AND(MOD(C30,12)=0,D30&lt;15),Assumptions!$C$7*M30,0)</f>
        <v>0</v>
      </c>
      <c r="S30" s="68">
        <f>IF(MOD(C30,12)=0,M30*Assumptions!$D$17,0)</f>
        <v>0</v>
      </c>
      <c r="T30" s="68">
        <f t="shared" si="10"/>
        <v>0</v>
      </c>
      <c r="U30" s="67">
        <f>T30+AE30*(1+Assumptions!$D$17)</f>
        <v>0</v>
      </c>
      <c r="V30" s="67">
        <f>(M30+N30-O30)*(1+Assumptions!$D$17)-(P30+Q30)*(1+Assumptions!$D$17)^0.5-R30-T30</f>
        <v>22395667.228429183</v>
      </c>
      <c r="W30" s="67"/>
      <c r="X30" s="67">
        <f>IF(AND(H30=1,D30&lt;15),Assumptions!$D$10*N30+Assumptions!$D$11*(1+Assumptions!$D$16)^(B30-1)*$I$7,0)</f>
        <v>0</v>
      </c>
      <c r="Y30" s="65">
        <f>Assumptions!$C$13*N30</f>
        <v>0</v>
      </c>
      <c r="Z30" s="65">
        <f>NPV(Assumptions!$D$19,N30:$N$259)*(1+Assumptions!$D$19)</f>
        <v>79417781.993591845</v>
      </c>
      <c r="AA30" s="68">
        <f t="shared" si="11"/>
        <v>730484.86870333937</v>
      </c>
      <c r="AC30" s="67">
        <f t="shared" si="12"/>
        <v>22395667.228429183</v>
      </c>
      <c r="AD30" s="67"/>
      <c r="AE30" s="67"/>
      <c r="AF30" s="67"/>
      <c r="AG30" s="67"/>
      <c r="AH30" s="67"/>
      <c r="AI30" s="67"/>
      <c r="AK30" s="67"/>
      <c r="AL30" s="70">
        <f t="shared" si="4"/>
        <v>0</v>
      </c>
    </row>
    <row r="31" spans="2:38" x14ac:dyDescent="0.2">
      <c r="B31" s="5">
        <f t="shared" si="0"/>
        <v>24</v>
      </c>
      <c r="C31" s="5">
        <f t="shared" si="1"/>
        <v>24</v>
      </c>
      <c r="D31" s="5">
        <f t="shared" si="2"/>
        <v>1</v>
      </c>
      <c r="E31" s="5">
        <f t="shared" si="3"/>
        <v>47</v>
      </c>
      <c r="F31" s="64">
        <f>1-(1-VLOOKUP($E31,'Annual Mortality Rates'!$B$5:$C$105,2,FALSE))^(1/12)</f>
        <v>8.5873880504183653E-5</v>
      </c>
      <c r="G31" s="75">
        <f>IF(C31&gt;=[1]Assumptions!$H$9*12,100%,1-(1-IF(D31&gt;=7,2%,VLOOKUP($D31,'[1]Annual Lapse Rates'!$B$4:$C$14,2,FALSE)))^(1/12))</f>
        <v>6.9243826282994192E-3</v>
      </c>
      <c r="H31" s="81">
        <f t="shared" si="5"/>
        <v>12</v>
      </c>
      <c r="I31" s="65">
        <f t="shared" si="6"/>
        <v>4155.0548560280231</v>
      </c>
      <c r="J31" s="66">
        <f t="shared" si="7"/>
        <v>0.35681068419487849</v>
      </c>
      <c r="K31" s="66">
        <f t="shared" si="8"/>
        <v>28.975743538959406</v>
      </c>
      <c r="M31" s="67">
        <f t="shared" si="13"/>
        <v>22395667.228429183</v>
      </c>
      <c r="N31" s="67">
        <f>IF(AND(MOD(C31,12)=1,D31&lt;15),Assumptions!$H$4*I30,0)</f>
        <v>0</v>
      </c>
      <c r="O31" s="67"/>
      <c r="P31" s="90">
        <f t="shared" si="9"/>
        <v>156999.37195709522</v>
      </c>
      <c r="Q31" s="90">
        <f>M31*VLOOKUP(MOD(C31,12)+(MOD(C31,12)=0)*12,Assumptions!$C$22:$D$33,2,FALSE)*(F31+G31)</f>
        <v>5887.4764483910722</v>
      </c>
      <c r="R31" s="67">
        <f>IF(AND(MOD(C31,12)=0,D31&lt;15),Assumptions!$C$7*M31,0)</f>
        <v>11197.833614214593</v>
      </c>
      <c r="S31" s="68">
        <f>IF(MOD(C31,12)=0,M31*Assumptions!$D$17,0)</f>
        <v>91242.720506017344</v>
      </c>
      <c r="T31" s="68">
        <f t="shared" si="10"/>
        <v>0</v>
      </c>
      <c r="U31" s="67">
        <f>T31+AE31*(1+Assumptions!$D$17)</f>
        <v>0</v>
      </c>
      <c r="V31" s="67">
        <f>(M31+N31-O31)*(1+Assumptions!$D$17)-(P31+Q31)*(1+Assumptions!$D$17)^0.5-R31-T31</f>
        <v>22312493.793596592</v>
      </c>
      <c r="W31" s="67"/>
      <c r="X31" s="67">
        <f>IF(AND(H31=1,D31&lt;15),Assumptions!$D$10*N31+Assumptions!$D$11*(1+Assumptions!$D$16)^(B31-1)*$I$7,0)</f>
        <v>0</v>
      </c>
      <c r="Y31" s="65">
        <f>Assumptions!$C$13*N31</f>
        <v>0</v>
      </c>
      <c r="Z31" s="65">
        <f>NPV(Assumptions!$D$19,N31:$N$259)*(1+Assumptions!$D$19)</f>
        <v>79758722.875264511</v>
      </c>
      <c r="AA31" s="68">
        <f t="shared" si="11"/>
        <v>733620.8434048784</v>
      </c>
      <c r="AC31" s="67">
        <f t="shared" si="12"/>
        <v>22312493.793596592</v>
      </c>
      <c r="AD31" s="67"/>
      <c r="AE31" s="67"/>
      <c r="AF31" s="67"/>
      <c r="AG31" s="67"/>
      <c r="AH31" s="67"/>
      <c r="AI31" s="67"/>
      <c r="AK31" s="67"/>
      <c r="AL31" s="70">
        <f t="shared" si="4"/>
        <v>0</v>
      </c>
    </row>
    <row r="32" spans="2:38" x14ac:dyDescent="0.2">
      <c r="B32" s="5">
        <f t="shared" si="0"/>
        <v>25</v>
      </c>
      <c r="C32" s="5">
        <f t="shared" si="1"/>
        <v>25</v>
      </c>
      <c r="D32" s="5">
        <f t="shared" si="2"/>
        <v>2</v>
      </c>
      <c r="E32" s="5">
        <f t="shared" si="3"/>
        <v>48</v>
      </c>
      <c r="F32" s="64">
        <f>1-(1-VLOOKUP($E32,'Annual Mortality Rates'!$B$5:$C$105,2,FALSE))^(1/12)</f>
        <v>9.5883882629710371E-5</v>
      </c>
      <c r="G32" s="75">
        <f>IF(C32&gt;=[1]Assumptions!$H$9*12,100%,1-(1-IF(D32&gt;=7,2%,VLOOKUP($D32,'[1]Annual Lapse Rates'!$B$4:$C$14,2,FALSE)))^(1/12))</f>
        <v>6.0293080661268927E-3</v>
      </c>
      <c r="H32" s="81">
        <f t="shared" si="5"/>
        <v>1</v>
      </c>
      <c r="I32" s="65">
        <f t="shared" si="6"/>
        <v>4125.7223018048689</v>
      </c>
      <c r="J32" s="66">
        <f t="shared" si="7"/>
        <v>0.39559027294903654</v>
      </c>
      <c r="K32" s="66">
        <f t="shared" si="8"/>
        <v>25.052105758649475</v>
      </c>
      <c r="M32" s="67">
        <f t="shared" si="13"/>
        <v>22312493.793596592</v>
      </c>
      <c r="N32" s="67">
        <f>IF(AND(MOD(C32,12)=1,D32&lt;15),Assumptions!$H$4*I31,0)</f>
        <v>10387637.140070058</v>
      </c>
      <c r="O32" s="67"/>
      <c r="P32" s="90">
        <f t="shared" si="9"/>
        <v>136668.30734121951</v>
      </c>
      <c r="Q32" s="90">
        <f>M32*VLOOKUP(MOD(C32,12)+(MOD(C32,12)=0)*12,Assumptions!$C$22:$D$33,2,FALSE)*(F32+G32)</f>
        <v>427.08846044131104</v>
      </c>
      <c r="R32" s="67">
        <f>IF(AND(MOD(C32,12)=0,D32&lt;15),Assumptions!$C$7*M32,0)</f>
        <v>0</v>
      </c>
      <c r="S32" s="68">
        <f>IF(MOD(C32,12)=0,M32*Assumptions!$D$17,0)</f>
        <v>0</v>
      </c>
      <c r="T32" s="68">
        <f t="shared" si="10"/>
        <v>0</v>
      </c>
      <c r="U32" s="67">
        <f>T32+AE32*(1+Assumptions!$D$17)</f>
        <v>0</v>
      </c>
      <c r="V32" s="67">
        <f>(M32+N32-O32)*(1+Assumptions!$D$17)-(P32+Q32)*(1+Assumptions!$D$17)^0.5-R32-T32</f>
        <v>32695980.931092937</v>
      </c>
      <c r="W32" s="67"/>
      <c r="X32" s="67">
        <f>IF(AND(H32=1,D32&lt;15),Assumptions!$D$10*N32+Assumptions!$D$11*(1+Assumptions!$D$16)^(B32-1)*$I$7,0)</f>
        <v>85751.185700350325</v>
      </c>
      <c r="Y32" s="65">
        <f>Assumptions!$C$13*N32</f>
        <v>51938.185700350296</v>
      </c>
      <c r="Z32" s="65">
        <f>NPV(Assumptions!$D$19,N32:$N$259)*(1+Assumptions!$D$19)</f>
        <v>80101127.417617142</v>
      </c>
      <c r="AA32" s="68">
        <f t="shared" si="11"/>
        <v>641224.78006694466</v>
      </c>
      <c r="AC32" s="67">
        <f t="shared" si="12"/>
        <v>32695980.931092937</v>
      </c>
      <c r="AD32" s="67"/>
      <c r="AE32" s="67"/>
      <c r="AF32" s="67"/>
      <c r="AG32" s="67"/>
      <c r="AH32" s="67"/>
      <c r="AI32" s="67"/>
      <c r="AK32" s="67"/>
      <c r="AL32" s="70">
        <f t="shared" si="4"/>
        <v>0</v>
      </c>
    </row>
    <row r="33" spans="2:38" x14ac:dyDescent="0.2">
      <c r="B33" s="5">
        <f t="shared" si="0"/>
        <v>26</v>
      </c>
      <c r="C33" s="5">
        <f t="shared" si="1"/>
        <v>26</v>
      </c>
      <c r="D33" s="5">
        <f t="shared" si="2"/>
        <v>2</v>
      </c>
      <c r="E33" s="5">
        <f t="shared" si="3"/>
        <v>48</v>
      </c>
      <c r="F33" s="64">
        <f>1-(1-VLOOKUP($E33,'Annual Mortality Rates'!$B$5:$C$105,2,FALSE))^(1/12)</f>
        <v>9.5883882629710371E-5</v>
      </c>
      <c r="G33" s="75">
        <f>IF(C33&gt;=[1]Assumptions!$H$9*12,100%,1-(1-IF(D33&gt;=7,2%,VLOOKUP($D33,'[1]Annual Lapse Rates'!$B$4:$C$14,2,FALSE)))^(1/12))</f>
        <v>6.0293080661268927E-3</v>
      </c>
      <c r="H33" s="81">
        <f t="shared" si="5"/>
        <v>2</v>
      </c>
      <c r="I33" s="65">
        <f t="shared" si="6"/>
        <v>4100.2746057732702</v>
      </c>
      <c r="J33" s="66">
        <f t="shared" si="7"/>
        <v>0.39315024904954621</v>
      </c>
      <c r="K33" s="66">
        <f t="shared" si="8"/>
        <v>24.875250752871708</v>
      </c>
      <c r="M33" s="67">
        <f t="shared" si="13"/>
        <v>32695980.931092937</v>
      </c>
      <c r="N33" s="67">
        <f>IF(AND(MOD(C33,12)=1,D33&lt;15),Assumptions!$H$4*I32,0)</f>
        <v>0</v>
      </c>
      <c r="O33" s="67"/>
      <c r="P33" s="90">
        <f t="shared" si="9"/>
        <v>200269.15915582987</v>
      </c>
      <c r="Q33" s="90">
        <f>M33*VLOOKUP(MOD(C33,12)+(MOD(C33,12)=0)*12,Assumptions!$C$22:$D$33,2,FALSE)*(F33+G33)</f>
        <v>1251.6822447239367</v>
      </c>
      <c r="R33" s="67">
        <f>IF(AND(MOD(C33,12)=0,D33&lt;15),Assumptions!$C$7*M33,0)</f>
        <v>0</v>
      </c>
      <c r="S33" s="68">
        <f>IF(MOD(C33,12)=0,M33*Assumptions!$D$17,0)</f>
        <v>0</v>
      </c>
      <c r="T33" s="68">
        <f t="shared" si="10"/>
        <v>0</v>
      </c>
      <c r="U33" s="67">
        <f>T33+AE33*(1+Assumptions!$D$17)</f>
        <v>0</v>
      </c>
      <c r="V33" s="67">
        <f>(M33+N33-O33)*(1+Assumptions!$D$17)-(P33+Q33)*(1+Assumptions!$D$17)^0.5-R33-T33</f>
        <v>32627257.470075037</v>
      </c>
      <c r="W33" s="67"/>
      <c r="X33" s="67">
        <f>IF(AND(H33=1,D33&lt;15),Assumptions!$D$10*N33+Assumptions!$D$11*(1+Assumptions!$D$16)^(B33-1)*$I$7,0)</f>
        <v>0</v>
      </c>
      <c r="Y33" s="65">
        <f>Assumptions!$C$13*N33</f>
        <v>0</v>
      </c>
      <c r="Z33" s="65">
        <f>NPV(Assumptions!$D$19,N33:$N$259)*(1+Assumptions!$D$19)</f>
        <v>70012770.59290041</v>
      </c>
      <c r="AA33" s="68">
        <f t="shared" si="11"/>
        <v>643977.560821814</v>
      </c>
      <c r="AC33" s="67">
        <f t="shared" si="12"/>
        <v>32627257.470075037</v>
      </c>
      <c r="AD33" s="67"/>
      <c r="AE33" s="67"/>
      <c r="AF33" s="67"/>
      <c r="AG33" s="67"/>
      <c r="AH33" s="67"/>
      <c r="AI33" s="67"/>
      <c r="AK33" s="67"/>
      <c r="AL33" s="70">
        <f t="shared" si="4"/>
        <v>0</v>
      </c>
    </row>
    <row r="34" spans="2:38" x14ac:dyDescent="0.2">
      <c r="B34" s="5">
        <f t="shared" si="0"/>
        <v>27</v>
      </c>
      <c r="C34" s="5">
        <f t="shared" si="1"/>
        <v>27</v>
      </c>
      <c r="D34" s="5">
        <f t="shared" si="2"/>
        <v>2</v>
      </c>
      <c r="E34" s="5">
        <f t="shared" si="3"/>
        <v>48</v>
      </c>
      <c r="F34" s="64">
        <f>1-(1-VLOOKUP($E34,'Annual Mortality Rates'!$B$5:$C$105,2,FALSE))^(1/12)</f>
        <v>9.5883882629710371E-5</v>
      </c>
      <c r="G34" s="75">
        <f>IF(C34&gt;=[1]Assumptions!$H$9*12,100%,1-(1-IF(D34&gt;=7,2%,VLOOKUP($D34,'[1]Annual Lapse Rates'!$B$4:$C$14,2,FALSE)))^(1/12))</f>
        <v>6.0293080661268927E-3</v>
      </c>
      <c r="H34" s="81">
        <f t="shared" si="5"/>
        <v>3</v>
      </c>
      <c r="I34" s="65">
        <f t="shared" si="6"/>
        <v>4075.0062047713491</v>
      </c>
      <c r="J34" s="66">
        <f t="shared" si="7"/>
        <v>0.39072741665363753</v>
      </c>
      <c r="K34" s="66">
        <f t="shared" si="8"/>
        <v>24.721818753924044</v>
      </c>
      <c r="M34" s="67">
        <f t="shared" si="13"/>
        <v>32627257.470075037</v>
      </c>
      <c r="N34" s="67">
        <f>IF(AND(MOD(C34,12)=1,D34&lt;15),Assumptions!$H$4*I33,0)</f>
        <v>0</v>
      </c>
      <c r="O34" s="67"/>
      <c r="P34" s="90">
        <f t="shared" si="9"/>
        <v>199848.21476571236</v>
      </c>
      <c r="Q34" s="90">
        <f>M34*VLOOKUP(MOD(C34,12)+(MOD(C34,12)=0)*12,Assumptions!$C$22:$D$33,2,FALSE)*(F34+G34)</f>
        <v>1873.5770134285535</v>
      </c>
      <c r="R34" s="67">
        <f>IF(AND(MOD(C34,12)=0,D34&lt;15),Assumptions!$C$7*M34,0)</f>
        <v>0</v>
      </c>
      <c r="S34" s="68">
        <f>IF(MOD(C34,12)=0,M34*Assumptions!$D$17,0)</f>
        <v>0</v>
      </c>
      <c r="T34" s="68">
        <f t="shared" si="10"/>
        <v>0</v>
      </c>
      <c r="U34" s="67">
        <f>T34+AE34*(1+Assumptions!$D$17)</f>
        <v>0</v>
      </c>
      <c r="V34" s="67">
        <f>(M34+N34-O34)*(1+Assumptions!$D$17)-(P34+Q34)*(1+Assumptions!$D$17)^0.5-R34-T34</f>
        <v>32558052.661859255</v>
      </c>
      <c r="W34" s="67"/>
      <c r="X34" s="67">
        <f>IF(AND(H34=1,D34&lt;15),Assumptions!$D$10*N34+Assumptions!$D$11*(1+Assumptions!$D$16)^(B34-1)*$I$7,0)</f>
        <v>0</v>
      </c>
      <c r="Y34" s="65">
        <f>Assumptions!$C$13*N34</f>
        <v>0</v>
      </c>
      <c r="Z34" s="65">
        <f>NPV(Assumptions!$D$19,N34:$N$259)*(1+Assumptions!$D$19)</f>
        <v>70313335.719942287</v>
      </c>
      <c r="AA34" s="68">
        <f t="shared" si="11"/>
        <v>646742.15927637287</v>
      </c>
      <c r="AC34" s="67">
        <f t="shared" si="12"/>
        <v>32558052.661859255</v>
      </c>
      <c r="AD34" s="67"/>
      <c r="AE34" s="67"/>
      <c r="AF34" s="67"/>
      <c r="AG34" s="67"/>
      <c r="AH34" s="67"/>
      <c r="AI34" s="67"/>
      <c r="AK34" s="67"/>
      <c r="AL34" s="70">
        <f t="shared" si="4"/>
        <v>0</v>
      </c>
    </row>
    <row r="35" spans="2:38" x14ac:dyDescent="0.2">
      <c r="B35" s="5">
        <f t="shared" si="0"/>
        <v>28</v>
      </c>
      <c r="C35" s="5">
        <f t="shared" si="1"/>
        <v>28</v>
      </c>
      <c r="D35" s="5">
        <f t="shared" si="2"/>
        <v>2</v>
      </c>
      <c r="E35" s="5">
        <f t="shared" si="3"/>
        <v>48</v>
      </c>
      <c r="F35" s="64">
        <f>1-(1-VLOOKUP($E35,'Annual Mortality Rates'!$B$5:$C$105,2,FALSE))^(1/12)</f>
        <v>9.5883882629710371E-5</v>
      </c>
      <c r="G35" s="75">
        <f>IF(C35&gt;=[1]Assumptions!$H$9*12,100%,1-(1-IF(D35&gt;=7,2%,VLOOKUP($D35,'[1]Annual Lapse Rates'!$B$4:$C$14,2,FALSE)))^(1/12))</f>
        <v>6.0293080661268927E-3</v>
      </c>
      <c r="H35" s="81">
        <f t="shared" si="5"/>
        <v>4</v>
      </c>
      <c r="I35" s="65">
        <f t="shared" si="6"/>
        <v>4049.8936586007712</v>
      </c>
      <c r="J35" s="66">
        <f t="shared" si="7"/>
        <v>0.38831952822408466</v>
      </c>
      <c r="K35" s="66">
        <f t="shared" si="8"/>
        <v>24.569467779945033</v>
      </c>
      <c r="M35" s="67">
        <f t="shared" si="13"/>
        <v>32558052.661859255</v>
      </c>
      <c r="N35" s="67">
        <f>IF(AND(MOD(C35,12)=1,D35&lt;15),Assumptions!$H$4*I34,0)</f>
        <v>0</v>
      </c>
      <c r="O35" s="67"/>
      <c r="P35" s="90">
        <f t="shared" si="9"/>
        <v>199424.32203161379</v>
      </c>
      <c r="Q35" s="90">
        <f>M35*VLOOKUP(MOD(C35,12)+(MOD(C35,12)=0)*12,Assumptions!$C$22:$D$33,2,FALSE)*(F35+G35)</f>
        <v>2492.8040253951726</v>
      </c>
      <c r="R35" s="67">
        <f>IF(AND(MOD(C35,12)=0,D35&lt;15),Assumptions!$C$7*M35,0)</f>
        <v>0</v>
      </c>
      <c r="S35" s="68">
        <f>IF(MOD(C35,12)=0,M35*Assumptions!$D$17,0)</f>
        <v>0</v>
      </c>
      <c r="T35" s="68">
        <f t="shared" si="10"/>
        <v>0</v>
      </c>
      <c r="U35" s="67">
        <f>T35+AE35*(1+Assumptions!$D$17)</f>
        <v>0</v>
      </c>
      <c r="V35" s="67">
        <f>(M35+N35-O35)*(1+Assumptions!$D$17)-(P35+Q35)*(1+Assumptions!$D$17)^0.5-R35-T35</f>
        <v>32488370.172906954</v>
      </c>
      <c r="W35" s="67"/>
      <c r="X35" s="67">
        <f>IF(AND(H35=1,D35&lt;15),Assumptions!$D$10*N35+Assumptions!$D$11*(1+Assumptions!$D$16)^(B35-1)*$I$7,0)</f>
        <v>0</v>
      </c>
      <c r="Y35" s="65">
        <f>Assumptions!$C$13*N35</f>
        <v>0</v>
      </c>
      <c r="Z35" s="65">
        <f>NPV(Assumptions!$D$19,N35:$N$259)*(1+Assumptions!$D$19)</f>
        <v>70615191.174374834</v>
      </c>
      <c r="AA35" s="68">
        <f t="shared" si="11"/>
        <v>649518.62616405752</v>
      </c>
      <c r="AC35" s="67">
        <f t="shared" si="12"/>
        <v>32488370.172906954</v>
      </c>
      <c r="AD35" s="67"/>
      <c r="AE35" s="67"/>
      <c r="AF35" s="67"/>
      <c r="AG35" s="67"/>
      <c r="AH35" s="67"/>
      <c r="AI35" s="67"/>
      <c r="AK35" s="67"/>
      <c r="AL35" s="70">
        <f t="shared" si="4"/>
        <v>0</v>
      </c>
    </row>
    <row r="36" spans="2:38" x14ac:dyDescent="0.2">
      <c r="B36" s="5">
        <f t="shared" si="0"/>
        <v>29</v>
      </c>
      <c r="C36" s="5">
        <f t="shared" si="1"/>
        <v>29</v>
      </c>
      <c r="D36" s="5">
        <f t="shared" si="2"/>
        <v>2</v>
      </c>
      <c r="E36" s="5">
        <f t="shared" si="3"/>
        <v>48</v>
      </c>
      <c r="F36" s="64">
        <f>1-(1-VLOOKUP($E36,'Annual Mortality Rates'!$B$5:$C$105,2,FALSE))^(1/12)</f>
        <v>9.5883882629710371E-5</v>
      </c>
      <c r="G36" s="75">
        <f>IF(C36&gt;=[1]Assumptions!$H$9*12,100%,1-(1-IF(D36&gt;=7,2%,VLOOKUP($D36,'[1]Annual Lapse Rates'!$B$4:$C$14,2,FALSE)))^(1/12))</f>
        <v>6.0293080661268927E-3</v>
      </c>
      <c r="H36" s="81">
        <f t="shared" si="5"/>
        <v>5</v>
      </c>
      <c r="I36" s="65">
        <f t="shared" si="6"/>
        <v>4024.9358712926019</v>
      </c>
      <c r="J36" s="66">
        <f t="shared" si="7"/>
        <v>0.38592647867513086</v>
      </c>
      <c r="K36" s="66">
        <f t="shared" si="8"/>
        <v>24.418056502757782</v>
      </c>
      <c r="M36" s="67">
        <f t="shared" si="13"/>
        <v>32488370.172906954</v>
      </c>
      <c r="N36" s="67">
        <f>IF(AND(MOD(C36,12)=1,D36&lt;15),Assumptions!$H$4*I35,0)</f>
        <v>0</v>
      </c>
      <c r="O36" s="67"/>
      <c r="P36" s="90">
        <f t="shared" si="9"/>
        <v>198997.50341131384</v>
      </c>
      <c r="Q36" s="90">
        <f>M36*VLOOKUP(MOD(C36,12)+(MOD(C36,12)=0)*12,Assumptions!$C$22:$D$33,2,FALSE)*(F36+G36)</f>
        <v>3109.3359908017787</v>
      </c>
      <c r="R36" s="67">
        <f>IF(AND(MOD(C36,12)=0,D36&lt;15),Assumptions!$C$7*M36,0)</f>
        <v>0</v>
      </c>
      <c r="S36" s="68">
        <f>IF(MOD(C36,12)=0,M36*Assumptions!$D$17,0)</f>
        <v>0</v>
      </c>
      <c r="T36" s="68">
        <f t="shared" si="10"/>
        <v>0</v>
      </c>
      <c r="U36" s="67">
        <f>T36+AE36*(1+Assumptions!$D$17)</f>
        <v>0</v>
      </c>
      <c r="V36" s="67">
        <f>(M36+N36-O36)*(1+Assumptions!$D$17)-(P36+Q36)*(1+Assumptions!$D$17)^0.5-R36-T36</f>
        <v>32418213.689458996</v>
      </c>
      <c r="W36" s="67"/>
      <c r="X36" s="67">
        <f>IF(AND(H36=1,D36&lt;15),Assumptions!$D$10*N36+Assumptions!$D$11*(1+Assumptions!$D$16)^(B36-1)*$I$7,0)</f>
        <v>0</v>
      </c>
      <c r="Y36" s="65">
        <f>Assumptions!$C$13*N36</f>
        <v>0</v>
      </c>
      <c r="Z36" s="65">
        <f>NPV(Assumptions!$D$19,N36:$N$259)*(1+Assumptions!$D$19)</f>
        <v>70918342.495579153</v>
      </c>
      <c r="AA36" s="68">
        <f t="shared" si="11"/>
        <v>652307.01243610238</v>
      </c>
      <c r="AC36" s="67">
        <f t="shared" si="12"/>
        <v>32418213.689458996</v>
      </c>
      <c r="AD36" s="67"/>
      <c r="AE36" s="67"/>
      <c r="AF36" s="67"/>
      <c r="AG36" s="67"/>
      <c r="AH36" s="67"/>
      <c r="AI36" s="67"/>
      <c r="AK36" s="67"/>
      <c r="AL36" s="70">
        <f t="shared" si="4"/>
        <v>0</v>
      </c>
    </row>
    <row r="37" spans="2:38" x14ac:dyDescent="0.2">
      <c r="B37" s="5">
        <f t="shared" si="0"/>
        <v>30</v>
      </c>
      <c r="C37" s="5">
        <f t="shared" si="1"/>
        <v>30</v>
      </c>
      <c r="D37" s="5">
        <f t="shared" si="2"/>
        <v>2</v>
      </c>
      <c r="E37" s="5">
        <f t="shared" si="3"/>
        <v>48</v>
      </c>
      <c r="F37" s="64">
        <f>1-(1-VLOOKUP($E37,'Annual Mortality Rates'!$B$5:$C$105,2,FALSE))^(1/12)</f>
        <v>9.5883882629710371E-5</v>
      </c>
      <c r="G37" s="75">
        <f>IF(C37&gt;=[1]Assumptions!$H$9*12,100%,1-(1-IF(D37&gt;=7,2%,VLOOKUP($D37,'[1]Annual Lapse Rates'!$B$4:$C$14,2,FALSE)))^(1/12))</f>
        <v>6.0293080661268927E-3</v>
      </c>
      <c r="H37" s="81">
        <f t="shared" si="5"/>
        <v>6</v>
      </c>
      <c r="I37" s="65">
        <f t="shared" si="6"/>
        <v>4000.131888311169</v>
      </c>
      <c r="J37" s="66">
        <f t="shared" si="7"/>
        <v>0.38354817648218986</v>
      </c>
      <c r="K37" s="66">
        <f t="shared" si="8"/>
        <v>24.267578314427958</v>
      </c>
      <c r="M37" s="67">
        <f t="shared" si="13"/>
        <v>32418213.689458996</v>
      </c>
      <c r="N37" s="67">
        <f>IF(AND(MOD(C37,12)=1,D37&lt;15),Assumptions!$H$4*I36,0)</f>
        <v>0</v>
      </c>
      <c r="O37" s="67"/>
      <c r="P37" s="90">
        <f t="shared" si="9"/>
        <v>198567.78148374535</v>
      </c>
      <c r="Q37" s="90">
        <f>M37*VLOOKUP(MOD(C37,12)+(MOD(C37,12)=0)*12,Assumptions!$C$22:$D$33,2,FALSE)*(F37+G37)</f>
        <v>3723.1459028202257</v>
      </c>
      <c r="R37" s="67">
        <f>IF(AND(MOD(C37,12)=0,D37&lt;15),Assumptions!$C$7*M37,0)</f>
        <v>0</v>
      </c>
      <c r="S37" s="68">
        <f>IF(MOD(C37,12)=0,M37*Assumptions!$D$17,0)</f>
        <v>0</v>
      </c>
      <c r="T37" s="68">
        <f t="shared" si="10"/>
        <v>0</v>
      </c>
      <c r="U37" s="67">
        <f>T37+AE37*(1+Assumptions!$D$17)</f>
        <v>0</v>
      </c>
      <c r="V37" s="67">
        <f>(M37+N37-O37)*(1+Assumptions!$D$17)-(P37+Q37)*(1+Assumptions!$D$17)^0.5-R37-T37</f>
        <v>32347586.91721135</v>
      </c>
      <c r="W37" s="67"/>
      <c r="X37" s="67">
        <f>IF(AND(H37=1,D37&lt;15),Assumptions!$D$10*N37+Assumptions!$D$11*(1+Assumptions!$D$16)^(B37-1)*$I$7,0)</f>
        <v>0</v>
      </c>
      <c r="Y37" s="65">
        <f>Assumptions!$C$13*N37</f>
        <v>0</v>
      </c>
      <c r="Z37" s="65">
        <f>NPV(Assumptions!$D$19,N37:$N$259)*(1+Assumptions!$D$19)</f>
        <v>71222795.246716887</v>
      </c>
      <c r="AA37" s="68">
        <f t="shared" si="11"/>
        <v>655107.36926247622</v>
      </c>
      <c r="AC37" s="67">
        <f t="shared" si="12"/>
        <v>32347586.91721135</v>
      </c>
      <c r="AD37" s="67"/>
      <c r="AE37" s="67"/>
      <c r="AF37" s="67"/>
      <c r="AG37" s="67"/>
      <c r="AH37" s="67"/>
      <c r="AI37" s="67"/>
      <c r="AK37" s="67"/>
      <c r="AL37" s="70">
        <f t="shared" si="4"/>
        <v>0</v>
      </c>
    </row>
    <row r="38" spans="2:38" x14ac:dyDescent="0.2">
      <c r="B38" s="5">
        <f t="shared" si="0"/>
        <v>31</v>
      </c>
      <c r="C38" s="5">
        <f t="shared" si="1"/>
        <v>31</v>
      </c>
      <c r="D38" s="5">
        <f t="shared" si="2"/>
        <v>2</v>
      </c>
      <c r="E38" s="5">
        <f t="shared" si="3"/>
        <v>48</v>
      </c>
      <c r="F38" s="64">
        <f>1-(1-VLOOKUP($E38,'Annual Mortality Rates'!$B$5:$C$105,2,FALSE))^(1/12)</f>
        <v>9.5883882629710371E-5</v>
      </c>
      <c r="G38" s="75">
        <f>IF(C38&gt;=[1]Assumptions!$H$9*12,100%,1-(1-IF(D38&gt;=7,2%,VLOOKUP($D38,'[1]Annual Lapse Rates'!$B$4:$C$14,2,FALSE)))^(1/12))</f>
        <v>6.0293080661268927E-3</v>
      </c>
      <c r="H38" s="81">
        <f t="shared" si="5"/>
        <v>7</v>
      </c>
      <c r="I38" s="65">
        <f t="shared" si="6"/>
        <v>3975.480761820259</v>
      </c>
      <c r="J38" s="66">
        <f t="shared" si="7"/>
        <v>0.38118453076304526</v>
      </c>
      <c r="K38" s="66">
        <f t="shared" si="8"/>
        <v>24.11802745976593</v>
      </c>
      <c r="M38" s="67">
        <f t="shared" si="13"/>
        <v>32347586.91721135</v>
      </c>
      <c r="N38" s="67">
        <f>IF(AND(MOD(C38,12)=1,D38&lt;15),Assumptions!$H$4*I37,0)</f>
        <v>0</v>
      </c>
      <c r="O38" s="67"/>
      <c r="P38" s="90">
        <f t="shared" si="9"/>
        <v>198135.1789470074</v>
      </c>
      <c r="Q38" s="90">
        <f>M38*VLOOKUP(MOD(C38,12)+(MOD(C38,12)=0)*12,Assumptions!$C$22:$D$33,2,FALSE)*(F38+G38)</f>
        <v>4334.2070394657876</v>
      </c>
      <c r="R38" s="67">
        <f>IF(AND(MOD(C38,12)=0,D38&lt;15),Assumptions!$C$7*M38,0)</f>
        <v>0</v>
      </c>
      <c r="S38" s="68">
        <f>IF(MOD(C38,12)=0,M38*Assumptions!$D$17,0)</f>
        <v>0</v>
      </c>
      <c r="T38" s="68">
        <f t="shared" si="10"/>
        <v>0</v>
      </c>
      <c r="U38" s="67">
        <f>T38+AE38*(1+Assumptions!$D$17)</f>
        <v>0</v>
      </c>
      <c r="V38" s="67">
        <f>(M38+N38-O38)*(1+Assumptions!$D$17)-(P38+Q38)*(1+Assumptions!$D$17)^0.5-R38-T38</f>
        <v>32276493.580989521</v>
      </c>
      <c r="W38" s="67"/>
      <c r="X38" s="67">
        <f>IF(AND(H38=1,D38&lt;15),Assumptions!$D$10*N38+Assumptions!$D$11*(1+Assumptions!$D$16)^(B38-1)*$I$7,0)</f>
        <v>0</v>
      </c>
      <c r="Y38" s="65">
        <f>Assumptions!$C$13*N38</f>
        <v>0</v>
      </c>
      <c r="Z38" s="65">
        <f>NPV(Assumptions!$D$19,N38:$N$259)*(1+Assumptions!$D$19)</f>
        <v>71528555.014832377</v>
      </c>
      <c r="AA38" s="68">
        <f t="shared" si="11"/>
        <v>657919.74803282006</v>
      </c>
      <c r="AC38" s="67">
        <f t="shared" si="12"/>
        <v>32276493.580989521</v>
      </c>
      <c r="AD38" s="67"/>
      <c r="AE38" s="67"/>
      <c r="AF38" s="67"/>
      <c r="AG38" s="67"/>
      <c r="AH38" s="67"/>
      <c r="AI38" s="67"/>
      <c r="AK38" s="67"/>
      <c r="AL38" s="70">
        <f t="shared" si="4"/>
        <v>0</v>
      </c>
    </row>
    <row r="39" spans="2:38" x14ac:dyDescent="0.2">
      <c r="B39" s="5">
        <f t="shared" si="0"/>
        <v>32</v>
      </c>
      <c r="C39" s="5">
        <f t="shared" si="1"/>
        <v>32</v>
      </c>
      <c r="D39" s="5">
        <f t="shared" si="2"/>
        <v>2</v>
      </c>
      <c r="E39" s="5">
        <f t="shared" si="3"/>
        <v>48</v>
      </c>
      <c r="F39" s="64">
        <f>1-(1-VLOOKUP($E39,'Annual Mortality Rates'!$B$5:$C$105,2,FALSE))^(1/12)</f>
        <v>9.5883882629710371E-5</v>
      </c>
      <c r="G39" s="75">
        <f>IF(C39&gt;=[1]Assumptions!$H$9*12,100%,1-(1-IF(D39&gt;=7,2%,VLOOKUP($D39,'[1]Annual Lapse Rates'!$B$4:$C$14,2,FALSE)))^(1/12))</f>
        <v>6.0293080661268927E-3</v>
      </c>
      <c r="H39" s="81">
        <f t="shared" si="5"/>
        <v>8</v>
      </c>
      <c r="I39" s="65">
        <f t="shared" si="6"/>
        <v>3950.9815498297298</v>
      </c>
      <c r="J39" s="66">
        <f t="shared" si="7"/>
        <v>0.37883545119602502</v>
      </c>
      <c r="K39" s="66">
        <f t="shared" si="8"/>
        <v>23.969398223975173</v>
      </c>
      <c r="M39" s="67">
        <f t="shared" si="13"/>
        <v>32276493.580989521</v>
      </c>
      <c r="N39" s="67">
        <f>IF(AND(MOD(C39,12)=1,D39&lt;15),Assumptions!$H$4*I38,0)</f>
        <v>0</v>
      </c>
      <c r="O39" s="67"/>
      <c r="P39" s="90">
        <f t="shared" si="9"/>
        <v>197699.71861637119</v>
      </c>
      <c r="Q39" s="90">
        <f>M39*VLOOKUP(MOD(C39,12)+(MOD(C39,12)=0)*12,Assumptions!$C$22:$D$33,2,FALSE)*(F39+G39)</f>
        <v>4942.4929654092803</v>
      </c>
      <c r="R39" s="67">
        <f>IF(AND(MOD(C39,12)=0,D39&lt;15),Assumptions!$C$7*M39,0)</f>
        <v>0</v>
      </c>
      <c r="S39" s="68">
        <f>IF(MOD(C39,12)=0,M39*Assumptions!$D$17,0)</f>
        <v>0</v>
      </c>
      <c r="T39" s="68">
        <f t="shared" si="10"/>
        <v>0</v>
      </c>
      <c r="U39" s="67">
        <f>T39+AE39*(1+Assumptions!$D$17)</f>
        <v>0</v>
      </c>
      <c r="V39" s="67">
        <f>(M39+N39-O39)*(1+Assumptions!$D$17)-(P39+Q39)*(1+Assumptions!$D$17)^0.5-R39-T39</f>
        <v>32204937.424421843</v>
      </c>
      <c r="W39" s="67"/>
      <c r="X39" s="67">
        <f>IF(AND(H39=1,D39&lt;15),Assumptions!$D$10*N39+Assumptions!$D$11*(1+Assumptions!$D$16)^(B39-1)*$I$7,0)</f>
        <v>0</v>
      </c>
      <c r="Y39" s="65">
        <f>Assumptions!$C$13*N39</f>
        <v>0</v>
      </c>
      <c r="Z39" s="65">
        <f>NPV(Assumptions!$D$19,N39:$N$259)*(1+Assumptions!$D$19)</f>
        <v>71835627.410955116</v>
      </c>
      <c r="AA39" s="68">
        <f t="shared" si="11"/>
        <v>660744.20035739208</v>
      </c>
      <c r="AC39" s="67">
        <f t="shared" si="12"/>
        <v>32204937.424421843</v>
      </c>
      <c r="AD39" s="67"/>
      <c r="AE39" s="67"/>
      <c r="AF39" s="67"/>
      <c r="AG39" s="67"/>
      <c r="AH39" s="67"/>
      <c r="AI39" s="67"/>
      <c r="AK39" s="67"/>
      <c r="AL39" s="70">
        <f t="shared" si="4"/>
        <v>0</v>
      </c>
    </row>
    <row r="40" spans="2:38" x14ac:dyDescent="0.2">
      <c r="B40" s="5">
        <f t="shared" si="0"/>
        <v>33</v>
      </c>
      <c r="C40" s="5">
        <f t="shared" si="1"/>
        <v>33</v>
      </c>
      <c r="D40" s="5">
        <f t="shared" si="2"/>
        <v>2</v>
      </c>
      <c r="E40" s="5">
        <f t="shared" si="3"/>
        <v>48</v>
      </c>
      <c r="F40" s="64">
        <f>1-(1-VLOOKUP($E40,'Annual Mortality Rates'!$B$5:$C$105,2,FALSE))^(1/12)</f>
        <v>9.5883882629710371E-5</v>
      </c>
      <c r="G40" s="75">
        <f>IF(C40&gt;=[1]Assumptions!$H$9*12,100%,1-(1-IF(D40&gt;=7,2%,VLOOKUP($D40,'[1]Annual Lapse Rates'!$B$4:$C$14,2,FALSE)))^(1/12))</f>
        <v>6.0293080661268927E-3</v>
      </c>
      <c r="H40" s="81">
        <f t="shared" si="5"/>
        <v>9</v>
      </c>
      <c r="I40" s="65">
        <f t="shared" si="6"/>
        <v>3926.6333161545585</v>
      </c>
      <c r="J40" s="66">
        <f t="shared" si="7"/>
        <v>0.37650084801607409</v>
      </c>
      <c r="K40" s="66">
        <f t="shared" si="8"/>
        <v>23.821684927506922</v>
      </c>
      <c r="M40" s="67">
        <f t="shared" si="13"/>
        <v>32204937.424421843</v>
      </c>
      <c r="N40" s="67">
        <f>IF(AND(MOD(C40,12)=1,D40&lt;15),Assumptions!$H$4*I39,0)</f>
        <v>0</v>
      </c>
      <c r="O40" s="67"/>
      <c r="P40" s="90">
        <f t="shared" si="9"/>
        <v>197261.42342227889</v>
      </c>
      <c r="Q40" s="90">
        <f>M40*VLOOKUP(MOD(C40,12)+(MOD(C40,12)=0)*12,Assumptions!$C$22:$D$33,2,FALSE)*(F40+G40)</f>
        <v>5547.9775337515939</v>
      </c>
      <c r="R40" s="67">
        <f>IF(AND(MOD(C40,12)=0,D40&lt;15),Assumptions!$C$7*M40,0)</f>
        <v>0</v>
      </c>
      <c r="S40" s="68">
        <f>IF(MOD(C40,12)=0,M40*Assumptions!$D$17,0)</f>
        <v>0</v>
      </c>
      <c r="T40" s="68">
        <f t="shared" si="10"/>
        <v>0</v>
      </c>
      <c r="U40" s="67">
        <f>T40+AE40*(1+Assumptions!$D$17)</f>
        <v>0</v>
      </c>
      <c r="V40" s="67">
        <f>(M40+N40-O40)*(1+Assumptions!$D$17)-(P40+Q40)*(1+Assumptions!$D$17)^0.5-R40-T40</f>
        <v>32132922.209611654</v>
      </c>
      <c r="W40" s="67"/>
      <c r="X40" s="67">
        <f>IF(AND(H40=1,D40&lt;15),Assumptions!$D$10*N40+Assumptions!$D$11*(1+Assumptions!$D$16)^(B40-1)*$I$7,0)</f>
        <v>0</v>
      </c>
      <c r="Y40" s="65">
        <f>Assumptions!$C$13*N40</f>
        <v>0</v>
      </c>
      <c r="Z40" s="65">
        <f>NPV(Assumptions!$D$19,N40:$N$259)*(1+Assumptions!$D$19)</f>
        <v>72144018.070202872</v>
      </c>
      <c r="AA40" s="68">
        <f t="shared" si="11"/>
        <v>663580.77806801256</v>
      </c>
      <c r="AC40" s="67">
        <f t="shared" si="12"/>
        <v>32132922.209611654</v>
      </c>
      <c r="AD40" s="67"/>
      <c r="AE40" s="67"/>
      <c r="AF40" s="67"/>
      <c r="AG40" s="67"/>
      <c r="AH40" s="67"/>
      <c r="AI40" s="67"/>
      <c r="AK40" s="67"/>
      <c r="AL40" s="70">
        <f t="shared" si="4"/>
        <v>0</v>
      </c>
    </row>
    <row r="41" spans="2:38" x14ac:dyDescent="0.2">
      <c r="B41" s="5">
        <f t="shared" si="0"/>
        <v>34</v>
      </c>
      <c r="C41" s="5">
        <f t="shared" si="1"/>
        <v>34</v>
      </c>
      <c r="D41" s="5">
        <f t="shared" si="2"/>
        <v>2</v>
      </c>
      <c r="E41" s="5">
        <f t="shared" si="3"/>
        <v>48</v>
      </c>
      <c r="F41" s="64">
        <f>1-(1-VLOOKUP($E41,'Annual Mortality Rates'!$B$5:$C$105,2,FALSE))^(1/12)</f>
        <v>9.5883882629710371E-5</v>
      </c>
      <c r="G41" s="75">
        <f>IF(C41&gt;=[1]Assumptions!$H$9*12,100%,1-(1-IF(D41&gt;=7,2%,VLOOKUP($D41,'[1]Annual Lapse Rates'!$B$4:$C$14,2,FALSE)))^(1/12))</f>
        <v>6.0293080661268927E-3</v>
      </c>
      <c r="H41" s="81">
        <f t="shared" si="5"/>
        <v>10</v>
      </c>
      <c r="I41" s="65">
        <f t="shared" si="6"/>
        <v>3902.4351303790359</v>
      </c>
      <c r="J41" s="66">
        <f t="shared" si="7"/>
        <v>0.37418063201132196</v>
      </c>
      <c r="K41" s="66">
        <f t="shared" si="8"/>
        <v>23.674881925813271</v>
      </c>
      <c r="M41" s="67">
        <f t="shared" si="13"/>
        <v>32132922.209611654</v>
      </c>
      <c r="N41" s="67">
        <f>IF(AND(MOD(C41,12)=1,D41&lt;15),Assumptions!$H$4*I40,0)</f>
        <v>0</v>
      </c>
      <c r="O41" s="67"/>
      <c r="P41" s="90">
        <f t="shared" si="9"/>
        <v>196820.31640833555</v>
      </c>
      <c r="Q41" s="90">
        <f>M41*VLOOKUP(MOD(C41,12)+(MOD(C41,12)=0)*12,Assumptions!$C$22:$D$33,2,FALSE)*(F41+G41)</f>
        <v>6150.634887760486</v>
      </c>
      <c r="R41" s="67">
        <f>IF(AND(MOD(C41,12)=0,D41&lt;15),Assumptions!$C$7*M41,0)</f>
        <v>0</v>
      </c>
      <c r="S41" s="68">
        <f>IF(MOD(C41,12)=0,M41*Assumptions!$D$17,0)</f>
        <v>0</v>
      </c>
      <c r="T41" s="68">
        <f t="shared" si="10"/>
        <v>0</v>
      </c>
      <c r="U41" s="67">
        <f>T41+AE41*(1+Assumptions!$D$17)</f>
        <v>0</v>
      </c>
      <c r="V41" s="67">
        <f>(M41+N41-O41)*(1+Assumptions!$D$17)-(P41+Q41)*(1+Assumptions!$D$17)^0.5-R41-T41</f>
        <v>32060451.71680842</v>
      </c>
      <c r="W41" s="67"/>
      <c r="X41" s="67">
        <f>IF(AND(H41=1,D41&lt;15),Assumptions!$D$10*N41+Assumptions!$D$11*(1+Assumptions!$D$16)^(B41-1)*$I$7,0)</f>
        <v>0</v>
      </c>
      <c r="Y41" s="65">
        <f>Assumptions!$C$13*N41</f>
        <v>0</v>
      </c>
      <c r="Z41" s="65">
        <f>NPV(Assumptions!$D$19,N41:$N$259)*(1+Assumptions!$D$19)</f>
        <v>72453732.651884928</v>
      </c>
      <c r="AA41" s="68">
        <f t="shared" si="11"/>
        <v>666429.53321901627</v>
      </c>
      <c r="AC41" s="67">
        <f t="shared" si="12"/>
        <v>32060451.71680842</v>
      </c>
      <c r="AD41" s="67"/>
      <c r="AE41" s="67"/>
      <c r="AF41" s="67"/>
      <c r="AG41" s="67"/>
      <c r="AH41" s="67"/>
      <c r="AI41" s="67"/>
      <c r="AK41" s="67"/>
      <c r="AL41" s="70">
        <f t="shared" si="4"/>
        <v>0</v>
      </c>
    </row>
    <row r="42" spans="2:38" x14ac:dyDescent="0.2">
      <c r="B42" s="5">
        <f t="shared" si="0"/>
        <v>35</v>
      </c>
      <c r="C42" s="5">
        <f t="shared" si="1"/>
        <v>35</v>
      </c>
      <c r="D42" s="5">
        <f t="shared" si="2"/>
        <v>2</v>
      </c>
      <c r="E42" s="5">
        <f t="shared" si="3"/>
        <v>48</v>
      </c>
      <c r="F42" s="64">
        <f>1-(1-VLOOKUP($E42,'Annual Mortality Rates'!$B$5:$C$105,2,FALSE))^(1/12)</f>
        <v>9.5883882629710371E-5</v>
      </c>
      <c r="G42" s="75">
        <f>IF(C42&gt;=[1]Assumptions!$H$9*12,100%,1-(1-IF(D42&gt;=7,2%,VLOOKUP($D42,'[1]Annual Lapse Rates'!$B$4:$C$14,2,FALSE)))^(1/12))</f>
        <v>6.0293080661268927E-3</v>
      </c>
      <c r="H42" s="81">
        <f t="shared" si="5"/>
        <v>11</v>
      </c>
      <c r="I42" s="65">
        <f t="shared" si="6"/>
        <v>3878.3860678212113</v>
      </c>
      <c r="J42" s="66">
        <f t="shared" si="7"/>
        <v>0.37187471451967297</v>
      </c>
      <c r="K42" s="66">
        <f t="shared" si="8"/>
        <v>23.528983609131274</v>
      </c>
      <c r="M42" s="67">
        <f t="shared" si="13"/>
        <v>32060451.71680842</v>
      </c>
      <c r="N42" s="67">
        <f>IF(AND(MOD(C42,12)=1,D42&lt;15),Assumptions!$H$4*I41,0)</f>
        <v>0</v>
      </c>
      <c r="O42" s="67"/>
      <c r="P42" s="90">
        <f t="shared" si="9"/>
        <v>196376.42072929474</v>
      </c>
      <c r="Q42" s="90">
        <f>M42*VLOOKUP(MOD(C42,12)+(MOD(C42,12)=0)*12,Assumptions!$C$22:$D$33,2,FALSE)*(F42+G42)</f>
        <v>6750.4394625695068</v>
      </c>
      <c r="R42" s="67">
        <f>IF(AND(MOD(C42,12)=0,D42&lt;15),Assumptions!$C$7*M42,0)</f>
        <v>0</v>
      </c>
      <c r="S42" s="68">
        <f>IF(MOD(C42,12)=0,M42*Assumptions!$D$17,0)</f>
        <v>0</v>
      </c>
      <c r="T42" s="68">
        <f t="shared" si="10"/>
        <v>0</v>
      </c>
      <c r="U42" s="67">
        <f>T42+AE42*(1+Assumptions!$D$17)</f>
        <v>0</v>
      </c>
      <c r="V42" s="67">
        <f>(M42+N42-O42)*(1+Assumptions!$D$17)-(P42+Q42)*(1+Assumptions!$D$17)^0.5-R42-T42</f>
        <v>31987529.744077832</v>
      </c>
      <c r="W42" s="67"/>
      <c r="X42" s="67">
        <f>IF(AND(H42=1,D42&lt;15),Assumptions!$D$10*N42+Assumptions!$D$11*(1+Assumptions!$D$16)^(B42-1)*$I$7,0)</f>
        <v>0</v>
      </c>
      <c r="Y42" s="65">
        <f>Assumptions!$C$13*N42</f>
        <v>0</v>
      </c>
      <c r="Z42" s="65">
        <f>NPV(Assumptions!$D$19,N42:$N$259)*(1+Assumptions!$D$19)</f>
        <v>72764776.839606032</v>
      </c>
      <c r="AA42" s="68">
        <f t="shared" si="11"/>
        <v>669290.51808820735</v>
      </c>
      <c r="AC42" s="67">
        <f t="shared" si="12"/>
        <v>31987529.744077832</v>
      </c>
      <c r="AD42" s="67"/>
      <c r="AE42" s="67"/>
      <c r="AF42" s="67"/>
      <c r="AG42" s="67"/>
      <c r="AH42" s="67"/>
      <c r="AI42" s="67"/>
      <c r="AK42" s="67"/>
      <c r="AL42" s="70">
        <f t="shared" si="4"/>
        <v>0</v>
      </c>
    </row>
    <row r="43" spans="2:38" x14ac:dyDescent="0.2">
      <c r="B43" s="5">
        <f t="shared" si="0"/>
        <v>36</v>
      </c>
      <c r="C43" s="5">
        <f t="shared" si="1"/>
        <v>36</v>
      </c>
      <c r="D43" s="5">
        <f t="shared" si="2"/>
        <v>2</v>
      </c>
      <c r="E43" s="5">
        <f t="shared" si="3"/>
        <v>48</v>
      </c>
      <c r="F43" s="64">
        <f>1-(1-VLOOKUP($E43,'Annual Mortality Rates'!$B$5:$C$105,2,FALSE))^(1/12)</f>
        <v>9.5883882629710371E-5</v>
      </c>
      <c r="G43" s="75">
        <f>IF(C43&gt;=[1]Assumptions!$H$9*12,100%,1-(1-IF(D43&gt;=7,2%,VLOOKUP($D43,'[1]Annual Lapse Rates'!$B$4:$C$14,2,FALSE)))^(1/12))</f>
        <v>6.0293080661268927E-3</v>
      </c>
      <c r="H43" s="81">
        <f t="shared" si="5"/>
        <v>12</v>
      </c>
      <c r="I43" s="65">
        <f t="shared" si="6"/>
        <v>3854.4852094975604</v>
      </c>
      <c r="J43" s="66">
        <f t="shared" si="7"/>
        <v>0.36958300742541866</v>
      </c>
      <c r="K43" s="66">
        <f t="shared" si="8"/>
        <v>23.383984402268592</v>
      </c>
      <c r="M43" s="67">
        <f t="shared" si="13"/>
        <v>31987529.744077832</v>
      </c>
      <c r="N43" s="67">
        <f>IF(AND(MOD(C43,12)=1,D43&lt;15),Assumptions!$H$4*I42,0)</f>
        <v>0</v>
      </c>
      <c r="O43" s="67"/>
      <c r="P43" s="90">
        <f t="shared" si="9"/>
        <v>195929.75964903791</v>
      </c>
      <c r="Q43" s="90">
        <f>M43*VLOOKUP(MOD(C43,12)+(MOD(C43,12)=0)*12,Assumptions!$C$22:$D$33,2,FALSE)*(F43+G43)</f>
        <v>7347.3659868389213</v>
      </c>
      <c r="R43" s="67">
        <f>IF(AND(MOD(C43,12)=0,D43&lt;15),Assumptions!$C$7*M43,0)</f>
        <v>15993.764872038915</v>
      </c>
      <c r="S43" s="68">
        <f>IF(MOD(C43,12)=0,M43*Assumptions!$D$17,0)</f>
        <v>130321.15571050662</v>
      </c>
      <c r="T43" s="68">
        <f t="shared" si="10"/>
        <v>0</v>
      </c>
      <c r="U43" s="67">
        <f>T43+AE43*(1+Assumptions!$D$17)</f>
        <v>0</v>
      </c>
      <c r="V43" s="67">
        <f>(M43+N43-O43)*(1+Assumptions!$D$17)-(P43+Q43)*(1+Assumptions!$D$17)^0.5-R43-T43</f>
        <v>31898166.342098866</v>
      </c>
      <c r="W43" s="67"/>
      <c r="X43" s="67">
        <f>IF(AND(H43=1,D43&lt;15),Assumptions!$D$10*N43+Assumptions!$D$11*(1+Assumptions!$D$16)^(B43-1)*$I$7,0)</f>
        <v>0</v>
      </c>
      <c r="Y43" s="65">
        <f>Assumptions!$C$13*N43</f>
        <v>0</v>
      </c>
      <c r="Z43" s="65">
        <f>NPV(Assumptions!$D$19,N43:$N$259)*(1+Assumptions!$D$19)</f>
        <v>73077156.341370642</v>
      </c>
      <c r="AA43" s="68">
        <f t="shared" si="11"/>
        <v>672163.78517781885</v>
      </c>
      <c r="AC43" s="67">
        <f t="shared" si="12"/>
        <v>31898166.342098866</v>
      </c>
      <c r="AD43" s="67"/>
      <c r="AE43" s="67"/>
      <c r="AF43" s="67"/>
      <c r="AG43" s="67"/>
      <c r="AH43" s="67"/>
      <c r="AI43" s="67"/>
      <c r="AK43" s="67"/>
      <c r="AL43" s="70">
        <f t="shared" si="4"/>
        <v>0</v>
      </c>
    </row>
    <row r="44" spans="2:38" x14ac:dyDescent="0.2">
      <c r="B44" s="5">
        <f t="shared" si="0"/>
        <v>37</v>
      </c>
      <c r="C44" s="5">
        <f t="shared" si="1"/>
        <v>37</v>
      </c>
      <c r="D44" s="5">
        <f t="shared" si="2"/>
        <v>3</v>
      </c>
      <c r="E44" s="5">
        <f t="shared" si="3"/>
        <v>49</v>
      </c>
      <c r="F44" s="64">
        <f>1-(1-VLOOKUP($E44,'Annual Mortality Rates'!$B$5:$C$105,2,FALSE))^(1/12)</f>
        <v>1.067292956670185E-4</v>
      </c>
      <c r="G44" s="75">
        <f>IF(C44&gt;=[1]Assumptions!$H$9*12,100%,1-(1-IF(D44&gt;=7,2%,VLOOKUP($D44,'[1]Annual Lapse Rates'!$B$4:$C$14,2,FALSE)))^(1/12))</f>
        <v>5.1430128318229462E-3</v>
      </c>
      <c r="H44" s="81">
        <f t="shared" si="5"/>
        <v>1</v>
      </c>
      <c r="I44" s="65">
        <f t="shared" si="6"/>
        <v>3830.7316420878665</v>
      </c>
      <c r="J44" s="66">
        <f t="shared" si="7"/>
        <v>0.40885129004939919</v>
      </c>
      <c r="K44" s="66">
        <f t="shared" si="8"/>
        <v>19.823666892517711</v>
      </c>
      <c r="M44" s="67">
        <f t="shared" si="13"/>
        <v>31898166.342098866</v>
      </c>
      <c r="N44" s="67">
        <f>IF(AND(MOD(C44,12)=1,D44&lt;15),Assumptions!$H$4*I43,0)</f>
        <v>9636213.0237439014</v>
      </c>
      <c r="O44" s="67"/>
      <c r="P44" s="90">
        <f t="shared" si="9"/>
        <v>167457.14763579887</v>
      </c>
      <c r="Q44" s="90">
        <f>M44*VLOOKUP(MOD(C44,12)+(MOD(C44,12)=0)*12,Assumptions!$C$22:$D$33,2,FALSE)*(F44+G44)</f>
        <v>523.30358636187157</v>
      </c>
      <c r="R44" s="67">
        <f>IF(AND(MOD(C44,12)=0,D44&lt;15),Assumptions!$C$7*M44,0)</f>
        <v>0</v>
      </c>
      <c r="S44" s="68">
        <f>IF(MOD(C44,12)=0,M44*Assumptions!$D$17,0)</f>
        <v>0</v>
      </c>
      <c r="T44" s="68">
        <f t="shared" si="10"/>
        <v>0</v>
      </c>
      <c r="U44" s="67">
        <f>T44+AE44*(1+Assumptions!$D$17)</f>
        <v>0</v>
      </c>
      <c r="V44" s="67">
        <f>(M44+N44-O44)*(1+Assumptions!$D$17)-(P44+Q44)*(1+Assumptions!$D$17)^0.5-R44-T44</f>
        <v>41535273.278677754</v>
      </c>
      <c r="W44" s="67"/>
      <c r="X44" s="67">
        <f>IF(AND(H44=1,D44&lt;15),Assumptions!$D$10*N44+Assumptions!$D$11*(1+Assumptions!$D$16)^(B44-1)*$I$7,0)</f>
        <v>82670.325118719542</v>
      </c>
      <c r="Y44" s="65">
        <f>Assumptions!$C$13*N44</f>
        <v>48181.065118719511</v>
      </c>
      <c r="Z44" s="65">
        <f>NPV(Assumptions!$D$19,N44:$N$259)*(1+Assumptions!$D$19)</f>
        <v>73390876.889687732</v>
      </c>
      <c r="AA44" s="68">
        <f t="shared" si="11"/>
        <v>586415.48648509628</v>
      </c>
      <c r="AC44" s="67">
        <f t="shared" si="12"/>
        <v>41535273.278677754</v>
      </c>
      <c r="AD44" s="67"/>
      <c r="AE44" s="67"/>
      <c r="AF44" s="67"/>
      <c r="AG44" s="67"/>
      <c r="AH44" s="67"/>
      <c r="AI44" s="67"/>
      <c r="AK44" s="67"/>
      <c r="AL44" s="70">
        <f t="shared" si="4"/>
        <v>0</v>
      </c>
    </row>
    <row r="45" spans="2:38" x14ac:dyDescent="0.2">
      <c r="B45" s="5">
        <f t="shared" si="0"/>
        <v>38</v>
      </c>
      <c r="C45" s="5">
        <f t="shared" si="1"/>
        <v>38</v>
      </c>
      <c r="D45" s="5">
        <f t="shared" si="2"/>
        <v>3</v>
      </c>
      <c r="E45" s="5">
        <f t="shared" si="3"/>
        <v>49</v>
      </c>
      <c r="F45" s="64">
        <f>1-(1-VLOOKUP($E45,'Annual Mortality Rates'!$B$5:$C$105,2,FALSE))^(1/12)</f>
        <v>1.067292956670185E-4</v>
      </c>
      <c r="G45" s="75">
        <f>IF(C45&gt;=[1]Assumptions!$H$9*12,100%,1-(1-IF(D45&gt;=7,2%,VLOOKUP($D45,'[1]Annual Lapse Rates'!$B$4:$C$14,2,FALSE)))^(1/12))</f>
        <v>5.1430128318229462E-3</v>
      </c>
      <c r="H45" s="81">
        <f t="shared" si="5"/>
        <v>2</v>
      </c>
      <c r="I45" s="65">
        <f t="shared" si="6"/>
        <v>3810.4991239052993</v>
      </c>
      <c r="J45" s="66">
        <f t="shared" si="7"/>
        <v>0.40669188763420366</v>
      </c>
      <c r="K45" s="66">
        <f t="shared" si="8"/>
        <v>19.701501990528083</v>
      </c>
      <c r="M45" s="67">
        <f t="shared" si="13"/>
        <v>41535273.278677754</v>
      </c>
      <c r="N45" s="67">
        <f>IF(AND(MOD(C45,12)=1,D45&lt;15),Assumptions!$H$4*I44,0)</f>
        <v>0</v>
      </c>
      <c r="O45" s="67"/>
      <c r="P45" s="90">
        <f t="shared" si="9"/>
        <v>218049.47390788284</v>
      </c>
      <c r="Q45" s="90">
        <f>M45*VLOOKUP(MOD(C45,12)+(MOD(C45,12)=0)*12,Assumptions!$C$22:$D$33,2,FALSE)*(F45+G45)</f>
        <v>1362.8092119242679</v>
      </c>
      <c r="R45" s="67">
        <f>IF(AND(MOD(C45,12)=0,D45&lt;15),Assumptions!$C$7*M45,0)</f>
        <v>0</v>
      </c>
      <c r="S45" s="68">
        <f>IF(MOD(C45,12)=0,M45*Assumptions!$D$17,0)</f>
        <v>0</v>
      </c>
      <c r="T45" s="68">
        <f t="shared" si="10"/>
        <v>0</v>
      </c>
      <c r="U45" s="67">
        <f>T45+AE45*(1+Assumptions!$D$17)</f>
        <v>0</v>
      </c>
      <c r="V45" s="67">
        <f>(M45+N45-O45)*(1+Assumptions!$D$17)-(P45+Q45)*(1+Assumptions!$D$17)^0.5-R45-T45</f>
        <v>41484634.338196337</v>
      </c>
      <c r="W45" s="67"/>
      <c r="X45" s="67">
        <f>IF(AND(H45=1,D45&lt;15),Assumptions!$D$10*N45+Assumptions!$D$11*(1+Assumptions!$D$16)^(B45-1)*$I$7,0)</f>
        <v>0</v>
      </c>
      <c r="Y45" s="65">
        <f>Assumptions!$C$13*N45</f>
        <v>0</v>
      </c>
      <c r="Z45" s="65">
        <f>NPV(Assumptions!$D$19,N45:$N$259)*(1+Assumptions!$D$19)</f>
        <v>64028362.913733281</v>
      </c>
      <c r="AA45" s="68">
        <f t="shared" si="11"/>
        <v>588932.97070550488</v>
      </c>
      <c r="AC45" s="67">
        <f t="shared" si="12"/>
        <v>41484634.338196337</v>
      </c>
      <c r="AD45" s="67"/>
      <c r="AE45" s="67"/>
      <c r="AF45" s="67"/>
      <c r="AG45" s="67"/>
      <c r="AH45" s="67"/>
      <c r="AI45" s="67"/>
      <c r="AK45" s="67"/>
      <c r="AL45" s="70">
        <f t="shared" si="4"/>
        <v>0</v>
      </c>
    </row>
    <row r="46" spans="2:38" x14ac:dyDescent="0.2">
      <c r="B46" s="5">
        <f t="shared" si="0"/>
        <v>39</v>
      </c>
      <c r="C46" s="5">
        <f t="shared" si="1"/>
        <v>39</v>
      </c>
      <c r="D46" s="5">
        <f t="shared" si="2"/>
        <v>3</v>
      </c>
      <c r="E46" s="5">
        <f t="shared" si="3"/>
        <v>49</v>
      </c>
      <c r="F46" s="64">
        <f>1-(1-VLOOKUP($E46,'Annual Mortality Rates'!$B$5:$C$105,2,FALSE))^(1/12)</f>
        <v>1.067292956670185E-4</v>
      </c>
      <c r="G46" s="75">
        <f>IF(C46&gt;=[1]Assumptions!$H$9*12,100%,1-(1-IF(D46&gt;=7,2%,VLOOKUP($D46,'[1]Annual Lapse Rates'!$B$4:$C$14,2,FALSE)))^(1/12))</f>
        <v>5.1430128318229462E-3</v>
      </c>
      <c r="H46" s="81">
        <f t="shared" si="5"/>
        <v>3</v>
      </c>
      <c r="I46" s="65">
        <f t="shared" si="6"/>
        <v>3790.3909300271371</v>
      </c>
      <c r="J46" s="66">
        <f t="shared" si="7"/>
        <v>0.40454575426445155</v>
      </c>
      <c r="K46" s="66">
        <f t="shared" si="8"/>
        <v>19.597445889895049</v>
      </c>
      <c r="M46" s="67">
        <f t="shared" si="13"/>
        <v>41484634.338196337</v>
      </c>
      <c r="N46" s="67">
        <f>IF(AND(MOD(C46,12)=1,D46&lt;15),Assumptions!$H$4*I45,0)</f>
        <v>0</v>
      </c>
      <c r="O46" s="67"/>
      <c r="P46" s="90">
        <f t="shared" si="9"/>
        <v>217783.63252874609</v>
      </c>
      <c r="Q46" s="90">
        <f>M46*VLOOKUP(MOD(C46,12)+(MOD(C46,12)=0)*12,Assumptions!$C$22:$D$33,2,FALSE)*(F46+G46)</f>
        <v>2041.7215549569949</v>
      </c>
      <c r="R46" s="67">
        <f>IF(AND(MOD(C46,12)=0,D46&lt;15),Assumptions!$C$7*M46,0)</f>
        <v>0</v>
      </c>
      <c r="S46" s="68">
        <f>IF(MOD(C46,12)=0,M46*Assumptions!$D$17,0)</f>
        <v>0</v>
      </c>
      <c r="T46" s="68">
        <f t="shared" si="10"/>
        <v>0</v>
      </c>
      <c r="U46" s="67">
        <f>T46+AE46*(1+Assumptions!$D$17)</f>
        <v>0</v>
      </c>
      <c r="V46" s="67">
        <f>(M46+N46-O46)*(1+Assumptions!$D$17)-(P46+Q46)*(1+Assumptions!$D$17)^0.5-R46-T46</f>
        <v>41433375.176843405</v>
      </c>
      <c r="W46" s="67"/>
      <c r="X46" s="67">
        <f>IF(AND(H46=1,D46&lt;15),Assumptions!$D$10*N46+Assumptions!$D$11*(1+Assumptions!$D$16)^(B46-1)*$I$7,0)</f>
        <v>0</v>
      </c>
      <c r="Y46" s="65">
        <f>Assumptions!$C$13*N46</f>
        <v>0</v>
      </c>
      <c r="Z46" s="65">
        <f>NPV(Assumptions!$D$19,N46:$N$259)*(1+Assumptions!$D$19)</f>
        <v>64303236.952718973</v>
      </c>
      <c r="AA46" s="68">
        <f t="shared" si="11"/>
        <v>591461.26249656291</v>
      </c>
      <c r="AC46" s="67">
        <f t="shared" si="12"/>
        <v>41433375.176843405</v>
      </c>
      <c r="AD46" s="67"/>
      <c r="AE46" s="67"/>
      <c r="AF46" s="67"/>
      <c r="AG46" s="67"/>
      <c r="AH46" s="67"/>
      <c r="AI46" s="67"/>
      <c r="AK46" s="67"/>
      <c r="AL46" s="70">
        <f t="shared" si="4"/>
        <v>0</v>
      </c>
    </row>
    <row r="47" spans="2:38" x14ac:dyDescent="0.2">
      <c r="B47" s="5">
        <f t="shared" si="0"/>
        <v>40</v>
      </c>
      <c r="C47" s="5">
        <f t="shared" si="1"/>
        <v>40</v>
      </c>
      <c r="D47" s="5">
        <f t="shared" si="2"/>
        <v>3</v>
      </c>
      <c r="E47" s="5">
        <f t="shared" si="3"/>
        <v>49</v>
      </c>
      <c r="F47" s="64">
        <f>1-(1-VLOOKUP($E47,'Annual Mortality Rates'!$B$5:$C$105,2,FALSE))^(1/12)</f>
        <v>1.067292956670185E-4</v>
      </c>
      <c r="G47" s="75">
        <f>IF(C47&gt;=[1]Assumptions!$H$9*12,100%,1-(1-IF(D47&gt;=7,2%,VLOOKUP($D47,'[1]Annual Lapse Rates'!$B$4:$C$14,2,FALSE)))^(1/12))</f>
        <v>5.1430128318229462E-3</v>
      </c>
      <c r="H47" s="81">
        <f t="shared" si="5"/>
        <v>4</v>
      </c>
      <c r="I47" s="65">
        <f t="shared" si="6"/>
        <v>3770.3889383829778</v>
      </c>
      <c r="J47" s="66">
        <f t="shared" si="7"/>
        <v>0.40241095578433284</v>
      </c>
      <c r="K47" s="66">
        <f t="shared" si="8"/>
        <v>19.494029190754876</v>
      </c>
      <c r="M47" s="67">
        <f t="shared" si="13"/>
        <v>41433375.176843405</v>
      </c>
      <c r="N47" s="67">
        <f>IF(AND(MOD(C47,12)=1,D47&lt;15),Assumptions!$H$4*I46,0)</f>
        <v>0</v>
      </c>
      <c r="O47" s="67"/>
      <c r="P47" s="90">
        <f t="shared" si="9"/>
        <v>217514.53514997178</v>
      </c>
      <c r="Q47" s="90">
        <f>M47*VLOOKUP(MOD(C47,12)+(MOD(C47,12)=0)*12,Assumptions!$C$22:$D$33,2,FALSE)*(F47+G47)</f>
        <v>2718.9316893746472</v>
      </c>
      <c r="R47" s="67">
        <f>IF(AND(MOD(C47,12)=0,D47&lt;15),Assumptions!$C$7*M47,0)</f>
        <v>0</v>
      </c>
      <c r="S47" s="68">
        <f>IF(MOD(C47,12)=0,M47*Assumptions!$D$17,0)</f>
        <v>0</v>
      </c>
      <c r="T47" s="68">
        <f t="shared" si="10"/>
        <v>0</v>
      </c>
      <c r="U47" s="67">
        <f>T47+AE47*(1+Assumptions!$D$17)</f>
        <v>0</v>
      </c>
      <c r="V47" s="67">
        <f>(M47+N47-O47)*(1+Assumptions!$D$17)-(P47+Q47)*(1+Assumptions!$D$17)^0.5-R47-T47</f>
        <v>41381498.23606053</v>
      </c>
      <c r="W47" s="67"/>
      <c r="X47" s="67">
        <f>IF(AND(H47=1,D47&lt;15),Assumptions!$D$10*N47+Assumptions!$D$11*(1+Assumptions!$D$16)^(B47-1)*$I$7,0)</f>
        <v>0</v>
      </c>
      <c r="Y47" s="65">
        <f>Assumptions!$C$13*N47</f>
        <v>0</v>
      </c>
      <c r="Z47" s="65">
        <f>NPV(Assumptions!$D$19,N47:$N$259)*(1+Assumptions!$D$19)</f>
        <v>64579291.027143195</v>
      </c>
      <c r="AA47" s="68">
        <f t="shared" si="11"/>
        <v>594000.4082552176</v>
      </c>
      <c r="AC47" s="67">
        <f t="shared" si="12"/>
        <v>41381498.23606053</v>
      </c>
      <c r="AD47" s="67"/>
      <c r="AE47" s="67"/>
      <c r="AF47" s="67"/>
      <c r="AG47" s="67"/>
      <c r="AH47" s="67"/>
      <c r="AI47" s="67"/>
      <c r="AK47" s="67"/>
      <c r="AL47" s="70">
        <f t="shared" si="4"/>
        <v>0</v>
      </c>
    </row>
    <row r="48" spans="2:38" x14ac:dyDescent="0.2">
      <c r="B48" s="5">
        <f t="shared" si="0"/>
        <v>41</v>
      </c>
      <c r="C48" s="5">
        <f t="shared" si="1"/>
        <v>41</v>
      </c>
      <c r="D48" s="5">
        <f t="shared" si="2"/>
        <v>3</v>
      </c>
      <c r="E48" s="5">
        <f t="shared" si="3"/>
        <v>49</v>
      </c>
      <c r="F48" s="64">
        <f>1-(1-VLOOKUP($E48,'Annual Mortality Rates'!$B$5:$C$105,2,FALSE))^(1/12)</f>
        <v>1.067292956670185E-4</v>
      </c>
      <c r="G48" s="75">
        <f>IF(C48&gt;=[1]Assumptions!$H$9*12,100%,1-(1-IF(D48&gt;=7,2%,VLOOKUP($D48,'[1]Annual Lapse Rates'!$B$4:$C$14,2,FALSE)))^(1/12))</f>
        <v>5.1430128318229462E-3</v>
      </c>
      <c r="H48" s="81">
        <f t="shared" si="5"/>
        <v>5</v>
      </c>
      <c r="I48" s="65">
        <f t="shared" si="6"/>
        <v>3750.4924982364382</v>
      </c>
      <c r="J48" s="66">
        <f t="shared" si="7"/>
        <v>0.40028742274121165</v>
      </c>
      <c r="K48" s="66">
        <f t="shared" si="8"/>
        <v>19.391158691066952</v>
      </c>
      <c r="M48" s="67">
        <f t="shared" si="13"/>
        <v>41381498.23606053</v>
      </c>
      <c r="N48" s="67">
        <f>IF(AND(MOD(C48,12)=1,D48&lt;15),Assumptions!$H$4*I47,0)</f>
        <v>0</v>
      </c>
      <c r="O48" s="67"/>
      <c r="P48" s="90">
        <f t="shared" si="9"/>
        <v>217242.19458849862</v>
      </c>
      <c r="Q48" s="90">
        <f>M48*VLOOKUP(MOD(C48,12)+(MOD(C48,12)=0)*12,Assumptions!$C$22:$D$33,2,FALSE)*(F48+G48)</f>
        <v>3394.4092904452909</v>
      </c>
      <c r="R48" s="67">
        <f>IF(AND(MOD(C48,12)=0,D48&lt;15),Assumptions!$C$7*M48,0)</f>
        <v>0</v>
      </c>
      <c r="S48" s="68">
        <f>IF(MOD(C48,12)=0,M48*Assumptions!$D$17,0)</f>
        <v>0</v>
      </c>
      <c r="T48" s="68">
        <f t="shared" si="10"/>
        <v>0</v>
      </c>
      <c r="U48" s="67">
        <f>T48+AE48*(1+Assumptions!$D$17)</f>
        <v>0</v>
      </c>
      <c r="V48" s="67">
        <f>(M48+N48-O48)*(1+Assumptions!$D$17)-(P48+Q48)*(1+Assumptions!$D$17)^0.5-R48-T48</f>
        <v>41329005.984779425</v>
      </c>
      <c r="W48" s="67"/>
      <c r="X48" s="67">
        <f>IF(AND(H48=1,D48&lt;15),Assumptions!$D$10*N48+Assumptions!$D$11*(1+Assumptions!$D$16)^(B48-1)*$I$7,0)</f>
        <v>0</v>
      </c>
      <c r="Y48" s="65">
        <f>Assumptions!$C$13*N48</f>
        <v>0</v>
      </c>
      <c r="Z48" s="65">
        <f>NPV(Assumptions!$D$19,N48:$N$259)*(1+Assumptions!$D$19)</f>
        <v>64856530.202903166</v>
      </c>
      <c r="AA48" s="68">
        <f t="shared" si="11"/>
        <v>596550.45457759895</v>
      </c>
      <c r="AC48" s="67">
        <f t="shared" si="12"/>
        <v>41329005.984779425</v>
      </c>
      <c r="AD48" s="67"/>
      <c r="AE48" s="67"/>
      <c r="AF48" s="67"/>
      <c r="AG48" s="67"/>
      <c r="AH48" s="67"/>
      <c r="AI48" s="67"/>
      <c r="AK48" s="67"/>
      <c r="AL48" s="70">
        <f t="shared" si="4"/>
        <v>0</v>
      </c>
    </row>
    <row r="49" spans="2:38" x14ac:dyDescent="0.2">
      <c r="B49" s="5">
        <f t="shared" si="0"/>
        <v>42</v>
      </c>
      <c r="C49" s="5">
        <f t="shared" si="1"/>
        <v>42</v>
      </c>
      <c r="D49" s="5">
        <f t="shared" si="2"/>
        <v>3</v>
      </c>
      <c r="E49" s="5">
        <f t="shared" si="3"/>
        <v>49</v>
      </c>
      <c r="F49" s="64">
        <f>1-(1-VLOOKUP($E49,'Annual Mortality Rates'!$B$5:$C$105,2,FALSE))^(1/12)</f>
        <v>1.067292956670185E-4</v>
      </c>
      <c r="G49" s="75">
        <f>IF(C49&gt;=[1]Assumptions!$H$9*12,100%,1-(1-IF(D49&gt;=7,2%,VLOOKUP($D49,'[1]Annual Lapse Rates'!$B$4:$C$14,2,FALSE)))^(1/12))</f>
        <v>5.1430128318229462E-3</v>
      </c>
      <c r="H49" s="81">
        <f t="shared" si="5"/>
        <v>6</v>
      </c>
      <c r="I49" s="65">
        <f t="shared" si="6"/>
        <v>3730.7010521226298</v>
      </c>
      <c r="J49" s="66">
        <f t="shared" si="7"/>
        <v>0.39817509563725312</v>
      </c>
      <c r="K49" s="66">
        <f t="shared" si="8"/>
        <v>19.2888310440857</v>
      </c>
      <c r="M49" s="67">
        <f t="shared" si="13"/>
        <v>41329005.984779425</v>
      </c>
      <c r="N49" s="67">
        <f>IF(AND(MOD(C49,12)=1,D49&lt;15),Assumptions!$H$4*I48,0)</f>
        <v>0</v>
      </c>
      <c r="O49" s="67"/>
      <c r="P49" s="90">
        <f t="shared" si="9"/>
        <v>216966.62380558142</v>
      </c>
      <c r="Q49" s="90">
        <f>M49*VLOOKUP(MOD(C49,12)+(MOD(C49,12)=0)*12,Assumptions!$C$22:$D$33,2,FALSE)*(F49+G49)</f>
        <v>4068.1241963546522</v>
      </c>
      <c r="R49" s="67">
        <f>IF(AND(MOD(C49,12)=0,D49&lt;15),Assumptions!$C$7*M49,0)</f>
        <v>0</v>
      </c>
      <c r="S49" s="68">
        <f>IF(MOD(C49,12)=0,M49*Assumptions!$D$17,0)</f>
        <v>0</v>
      </c>
      <c r="T49" s="68">
        <f t="shared" si="10"/>
        <v>0</v>
      </c>
      <c r="U49" s="67">
        <f>T49+AE49*(1+Assumptions!$D$17)</f>
        <v>0</v>
      </c>
      <c r="V49" s="67">
        <f>(M49+N49-O49)*(1+Assumptions!$D$17)-(P49+Q49)*(1+Assumptions!$D$17)^0.5-R49-T49</f>
        <v>41275900.919226103</v>
      </c>
      <c r="W49" s="67"/>
      <c r="X49" s="67">
        <f>IF(AND(H49=1,D49&lt;15),Assumptions!$D$10*N49+Assumptions!$D$11*(1+Assumptions!$D$16)^(B49-1)*$I$7,0)</f>
        <v>0</v>
      </c>
      <c r="Y49" s="65">
        <f>Assumptions!$C$13*N49</f>
        <v>0</v>
      </c>
      <c r="Z49" s="65">
        <f>NPV(Assumptions!$D$19,N49:$N$259)*(1+Assumptions!$D$19)</f>
        <v>65134959.567644052</v>
      </c>
      <c r="AA49" s="68">
        <f t="shared" si="11"/>
        <v>599111.44825987436</v>
      </c>
      <c r="AC49" s="67">
        <f t="shared" si="12"/>
        <v>41275900.919226103</v>
      </c>
      <c r="AD49" s="67"/>
      <c r="AE49" s="67"/>
      <c r="AF49" s="67"/>
      <c r="AG49" s="67"/>
      <c r="AH49" s="67"/>
      <c r="AI49" s="67"/>
      <c r="AK49" s="67"/>
      <c r="AL49" s="70">
        <f t="shared" si="4"/>
        <v>0</v>
      </c>
    </row>
    <row r="50" spans="2:38" x14ac:dyDescent="0.2">
      <c r="B50" s="5">
        <f t="shared" si="0"/>
        <v>43</v>
      </c>
      <c r="C50" s="5">
        <f t="shared" si="1"/>
        <v>43</v>
      </c>
      <c r="D50" s="5">
        <f t="shared" si="2"/>
        <v>3</v>
      </c>
      <c r="E50" s="5">
        <f t="shared" si="3"/>
        <v>49</v>
      </c>
      <c r="F50" s="64">
        <f>1-(1-VLOOKUP($E50,'Annual Mortality Rates'!$B$5:$C$105,2,FALSE))^(1/12)</f>
        <v>1.067292956670185E-4</v>
      </c>
      <c r="G50" s="75">
        <f>IF(C50&gt;=[1]Assumptions!$H$9*12,100%,1-(1-IF(D50&gt;=7,2%,VLOOKUP($D50,'[1]Annual Lapse Rates'!$B$4:$C$14,2,FALSE)))^(1/12))</f>
        <v>5.1430128318229462E-3</v>
      </c>
      <c r="H50" s="81">
        <f t="shared" si="5"/>
        <v>7</v>
      </c>
      <c r="I50" s="65">
        <f t="shared" si="6"/>
        <v>3711.0140459829067</v>
      </c>
      <c r="J50" s="66">
        <f t="shared" si="7"/>
        <v>0.39607391533816821</v>
      </c>
      <c r="K50" s="66">
        <f t="shared" si="8"/>
        <v>19.187043382762052</v>
      </c>
      <c r="M50" s="67">
        <f t="shared" si="13"/>
        <v>41275900.919226103</v>
      </c>
      <c r="N50" s="67">
        <f>IF(AND(MOD(C50,12)=1,D50&lt;15),Assumptions!$H$4*I49,0)</f>
        <v>0</v>
      </c>
      <c r="O50" s="67"/>
      <c r="P50" s="90">
        <f t="shared" si="9"/>
        <v>216687.83590576303</v>
      </c>
      <c r="Q50" s="90">
        <f>M50*VLOOKUP(MOD(C50,12)+(MOD(C50,12)=0)*12,Assumptions!$C$22:$D$33,2,FALSE)*(F50+G50)</f>
        <v>4740.0464104385665</v>
      </c>
      <c r="R50" s="67">
        <f>IF(AND(MOD(C50,12)=0,D50&lt;15),Assumptions!$C$7*M50,0)</f>
        <v>0</v>
      </c>
      <c r="S50" s="68">
        <f>IF(MOD(C50,12)=0,M50*Assumptions!$D$17,0)</f>
        <v>0</v>
      </c>
      <c r="T50" s="68">
        <f t="shared" si="10"/>
        <v>0</v>
      </c>
      <c r="U50" s="67">
        <f>T50+AE50*(1+Assumptions!$D$17)</f>
        <v>0</v>
      </c>
      <c r="V50" s="67">
        <f>(M50+N50-O50)*(1+Assumptions!$D$17)-(P50+Q50)*(1+Assumptions!$D$17)^0.5-R50-T50</f>
        <v>41222185.562723003</v>
      </c>
      <c r="W50" s="67"/>
      <c r="X50" s="67">
        <f>IF(AND(H50=1,D50&lt;15),Assumptions!$D$10*N50+Assumptions!$D$11*(1+Assumptions!$D$16)^(B50-1)*$I$7,0)</f>
        <v>0</v>
      </c>
      <c r="Y50" s="65">
        <f>Assumptions!$C$13*N50</f>
        <v>0</v>
      </c>
      <c r="Z50" s="65">
        <f>NPV(Assumptions!$D$19,N50:$N$259)*(1+Assumptions!$D$19)</f>
        <v>65414584.230852321</v>
      </c>
      <c r="AA50" s="68">
        <f t="shared" si="11"/>
        <v>601683.4362991068</v>
      </c>
      <c r="AC50" s="67">
        <f t="shared" si="12"/>
        <v>41222185.562723003</v>
      </c>
      <c r="AD50" s="67"/>
      <c r="AE50" s="67"/>
      <c r="AF50" s="67"/>
      <c r="AG50" s="67"/>
      <c r="AH50" s="67"/>
      <c r="AI50" s="67"/>
      <c r="AK50" s="67"/>
      <c r="AL50" s="70">
        <f t="shared" si="4"/>
        <v>0</v>
      </c>
    </row>
    <row r="51" spans="2:38" x14ac:dyDescent="0.2">
      <c r="B51" s="5">
        <f t="shared" si="0"/>
        <v>44</v>
      </c>
      <c r="C51" s="5">
        <f t="shared" si="1"/>
        <v>44</v>
      </c>
      <c r="D51" s="5">
        <f t="shared" si="2"/>
        <v>3</v>
      </c>
      <c r="E51" s="5">
        <f t="shared" si="3"/>
        <v>49</v>
      </c>
      <c r="F51" s="64">
        <f>1-(1-VLOOKUP($E51,'Annual Mortality Rates'!$B$5:$C$105,2,FALSE))^(1/12)</f>
        <v>1.067292956670185E-4</v>
      </c>
      <c r="G51" s="75">
        <f>IF(C51&gt;=[1]Assumptions!$H$9*12,100%,1-(1-IF(D51&gt;=7,2%,VLOOKUP($D51,'[1]Annual Lapse Rates'!$B$4:$C$14,2,FALSE)))^(1/12))</f>
        <v>5.1430128318229462E-3</v>
      </c>
      <c r="H51" s="81">
        <f t="shared" si="5"/>
        <v>8</v>
      </c>
      <c r="I51" s="65">
        <f t="shared" si="6"/>
        <v>3691.4309286848065</v>
      </c>
      <c r="J51" s="66">
        <f t="shared" si="7"/>
        <v>0.39398382302197738</v>
      </c>
      <c r="K51" s="66">
        <f t="shared" si="8"/>
        <v>19.085792857565277</v>
      </c>
      <c r="M51" s="67">
        <f t="shared" si="13"/>
        <v>41222185.562723003</v>
      </c>
      <c r="N51" s="67">
        <f>IF(AND(MOD(C51,12)=1,D51&lt;15),Assumptions!$H$4*I50,0)</f>
        <v>0</v>
      </c>
      <c r="O51" s="67"/>
      <c r="P51" s="90">
        <f t="shared" si="9"/>
        <v>216405.84413583556</v>
      </c>
      <c r="Q51" s="90">
        <f>M51*VLOOKUP(MOD(C51,12)+(MOD(C51,12)=0)*12,Assumptions!$C$22:$D$33,2,FALSE)*(F51+G51)</f>
        <v>5410.1461033958894</v>
      </c>
      <c r="R51" s="67">
        <f>IF(AND(MOD(C51,12)=0,D51&lt;15),Assumptions!$C$7*M51,0)</f>
        <v>0</v>
      </c>
      <c r="S51" s="68">
        <f>IF(MOD(C51,12)=0,M51*Assumptions!$D$17,0)</f>
        <v>0</v>
      </c>
      <c r="T51" s="68">
        <f t="shared" si="10"/>
        <v>0</v>
      </c>
      <c r="U51" s="67">
        <f>T51+AE51*(1+Assumptions!$D$17)</f>
        <v>0</v>
      </c>
      <c r="V51" s="67">
        <f>(M51+N51-O51)*(1+Assumptions!$D$17)-(P51+Q51)*(1+Assumptions!$D$17)^0.5-R51-T51</f>
        <v>41167862.465489149</v>
      </c>
      <c r="W51" s="67"/>
      <c r="X51" s="67">
        <f>IF(AND(H51=1,D51&lt;15),Assumptions!$D$10*N51+Assumptions!$D$11*(1+Assumptions!$D$16)^(B51-1)*$I$7,0)</f>
        <v>0</v>
      </c>
      <c r="Y51" s="65">
        <f>Assumptions!$C$13*N51</f>
        <v>0</v>
      </c>
      <c r="Z51" s="65">
        <f>NPV(Assumptions!$D$19,N51:$N$259)*(1+Assumptions!$D$19)</f>
        <v>65695409.323949419</v>
      </c>
      <c r="AA51" s="68">
        <f t="shared" si="11"/>
        <v>604266.46589411865</v>
      </c>
      <c r="AC51" s="67">
        <f t="shared" si="12"/>
        <v>41167862.465489149</v>
      </c>
      <c r="AD51" s="67"/>
      <c r="AE51" s="67"/>
      <c r="AF51" s="67"/>
      <c r="AG51" s="67"/>
      <c r="AH51" s="67"/>
      <c r="AI51" s="67"/>
      <c r="AK51" s="67"/>
      <c r="AL51" s="70">
        <f t="shared" si="4"/>
        <v>0</v>
      </c>
    </row>
    <row r="52" spans="2:38" x14ac:dyDescent="0.2">
      <c r="B52" s="5">
        <f t="shared" si="0"/>
        <v>45</v>
      </c>
      <c r="C52" s="5">
        <f t="shared" si="1"/>
        <v>45</v>
      </c>
      <c r="D52" s="5">
        <f t="shared" si="2"/>
        <v>3</v>
      </c>
      <c r="E52" s="5">
        <f t="shared" si="3"/>
        <v>49</v>
      </c>
      <c r="F52" s="64">
        <f>1-(1-VLOOKUP($E52,'Annual Mortality Rates'!$B$5:$C$105,2,FALSE))^(1/12)</f>
        <v>1.067292956670185E-4</v>
      </c>
      <c r="G52" s="75">
        <f>IF(C52&gt;=[1]Assumptions!$H$9*12,100%,1-(1-IF(D52&gt;=7,2%,VLOOKUP($D52,'[1]Annual Lapse Rates'!$B$4:$C$14,2,FALSE)))^(1/12))</f>
        <v>5.1430128318229462E-3</v>
      </c>
      <c r="H52" s="81">
        <f t="shared" si="5"/>
        <v>9</v>
      </c>
      <c r="I52" s="65">
        <f t="shared" si="6"/>
        <v>3671.9511520042192</v>
      </c>
      <c r="J52" s="66">
        <f t="shared" si="7"/>
        <v>0.39190476017710751</v>
      </c>
      <c r="K52" s="66">
        <f t="shared" si="8"/>
        <v>18.985076634014057</v>
      </c>
      <c r="M52" s="67">
        <f t="shared" si="13"/>
        <v>41167862.465489149</v>
      </c>
      <c r="N52" s="67">
        <f>IF(AND(MOD(C52,12)=1,D52&lt;15),Assumptions!$H$4*I51,0)</f>
        <v>0</v>
      </c>
      <c r="O52" s="67"/>
      <c r="P52" s="90">
        <f t="shared" si="9"/>
        <v>216120.66188379127</v>
      </c>
      <c r="Q52" s="90">
        <f>M52*VLOOKUP(MOD(C52,12)+(MOD(C52,12)=0)*12,Assumptions!$C$22:$D$33,2,FALSE)*(F52+G52)</f>
        <v>6078.3936154816301</v>
      </c>
      <c r="R52" s="67">
        <f>IF(AND(MOD(C52,12)=0,D52&lt;15),Assumptions!$C$7*M52,0)</f>
        <v>0</v>
      </c>
      <c r="S52" s="68">
        <f>IF(MOD(C52,12)=0,M52*Assumptions!$D$17,0)</f>
        <v>0</v>
      </c>
      <c r="T52" s="68">
        <f t="shared" si="10"/>
        <v>0</v>
      </c>
      <c r="U52" s="67">
        <f>T52+AE52*(1+Assumptions!$D$17)</f>
        <v>0</v>
      </c>
      <c r="V52" s="67">
        <f>(M52+N52-O52)*(1+Assumptions!$D$17)-(P52+Q52)*(1+Assumptions!$D$17)^0.5-R52-T52</f>
        <v>41112934.204438336</v>
      </c>
      <c r="W52" s="67"/>
      <c r="X52" s="67">
        <f>IF(AND(H52=1,D52&lt;15),Assumptions!$D$10*N52+Assumptions!$D$11*(1+Assumptions!$D$16)^(B52-1)*$I$7,0)</f>
        <v>0</v>
      </c>
      <c r="Y52" s="65">
        <f>Assumptions!$C$13*N52</f>
        <v>0</v>
      </c>
      <c r="Z52" s="65">
        <f>NPV(Assumptions!$D$19,N52:$N$259)*(1+Assumptions!$D$19)</f>
        <v>65977440.000386089</v>
      </c>
      <c r="AA52" s="68">
        <f t="shared" si="11"/>
        <v>606860.58444635628</v>
      </c>
      <c r="AC52" s="67">
        <f t="shared" si="12"/>
        <v>41112934.204438336</v>
      </c>
      <c r="AD52" s="67"/>
      <c r="AE52" s="67"/>
      <c r="AF52" s="67"/>
      <c r="AG52" s="67"/>
      <c r="AH52" s="67"/>
      <c r="AI52" s="67"/>
      <c r="AK52" s="67"/>
      <c r="AL52" s="70">
        <f t="shared" si="4"/>
        <v>0</v>
      </c>
    </row>
    <row r="53" spans="2:38" x14ac:dyDescent="0.2">
      <c r="B53" s="5">
        <f t="shared" si="0"/>
        <v>46</v>
      </c>
      <c r="C53" s="5">
        <f t="shared" si="1"/>
        <v>46</v>
      </c>
      <c r="D53" s="5">
        <f t="shared" si="2"/>
        <v>3</v>
      </c>
      <c r="E53" s="5">
        <f t="shared" si="3"/>
        <v>49</v>
      </c>
      <c r="F53" s="64">
        <f>1-(1-VLOOKUP($E53,'Annual Mortality Rates'!$B$5:$C$105,2,FALSE))^(1/12)</f>
        <v>1.067292956670185E-4</v>
      </c>
      <c r="G53" s="75">
        <f>IF(C53&gt;=[1]Assumptions!$H$9*12,100%,1-(1-IF(D53&gt;=7,2%,VLOOKUP($D53,'[1]Annual Lapse Rates'!$B$4:$C$14,2,FALSE)))^(1/12))</f>
        <v>5.1430128318229462E-3</v>
      </c>
      <c r="H53" s="81">
        <f t="shared" si="5"/>
        <v>10</v>
      </c>
      <c r="I53" s="65">
        <f t="shared" si="6"/>
        <v>3652.574170610028</v>
      </c>
      <c r="J53" s="66">
        <f t="shared" si="7"/>
        <v>0.38983666860075256</v>
      </c>
      <c r="K53" s="66">
        <f t="shared" si="8"/>
        <v>18.884891892584751</v>
      </c>
      <c r="M53" s="67">
        <f t="shared" si="13"/>
        <v>41112934.204438336</v>
      </c>
      <c r="N53" s="67">
        <f>IF(AND(MOD(C53,12)=1,D53&lt;15),Assumptions!$H$4*I52,0)</f>
        <v>0</v>
      </c>
      <c r="O53" s="67"/>
      <c r="P53" s="90">
        <f t="shared" si="9"/>
        <v>215832.30267776304</v>
      </c>
      <c r="Q53" s="90">
        <f>M53*VLOOKUP(MOD(C53,12)+(MOD(C53,12)=0)*12,Assumptions!$C$22:$D$33,2,FALSE)*(F53+G53)</f>
        <v>6744.7594586800951</v>
      </c>
      <c r="R53" s="67">
        <f>IF(AND(MOD(C53,12)=0,D53&lt;15),Assumptions!$C$7*M53,0)</f>
        <v>0</v>
      </c>
      <c r="S53" s="68">
        <f>IF(MOD(C53,12)=0,M53*Assumptions!$D$17,0)</f>
        <v>0</v>
      </c>
      <c r="T53" s="68">
        <f t="shared" si="10"/>
        <v>0</v>
      </c>
      <c r="U53" s="67">
        <f>T53+AE53*(1+Assumptions!$D$17)</f>
        <v>0</v>
      </c>
      <c r="V53" s="67">
        <f>(M53+N53-O53)*(1+Assumptions!$D$17)-(P53+Q53)*(1+Assumptions!$D$17)^0.5-R53-T53</f>
        <v>41057403.382975399</v>
      </c>
      <c r="W53" s="67"/>
      <c r="X53" s="67">
        <f>IF(AND(H53=1,D53&lt;15),Assumptions!$D$10*N53+Assumptions!$D$11*(1+Assumptions!$D$16)^(B53-1)*$I$7,0)</f>
        <v>0</v>
      </c>
      <c r="Y53" s="65">
        <f>Assumptions!$C$13*N53</f>
        <v>0</v>
      </c>
      <c r="Z53" s="65">
        <f>NPV(Assumptions!$D$19,N53:$N$259)*(1+Assumptions!$D$19)</f>
        <v>66260681.435736798</v>
      </c>
      <c r="AA53" s="68">
        <f t="shared" si="11"/>
        <v>609465.83956076147</v>
      </c>
      <c r="AC53" s="67">
        <f t="shared" si="12"/>
        <v>41057403.382975399</v>
      </c>
      <c r="AD53" s="67"/>
      <c r="AE53" s="67"/>
      <c r="AF53" s="67"/>
      <c r="AG53" s="67"/>
      <c r="AH53" s="67"/>
      <c r="AI53" s="67"/>
      <c r="AK53" s="67"/>
      <c r="AL53" s="70">
        <f t="shared" si="4"/>
        <v>0</v>
      </c>
    </row>
    <row r="54" spans="2:38" x14ac:dyDescent="0.2">
      <c r="B54" s="5">
        <f t="shared" si="0"/>
        <v>47</v>
      </c>
      <c r="C54" s="5">
        <f t="shared" si="1"/>
        <v>47</v>
      </c>
      <c r="D54" s="5">
        <f t="shared" si="2"/>
        <v>3</v>
      </c>
      <c r="E54" s="5">
        <f t="shared" si="3"/>
        <v>49</v>
      </c>
      <c r="F54" s="64">
        <f>1-(1-VLOOKUP($E54,'Annual Mortality Rates'!$B$5:$C$105,2,FALSE))^(1/12)</f>
        <v>1.067292956670185E-4</v>
      </c>
      <c r="G54" s="75">
        <f>IF(C54&gt;=[1]Assumptions!$H$9*12,100%,1-(1-IF(D54&gt;=7,2%,VLOOKUP($D54,'[1]Annual Lapse Rates'!$B$4:$C$14,2,FALSE)))^(1/12))</f>
        <v>5.1430128318229462E-3</v>
      </c>
      <c r="H54" s="81">
        <f t="shared" si="5"/>
        <v>11</v>
      </c>
      <c r="I54" s="65">
        <f t="shared" si="6"/>
        <v>3633.2994420488426</v>
      </c>
      <c r="J54" s="66">
        <f t="shared" si="7"/>
        <v>0.38777949039724424</v>
      </c>
      <c r="K54" s="66">
        <f t="shared" si="8"/>
        <v>18.78523582863243</v>
      </c>
      <c r="M54" s="67">
        <f t="shared" si="13"/>
        <v>41057403.382975399</v>
      </c>
      <c r="N54" s="67">
        <f>IF(AND(MOD(C54,12)=1,D54&lt;15),Assumptions!$H$4*I53,0)</f>
        <v>0</v>
      </c>
      <c r="O54" s="67"/>
      <c r="P54" s="90">
        <f t="shared" si="9"/>
        <v>215540.78018495496</v>
      </c>
      <c r="Q54" s="90">
        <f>M54*VLOOKUP(MOD(C54,12)+(MOD(C54,12)=0)*12,Assumptions!$C$22:$D$33,2,FALSE)*(F54+G54)</f>
        <v>7409.2143188578275</v>
      </c>
      <c r="R54" s="67">
        <f>IF(AND(MOD(C54,12)=0,D54&lt;15),Assumptions!$C$7*M54,0)</f>
        <v>0</v>
      </c>
      <c r="S54" s="68">
        <f>IF(MOD(C54,12)=0,M54*Assumptions!$D$17,0)</f>
        <v>0</v>
      </c>
      <c r="T54" s="68">
        <f t="shared" si="10"/>
        <v>0</v>
      </c>
      <c r="U54" s="67">
        <f>T54+AE54*(1+Assumptions!$D$17)</f>
        <v>0</v>
      </c>
      <c r="V54" s="67">
        <f>(M54+N54-O54)*(1+Assumptions!$D$17)-(P54+Q54)*(1+Assumptions!$D$17)^0.5-R54-T54</f>
        <v>41001272.630790524</v>
      </c>
      <c r="W54" s="67"/>
      <c r="X54" s="67">
        <f>IF(AND(H54=1,D54&lt;15),Assumptions!$D$10*N54+Assumptions!$D$11*(1+Assumptions!$D$16)^(B54-1)*$I$7,0)</f>
        <v>0</v>
      </c>
      <c r="Y54" s="65">
        <f>Assumptions!$C$13*N54</f>
        <v>0</v>
      </c>
      <c r="Z54" s="65">
        <f>NPV(Assumptions!$D$19,N54:$N$259)*(1+Assumptions!$D$19)</f>
        <v>66545138.827794835</v>
      </c>
      <c r="AA54" s="68">
        <f t="shared" si="11"/>
        <v>612082.27904664353</v>
      </c>
      <c r="AC54" s="67">
        <f t="shared" si="12"/>
        <v>41001272.630790524</v>
      </c>
      <c r="AD54" s="67"/>
      <c r="AE54" s="67"/>
      <c r="AF54" s="67"/>
      <c r="AG54" s="67"/>
      <c r="AH54" s="67"/>
      <c r="AI54" s="67"/>
      <c r="AK54" s="67"/>
      <c r="AL54" s="70">
        <f t="shared" si="4"/>
        <v>0</v>
      </c>
    </row>
    <row r="55" spans="2:38" x14ac:dyDescent="0.2">
      <c r="B55" s="5">
        <f t="shared" si="0"/>
        <v>48</v>
      </c>
      <c r="C55" s="5">
        <f t="shared" si="1"/>
        <v>48</v>
      </c>
      <c r="D55" s="5">
        <f t="shared" si="2"/>
        <v>3</v>
      </c>
      <c r="E55" s="5">
        <f t="shared" si="3"/>
        <v>49</v>
      </c>
      <c r="F55" s="64">
        <f>1-(1-VLOOKUP($E55,'Annual Mortality Rates'!$B$5:$C$105,2,FALSE))^(1/12)</f>
        <v>1.067292956670185E-4</v>
      </c>
      <c r="G55" s="75">
        <f>IF(C55&gt;=[1]Assumptions!$H$9*12,100%,1-(1-IF(D55&gt;=7,2%,VLOOKUP($D55,'[1]Annual Lapse Rates'!$B$4:$C$14,2,FALSE)))^(1/12))</f>
        <v>5.1430128318229462E-3</v>
      </c>
      <c r="H55" s="81">
        <f t="shared" si="5"/>
        <v>12</v>
      </c>
      <c r="I55" s="65">
        <f t="shared" si="6"/>
        <v>3614.1264267298129</v>
      </c>
      <c r="J55" s="66">
        <f t="shared" si="7"/>
        <v>0.38573316797643126</v>
      </c>
      <c r="K55" s="66">
        <f t="shared" si="8"/>
        <v>18.686105652312349</v>
      </c>
      <c r="M55" s="67">
        <f t="shared" si="13"/>
        <v>41001272.630790524</v>
      </c>
      <c r="N55" s="67">
        <f>IF(AND(MOD(C55,12)=1,D55&lt;15),Assumptions!$H$4*I54,0)</f>
        <v>0</v>
      </c>
      <c r="O55" s="67"/>
      <c r="P55" s="90">
        <f t="shared" si="9"/>
        <v>215246.10821056232</v>
      </c>
      <c r="Q55" s="90">
        <f>M55*VLOOKUP(MOD(C55,12)+(MOD(C55,12)=0)*12,Assumptions!$C$22:$D$33,2,FALSE)*(F55+G55)</f>
        <v>8071.7290578960874</v>
      </c>
      <c r="R55" s="67">
        <f>IF(AND(MOD(C55,12)=0,D55&lt;15),Assumptions!$C$7*M55,0)</f>
        <v>20500.636315395262</v>
      </c>
      <c r="S55" s="68">
        <f>IF(MOD(C55,12)=0,M55*Assumptions!$D$17,0)</f>
        <v>167044.25998495397</v>
      </c>
      <c r="T55" s="68">
        <f t="shared" si="10"/>
        <v>0</v>
      </c>
      <c r="U55" s="67">
        <f>T55+AE55*(1+Assumptions!$D$17)</f>
        <v>0</v>
      </c>
      <c r="V55" s="67">
        <f>(M55+N55-O55)*(1+Assumptions!$D$17)-(P55+Q55)*(1+Assumptions!$D$17)^0.5-R55-T55</f>
        <v>40924043.967336312</v>
      </c>
      <c r="W55" s="67"/>
      <c r="X55" s="67">
        <f>IF(AND(H55=1,D55&lt;15),Assumptions!$D$10*N55+Assumptions!$D$11*(1+Assumptions!$D$16)^(B55-1)*$I$7,0)</f>
        <v>0</v>
      </c>
      <c r="Y55" s="65">
        <f>Assumptions!$C$13*N55</f>
        <v>0</v>
      </c>
      <c r="Z55" s="65">
        <f>NPV(Assumptions!$D$19,N55:$N$259)*(1+Assumptions!$D$19)</f>
        <v>66830817.396667577</v>
      </c>
      <c r="AA55" s="68">
        <f t="shared" si="11"/>
        <v>614709.9509185577</v>
      </c>
      <c r="AC55" s="67">
        <f t="shared" si="12"/>
        <v>40924043.967336312</v>
      </c>
      <c r="AD55" s="67"/>
      <c r="AE55" s="67"/>
      <c r="AF55" s="67"/>
      <c r="AG55" s="67"/>
      <c r="AH55" s="67"/>
      <c r="AI55" s="67"/>
      <c r="AK55" s="67"/>
      <c r="AL55" s="70">
        <f t="shared" si="4"/>
        <v>0</v>
      </c>
    </row>
    <row r="56" spans="2:38" x14ac:dyDescent="0.2">
      <c r="B56" s="5">
        <f t="shared" si="0"/>
        <v>49</v>
      </c>
      <c r="C56" s="5">
        <f t="shared" si="1"/>
        <v>49</v>
      </c>
      <c r="D56" s="5">
        <f t="shared" si="2"/>
        <v>4</v>
      </c>
      <c r="E56" s="5">
        <f t="shared" si="3"/>
        <v>50</v>
      </c>
      <c r="F56" s="64">
        <f>1-(1-VLOOKUP($E56,'Annual Mortality Rates'!$B$5:$C$105,2,FALSE))^(1/12)</f>
        <v>1.184104185535384E-4</v>
      </c>
      <c r="G56" s="75">
        <f>IF(C56&gt;=[1]Assumptions!$H$9*12,100%,1-(1-IF(D56&gt;=7,2%,VLOOKUP($D56,'[1]Annual Lapse Rates'!$B$4:$C$14,2,FALSE)))^(1/12))</f>
        <v>4.2653187775606449E-3</v>
      </c>
      <c r="H56" s="81">
        <f t="shared" si="5"/>
        <v>1</v>
      </c>
      <c r="I56" s="65">
        <f t="shared" si="6"/>
        <v>3595.0545879095239</v>
      </c>
      <c r="J56" s="66">
        <f t="shared" si="7"/>
        <v>0.42569191847718524</v>
      </c>
      <c r="K56" s="66">
        <f t="shared" si="8"/>
        <v>15.415401312408827</v>
      </c>
      <c r="M56" s="67">
        <f t="shared" si="13"/>
        <v>40924043.967336312</v>
      </c>
      <c r="N56" s="67">
        <f>IF(AND(MOD(C56,12)=1,D56&lt;15),Assumptions!$H$4*I55,0)</f>
        <v>9035316.066824533</v>
      </c>
      <c r="O56" s="67"/>
      <c r="P56" s="90">
        <f t="shared" si="9"/>
        <v>179399.9263626727</v>
      </c>
      <c r="Q56" s="90">
        <f>M56*VLOOKUP(MOD(C56,12)+(MOD(C56,12)=0)*12,Assumptions!$C$22:$D$33,2,FALSE)*(F56+G56)</f>
        <v>560.6247698833522</v>
      </c>
      <c r="R56" s="67">
        <f>IF(AND(MOD(C56,12)=0,D56&lt;15),Assumptions!$C$7*M56,0)</f>
        <v>0</v>
      </c>
      <c r="S56" s="68">
        <f>IF(MOD(C56,12)=0,M56*Assumptions!$D$17,0)</f>
        <v>0</v>
      </c>
      <c r="T56" s="68">
        <f t="shared" si="10"/>
        <v>0</v>
      </c>
      <c r="U56" s="67">
        <f>T56+AE56*(1+Assumptions!$D$17)</f>
        <v>0</v>
      </c>
      <c r="V56" s="67">
        <f>(M56+N56-O56)*(1+Assumptions!$D$17)-(P56+Q56)*(1+Assumptions!$D$17)^0.5-R56-T56</f>
        <v>49982573.881803952</v>
      </c>
      <c r="W56" s="67"/>
      <c r="X56" s="67">
        <f>IF(AND(H56=1,D56&lt;15),Assumptions!$D$10*N56+Assumptions!$D$11*(1+Assumptions!$D$16)^(B56-1)*$I$7,0)</f>
        <v>80355.625534122722</v>
      </c>
      <c r="Y56" s="65">
        <f>Assumptions!$C$13*N56</f>
        <v>45176.580334122664</v>
      </c>
      <c r="Z56" s="65">
        <f>NPV(Assumptions!$D$19,N56:$N$259)*(1+Assumptions!$D$19)</f>
        <v>67117722.384872392</v>
      </c>
      <c r="AA56" s="68">
        <f t="shared" si="11"/>
        <v>534242.05370828265</v>
      </c>
      <c r="AC56" s="67">
        <f t="shared" si="12"/>
        <v>49982573.881803952</v>
      </c>
      <c r="AD56" s="67"/>
      <c r="AE56" s="67"/>
      <c r="AF56" s="67"/>
      <c r="AG56" s="67"/>
      <c r="AH56" s="67"/>
      <c r="AI56" s="67"/>
      <c r="AK56" s="67"/>
      <c r="AL56" s="70">
        <f t="shared" si="4"/>
        <v>0</v>
      </c>
    </row>
    <row r="57" spans="2:38" x14ac:dyDescent="0.2">
      <c r="B57" s="5">
        <f t="shared" si="0"/>
        <v>50</v>
      </c>
      <c r="C57" s="5">
        <f t="shared" si="1"/>
        <v>50</v>
      </c>
      <c r="D57" s="5">
        <f t="shared" si="2"/>
        <v>4</v>
      </c>
      <c r="E57" s="5">
        <f t="shared" si="3"/>
        <v>50</v>
      </c>
      <c r="F57" s="64">
        <f>1-(1-VLOOKUP($E57,'Annual Mortality Rates'!$B$5:$C$105,2,FALSE))^(1/12)</f>
        <v>1.184104185535384E-4</v>
      </c>
      <c r="G57" s="75">
        <f>IF(C57&gt;=[1]Assumptions!$H$9*12,100%,1-(1-IF(D57&gt;=7,2%,VLOOKUP($D57,'[1]Annual Lapse Rates'!$B$4:$C$14,2,FALSE)))^(1/12))</f>
        <v>4.2653187775606449E-3</v>
      </c>
      <c r="H57" s="81">
        <f t="shared" si="5"/>
        <v>2</v>
      </c>
      <c r="I57" s="65">
        <f t="shared" si="6"/>
        <v>3579.2134946786377</v>
      </c>
      <c r="J57" s="66">
        <f t="shared" si="7"/>
        <v>0.42381616799737037</v>
      </c>
      <c r="K57" s="66">
        <f t="shared" si="8"/>
        <v>15.334053840166039</v>
      </c>
      <c r="M57" s="67">
        <f t="shared" si="13"/>
        <v>49982573.881803952</v>
      </c>
      <c r="N57" s="67">
        <f>IF(AND(MOD(C57,12)=1,D57&lt;15),Assumptions!$H$4*I56,0)</f>
        <v>0</v>
      </c>
      <c r="O57" s="67"/>
      <c r="P57" s="90">
        <f t="shared" si="9"/>
        <v>219110.06842259821</v>
      </c>
      <c r="Q57" s="90">
        <f>M57*VLOOKUP(MOD(C57,12)+(MOD(C57,12)=0)*12,Assumptions!$C$22:$D$33,2,FALSE)*(F57+G57)</f>
        <v>1369.437927641239</v>
      </c>
      <c r="R57" s="67">
        <f>IF(AND(MOD(C57,12)=0,D57&lt;15),Assumptions!$C$7*M57,0)</f>
        <v>0</v>
      </c>
      <c r="S57" s="68">
        <f>IF(MOD(C57,12)=0,M57*Assumptions!$D$17,0)</f>
        <v>0</v>
      </c>
      <c r="T57" s="68">
        <f t="shared" si="10"/>
        <v>0</v>
      </c>
      <c r="U57" s="67">
        <f>T57+AE57*(1+Assumptions!$D$17)</f>
        <v>0</v>
      </c>
      <c r="V57" s="67">
        <f>(M57+N57-O57)*(1+Assumptions!$D$17)-(P57+Q57)*(1+Assumptions!$D$17)^0.5-R57-T57</f>
        <v>49965280.894596927</v>
      </c>
      <c r="W57" s="67"/>
      <c r="X57" s="67">
        <f>IF(AND(H57=1,D57&lt;15),Assumptions!$D$10*N57+Assumptions!$D$11*(1+Assumptions!$D$16)^(B57-1)*$I$7,0)</f>
        <v>0</v>
      </c>
      <c r="Y57" s="65">
        <f>Assumptions!$C$13*N57</f>
        <v>0</v>
      </c>
      <c r="Z57" s="65">
        <f>NPV(Assumptions!$D$19,N57:$N$259)*(1+Assumptions!$D$19)</f>
        <v>58331754.339645095</v>
      </c>
      <c r="AA57" s="68">
        <f t="shared" si="11"/>
        <v>536535.55715606979</v>
      </c>
      <c r="AC57" s="67">
        <f t="shared" si="12"/>
        <v>49965280.894596927</v>
      </c>
      <c r="AD57" s="67"/>
      <c r="AE57" s="67"/>
      <c r="AF57" s="67"/>
      <c r="AG57" s="67"/>
      <c r="AH57" s="67"/>
      <c r="AI57" s="67"/>
      <c r="AK57" s="67"/>
      <c r="AL57" s="70">
        <f t="shared" si="4"/>
        <v>0</v>
      </c>
    </row>
    <row r="58" spans="2:38" x14ac:dyDescent="0.2">
      <c r="B58" s="5">
        <f t="shared" si="0"/>
        <v>51</v>
      </c>
      <c r="C58" s="5">
        <f t="shared" si="1"/>
        <v>51</v>
      </c>
      <c r="D58" s="5">
        <f t="shared" si="2"/>
        <v>4</v>
      </c>
      <c r="E58" s="5">
        <f t="shared" si="3"/>
        <v>50</v>
      </c>
      <c r="F58" s="64">
        <f>1-(1-VLOOKUP($E58,'Annual Mortality Rates'!$B$5:$C$105,2,FALSE))^(1/12)</f>
        <v>1.184104185535384E-4</v>
      </c>
      <c r="G58" s="75">
        <f>IF(C58&gt;=[1]Assumptions!$H$9*12,100%,1-(1-IF(D58&gt;=7,2%,VLOOKUP($D58,'[1]Annual Lapse Rates'!$B$4:$C$14,2,FALSE)))^(1/12))</f>
        <v>4.2653187775606449E-3</v>
      </c>
      <c r="H58" s="81">
        <f t="shared" si="5"/>
        <v>3</v>
      </c>
      <c r="I58" s="65">
        <f t="shared" si="6"/>
        <v>3563.4556246704742</v>
      </c>
      <c r="J58" s="66">
        <f t="shared" si="7"/>
        <v>0.4219502720141915</v>
      </c>
      <c r="K58" s="66">
        <f t="shared" si="8"/>
        <v>15.266486527751251</v>
      </c>
      <c r="M58" s="67">
        <f t="shared" si="13"/>
        <v>49965280.894596927</v>
      </c>
      <c r="N58" s="67">
        <f>IF(AND(MOD(C58,12)=1,D58&lt;15),Assumptions!$H$4*I57,0)</f>
        <v>0</v>
      </c>
      <c r="O58" s="67"/>
      <c r="P58" s="90">
        <f t="shared" si="9"/>
        <v>219034.26064969075</v>
      </c>
      <c r="Q58" s="90">
        <f>M58*VLOOKUP(MOD(C58,12)+(MOD(C58,12)=0)*12,Assumptions!$C$22:$D$33,2,FALSE)*(F58+G58)</f>
        <v>2053.4461935908512</v>
      </c>
      <c r="R58" s="67">
        <f>IF(AND(MOD(C58,12)=0,D58&lt;15),Assumptions!$C$7*M58,0)</f>
        <v>0</v>
      </c>
      <c r="S58" s="68">
        <f>IF(MOD(C58,12)=0,M58*Assumptions!$D$17,0)</f>
        <v>0</v>
      </c>
      <c r="T58" s="68">
        <f t="shared" si="10"/>
        <v>0</v>
      </c>
      <c r="U58" s="67">
        <f>T58+AE58*(1+Assumptions!$D$17)</f>
        <v>0</v>
      </c>
      <c r="V58" s="67">
        <f>(M58+N58-O58)*(1+Assumptions!$D$17)-(P58+Q58)*(1+Assumptions!$D$17)^0.5-R58-T58</f>
        <v>49947308.01544369</v>
      </c>
      <c r="W58" s="67"/>
      <c r="X58" s="67">
        <f>IF(AND(H58=1,D58&lt;15),Assumptions!$D$10*N58+Assumptions!$D$11*(1+Assumptions!$D$16)^(B58-1)*$I$7,0)</f>
        <v>0</v>
      </c>
      <c r="Y58" s="65">
        <f>Assumptions!$C$13*N58</f>
        <v>0</v>
      </c>
      <c r="Z58" s="65">
        <f>NPV(Assumptions!$D$19,N58:$N$259)*(1+Assumptions!$D$19)</f>
        <v>58582172.81337779</v>
      </c>
      <c r="AA58" s="68">
        <f t="shared" si="11"/>
        <v>538838.90662408026</v>
      </c>
      <c r="AC58" s="67">
        <f t="shared" si="12"/>
        <v>49947308.01544369</v>
      </c>
      <c r="AD58" s="67"/>
      <c r="AE58" s="67"/>
      <c r="AF58" s="67"/>
      <c r="AG58" s="67"/>
      <c r="AH58" s="67"/>
      <c r="AI58" s="67"/>
      <c r="AK58" s="67"/>
      <c r="AL58" s="70">
        <f t="shared" si="4"/>
        <v>0</v>
      </c>
    </row>
    <row r="59" spans="2:38" x14ac:dyDescent="0.2">
      <c r="B59" s="5">
        <f t="shared" si="0"/>
        <v>52</v>
      </c>
      <c r="C59" s="5">
        <f t="shared" si="1"/>
        <v>52</v>
      </c>
      <c r="D59" s="5">
        <f t="shared" si="2"/>
        <v>4</v>
      </c>
      <c r="E59" s="5">
        <f t="shared" si="3"/>
        <v>50</v>
      </c>
      <c r="F59" s="64">
        <f>1-(1-VLOOKUP($E59,'Annual Mortality Rates'!$B$5:$C$105,2,FALSE))^(1/12)</f>
        <v>1.184104185535384E-4</v>
      </c>
      <c r="G59" s="75">
        <f>IF(C59&gt;=[1]Assumptions!$H$9*12,100%,1-(1-IF(D59&gt;=7,2%,VLOOKUP($D59,'[1]Annual Lapse Rates'!$B$4:$C$14,2,FALSE)))^(1/12))</f>
        <v>4.2653187775606449E-3</v>
      </c>
      <c r="H59" s="81">
        <f t="shared" si="5"/>
        <v>4</v>
      </c>
      <c r="I59" s="65">
        <f t="shared" si="6"/>
        <v>3547.7671878707088</v>
      </c>
      <c r="J59" s="66">
        <f t="shared" si="7"/>
        <v>0.42009259764628054</v>
      </c>
      <c r="K59" s="66">
        <f t="shared" si="8"/>
        <v>15.199274188911071</v>
      </c>
      <c r="M59" s="67">
        <f t="shared" si="13"/>
        <v>49947308.01544369</v>
      </c>
      <c r="N59" s="67">
        <f>IF(AND(MOD(C59,12)=1,D59&lt;15),Assumptions!$H$4*I58,0)</f>
        <v>0</v>
      </c>
      <c r="O59" s="67"/>
      <c r="P59" s="90">
        <f t="shared" si="9"/>
        <v>218955.47241460846</v>
      </c>
      <c r="Q59" s="90">
        <f>M59*VLOOKUP(MOD(C59,12)+(MOD(C59,12)=0)*12,Assumptions!$C$22:$D$33,2,FALSE)*(F59+G59)</f>
        <v>2736.9434051826061</v>
      </c>
      <c r="R59" s="67">
        <f>IF(AND(MOD(C59,12)=0,D59&lt;15),Assumptions!$C$7*M59,0)</f>
        <v>0</v>
      </c>
      <c r="S59" s="68">
        <f>IF(MOD(C59,12)=0,M59*Assumptions!$D$17,0)</f>
        <v>0</v>
      </c>
      <c r="T59" s="68">
        <f t="shared" si="10"/>
        <v>0</v>
      </c>
      <c r="U59" s="67">
        <f>T59+AE59*(1+Assumptions!$D$17)</f>
        <v>0</v>
      </c>
      <c r="V59" s="67">
        <f>(M59+N59-O59)*(1+Assumptions!$D$17)-(P59+Q59)*(1+Assumptions!$D$17)^0.5-R59-T59</f>
        <v>49928655.973002017</v>
      </c>
      <c r="W59" s="67"/>
      <c r="X59" s="67">
        <f>IF(AND(H59=1,D59&lt;15),Assumptions!$D$10*N59+Assumptions!$D$11*(1+Assumptions!$D$16)^(B59-1)*$I$7,0)</f>
        <v>0</v>
      </c>
      <c r="Y59" s="65">
        <f>Assumptions!$C$13*N59</f>
        <v>0</v>
      </c>
      <c r="Z59" s="65">
        <f>NPV(Assumptions!$D$19,N59:$N$259)*(1+Assumptions!$D$19)</f>
        <v>58833666.33470156</v>
      </c>
      <c r="AA59" s="68">
        <f t="shared" si="11"/>
        <v>541152.14438132162</v>
      </c>
      <c r="AC59" s="67">
        <f t="shared" si="12"/>
        <v>49928655.973002017</v>
      </c>
      <c r="AD59" s="67"/>
      <c r="AE59" s="67"/>
      <c r="AF59" s="67"/>
      <c r="AG59" s="67"/>
      <c r="AH59" s="67"/>
      <c r="AI59" s="67"/>
      <c r="AK59" s="67"/>
      <c r="AL59" s="70">
        <f t="shared" si="4"/>
        <v>0</v>
      </c>
    </row>
    <row r="60" spans="2:38" x14ac:dyDescent="0.2">
      <c r="B60" s="5">
        <f t="shared" si="0"/>
        <v>53</v>
      </c>
      <c r="C60" s="5">
        <f t="shared" si="1"/>
        <v>53</v>
      </c>
      <c r="D60" s="5">
        <f t="shared" si="2"/>
        <v>4</v>
      </c>
      <c r="E60" s="5">
        <f t="shared" si="3"/>
        <v>50</v>
      </c>
      <c r="F60" s="64">
        <f>1-(1-VLOOKUP($E60,'Annual Mortality Rates'!$B$5:$C$105,2,FALSE))^(1/12)</f>
        <v>1.184104185535384E-4</v>
      </c>
      <c r="G60" s="75">
        <f>IF(C60&gt;=[1]Assumptions!$H$9*12,100%,1-(1-IF(D60&gt;=7,2%,VLOOKUP($D60,'[1]Annual Lapse Rates'!$B$4:$C$14,2,FALSE)))^(1/12))</f>
        <v>4.2653187775606449E-3</v>
      </c>
      <c r="H60" s="81">
        <f t="shared" si="5"/>
        <v>5</v>
      </c>
      <c r="I60" s="65">
        <f t="shared" si="6"/>
        <v>3532.1478210841515</v>
      </c>
      <c r="J60" s="66">
        <f t="shared" si="7"/>
        <v>0.41824310188754305</v>
      </c>
      <c r="K60" s="66">
        <f t="shared" si="8"/>
        <v>15.132358004838458</v>
      </c>
      <c r="M60" s="67">
        <f t="shared" si="13"/>
        <v>49928655.973002017</v>
      </c>
      <c r="N60" s="67">
        <f>IF(AND(MOD(C60,12)=1,D60&lt;15),Assumptions!$H$4*I59,0)</f>
        <v>0</v>
      </c>
      <c r="O60" s="67"/>
      <c r="P60" s="90">
        <f t="shared" si="9"/>
        <v>218873.70691158975</v>
      </c>
      <c r="Q60" s="90">
        <f>M60*VLOOKUP(MOD(C60,12)+(MOD(C60,12)=0)*12,Assumptions!$C$22:$D$33,2,FALSE)*(F60+G60)</f>
        <v>3419.9016704935898</v>
      </c>
      <c r="R60" s="67">
        <f>IF(AND(MOD(C60,12)=0,D60&lt;15),Assumptions!$C$7*M60,0)</f>
        <v>0</v>
      </c>
      <c r="S60" s="68">
        <f>IF(MOD(C60,12)=0,M60*Assumptions!$D$17,0)</f>
        <v>0</v>
      </c>
      <c r="T60" s="68">
        <f t="shared" si="10"/>
        <v>0</v>
      </c>
      <c r="U60" s="67">
        <f>T60+AE60*(1+Assumptions!$D$17)</f>
        <v>0</v>
      </c>
      <c r="V60" s="67">
        <f>(M60+N60-O60)*(1+Assumptions!$D$17)-(P60+Q60)*(1+Assumptions!$D$17)^0.5-R60-T60</f>
        <v>49909325.523646288</v>
      </c>
      <c r="W60" s="67"/>
      <c r="X60" s="67">
        <f>IF(AND(H60=1,D60&lt;15),Assumptions!$D$10*N60+Assumptions!$D$11*(1+Assumptions!$D$16)^(B60-1)*$I$7,0)</f>
        <v>0</v>
      </c>
      <c r="Y60" s="65">
        <f>Assumptions!$C$13*N60</f>
        <v>0</v>
      </c>
      <c r="Z60" s="65">
        <f>NPV(Assumptions!$D$19,N60:$N$259)*(1+Assumptions!$D$19)</f>
        <v>59086239.518800385</v>
      </c>
      <c r="AA60" s="68">
        <f t="shared" si="11"/>
        <v>543475.31287826225</v>
      </c>
      <c r="AC60" s="67">
        <f t="shared" si="12"/>
        <v>49909325.523646288</v>
      </c>
      <c r="AD60" s="67"/>
      <c r="AE60" s="67"/>
      <c r="AF60" s="67"/>
      <c r="AG60" s="67"/>
      <c r="AH60" s="67"/>
      <c r="AI60" s="67"/>
      <c r="AK60" s="67"/>
      <c r="AL60" s="70">
        <f t="shared" si="4"/>
        <v>0</v>
      </c>
    </row>
    <row r="61" spans="2:38" x14ac:dyDescent="0.2">
      <c r="B61" s="5">
        <f t="shared" si="0"/>
        <v>54</v>
      </c>
      <c r="C61" s="5">
        <f t="shared" si="1"/>
        <v>54</v>
      </c>
      <c r="D61" s="5">
        <f t="shared" si="2"/>
        <v>4</v>
      </c>
      <c r="E61" s="5">
        <f t="shared" si="3"/>
        <v>50</v>
      </c>
      <c r="F61" s="64">
        <f>1-(1-VLOOKUP($E61,'Annual Mortality Rates'!$B$5:$C$105,2,FALSE))^(1/12)</f>
        <v>1.184104185535384E-4</v>
      </c>
      <c r="G61" s="75">
        <f>IF(C61&gt;=[1]Assumptions!$H$9*12,100%,1-(1-IF(D61&gt;=7,2%,VLOOKUP($D61,'[1]Annual Lapse Rates'!$B$4:$C$14,2,FALSE)))^(1/12))</f>
        <v>4.2653187775606449E-3</v>
      </c>
      <c r="H61" s="81">
        <f t="shared" si="5"/>
        <v>6</v>
      </c>
      <c r="I61" s="65">
        <f t="shared" si="6"/>
        <v>3516.5972199774255</v>
      </c>
      <c r="J61" s="66">
        <f t="shared" si="7"/>
        <v>0.41640174870173652</v>
      </c>
      <c r="K61" s="66">
        <f t="shared" si="8"/>
        <v>15.065736426390149</v>
      </c>
      <c r="M61" s="67">
        <f t="shared" si="13"/>
        <v>49909325.523646288</v>
      </c>
      <c r="N61" s="67">
        <f>IF(AND(MOD(C61,12)=1,D61&lt;15),Assumptions!$H$4*I60,0)</f>
        <v>0</v>
      </c>
      <c r="O61" s="67"/>
      <c r="P61" s="90">
        <f t="shared" si="9"/>
        <v>218788.96745637505</v>
      </c>
      <c r="Q61" s="90">
        <f>M61*VLOOKUP(MOD(C61,12)+(MOD(C61,12)=0)*12,Assumptions!$C$22:$D$33,2,FALSE)*(F61+G61)</f>
        <v>4102.2931398070323</v>
      </c>
      <c r="R61" s="67">
        <f>IF(AND(MOD(C61,12)=0,D61&lt;15),Assumptions!$C$7*M61,0)</f>
        <v>0</v>
      </c>
      <c r="S61" s="68">
        <f>IF(MOD(C61,12)=0,M61*Assumptions!$D$17,0)</f>
        <v>0</v>
      </c>
      <c r="T61" s="68">
        <f t="shared" si="10"/>
        <v>0</v>
      </c>
      <c r="U61" s="67">
        <f>T61+AE61*(1+Assumptions!$D$17)</f>
        <v>0</v>
      </c>
      <c r="V61" s="67">
        <f>(M61+N61-O61)*(1+Assumptions!$D$17)-(P61+Q61)*(1+Assumptions!$D$17)^0.5-R61-T61</f>
        <v>49889317.451416343</v>
      </c>
      <c r="W61" s="67"/>
      <c r="X61" s="67">
        <f>IF(AND(H61=1,D61&lt;15),Assumptions!$D$10*N61+Assumptions!$D$11*(1+Assumptions!$D$16)^(B61-1)*$I$7,0)</f>
        <v>0</v>
      </c>
      <c r="Y61" s="65">
        <f>Assumptions!$C$13*N61</f>
        <v>0</v>
      </c>
      <c r="Z61" s="65">
        <f>NPV(Assumptions!$D$19,N61:$N$259)*(1+Assumptions!$D$19)</f>
        <v>59339897.000671215</v>
      </c>
      <c r="AA61" s="68">
        <f t="shared" si="11"/>
        <v>545808.45474761049</v>
      </c>
      <c r="AC61" s="67">
        <f t="shared" si="12"/>
        <v>49889317.451416343</v>
      </c>
      <c r="AD61" s="67"/>
      <c r="AE61" s="67"/>
      <c r="AF61" s="67"/>
      <c r="AG61" s="67"/>
      <c r="AH61" s="67"/>
      <c r="AI61" s="67"/>
      <c r="AK61" s="67"/>
      <c r="AL61" s="70">
        <f t="shared" si="4"/>
        <v>0</v>
      </c>
    </row>
    <row r="62" spans="2:38" x14ac:dyDescent="0.2">
      <c r="B62" s="5">
        <f t="shared" si="0"/>
        <v>55</v>
      </c>
      <c r="C62" s="5">
        <f t="shared" si="1"/>
        <v>55</v>
      </c>
      <c r="D62" s="5">
        <f t="shared" si="2"/>
        <v>4</v>
      </c>
      <c r="E62" s="5">
        <f t="shared" si="3"/>
        <v>50</v>
      </c>
      <c r="F62" s="64">
        <f>1-(1-VLOOKUP($E62,'Annual Mortality Rates'!$B$5:$C$105,2,FALSE))^(1/12)</f>
        <v>1.184104185535384E-4</v>
      </c>
      <c r="G62" s="75">
        <f>IF(C62&gt;=[1]Assumptions!$H$9*12,100%,1-(1-IF(D62&gt;=7,2%,VLOOKUP($D62,'[1]Annual Lapse Rates'!$B$4:$C$14,2,FALSE)))^(1/12))</f>
        <v>4.2653187775606449E-3</v>
      </c>
      <c r="H62" s="81">
        <f t="shared" si="5"/>
        <v>7</v>
      </c>
      <c r="I62" s="65">
        <f t="shared" si="6"/>
        <v>3501.1150818023334</v>
      </c>
      <c r="J62" s="66">
        <f t="shared" si="7"/>
        <v>0.4145685022403201</v>
      </c>
      <c r="K62" s="66">
        <f t="shared" si="8"/>
        <v>14.999408155487275</v>
      </c>
      <c r="M62" s="67">
        <f t="shared" si="13"/>
        <v>49889317.451416343</v>
      </c>
      <c r="N62" s="67">
        <f>IF(AND(MOD(C62,12)=1,D62&lt;15),Assumptions!$H$4*I61,0)</f>
        <v>0</v>
      </c>
      <c r="O62" s="67"/>
      <c r="P62" s="90">
        <f t="shared" si="9"/>
        <v>218701.25748598267</v>
      </c>
      <c r="Q62" s="90">
        <f>M62*VLOOKUP(MOD(C62,12)+(MOD(C62,12)=0)*12,Assumptions!$C$22:$D$33,2,FALSE)*(F62+G62)</f>
        <v>4784.0900075058717</v>
      </c>
      <c r="R62" s="67">
        <f>IF(AND(MOD(C62,12)=0,D62&lt;15),Assumptions!$C$7*M62,0)</f>
        <v>0</v>
      </c>
      <c r="S62" s="68">
        <f>IF(MOD(C62,12)=0,M62*Assumptions!$D$17,0)</f>
        <v>0</v>
      </c>
      <c r="T62" s="68">
        <f t="shared" si="10"/>
        <v>0</v>
      </c>
      <c r="U62" s="67">
        <f>T62+AE62*(1+Assumptions!$D$17)</f>
        <v>0</v>
      </c>
      <c r="V62" s="67">
        <f>(M62+N62-O62)*(1+Assumptions!$D$17)-(P62+Q62)*(1+Assumptions!$D$17)^0.5-R62-T62</f>
        <v>49868632.567964487</v>
      </c>
      <c r="W62" s="67"/>
      <c r="X62" s="67">
        <f>IF(AND(H62=1,D62&lt;15),Assumptions!$D$10*N62+Assumptions!$D$11*(1+Assumptions!$D$16)^(B62-1)*$I$7,0)</f>
        <v>0</v>
      </c>
      <c r="Y62" s="65">
        <f>Assumptions!$C$13*N62</f>
        <v>0</v>
      </c>
      <c r="Z62" s="65">
        <f>NPV(Assumptions!$D$19,N62:$N$259)*(1+Assumptions!$D$19)</f>
        <v>59594643.435209066</v>
      </c>
      <c r="AA62" s="68">
        <f t="shared" si="11"/>
        <v>548151.6128050976</v>
      </c>
      <c r="AC62" s="67">
        <f t="shared" si="12"/>
        <v>49868632.567964487</v>
      </c>
      <c r="AD62" s="67"/>
      <c r="AE62" s="67"/>
      <c r="AF62" s="67"/>
      <c r="AG62" s="67"/>
      <c r="AH62" s="67"/>
      <c r="AI62" s="67"/>
      <c r="AK62" s="67"/>
      <c r="AL62" s="70">
        <f t="shared" si="4"/>
        <v>0</v>
      </c>
    </row>
    <row r="63" spans="2:38" x14ac:dyDescent="0.2">
      <c r="B63" s="5">
        <f t="shared" si="0"/>
        <v>56</v>
      </c>
      <c r="C63" s="5">
        <f t="shared" si="1"/>
        <v>56</v>
      </c>
      <c r="D63" s="5">
        <f t="shared" si="2"/>
        <v>4</v>
      </c>
      <c r="E63" s="5">
        <f t="shared" si="3"/>
        <v>50</v>
      </c>
      <c r="F63" s="64">
        <f>1-(1-VLOOKUP($E63,'Annual Mortality Rates'!$B$5:$C$105,2,FALSE))^(1/12)</f>
        <v>1.184104185535384E-4</v>
      </c>
      <c r="G63" s="75">
        <f>IF(C63&gt;=[1]Assumptions!$H$9*12,100%,1-(1-IF(D63&gt;=7,2%,VLOOKUP($D63,'[1]Annual Lapse Rates'!$B$4:$C$14,2,FALSE)))^(1/12))</f>
        <v>4.2653187775606449E-3</v>
      </c>
      <c r="H63" s="81">
        <f t="shared" si="5"/>
        <v>8</v>
      </c>
      <c r="I63" s="65">
        <f t="shared" si="6"/>
        <v>3485.7011051446057</v>
      </c>
      <c r="J63" s="66">
        <f t="shared" si="7"/>
        <v>0.41274332681270409</v>
      </c>
      <c r="K63" s="66">
        <f t="shared" si="8"/>
        <v>14.933371900812267</v>
      </c>
      <c r="M63" s="67">
        <f t="shared" si="13"/>
        <v>49868632.567964487</v>
      </c>
      <c r="N63" s="67">
        <f>IF(AND(MOD(C63,12)=1,D63&lt;15),Assumptions!$H$4*I62,0)</f>
        <v>0</v>
      </c>
      <c r="O63" s="67"/>
      <c r="P63" s="90">
        <f t="shared" si="9"/>
        <v>218610.58055847653</v>
      </c>
      <c r="Q63" s="90">
        <f>M63*VLOOKUP(MOD(C63,12)+(MOD(C63,12)=0)*12,Assumptions!$C$22:$D$33,2,FALSE)*(F63+G63)</f>
        <v>5465.2645139619135</v>
      </c>
      <c r="R63" s="67">
        <f>IF(AND(MOD(C63,12)=0,D63&lt;15),Assumptions!$C$7*M63,0)</f>
        <v>0</v>
      </c>
      <c r="S63" s="68">
        <f>IF(MOD(C63,12)=0,M63*Assumptions!$D$17,0)</f>
        <v>0</v>
      </c>
      <c r="T63" s="68">
        <f t="shared" si="10"/>
        <v>0</v>
      </c>
      <c r="U63" s="67">
        <f>T63+AE63*(1+Assumptions!$D$17)</f>
        <v>0</v>
      </c>
      <c r="V63" s="67">
        <f>(M63+N63-O63)*(1+Assumptions!$D$17)-(P63+Q63)*(1+Assumptions!$D$17)^0.5-R63-T63</f>
        <v>49847271.712500617</v>
      </c>
      <c r="W63" s="67"/>
      <c r="X63" s="67">
        <f>IF(AND(H63=1,D63&lt;15),Assumptions!$D$10*N63+Assumptions!$D$11*(1+Assumptions!$D$16)^(B63-1)*$I$7,0)</f>
        <v>0</v>
      </c>
      <c r="Y63" s="65">
        <f>Assumptions!$C$13*N63</f>
        <v>0</v>
      </c>
      <c r="Z63" s="65">
        <f>NPV(Assumptions!$D$19,N63:$N$259)*(1+Assumptions!$D$19)</f>
        <v>59850483.497292474</v>
      </c>
      <c r="AA63" s="68">
        <f t="shared" si="11"/>
        <v>550504.83005026227</v>
      </c>
      <c r="AC63" s="67">
        <f t="shared" si="12"/>
        <v>49847271.712500617</v>
      </c>
      <c r="AD63" s="67"/>
      <c r="AE63" s="67"/>
      <c r="AF63" s="67"/>
      <c r="AG63" s="67"/>
      <c r="AH63" s="67"/>
      <c r="AI63" s="67"/>
      <c r="AK63" s="67"/>
      <c r="AL63" s="70">
        <f t="shared" si="4"/>
        <v>0</v>
      </c>
    </row>
    <row r="64" spans="2:38" x14ac:dyDescent="0.2">
      <c r="B64" s="5">
        <f t="shared" si="0"/>
        <v>57</v>
      </c>
      <c r="C64" s="5">
        <f t="shared" si="1"/>
        <v>57</v>
      </c>
      <c r="D64" s="5">
        <f t="shared" si="2"/>
        <v>4</v>
      </c>
      <c r="E64" s="5">
        <f t="shared" si="3"/>
        <v>50</v>
      </c>
      <c r="F64" s="64">
        <f>1-(1-VLOOKUP($E64,'Annual Mortality Rates'!$B$5:$C$105,2,FALSE))^(1/12)</f>
        <v>1.184104185535384E-4</v>
      </c>
      <c r="G64" s="75">
        <f>IF(C64&gt;=[1]Assumptions!$H$9*12,100%,1-(1-IF(D64&gt;=7,2%,VLOOKUP($D64,'[1]Annual Lapse Rates'!$B$4:$C$14,2,FALSE)))^(1/12))</f>
        <v>4.2653187775606449E-3</v>
      </c>
      <c r="H64" s="81">
        <f t="shared" si="5"/>
        <v>9</v>
      </c>
      <c r="I64" s="65">
        <f t="shared" si="6"/>
        <v>3470.3549899169807</v>
      </c>
      <c r="J64" s="66">
        <f t="shared" si="7"/>
        <v>0.4109261868854302</v>
      </c>
      <c r="K64" s="66">
        <f t="shared" si="8"/>
        <v>14.867626376737178</v>
      </c>
      <c r="M64" s="67">
        <f t="shared" si="13"/>
        <v>49847271.712500617</v>
      </c>
      <c r="N64" s="67">
        <f>IF(AND(MOD(C64,12)=1,D64&lt;15),Assumptions!$H$4*I63,0)</f>
        <v>0</v>
      </c>
      <c r="O64" s="67"/>
      <c r="P64" s="90">
        <f t="shared" si="9"/>
        <v>218516.94035272559</v>
      </c>
      <c r="Q64" s="90">
        <f>M64*VLOOKUP(MOD(C64,12)+(MOD(C64,12)=0)*12,Assumptions!$C$22:$D$33,2,FALSE)*(F64+G64)</f>
        <v>6145.7889474204076</v>
      </c>
      <c r="R64" s="67">
        <f>IF(AND(MOD(C64,12)=0,D64&lt;15),Assumptions!$C$7*M64,0)</f>
        <v>0</v>
      </c>
      <c r="S64" s="68">
        <f>IF(MOD(C64,12)=0,M64*Assumptions!$D$17,0)</f>
        <v>0</v>
      </c>
      <c r="T64" s="68">
        <f t="shared" si="10"/>
        <v>0</v>
      </c>
      <c r="U64" s="67">
        <f>T64+AE64*(1+Assumptions!$D$17)</f>
        <v>0</v>
      </c>
      <c r="V64" s="67">
        <f>(M64+N64-O64)*(1+Assumptions!$D$17)-(P64+Q64)*(1+Assumptions!$D$17)^0.5-R64-T64</f>
        <v>49825235.751735456</v>
      </c>
      <c r="W64" s="67"/>
      <c r="X64" s="67">
        <f>IF(AND(H64=1,D64&lt;15),Assumptions!$D$10*N64+Assumptions!$D$11*(1+Assumptions!$D$16)^(B64-1)*$I$7,0)</f>
        <v>0</v>
      </c>
      <c r="Y64" s="65">
        <f>Assumptions!$C$13*N64</f>
        <v>0</v>
      </c>
      <c r="Z64" s="65">
        <f>NPV(Assumptions!$D$19,N64:$N$259)*(1+Assumptions!$D$19)</f>
        <v>60107421.881869204</v>
      </c>
      <c r="AA64" s="68">
        <f t="shared" si="11"/>
        <v>552868.14966724103</v>
      </c>
      <c r="AC64" s="67">
        <f t="shared" si="12"/>
        <v>49825235.751735456</v>
      </c>
      <c r="AD64" s="67"/>
      <c r="AE64" s="67"/>
      <c r="AF64" s="67"/>
      <c r="AG64" s="67"/>
      <c r="AH64" s="67"/>
      <c r="AI64" s="67"/>
      <c r="AK64" s="67"/>
      <c r="AL64" s="70">
        <f t="shared" si="4"/>
        <v>0</v>
      </c>
    </row>
    <row r="65" spans="2:38" x14ac:dyDescent="0.2">
      <c r="B65" s="5">
        <f t="shared" si="0"/>
        <v>58</v>
      </c>
      <c r="C65" s="5">
        <f t="shared" si="1"/>
        <v>58</v>
      </c>
      <c r="D65" s="5">
        <f t="shared" si="2"/>
        <v>4</v>
      </c>
      <c r="E65" s="5">
        <f t="shared" si="3"/>
        <v>50</v>
      </c>
      <c r="F65" s="64">
        <f>1-(1-VLOOKUP($E65,'Annual Mortality Rates'!$B$5:$C$105,2,FALSE))^(1/12)</f>
        <v>1.184104185535384E-4</v>
      </c>
      <c r="G65" s="75">
        <f>IF(C65&gt;=[1]Assumptions!$H$9*12,100%,1-(1-IF(D65&gt;=7,2%,VLOOKUP($D65,'[1]Annual Lapse Rates'!$B$4:$C$14,2,FALSE)))^(1/12))</f>
        <v>4.2653187775606449E-3</v>
      </c>
      <c r="H65" s="81">
        <f t="shared" si="5"/>
        <v>10</v>
      </c>
      <c r="I65" s="65">
        <f t="shared" si="6"/>
        <v>3455.0764373533584</v>
      </c>
      <c r="J65" s="66">
        <f t="shared" si="7"/>
        <v>0.40911704708147945</v>
      </c>
      <c r="K65" s="66">
        <f t="shared" si="8"/>
        <v>14.802170303294181</v>
      </c>
      <c r="M65" s="67">
        <f t="shared" si="13"/>
        <v>49825235.751735456</v>
      </c>
      <c r="N65" s="67">
        <f>IF(AND(MOD(C65,12)=1,D65&lt;15),Assumptions!$H$4*I64,0)</f>
        <v>0</v>
      </c>
      <c r="O65" s="67"/>
      <c r="P65" s="90">
        <f t="shared" si="9"/>
        <v>218420.34066815494</v>
      </c>
      <c r="Q65" s="90">
        <f>M65*VLOOKUP(MOD(C65,12)+(MOD(C65,12)=0)*12,Assumptions!$C$22:$D$33,2,FALSE)*(F65+G65)</f>
        <v>6825.6356458798418</v>
      </c>
      <c r="R65" s="67">
        <f>IF(AND(MOD(C65,12)=0,D65&lt;15),Assumptions!$C$7*M65,0)</f>
        <v>0</v>
      </c>
      <c r="S65" s="68">
        <f>IF(MOD(C65,12)=0,M65*Assumptions!$D$17,0)</f>
        <v>0</v>
      </c>
      <c r="T65" s="68">
        <f t="shared" si="10"/>
        <v>0</v>
      </c>
      <c r="U65" s="67">
        <f>T65+AE65*(1+Assumptions!$D$17)</f>
        <v>0</v>
      </c>
      <c r="V65" s="67">
        <f>(M65+N65-O65)*(1+Assumptions!$D$17)-(P65+Q65)*(1+Assumptions!$D$17)^0.5-R65-T65</f>
        <v>49802525.579821959</v>
      </c>
      <c r="W65" s="67"/>
      <c r="X65" s="67">
        <f>IF(AND(H65=1,D65&lt;15),Assumptions!$D$10*N65+Assumptions!$D$11*(1+Assumptions!$D$16)^(B65-1)*$I$7,0)</f>
        <v>0</v>
      </c>
      <c r="Y65" s="65">
        <f>Assumptions!$C$13*N65</f>
        <v>0</v>
      </c>
      <c r="Z65" s="65">
        <f>NPV(Assumptions!$D$19,N65:$N$259)*(1+Assumptions!$D$19)</f>
        <v>60365463.304042503</v>
      </c>
      <c r="AA65" s="68">
        <f t="shared" si="11"/>
        <v>555241.61502555921</v>
      </c>
      <c r="AC65" s="67">
        <f t="shared" si="12"/>
        <v>49802525.579821959</v>
      </c>
      <c r="AD65" s="67"/>
      <c r="AE65" s="67"/>
      <c r="AF65" s="67"/>
      <c r="AG65" s="67"/>
      <c r="AH65" s="67"/>
      <c r="AI65" s="67"/>
      <c r="AK65" s="67"/>
      <c r="AL65" s="70">
        <f t="shared" si="4"/>
        <v>0</v>
      </c>
    </row>
    <row r="66" spans="2:38" x14ac:dyDescent="0.2">
      <c r="B66" s="5">
        <f t="shared" si="0"/>
        <v>59</v>
      </c>
      <c r="C66" s="5">
        <f t="shared" si="1"/>
        <v>59</v>
      </c>
      <c r="D66" s="5">
        <f t="shared" si="2"/>
        <v>4</v>
      </c>
      <c r="E66" s="5">
        <f t="shared" si="3"/>
        <v>50</v>
      </c>
      <c r="F66" s="64">
        <f>1-(1-VLOOKUP($E66,'Annual Mortality Rates'!$B$5:$C$105,2,FALSE))^(1/12)</f>
        <v>1.184104185535384E-4</v>
      </c>
      <c r="G66" s="75">
        <f>IF(C66&gt;=[1]Assumptions!$H$9*12,100%,1-(1-IF(D66&gt;=7,2%,VLOOKUP($D66,'[1]Annual Lapse Rates'!$B$4:$C$14,2,FALSE)))^(1/12))</f>
        <v>4.2653187775606449E-3</v>
      </c>
      <c r="H66" s="81">
        <f t="shared" si="5"/>
        <v>11</v>
      </c>
      <c r="I66" s="65">
        <f t="shared" si="6"/>
        <v>3439.8651500029828</v>
      </c>
      <c r="J66" s="66">
        <f t="shared" si="7"/>
        <v>0.40731587217958332</v>
      </c>
      <c r="K66" s="66">
        <f t="shared" si="8"/>
        <v>14.737002406150616</v>
      </c>
      <c r="M66" s="67">
        <f t="shared" si="13"/>
        <v>49802525.579821959</v>
      </c>
      <c r="N66" s="67">
        <f>IF(AND(MOD(C66,12)=1,D66&lt;15),Assumptions!$H$4*I65,0)</f>
        <v>0</v>
      </c>
      <c r="O66" s="67"/>
      <c r="P66" s="90">
        <f t="shared" si="9"/>
        <v>218320.78542448897</v>
      </c>
      <c r="Q66" s="90">
        <f>M66*VLOOKUP(MOD(C66,12)+(MOD(C66,12)=0)*12,Assumptions!$C$22:$D$33,2,FALSE)*(F66+G66)</f>
        <v>7504.7769989668086</v>
      </c>
      <c r="R66" s="67">
        <f>IF(AND(MOD(C66,12)=0,D66&lt;15),Assumptions!$C$7*M66,0)</f>
        <v>0</v>
      </c>
      <c r="S66" s="68">
        <f>IF(MOD(C66,12)=0,M66*Assumptions!$D$17,0)</f>
        <v>0</v>
      </c>
      <c r="T66" s="68">
        <f t="shared" si="10"/>
        <v>0</v>
      </c>
      <c r="U66" s="67">
        <f>T66+AE66*(1+Assumptions!$D$17)</f>
        <v>0</v>
      </c>
      <c r="V66" s="67">
        <f>(M66+N66-O66)*(1+Assumptions!$D$17)-(P66+Q66)*(1+Assumptions!$D$17)^0.5-R66-T66</f>
        <v>49779142.118294828</v>
      </c>
      <c r="W66" s="67"/>
      <c r="X66" s="67">
        <f>IF(AND(H66=1,D66&lt;15),Assumptions!$D$10*N66+Assumptions!$D$11*(1+Assumptions!$D$16)^(B66-1)*$I$7,0)</f>
        <v>0</v>
      </c>
      <c r="Y66" s="65">
        <f>Assumptions!$C$13*N66</f>
        <v>0</v>
      </c>
      <c r="Z66" s="65">
        <f>NPV(Assumptions!$D$19,N66:$N$259)*(1+Assumptions!$D$19)</f>
        <v>60624612.499157488</v>
      </c>
      <c r="AA66" s="68">
        <f t="shared" si="11"/>
        <v>557625.26968092902</v>
      </c>
      <c r="AC66" s="67">
        <f t="shared" si="12"/>
        <v>49779142.118294828</v>
      </c>
      <c r="AD66" s="67"/>
      <c r="AE66" s="67"/>
      <c r="AF66" s="67"/>
      <c r="AG66" s="67"/>
      <c r="AH66" s="67"/>
      <c r="AI66" s="67"/>
      <c r="AK66" s="67"/>
      <c r="AL66" s="70">
        <f t="shared" si="4"/>
        <v>0</v>
      </c>
    </row>
    <row r="67" spans="2:38" x14ac:dyDescent="0.2">
      <c r="B67" s="5">
        <f t="shared" si="0"/>
        <v>60</v>
      </c>
      <c r="C67" s="5">
        <f t="shared" si="1"/>
        <v>60</v>
      </c>
      <c r="D67" s="5">
        <f t="shared" si="2"/>
        <v>4</v>
      </c>
      <c r="E67" s="5">
        <f t="shared" si="3"/>
        <v>50</v>
      </c>
      <c r="F67" s="64">
        <f>1-(1-VLOOKUP($E67,'Annual Mortality Rates'!$B$5:$C$105,2,FALSE))^(1/12)</f>
        <v>1.184104185535384E-4</v>
      </c>
      <c r="G67" s="75">
        <f>IF(C67&gt;=[1]Assumptions!$H$9*12,100%,1-(1-IF(D67&gt;=7,2%,VLOOKUP($D67,'[1]Annual Lapse Rates'!$B$4:$C$14,2,FALSE)))^(1/12))</f>
        <v>4.2653187775606449E-3</v>
      </c>
      <c r="H67" s="81">
        <f t="shared" si="5"/>
        <v>12</v>
      </c>
      <c r="I67" s="65">
        <f t="shared" si="6"/>
        <v>3424.7208317246527</v>
      </c>
      <c r="J67" s="66">
        <f t="shared" si="7"/>
        <v>0.40552262711353826</v>
      </c>
      <c r="K67" s="66">
        <f t="shared" si="8"/>
        <v>14.672121416584186</v>
      </c>
      <c r="M67" s="67">
        <f t="shared" si="13"/>
        <v>49779142.118294828</v>
      </c>
      <c r="N67" s="67">
        <f>IF(AND(MOD(C67,12)=1,D67&lt;15),Assumptions!$H$4*I66,0)</f>
        <v>0</v>
      </c>
      <c r="O67" s="67"/>
      <c r="P67" s="90">
        <f t="shared" si="9"/>
        <v>218218.27866148626</v>
      </c>
      <c r="Q67" s="90">
        <f>M67*VLOOKUP(MOD(C67,12)+(MOD(C67,12)=0)*12,Assumptions!$C$22:$D$33,2,FALSE)*(F67+G67)</f>
        <v>8183.1854498057364</v>
      </c>
      <c r="R67" s="67">
        <f>IF(AND(MOD(C67,12)=0,D67&lt;15),Assumptions!$C$7*M67,0)</f>
        <v>24889.571059147413</v>
      </c>
      <c r="S67" s="68">
        <f>IF(MOD(C67,12)=0,M67*Assumptions!$D$17,0)</f>
        <v>202806.38683375643</v>
      </c>
      <c r="T67" s="68">
        <f t="shared" si="10"/>
        <v>0</v>
      </c>
      <c r="U67" s="67">
        <f>T67+AE67*(1+Assumptions!$D$17)</f>
        <v>0</v>
      </c>
      <c r="V67" s="67">
        <f>(M67+N67-O67)*(1+Assumptions!$D$17)-(P67+Q67)*(1+Assumptions!$D$17)^0.5-R67-T67</f>
        <v>49730196.744949043</v>
      </c>
      <c r="W67" s="67"/>
      <c r="X67" s="67">
        <f>IF(AND(H67=1,D67&lt;15),Assumptions!$D$10*N67+Assumptions!$D$11*(1+Assumptions!$D$16)^(B67-1)*$I$7,0)</f>
        <v>0</v>
      </c>
      <c r="Y67" s="65">
        <f>Assumptions!$C$13*N67</f>
        <v>0</v>
      </c>
      <c r="Z67" s="65">
        <f>NPV(Assumptions!$D$19,N67:$N$259)*(1+Assumptions!$D$19)</f>
        <v>60884874.222888254</v>
      </c>
      <c r="AA67" s="68">
        <f t="shared" si="11"/>
        <v>560019.15737604618</v>
      </c>
      <c r="AC67" s="67">
        <f t="shared" si="12"/>
        <v>49730196.744949043</v>
      </c>
      <c r="AD67" s="67"/>
      <c r="AE67" s="67"/>
      <c r="AF67" s="67"/>
      <c r="AG67" s="67"/>
      <c r="AH67" s="67"/>
      <c r="AI67" s="67"/>
      <c r="AK67" s="67"/>
      <c r="AL67" s="70">
        <f t="shared" si="4"/>
        <v>0</v>
      </c>
    </row>
    <row r="68" spans="2:38" x14ac:dyDescent="0.2">
      <c r="B68" s="5">
        <f t="shared" si="0"/>
        <v>61</v>
      </c>
      <c r="C68" s="5">
        <f t="shared" si="1"/>
        <v>61</v>
      </c>
      <c r="D68" s="5">
        <f t="shared" si="2"/>
        <v>5</v>
      </c>
      <c r="E68" s="5">
        <f t="shared" si="3"/>
        <v>51</v>
      </c>
      <c r="F68" s="64">
        <f>1-(1-VLOOKUP($E68,'Annual Mortality Rates'!$B$5:$C$105,2,FALSE))^(1/12)</f>
        <v>1.3009304274569367E-4</v>
      </c>
      <c r="G68" s="75">
        <f>IF(C68&gt;=[1]Assumptions!$H$9*12,100%,1-(1-IF(D68&gt;=7,2%,VLOOKUP($D68,'[1]Annual Lapse Rates'!$B$4:$C$14,2,FALSE)))^(1/12))</f>
        <v>3.3960531989175591E-3</v>
      </c>
      <c r="H68" s="81">
        <f t="shared" si="5"/>
        <v>1</v>
      </c>
      <c r="I68" s="65">
        <f t="shared" si="6"/>
        <v>3409.6431876809552</v>
      </c>
      <c r="J68" s="66">
        <f t="shared" si="7"/>
        <v>0.44357085696254173</v>
      </c>
      <c r="K68" s="66">
        <f t="shared" si="8"/>
        <v>11.63053413597811</v>
      </c>
      <c r="M68" s="67">
        <f t="shared" si="13"/>
        <v>49730196.744949043</v>
      </c>
      <c r="N68" s="67">
        <f>IF(AND(MOD(C68,12)=1,D68&lt;15),Assumptions!$H$4*I67,0)</f>
        <v>8561802.0793116316</v>
      </c>
      <c r="O68" s="67"/>
      <c r="P68" s="90">
        <f t="shared" si="9"/>
        <v>175355.9463493762</v>
      </c>
      <c r="Q68" s="90">
        <f>M68*VLOOKUP(MOD(C68,12)+(MOD(C68,12)=0)*12,Assumptions!$C$22:$D$33,2,FALSE)*(F68+G68)</f>
        <v>547.98733234180065</v>
      </c>
      <c r="R68" s="67">
        <f>IF(AND(MOD(C68,12)=0,D68&lt;15),Assumptions!$C$7*M68,0)</f>
        <v>0</v>
      </c>
      <c r="S68" s="68">
        <f>IF(MOD(C68,12)=0,M68*Assumptions!$D$17,0)</f>
        <v>0</v>
      </c>
      <c r="T68" s="68">
        <f t="shared" si="10"/>
        <v>0</v>
      </c>
      <c r="U68" s="67">
        <f>T68+AE68*(1+Assumptions!$D$17)</f>
        <v>0</v>
      </c>
      <c r="V68" s="67">
        <f>(M68+N68-O68)*(1+Assumptions!$D$17)-(P68+Q68)*(1+Assumptions!$D$17)^0.5-R68-T68</f>
        <v>58353225.746411122</v>
      </c>
      <c r="W68" s="67"/>
      <c r="X68" s="67">
        <f>IF(AND(H68=1,D68&lt;15),Assumptions!$D$10*N68+Assumptions!$D$11*(1+Assumptions!$D$16)^(B68-1)*$I$7,0)</f>
        <v>78691.636500558234</v>
      </c>
      <c r="Y68" s="65">
        <f>Assumptions!$C$13*N68</f>
        <v>42809.010396558158</v>
      </c>
      <c r="Z68" s="65">
        <f>NPV(Assumptions!$D$19,N68:$N$259)*(1+Assumptions!$D$19)</f>
        <v>61146253.251324907</v>
      </c>
      <c r="AA68" s="68">
        <f t="shared" si="11"/>
        <v>483671.85466505098</v>
      </c>
      <c r="AC68" s="67">
        <f t="shared" si="12"/>
        <v>58353225.746411122</v>
      </c>
      <c r="AD68" s="67"/>
      <c r="AE68" s="67"/>
      <c r="AF68" s="67"/>
      <c r="AG68" s="67"/>
      <c r="AH68" s="67"/>
      <c r="AI68" s="67"/>
      <c r="AK68" s="67"/>
      <c r="AL68" s="70">
        <f t="shared" si="4"/>
        <v>0</v>
      </c>
    </row>
    <row r="69" spans="2:38" x14ac:dyDescent="0.2">
      <c r="B69" s="5">
        <f t="shared" si="0"/>
        <v>62</v>
      </c>
      <c r="C69" s="5">
        <f t="shared" si="1"/>
        <v>62</v>
      </c>
      <c r="D69" s="5">
        <f t="shared" si="2"/>
        <v>5</v>
      </c>
      <c r="E69" s="5">
        <f t="shared" si="3"/>
        <v>51</v>
      </c>
      <c r="F69" s="64">
        <f>1-(1-VLOOKUP($E69,'Annual Mortality Rates'!$B$5:$C$105,2,FALSE))^(1/12)</f>
        <v>1.3009304274569367E-4</v>
      </c>
      <c r="G69" s="75">
        <f>IF(C69&gt;=[1]Assumptions!$H$9*12,100%,1-(1-IF(D69&gt;=7,2%,VLOOKUP($D69,'[1]Annual Lapse Rates'!$B$4:$C$14,2,FALSE)))^(1/12))</f>
        <v>3.3960531989175591E-3</v>
      </c>
      <c r="H69" s="81">
        <f t="shared" si="5"/>
        <v>2</v>
      </c>
      <c r="I69" s="65">
        <f t="shared" si="6"/>
        <v>3397.5690826880145</v>
      </c>
      <c r="J69" s="66">
        <f t="shared" si="7"/>
        <v>0.44200009990557909</v>
      </c>
      <c r="K69" s="66">
        <f t="shared" si="8"/>
        <v>11.579329654691371</v>
      </c>
      <c r="M69" s="67">
        <f t="shared" si="13"/>
        <v>58353225.746411122</v>
      </c>
      <c r="N69" s="67">
        <f>IF(AND(MOD(C69,12)=1,D69&lt;15),Assumptions!$H$4*I68,0)</f>
        <v>0</v>
      </c>
      <c r="O69" s="67"/>
      <c r="P69" s="90">
        <f t="shared" si="9"/>
        <v>205762.00765463494</v>
      </c>
      <c r="Q69" s="90">
        <f>M69*VLOOKUP(MOD(C69,12)+(MOD(C69,12)=0)*12,Assumptions!$C$22:$D$33,2,FALSE)*(F69+G69)</f>
        <v>1286.0125478414684</v>
      </c>
      <c r="R69" s="67">
        <f>IF(AND(MOD(C69,12)=0,D69&lt;15),Assumptions!$C$7*M69,0)</f>
        <v>0</v>
      </c>
      <c r="S69" s="68">
        <f>IF(MOD(C69,12)=0,M69*Assumptions!$D$17,0)</f>
        <v>0</v>
      </c>
      <c r="T69" s="68">
        <f t="shared" si="10"/>
        <v>0</v>
      </c>
      <c r="U69" s="67">
        <f>T69+AE69*(1+Assumptions!$D$17)</f>
        <v>0</v>
      </c>
      <c r="V69" s="67">
        <f>(M69+N69-O69)*(1+Assumptions!$D$17)-(P69+Q69)*(1+Assumptions!$D$17)^0.5-R69-T69</f>
        <v>58383494.650155522</v>
      </c>
      <c r="W69" s="67"/>
      <c r="X69" s="67">
        <f>IF(AND(H69=1,D69&lt;15),Assumptions!$D$10*N69+Assumptions!$D$11*(1+Assumptions!$D$16)^(B69-1)*$I$7,0)</f>
        <v>0</v>
      </c>
      <c r="Y69" s="65">
        <f>Assumptions!$C$13*N69</f>
        <v>0</v>
      </c>
      <c r="Z69" s="65">
        <f>NPV(Assumptions!$D$19,N69:$N$259)*(1+Assumptions!$D$19)</f>
        <v>52810196.448383547</v>
      </c>
      <c r="AA69" s="68">
        <f t="shared" si="11"/>
        <v>485748.26002957067</v>
      </c>
      <c r="AC69" s="67">
        <f t="shared" si="12"/>
        <v>58383494.650155522</v>
      </c>
      <c r="AD69" s="67"/>
      <c r="AE69" s="67"/>
      <c r="AF69" s="67"/>
      <c r="AG69" s="67"/>
      <c r="AH69" s="67"/>
      <c r="AI69" s="67"/>
      <c r="AK69" s="67"/>
      <c r="AL69" s="70">
        <f t="shared" si="4"/>
        <v>0</v>
      </c>
    </row>
    <row r="70" spans="2:38" x14ac:dyDescent="0.2">
      <c r="B70" s="5">
        <f t="shared" si="0"/>
        <v>63</v>
      </c>
      <c r="C70" s="5">
        <f t="shared" si="1"/>
        <v>63</v>
      </c>
      <c r="D70" s="5">
        <f t="shared" si="2"/>
        <v>5</v>
      </c>
      <c r="E70" s="5">
        <f t="shared" si="3"/>
        <v>51</v>
      </c>
      <c r="F70" s="64">
        <f>1-(1-VLOOKUP($E70,'Annual Mortality Rates'!$B$5:$C$105,2,FALSE))^(1/12)</f>
        <v>1.3009304274569367E-4</v>
      </c>
      <c r="G70" s="75">
        <f>IF(C70&gt;=[1]Assumptions!$H$9*12,100%,1-(1-IF(D70&gt;=7,2%,VLOOKUP($D70,'[1]Annual Lapse Rates'!$B$4:$C$14,2,FALSE)))^(1/12))</f>
        <v>3.3960531989175591E-3</v>
      </c>
      <c r="H70" s="81">
        <f t="shared" si="5"/>
        <v>3</v>
      </c>
      <c r="I70" s="65">
        <f t="shared" si="6"/>
        <v>3385.5477529334175</v>
      </c>
      <c r="J70" s="66">
        <f t="shared" si="7"/>
        <v>0.44043620853995424</v>
      </c>
      <c r="K70" s="66">
        <f t="shared" si="8"/>
        <v>11.538325351806028</v>
      </c>
      <c r="M70" s="67">
        <f t="shared" si="13"/>
        <v>58383494.650155522</v>
      </c>
      <c r="N70" s="67">
        <f>IF(AND(MOD(C70,12)=1,D70&lt;15),Assumptions!$H$4*I69,0)</f>
        <v>0</v>
      </c>
      <c r="O70" s="67"/>
      <c r="P70" s="90">
        <f t="shared" si="9"/>
        <v>205868.74023581253</v>
      </c>
      <c r="Q70" s="90">
        <f>M70*VLOOKUP(MOD(C70,12)+(MOD(C70,12)=0)*12,Assumptions!$C$22:$D$33,2,FALSE)*(F70+G70)</f>
        <v>1930.0194397107425</v>
      </c>
      <c r="R70" s="67">
        <f>IF(AND(MOD(C70,12)=0,D70&lt;15),Assumptions!$C$7*M70,0)</f>
        <v>0</v>
      </c>
      <c r="S70" s="68">
        <f>IF(MOD(C70,12)=0,M70*Assumptions!$D$17,0)</f>
        <v>0</v>
      </c>
      <c r="T70" s="68">
        <f t="shared" si="10"/>
        <v>0</v>
      </c>
      <c r="U70" s="67">
        <f>T70+AE70*(1+Assumptions!$D$17)</f>
        <v>0</v>
      </c>
      <c r="V70" s="67">
        <f>(M70+N70-O70)*(1+Assumptions!$D$17)-(P70+Q70)*(1+Assumptions!$D$17)^0.5-R70-T70</f>
        <v>58413134.605939224</v>
      </c>
      <c r="W70" s="67"/>
      <c r="X70" s="67">
        <f>IF(AND(H70=1,D70&lt;15),Assumptions!$D$10*N70+Assumptions!$D$11*(1+Assumptions!$D$16)^(B70-1)*$I$7,0)</f>
        <v>0</v>
      </c>
      <c r="Y70" s="65">
        <f>Assumptions!$C$13*N70</f>
        <v>0</v>
      </c>
      <c r="Z70" s="65">
        <f>NPV(Assumptions!$D$19,N70:$N$259)*(1+Assumptions!$D$19)</f>
        <v>53036910.850201905</v>
      </c>
      <c r="AA70" s="68">
        <f t="shared" si="11"/>
        <v>487833.5794113031</v>
      </c>
      <c r="AC70" s="67">
        <f t="shared" si="12"/>
        <v>58413134.605939224</v>
      </c>
      <c r="AD70" s="67"/>
      <c r="AE70" s="67"/>
      <c r="AF70" s="67"/>
      <c r="AG70" s="67"/>
      <c r="AH70" s="67"/>
      <c r="AI70" s="67"/>
      <c r="AK70" s="67"/>
      <c r="AL70" s="70">
        <f t="shared" si="4"/>
        <v>0</v>
      </c>
    </row>
    <row r="71" spans="2:38" x14ac:dyDescent="0.2">
      <c r="B71" s="5">
        <f t="shared" si="0"/>
        <v>64</v>
      </c>
      <c r="C71" s="5">
        <f t="shared" si="1"/>
        <v>64</v>
      </c>
      <c r="D71" s="5">
        <f t="shared" si="2"/>
        <v>5</v>
      </c>
      <c r="E71" s="5">
        <f t="shared" si="3"/>
        <v>51</v>
      </c>
      <c r="F71" s="64">
        <f>1-(1-VLOOKUP($E71,'Annual Mortality Rates'!$B$5:$C$105,2,FALSE))^(1/12)</f>
        <v>1.3009304274569367E-4</v>
      </c>
      <c r="G71" s="75">
        <f>IF(C71&gt;=[1]Assumptions!$H$9*12,100%,1-(1-IF(D71&gt;=7,2%,VLOOKUP($D71,'[1]Annual Lapse Rates'!$B$4:$C$14,2,FALSE)))^(1/12))</f>
        <v>3.3960531989175591E-3</v>
      </c>
      <c r="H71" s="81">
        <f t="shared" si="5"/>
        <v>4</v>
      </c>
      <c r="I71" s="65">
        <f t="shared" si="6"/>
        <v>3373.5689913730712</v>
      </c>
      <c r="J71" s="66">
        <f t="shared" si="7"/>
        <v>0.43887785500024362</v>
      </c>
      <c r="K71" s="66">
        <f t="shared" si="8"/>
        <v>11.497500276437687</v>
      </c>
      <c r="M71" s="67">
        <f t="shared" si="13"/>
        <v>58413134.605939224</v>
      </c>
      <c r="N71" s="67">
        <f>IF(AND(MOD(C71,12)=1,D71&lt;15),Assumptions!$H$4*I70,0)</f>
        <v>0</v>
      </c>
      <c r="O71" s="67"/>
      <c r="P71" s="90">
        <f t="shared" si="9"/>
        <v>205973.25505450228</v>
      </c>
      <c r="Q71" s="90">
        <f>M71*VLOOKUP(MOD(C71,12)+(MOD(C71,12)=0)*12,Assumptions!$C$22:$D$33,2,FALSE)*(F71+G71)</f>
        <v>2574.6656881812787</v>
      </c>
      <c r="R71" s="67">
        <f>IF(AND(MOD(C71,12)=0,D71&lt;15),Assumptions!$C$7*M71,0)</f>
        <v>0</v>
      </c>
      <c r="S71" s="68">
        <f>IF(MOD(C71,12)=0,M71*Assumptions!$D$17,0)</f>
        <v>0</v>
      </c>
      <c r="T71" s="68">
        <f t="shared" si="10"/>
        <v>0</v>
      </c>
      <c r="U71" s="67">
        <f>T71+AE71*(1+Assumptions!$D$17)</f>
        <v>0</v>
      </c>
      <c r="V71" s="67">
        <f>(M71+N71-O71)*(1+Assumptions!$D$17)-(P71+Q71)*(1+Assumptions!$D$17)^0.5-R71-T71</f>
        <v>58442144.632968321</v>
      </c>
      <c r="W71" s="67"/>
      <c r="X71" s="67">
        <f>IF(AND(H71=1,D71&lt;15),Assumptions!$D$10*N71+Assumptions!$D$11*(1+Assumptions!$D$16)^(B71-1)*$I$7,0)</f>
        <v>0</v>
      </c>
      <c r="Y71" s="65">
        <f>Assumptions!$C$13*N71</f>
        <v>0</v>
      </c>
      <c r="Z71" s="65">
        <f>NPV(Assumptions!$D$19,N71:$N$259)*(1+Assumptions!$D$19)</f>
        <v>53264598.537928067</v>
      </c>
      <c r="AA71" s="68">
        <f t="shared" si="11"/>
        <v>489927.85107816267</v>
      </c>
      <c r="AC71" s="67">
        <f t="shared" si="12"/>
        <v>58442144.632968321</v>
      </c>
      <c r="AD71" s="67"/>
      <c r="AE71" s="67"/>
      <c r="AF71" s="67"/>
      <c r="AG71" s="67"/>
      <c r="AH71" s="67"/>
      <c r="AI71" s="67"/>
      <c r="AK71" s="67"/>
      <c r="AL71" s="70">
        <f t="shared" si="4"/>
        <v>0</v>
      </c>
    </row>
    <row r="72" spans="2:38" x14ac:dyDescent="0.2">
      <c r="B72" s="5">
        <f t="shared" ref="B72:B135" si="14">B71+1</f>
        <v>65</v>
      </c>
      <c r="C72" s="5">
        <f t="shared" ref="C72:C135" si="15">$C$4+B72</f>
        <v>65</v>
      </c>
      <c r="D72" s="5">
        <f t="shared" ref="D72:D135" si="16">ROUNDDOWN((C72-1)/12,0)</f>
        <v>5</v>
      </c>
      <c r="E72" s="5">
        <f t="shared" ref="E72:E135" si="17">ROUNDDOWN(($E$4+B72)/12,0)</f>
        <v>51</v>
      </c>
      <c r="F72" s="64">
        <f>1-(1-VLOOKUP($E72,'Annual Mortality Rates'!$B$5:$C$105,2,FALSE))^(1/12)</f>
        <v>1.3009304274569367E-4</v>
      </c>
      <c r="G72" s="75">
        <f>IF(C72&gt;=[1]Assumptions!$H$9*12,100%,1-(1-IF(D72&gt;=7,2%,VLOOKUP($D72,'[1]Annual Lapse Rates'!$B$4:$C$14,2,FALSE)))^(1/12))</f>
        <v>3.3960531989175591E-3</v>
      </c>
      <c r="H72" s="81">
        <f t="shared" si="5"/>
        <v>5</v>
      </c>
      <c r="I72" s="65">
        <f t="shared" si="6"/>
        <v>3361.6326132416334</v>
      </c>
      <c r="J72" s="66">
        <f t="shared" si="7"/>
        <v>0.43732501524976169</v>
      </c>
      <c r="K72" s="66">
        <f t="shared" si="8"/>
        <v>11.456819764921601</v>
      </c>
      <c r="M72" s="67">
        <f t="shared" si="13"/>
        <v>58442144.632968321</v>
      </c>
      <c r="N72" s="67">
        <f>IF(AND(MOD(C72,12)=1,D72&lt;15),Assumptions!$H$4*I71,0)</f>
        <v>0</v>
      </c>
      <c r="O72" s="67"/>
      <c r="P72" s="90">
        <f t="shared" si="9"/>
        <v>206075.54865228149</v>
      </c>
      <c r="Q72" s="90">
        <f>M72*VLOOKUP(MOD(C72,12)+(MOD(C72,12)=0)*12,Assumptions!$C$22:$D$33,2,FALSE)*(F72+G72)</f>
        <v>3219.9304476918983</v>
      </c>
      <c r="R72" s="67">
        <f>IF(AND(MOD(C72,12)=0,D72&lt;15),Assumptions!$C$7*M72,0)</f>
        <v>0</v>
      </c>
      <c r="S72" s="68">
        <f>IF(MOD(C72,12)=0,M72*Assumptions!$D$17,0)</f>
        <v>0</v>
      </c>
      <c r="T72" s="68">
        <f t="shared" si="10"/>
        <v>0</v>
      </c>
      <c r="U72" s="67">
        <f>T72+AE72*(1+Assumptions!$D$17)</f>
        <v>0</v>
      </c>
      <c r="V72" s="67">
        <f>(M72+N72-O72)*(1+Assumptions!$D$17)-(P72+Q72)*(1+Assumptions!$D$17)^0.5-R72-T72</f>
        <v>58470523.770806469</v>
      </c>
      <c r="W72" s="67"/>
      <c r="X72" s="67">
        <f>IF(AND(H72=1,D72&lt;15),Assumptions!$D$10*N72+Assumptions!$D$11*(1+Assumptions!$D$16)^(B72-1)*$I$7,0)</f>
        <v>0</v>
      </c>
      <c r="Y72" s="65">
        <f>Assumptions!$C$13*N72</f>
        <v>0</v>
      </c>
      <c r="Z72" s="65">
        <f>NPV(Assumptions!$D$19,N72:$N$259)*(1+Assumptions!$D$19)</f>
        <v>53493263.689882651</v>
      </c>
      <c r="AA72" s="68">
        <f t="shared" si="11"/>
        <v>492031.11346234829</v>
      </c>
      <c r="AC72" s="67">
        <f t="shared" si="12"/>
        <v>58470523.770806469</v>
      </c>
      <c r="AD72" s="67"/>
      <c r="AE72" s="67"/>
      <c r="AF72" s="67"/>
      <c r="AG72" s="67"/>
      <c r="AH72" s="67"/>
      <c r="AI72" s="67"/>
      <c r="AK72" s="67"/>
      <c r="AL72" s="70">
        <f t="shared" ref="AL72:AL135" si="18">ROUND(AK72-AG72,3)</f>
        <v>0</v>
      </c>
    </row>
    <row r="73" spans="2:38" x14ac:dyDescent="0.2">
      <c r="B73" s="5">
        <f t="shared" si="14"/>
        <v>66</v>
      </c>
      <c r="C73" s="5">
        <f t="shared" si="15"/>
        <v>66</v>
      </c>
      <c r="D73" s="5">
        <f t="shared" si="16"/>
        <v>5</v>
      </c>
      <c r="E73" s="5">
        <f t="shared" si="17"/>
        <v>51</v>
      </c>
      <c r="F73" s="64">
        <f>1-(1-VLOOKUP($E73,'Annual Mortality Rates'!$B$5:$C$105,2,FALSE))^(1/12)</f>
        <v>1.3009304274569367E-4</v>
      </c>
      <c r="G73" s="75">
        <f>IF(C73&gt;=[1]Assumptions!$H$9*12,100%,1-(1-IF(D73&gt;=7,2%,VLOOKUP($D73,'[1]Annual Lapse Rates'!$B$4:$C$14,2,FALSE)))^(1/12))</f>
        <v>3.3960531989175591E-3</v>
      </c>
      <c r="H73" s="81">
        <f t="shared" ref="H73:H136" si="19">MOD(C73,12)+(MOD(C73,12)=0)*12</f>
        <v>6</v>
      </c>
      <c r="I73" s="65">
        <f t="shared" ref="I73:I136" si="20">I72-J72-K72</f>
        <v>3349.7384684614622</v>
      </c>
      <c r="J73" s="66">
        <f t="shared" ref="J73:J136" si="21">$I73*F73</f>
        <v>0.43577766976445143</v>
      </c>
      <c r="K73" s="66">
        <f t="shared" ref="K73:K136" si="22">IF(G73=100%,I73-J73,$I72*G73)</f>
        <v>11.416283189784842</v>
      </c>
      <c r="M73" s="67">
        <f t="shared" si="13"/>
        <v>58470523.770806469</v>
      </c>
      <c r="N73" s="67">
        <f>IF(AND(MOD(C73,12)=1,D73&lt;15),Assumptions!$H$4*I72,0)</f>
        <v>0</v>
      </c>
      <c r="O73" s="67"/>
      <c r="P73" s="90">
        <f t="shared" ref="P73:P136" si="23">M73*(F73+G73)</f>
        <v>206175.61764251112</v>
      </c>
      <c r="Q73" s="90">
        <f>M73*VLOOKUP(MOD(C73,12)+(MOD(C73,12)=0)*12,Assumptions!$C$22:$D$33,2,FALSE)*(F73+G73)</f>
        <v>3865.7928307970842</v>
      </c>
      <c r="R73" s="67">
        <f>IF(AND(MOD(C73,12)=0,D73&lt;15),Assumptions!$C$7*M73,0)</f>
        <v>0</v>
      </c>
      <c r="S73" s="68">
        <f>IF(MOD(C73,12)=0,M73*Assumptions!$D$17,0)</f>
        <v>0</v>
      </c>
      <c r="T73" s="68">
        <f t="shared" ref="T73:T136" si="24">(M73+S73)*(G73=100%)</f>
        <v>0</v>
      </c>
      <c r="U73" s="67">
        <f>T73+AE73*(1+Assumptions!$D$17)</f>
        <v>0</v>
      </c>
      <c r="V73" s="67">
        <f>(M73+N73-O73)*(1+Assumptions!$D$17)-(P73+Q73)*(1+Assumptions!$D$17)^0.5-R73-T73</f>
        <v>58498271.079427846</v>
      </c>
      <c r="W73" s="67"/>
      <c r="X73" s="67">
        <f>IF(AND(H73=1,D73&lt;15),Assumptions!$D$10*N73+Assumptions!$D$11*(1+Assumptions!$D$16)^(B73-1)*$I$7,0)</f>
        <v>0</v>
      </c>
      <c r="Y73" s="65">
        <f>Assumptions!$C$13*N73</f>
        <v>0</v>
      </c>
      <c r="Z73" s="65">
        <f>NPV(Assumptions!$D$19,N73:$N$259)*(1+Assumptions!$D$19)</f>
        <v>53722910.502323821</v>
      </c>
      <c r="AA73" s="68">
        <f t="shared" ref="AA73:AA136" si="25">Z74*$AA$4</f>
        <v>494143.40516104817</v>
      </c>
      <c r="AC73" s="67">
        <f t="shared" ref="AC73:AC136" si="26">V73</f>
        <v>58498271.079427846</v>
      </c>
      <c r="AD73" s="67"/>
      <c r="AE73" s="67"/>
      <c r="AF73" s="67"/>
      <c r="AG73" s="67"/>
      <c r="AH73" s="67"/>
      <c r="AI73" s="67"/>
      <c r="AK73" s="67"/>
      <c r="AL73" s="70">
        <f t="shared" si="18"/>
        <v>0</v>
      </c>
    </row>
    <row r="74" spans="2:38" x14ac:dyDescent="0.2">
      <c r="B74" s="5">
        <f t="shared" si="14"/>
        <v>67</v>
      </c>
      <c r="C74" s="5">
        <f t="shared" si="15"/>
        <v>67</v>
      </c>
      <c r="D74" s="5">
        <f t="shared" si="16"/>
        <v>5</v>
      </c>
      <c r="E74" s="5">
        <f t="shared" si="17"/>
        <v>51</v>
      </c>
      <c r="F74" s="64">
        <f>1-(1-VLOOKUP($E74,'Annual Mortality Rates'!$B$5:$C$105,2,FALSE))^(1/12)</f>
        <v>1.3009304274569367E-4</v>
      </c>
      <c r="G74" s="75">
        <f>IF(C74&gt;=[1]Assumptions!$H$9*12,100%,1-(1-IF(D74&gt;=7,2%,VLOOKUP($D74,'[1]Annual Lapse Rates'!$B$4:$C$14,2,FALSE)))^(1/12))</f>
        <v>3.3960531989175591E-3</v>
      </c>
      <c r="H74" s="81">
        <f t="shared" si="19"/>
        <v>7</v>
      </c>
      <c r="I74" s="65">
        <f t="shared" si="20"/>
        <v>3337.8864076019131</v>
      </c>
      <c r="J74" s="66">
        <f t="shared" si="21"/>
        <v>0.43423579910442556</v>
      </c>
      <c r="K74" s="66">
        <f t="shared" si="22"/>
        <v>11.375890041355754</v>
      </c>
      <c r="M74" s="67">
        <f t="shared" ref="M74:M137" si="27">V73</f>
        <v>58498271.079427846</v>
      </c>
      <c r="N74" s="67">
        <f>IF(AND(MOD(C74,12)=1,D74&lt;15),Assumptions!$H$4*I73,0)</f>
        <v>0</v>
      </c>
      <c r="O74" s="67"/>
      <c r="P74" s="90">
        <f t="shared" si="23"/>
        <v>206273.45871052265</v>
      </c>
      <c r="Q74" s="90">
        <f>M74*VLOOKUP(MOD(C74,12)+(MOD(C74,12)=0)*12,Assumptions!$C$22:$D$33,2,FALSE)*(F74+G74)</f>
        <v>4512.2319092926837</v>
      </c>
      <c r="R74" s="67">
        <f>IF(AND(MOD(C74,12)=0,D74&lt;15),Assumptions!$C$7*M74,0)</f>
        <v>0</v>
      </c>
      <c r="S74" s="68">
        <f>IF(MOD(C74,12)=0,M74*Assumptions!$D$17,0)</f>
        <v>0</v>
      </c>
      <c r="T74" s="68">
        <f t="shared" si="24"/>
        <v>0</v>
      </c>
      <c r="U74" s="67">
        <f>T74+AE74*(1+Assumptions!$D$17)</f>
        <v>0</v>
      </c>
      <c r="V74" s="67">
        <f>(M74+N74-O74)*(1+Assumptions!$D$17)-(P74+Q74)*(1+Assumptions!$D$17)^0.5-R74-T74</f>
        <v>58525385.639269091</v>
      </c>
      <c r="W74" s="67"/>
      <c r="X74" s="67">
        <f>IF(AND(H74=1,D74&lt;15),Assumptions!$D$10*N74+Assumptions!$D$11*(1+Assumptions!$D$16)^(B74-1)*$I$7,0)</f>
        <v>0</v>
      </c>
      <c r="Y74" s="65">
        <f>Assumptions!$C$13*N74</f>
        <v>0</v>
      </c>
      <c r="Z74" s="65">
        <f>NPV(Assumptions!$D$19,N74:$N$259)*(1+Assumptions!$D$19)</f>
        <v>53953543.189524278</v>
      </c>
      <c r="AA74" s="68">
        <f t="shared" si="25"/>
        <v>496264.76493714878</v>
      </c>
      <c r="AC74" s="67">
        <f t="shared" si="26"/>
        <v>58525385.639269091</v>
      </c>
      <c r="AD74" s="67"/>
      <c r="AE74" s="67"/>
      <c r="AF74" s="67"/>
      <c r="AG74" s="67"/>
      <c r="AH74" s="67"/>
      <c r="AI74" s="67"/>
      <c r="AK74" s="67"/>
      <c r="AL74" s="70">
        <f t="shared" si="18"/>
        <v>0</v>
      </c>
    </row>
    <row r="75" spans="2:38" x14ac:dyDescent="0.2">
      <c r="B75" s="5">
        <f t="shared" si="14"/>
        <v>68</v>
      </c>
      <c r="C75" s="5">
        <f t="shared" si="15"/>
        <v>68</v>
      </c>
      <c r="D75" s="5">
        <f t="shared" si="16"/>
        <v>5</v>
      </c>
      <c r="E75" s="5">
        <f t="shared" si="17"/>
        <v>51</v>
      </c>
      <c r="F75" s="64">
        <f>1-(1-VLOOKUP($E75,'Annual Mortality Rates'!$B$5:$C$105,2,FALSE))^(1/12)</f>
        <v>1.3009304274569367E-4</v>
      </c>
      <c r="G75" s="75">
        <f>IF(C75&gt;=[1]Assumptions!$H$9*12,100%,1-(1-IF(D75&gt;=7,2%,VLOOKUP($D75,'[1]Annual Lapse Rates'!$B$4:$C$14,2,FALSE)))^(1/12))</f>
        <v>3.3960531989175591E-3</v>
      </c>
      <c r="H75" s="81">
        <f t="shared" si="19"/>
        <v>8</v>
      </c>
      <c r="I75" s="65">
        <f t="shared" si="20"/>
        <v>3326.0762817614527</v>
      </c>
      <c r="J75" s="66">
        <f t="shared" si="21"/>
        <v>0.4326993838986305</v>
      </c>
      <c r="K75" s="66">
        <f t="shared" si="22"/>
        <v>11.335639812159917</v>
      </c>
      <c r="M75" s="67">
        <f t="shared" si="27"/>
        <v>58525385.639269091</v>
      </c>
      <c r="N75" s="67">
        <f>IF(AND(MOD(C75,12)=1,D75&lt;15),Assumptions!$H$4*I74,0)</f>
        <v>0</v>
      </c>
      <c r="O75" s="67"/>
      <c r="P75" s="90">
        <f t="shared" si="23"/>
        <v>206369.06861380121</v>
      </c>
      <c r="Q75" s="90">
        <f>M75*VLOOKUP(MOD(C75,12)+(MOD(C75,12)=0)*12,Assumptions!$C$22:$D$33,2,FALSE)*(F75+G75)</f>
        <v>5159.2267153450302</v>
      </c>
      <c r="R75" s="67">
        <f>IF(AND(MOD(C75,12)=0,D75&lt;15),Assumptions!$C$7*M75,0)</f>
        <v>0</v>
      </c>
      <c r="S75" s="68">
        <f>IF(MOD(C75,12)=0,M75*Assumptions!$D$17,0)</f>
        <v>0</v>
      </c>
      <c r="T75" s="68">
        <f t="shared" si="24"/>
        <v>0</v>
      </c>
      <c r="U75" s="67">
        <f>T75+AE75*(1+Assumptions!$D$17)</f>
        <v>0</v>
      </c>
      <c r="V75" s="67">
        <f>(M75+N75-O75)*(1+Assumptions!$D$17)-(P75+Q75)*(1+Assumptions!$D$17)^0.5-R75-T75</f>
        <v>58551866.551280014</v>
      </c>
      <c r="W75" s="67"/>
      <c r="X75" s="67">
        <f>IF(AND(H75=1,D75&lt;15),Assumptions!$D$10*N75+Assumptions!$D$11*(1+Assumptions!$D$16)^(B75-1)*$I$7,0)</f>
        <v>0</v>
      </c>
      <c r="Y75" s="65">
        <f>Assumptions!$C$13*N75</f>
        <v>0</v>
      </c>
      <c r="Z75" s="65">
        <f>NPV(Assumptions!$D$19,N75:$N$259)*(1+Assumptions!$D$19)</f>
        <v>54185165.983848654</v>
      </c>
      <c r="AA75" s="68">
        <f t="shared" si="25"/>
        <v>498395.23171994538</v>
      </c>
      <c r="AC75" s="67">
        <f t="shared" si="26"/>
        <v>58551866.551280014</v>
      </c>
      <c r="AD75" s="67"/>
      <c r="AE75" s="67"/>
      <c r="AF75" s="67"/>
      <c r="AG75" s="67"/>
      <c r="AH75" s="67"/>
      <c r="AI75" s="67"/>
      <c r="AK75" s="67"/>
      <c r="AL75" s="70">
        <f t="shared" si="18"/>
        <v>0</v>
      </c>
    </row>
    <row r="76" spans="2:38" x14ac:dyDescent="0.2">
      <c r="B76" s="5">
        <f t="shared" si="14"/>
        <v>69</v>
      </c>
      <c r="C76" s="5">
        <f t="shared" si="15"/>
        <v>69</v>
      </c>
      <c r="D76" s="5">
        <f t="shared" si="16"/>
        <v>5</v>
      </c>
      <c r="E76" s="5">
        <f t="shared" si="17"/>
        <v>51</v>
      </c>
      <c r="F76" s="64">
        <f>1-(1-VLOOKUP($E76,'Annual Mortality Rates'!$B$5:$C$105,2,FALSE))^(1/12)</f>
        <v>1.3009304274569367E-4</v>
      </c>
      <c r="G76" s="75">
        <f>IF(C76&gt;=[1]Assumptions!$H$9*12,100%,1-(1-IF(D76&gt;=7,2%,VLOOKUP($D76,'[1]Annual Lapse Rates'!$B$4:$C$14,2,FALSE)))^(1/12))</f>
        <v>3.3960531989175591E-3</v>
      </c>
      <c r="H76" s="81">
        <f t="shared" si="19"/>
        <v>9</v>
      </c>
      <c r="I76" s="65">
        <f t="shared" si="20"/>
        <v>3314.3079425653941</v>
      </c>
      <c r="J76" s="66">
        <f t="shared" si="21"/>
        <v>0.43116840484455182</v>
      </c>
      <c r="K76" s="66">
        <f t="shared" si="22"/>
        <v>11.295531996519802</v>
      </c>
      <c r="M76" s="67">
        <f t="shared" si="27"/>
        <v>58551866.551280014</v>
      </c>
      <c r="N76" s="67">
        <f>IF(AND(MOD(C76,12)=1,D76&lt;15),Assumptions!$H$4*I75,0)</f>
        <v>0</v>
      </c>
      <c r="O76" s="67"/>
      <c r="P76" s="90">
        <f t="shared" si="23"/>
        <v>206462.44418216436</v>
      </c>
      <c r="Q76" s="90">
        <f>M76*VLOOKUP(MOD(C76,12)+(MOD(C76,12)=0)*12,Assumptions!$C$22:$D$33,2,FALSE)*(F76+G76)</f>
        <v>5806.7562426233717</v>
      </c>
      <c r="R76" s="67">
        <f>IF(AND(MOD(C76,12)=0,D76&lt;15),Assumptions!$C$7*M76,0)</f>
        <v>0</v>
      </c>
      <c r="S76" s="68">
        <f>IF(MOD(C76,12)=0,M76*Assumptions!$D$17,0)</f>
        <v>0</v>
      </c>
      <c r="T76" s="68">
        <f t="shared" si="24"/>
        <v>0</v>
      </c>
      <c r="U76" s="67">
        <f>T76+AE76*(1+Assumptions!$D$17)</f>
        <v>0</v>
      </c>
      <c r="V76" s="67">
        <f>(M76+N76-O76)*(1+Assumptions!$D$17)-(P76+Q76)*(1+Assumptions!$D$17)^0.5-R76-T76</f>
        <v>58577712.936973304</v>
      </c>
      <c r="W76" s="67"/>
      <c r="X76" s="67">
        <f>IF(AND(H76=1,D76&lt;15),Assumptions!$D$10*N76+Assumptions!$D$11*(1+Assumptions!$D$16)^(B76-1)*$I$7,0)</f>
        <v>0</v>
      </c>
      <c r="Y76" s="65">
        <f>Assumptions!$C$13*N76</f>
        <v>0</v>
      </c>
      <c r="Z76" s="65">
        <f>NPV(Assumptions!$D$19,N76:$N$259)*(1+Assumptions!$D$19)</f>
        <v>54417783.135831088</v>
      </c>
      <c r="AA76" s="68">
        <f t="shared" si="25"/>
        <v>500534.84460585756</v>
      </c>
      <c r="AC76" s="67">
        <f t="shared" si="26"/>
        <v>58577712.936973304</v>
      </c>
      <c r="AD76" s="67"/>
      <c r="AE76" s="67"/>
      <c r="AF76" s="67"/>
      <c r="AG76" s="67"/>
      <c r="AH76" s="67"/>
      <c r="AI76" s="67"/>
      <c r="AK76" s="67"/>
      <c r="AL76" s="70">
        <f t="shared" si="18"/>
        <v>0</v>
      </c>
    </row>
    <row r="77" spans="2:38" x14ac:dyDescent="0.2">
      <c r="B77" s="5">
        <f t="shared" si="14"/>
        <v>70</v>
      </c>
      <c r="C77" s="5">
        <f t="shared" si="15"/>
        <v>70</v>
      </c>
      <c r="D77" s="5">
        <f t="shared" si="16"/>
        <v>5</v>
      </c>
      <c r="E77" s="5">
        <f t="shared" si="17"/>
        <v>51</v>
      </c>
      <c r="F77" s="64">
        <f>1-(1-VLOOKUP($E77,'Annual Mortality Rates'!$B$5:$C$105,2,FALSE))^(1/12)</f>
        <v>1.3009304274569367E-4</v>
      </c>
      <c r="G77" s="75">
        <f>IF(C77&gt;=[1]Assumptions!$H$9*12,100%,1-(1-IF(D77&gt;=7,2%,VLOOKUP($D77,'[1]Annual Lapse Rates'!$B$4:$C$14,2,FALSE)))^(1/12))</f>
        <v>3.3960531989175591E-3</v>
      </c>
      <c r="H77" s="81">
        <f t="shared" si="19"/>
        <v>10</v>
      </c>
      <c r="I77" s="65">
        <f t="shared" si="20"/>
        <v>3302.5812421640298</v>
      </c>
      <c r="J77" s="66">
        <f t="shared" si="21"/>
        <v>0.42964284270797121</v>
      </c>
      <c r="K77" s="66">
        <f t="shared" si="22"/>
        <v>11.255566090547081</v>
      </c>
      <c r="M77" s="67">
        <f t="shared" si="27"/>
        <v>58577712.936973304</v>
      </c>
      <c r="N77" s="67">
        <f>IF(AND(MOD(C77,12)=1,D77&lt;15),Assumptions!$H$4*I76,0)</f>
        <v>0</v>
      </c>
      <c r="O77" s="67"/>
      <c r="P77" s="90">
        <f t="shared" si="23"/>
        <v>206553.58231793731</v>
      </c>
      <c r="Q77" s="90">
        <f>M77*VLOOKUP(MOD(C77,12)+(MOD(C77,12)=0)*12,Assumptions!$C$22:$D$33,2,FALSE)*(F77+G77)</f>
        <v>6454.799447435541</v>
      </c>
      <c r="R77" s="67">
        <f>IF(AND(MOD(C77,12)=0,D77&lt;15),Assumptions!$C$7*M77,0)</f>
        <v>0</v>
      </c>
      <c r="S77" s="68">
        <f>IF(MOD(C77,12)=0,M77*Assumptions!$D$17,0)</f>
        <v>0</v>
      </c>
      <c r="T77" s="68">
        <f t="shared" si="24"/>
        <v>0</v>
      </c>
      <c r="U77" s="67">
        <f>T77+AE77*(1+Assumptions!$D$17)</f>
        <v>0</v>
      </c>
      <c r="V77" s="67">
        <f>(M77+N77-O77)*(1+Assumptions!$D$17)-(P77+Q77)*(1+Assumptions!$D$17)^0.5-R77-T77</f>
        <v>58602923.938473091</v>
      </c>
      <c r="W77" s="67"/>
      <c r="X77" s="67">
        <f>IF(AND(H77=1,D77&lt;15),Assumptions!$D$10*N77+Assumptions!$D$11*(1+Assumptions!$D$16)^(B77-1)*$I$7,0)</f>
        <v>0</v>
      </c>
      <c r="Y77" s="65">
        <f>Assumptions!$C$13*N77</f>
        <v>0</v>
      </c>
      <c r="Z77" s="65">
        <f>NPV(Assumptions!$D$19,N77:$N$259)*(1+Assumptions!$D$19)</f>
        <v>54651398.914253347</v>
      </c>
      <c r="AA77" s="68">
        <f t="shared" si="25"/>
        <v>502683.64285914495</v>
      </c>
      <c r="AC77" s="67">
        <f t="shared" si="26"/>
        <v>58602923.938473091</v>
      </c>
      <c r="AD77" s="67"/>
      <c r="AE77" s="67"/>
      <c r="AF77" s="67"/>
      <c r="AG77" s="67"/>
      <c r="AH77" s="67"/>
      <c r="AI77" s="67"/>
      <c r="AK77" s="67"/>
      <c r="AL77" s="70">
        <f t="shared" si="18"/>
        <v>0</v>
      </c>
    </row>
    <row r="78" spans="2:38" x14ac:dyDescent="0.2">
      <c r="B78" s="5">
        <f t="shared" si="14"/>
        <v>71</v>
      </c>
      <c r="C78" s="5">
        <f t="shared" si="15"/>
        <v>71</v>
      </c>
      <c r="D78" s="5">
        <f t="shared" si="16"/>
        <v>5</v>
      </c>
      <c r="E78" s="5">
        <f t="shared" si="17"/>
        <v>51</v>
      </c>
      <c r="F78" s="64">
        <f>1-(1-VLOOKUP($E78,'Annual Mortality Rates'!$B$5:$C$105,2,FALSE))^(1/12)</f>
        <v>1.3009304274569367E-4</v>
      </c>
      <c r="G78" s="75">
        <f>IF(C78&gt;=[1]Assumptions!$H$9*12,100%,1-(1-IF(D78&gt;=7,2%,VLOOKUP($D78,'[1]Annual Lapse Rates'!$B$4:$C$14,2,FALSE)))^(1/12))</f>
        <v>3.3960531989175591E-3</v>
      </c>
      <c r="H78" s="81">
        <f t="shared" si="19"/>
        <v>11</v>
      </c>
      <c r="I78" s="65">
        <f t="shared" si="20"/>
        <v>3290.8960332307747</v>
      </c>
      <c r="J78" s="66">
        <f t="shared" si="21"/>
        <v>0.42812267832272488</v>
      </c>
      <c r="K78" s="66">
        <f t="shared" si="22"/>
        <v>11.215741592136279</v>
      </c>
      <c r="M78" s="67">
        <f t="shared" si="27"/>
        <v>58602923.938473091</v>
      </c>
      <c r="N78" s="67">
        <f>IF(AND(MOD(C78,12)=1,D78&lt;15),Assumptions!$H$4*I77,0)</f>
        <v>0</v>
      </c>
      <c r="O78" s="67"/>
      <c r="P78" s="90">
        <f t="shared" si="23"/>
        <v>206642.47999612434</v>
      </c>
      <c r="Q78" s="90">
        <f>M78*VLOOKUP(MOD(C78,12)+(MOD(C78,12)=0)*12,Assumptions!$C$22:$D$33,2,FALSE)*(F78+G78)</f>
        <v>7103.3352498667755</v>
      </c>
      <c r="R78" s="67">
        <f>IF(AND(MOD(C78,12)=0,D78&lt;15),Assumptions!$C$7*M78,0)</f>
        <v>0</v>
      </c>
      <c r="S78" s="68">
        <f>IF(MOD(C78,12)=0,M78*Assumptions!$D$17,0)</f>
        <v>0</v>
      </c>
      <c r="T78" s="68">
        <f t="shared" si="24"/>
        <v>0</v>
      </c>
      <c r="U78" s="67">
        <f>T78+AE78*(1+Assumptions!$D$17)</f>
        <v>0</v>
      </c>
      <c r="V78" s="67">
        <f>(M78+N78-O78)*(1+Assumptions!$D$17)-(P78+Q78)*(1+Assumptions!$D$17)^0.5-R78-T78</f>
        <v>58627498.718562365</v>
      </c>
      <c r="W78" s="67"/>
      <c r="X78" s="67">
        <f>IF(AND(H78=1,D78&lt;15),Assumptions!$D$10*N78+Assumptions!$D$11*(1+Assumptions!$D$16)^(B78-1)*$I$7,0)</f>
        <v>0</v>
      </c>
      <c r="Y78" s="65">
        <f>Assumptions!$C$13*N78</f>
        <v>0</v>
      </c>
      <c r="Z78" s="65">
        <f>NPV(Assumptions!$D$19,N78:$N$259)*(1+Assumptions!$D$19)</f>
        <v>54886017.606223002</v>
      </c>
      <c r="AA78" s="68">
        <f t="shared" si="25"/>
        <v>504841.66591262992</v>
      </c>
      <c r="AC78" s="67">
        <f t="shared" si="26"/>
        <v>58627498.718562365</v>
      </c>
      <c r="AD78" s="67"/>
      <c r="AE78" s="67"/>
      <c r="AF78" s="67"/>
      <c r="AG78" s="67"/>
      <c r="AH78" s="67"/>
      <c r="AI78" s="67"/>
      <c r="AK78" s="67"/>
      <c r="AL78" s="70">
        <f t="shared" si="18"/>
        <v>0</v>
      </c>
    </row>
    <row r="79" spans="2:38" x14ac:dyDescent="0.2">
      <c r="B79" s="5">
        <f t="shared" si="14"/>
        <v>72</v>
      </c>
      <c r="C79" s="5">
        <f t="shared" si="15"/>
        <v>72</v>
      </c>
      <c r="D79" s="5">
        <f t="shared" si="16"/>
        <v>5</v>
      </c>
      <c r="E79" s="5">
        <f t="shared" si="17"/>
        <v>51</v>
      </c>
      <c r="F79" s="64">
        <f>1-(1-VLOOKUP($E79,'Annual Mortality Rates'!$B$5:$C$105,2,FALSE))^(1/12)</f>
        <v>1.3009304274569367E-4</v>
      </c>
      <c r="G79" s="75">
        <f>IF(C79&gt;=[1]Assumptions!$H$9*12,100%,1-(1-IF(D79&gt;=7,2%,VLOOKUP($D79,'[1]Annual Lapse Rates'!$B$4:$C$14,2,FALSE)))^(1/12))</f>
        <v>3.3960531989175591E-3</v>
      </c>
      <c r="H79" s="81">
        <f t="shared" si="19"/>
        <v>12</v>
      </c>
      <c r="I79" s="65">
        <f t="shared" si="20"/>
        <v>3279.2521689603159</v>
      </c>
      <c r="J79" s="66">
        <f t="shared" si="21"/>
        <v>0.42660789259046306</v>
      </c>
      <c r="K79" s="66">
        <f t="shared" si="22"/>
        <v>11.176058000958479</v>
      </c>
      <c r="M79" s="67">
        <f t="shared" si="27"/>
        <v>58627498.718562365</v>
      </c>
      <c r="N79" s="67">
        <f>IF(AND(MOD(C79,12)=1,D79&lt;15),Assumptions!$H$4*I78,0)</f>
        <v>0</v>
      </c>
      <c r="O79" s="67"/>
      <c r="P79" s="90">
        <f t="shared" si="23"/>
        <v>206729.13426457584</v>
      </c>
      <c r="Q79" s="90">
        <f>M79*VLOOKUP(MOD(C79,12)+(MOD(C79,12)=0)*12,Assumptions!$C$22:$D$33,2,FALSE)*(F79+G79)</f>
        <v>7752.3425349215959</v>
      </c>
      <c r="R79" s="67">
        <f>IF(AND(MOD(C79,12)=0,D79&lt;15),Assumptions!$C$7*M79,0)</f>
        <v>29313.749359281184</v>
      </c>
      <c r="S79" s="68">
        <f>IF(MOD(C79,12)=0,M79*Assumptions!$D$17,0)</f>
        <v>238855.6869051083</v>
      </c>
      <c r="T79" s="68">
        <f t="shared" si="24"/>
        <v>0</v>
      </c>
      <c r="U79" s="67">
        <f>T79+AE79*(1+Assumptions!$D$17)</f>
        <v>0</v>
      </c>
      <c r="V79" s="67">
        <f>(M79+N79-O79)*(1+Assumptions!$D$17)-(P79+Q79)*(1+Assumptions!$D$17)^0.5-R79-T79</f>
        <v>58622122.711370036</v>
      </c>
      <c r="W79" s="67"/>
      <c r="X79" s="67">
        <f>IF(AND(H79=1,D79&lt;15),Assumptions!$D$10*N79+Assumptions!$D$11*(1+Assumptions!$D$16)^(B79-1)*$I$7,0)</f>
        <v>0</v>
      </c>
      <c r="Y79" s="65">
        <f>Assumptions!$C$13*N79</f>
        <v>0</v>
      </c>
      <c r="Z79" s="65">
        <f>NPV(Assumptions!$D$19,N79:$N$259)*(1+Assumptions!$D$19)</f>
        <v>55121643.517252296</v>
      </c>
      <c r="AA79" s="68">
        <f t="shared" si="25"/>
        <v>507008.95336841955</v>
      </c>
      <c r="AC79" s="67">
        <f t="shared" si="26"/>
        <v>58622122.711370036</v>
      </c>
      <c r="AD79" s="67"/>
      <c r="AE79" s="67"/>
      <c r="AF79" s="67"/>
      <c r="AG79" s="67"/>
      <c r="AH79" s="67"/>
      <c r="AI79" s="67"/>
      <c r="AK79" s="67"/>
      <c r="AL79" s="70">
        <f t="shared" si="18"/>
        <v>0</v>
      </c>
    </row>
    <row r="80" spans="2:38" x14ac:dyDescent="0.2">
      <c r="B80" s="5">
        <f t="shared" si="14"/>
        <v>73</v>
      </c>
      <c r="C80" s="5">
        <f t="shared" si="15"/>
        <v>73</v>
      </c>
      <c r="D80" s="5">
        <f t="shared" si="16"/>
        <v>6</v>
      </c>
      <c r="E80" s="5">
        <f t="shared" si="17"/>
        <v>52</v>
      </c>
      <c r="F80" s="64">
        <f>1-(1-VLOOKUP($E80,'Annual Mortality Rates'!$B$5:$C$105,2,FALSE))^(1/12)</f>
        <v>1.4344645210206952E-4</v>
      </c>
      <c r="G80" s="75">
        <f>IF(C80&gt;=[1]Assumptions!$H$9*12,100%,1-(1-IF(D80&gt;=7,2%,VLOOKUP($D80,'[1]Annual Lapse Rates'!$B$4:$C$14,2,FALSE)))^(1/12))</f>
        <v>2.5350486138366879E-3</v>
      </c>
      <c r="H80" s="81">
        <f t="shared" si="19"/>
        <v>1</v>
      </c>
      <c r="I80" s="65">
        <f t="shared" si="20"/>
        <v>3267.649503066767</v>
      </c>
      <c r="J80" s="66">
        <f t="shared" si="21"/>
        <v>0.46873272792801829</v>
      </c>
      <c r="K80" s="66">
        <f t="shared" si="22"/>
        <v>8.313063665343801</v>
      </c>
      <c r="M80" s="67">
        <f t="shared" si="27"/>
        <v>58622122.711370036</v>
      </c>
      <c r="N80" s="67">
        <f>IF(AND(MOD(C80,12)=1,D80&lt;15),Assumptions!$H$4*I79,0)</f>
        <v>8198130.4224007893</v>
      </c>
      <c r="O80" s="67"/>
      <c r="P80" s="90">
        <f t="shared" si="23"/>
        <v>157019.066437261</v>
      </c>
      <c r="Q80" s="90">
        <f>M80*VLOOKUP(MOD(C80,12)+(MOD(C80,12)=0)*12,Assumptions!$C$22:$D$33,2,FALSE)*(F80+G80)</f>
        <v>490.68458261644071</v>
      </c>
      <c r="R80" s="67">
        <f>IF(AND(MOD(C80,12)=0,D80&lt;15),Assumptions!$C$7*M80,0)</f>
        <v>0</v>
      </c>
      <c r="S80" s="68">
        <f>IF(MOD(C80,12)=0,M80*Assumptions!$D$17,0)</f>
        <v>0</v>
      </c>
      <c r="T80" s="68">
        <f t="shared" si="24"/>
        <v>0</v>
      </c>
      <c r="U80" s="67">
        <f>T80+AE80*(1+Assumptions!$D$17)</f>
        <v>0</v>
      </c>
      <c r="V80" s="67">
        <f>(M80+N80-O80)*(1+Assumptions!$D$17)-(P80+Q80)*(1+Assumptions!$D$17)^0.5-R80-T80</f>
        <v>66934656.834300123</v>
      </c>
      <c r="W80" s="67"/>
      <c r="X80" s="67">
        <f>IF(AND(H80=1,D80&lt;15),Assumptions!$D$10*N80+Assumptions!$D$11*(1+Assumptions!$D$16)^(B80-1)*$I$7,0)</f>
        <v>77590.930738084033</v>
      </c>
      <c r="Y80" s="65">
        <f>Assumptions!$C$13*N80</f>
        <v>40990.652112003947</v>
      </c>
      <c r="Z80" s="65">
        <f>NPV(Assumptions!$D$19,N80:$N$259)*(1+Assumptions!$D$19)</f>
        <v>55358280.971337005</v>
      </c>
      <c r="AA80" s="68">
        <f t="shared" si="25"/>
        <v>433779.13002593175</v>
      </c>
      <c r="AC80" s="67">
        <f t="shared" si="26"/>
        <v>66934656.834300123</v>
      </c>
      <c r="AD80" s="67"/>
      <c r="AE80" s="67"/>
      <c r="AF80" s="67"/>
      <c r="AG80" s="67"/>
      <c r="AH80" s="67"/>
      <c r="AI80" s="67"/>
      <c r="AK80" s="67"/>
      <c r="AL80" s="70">
        <f t="shared" si="18"/>
        <v>0</v>
      </c>
    </row>
    <row r="81" spans="2:38" x14ac:dyDescent="0.2">
      <c r="B81" s="5">
        <f t="shared" si="14"/>
        <v>74</v>
      </c>
      <c r="C81" s="5">
        <f t="shared" si="15"/>
        <v>74</v>
      </c>
      <c r="D81" s="5">
        <f t="shared" si="16"/>
        <v>6</v>
      </c>
      <c r="E81" s="5">
        <f t="shared" si="17"/>
        <v>52</v>
      </c>
      <c r="F81" s="64">
        <f>1-(1-VLOOKUP($E81,'Annual Mortality Rates'!$B$5:$C$105,2,FALSE))^(1/12)</f>
        <v>1.4344645210206952E-4</v>
      </c>
      <c r="G81" s="75">
        <f>IF(C81&gt;=[1]Assumptions!$H$9*12,100%,1-(1-IF(D81&gt;=7,2%,VLOOKUP($D81,'[1]Annual Lapse Rates'!$B$4:$C$14,2,FALSE)))^(1/12))</f>
        <v>2.5350486138366879E-3</v>
      </c>
      <c r="H81" s="81">
        <f t="shared" si="19"/>
        <v>2</v>
      </c>
      <c r="I81" s="65">
        <f t="shared" si="20"/>
        <v>3258.8677066734954</v>
      </c>
      <c r="J81" s="66">
        <f t="shared" si="21"/>
        <v>0.4674730103923207</v>
      </c>
      <c r="K81" s="66">
        <f t="shared" si="22"/>
        <v>8.2836503432535498</v>
      </c>
      <c r="M81" s="67">
        <f t="shared" si="27"/>
        <v>66934656.834300123</v>
      </c>
      <c r="N81" s="67">
        <f>IF(AND(MOD(C81,12)=1,D81&lt;15),Assumptions!$H$4*I80,0)</f>
        <v>0</v>
      </c>
      <c r="O81" s="67"/>
      <c r="P81" s="90">
        <f t="shared" si="23"/>
        <v>179284.14807097681</v>
      </c>
      <c r="Q81" s="90">
        <f>M81*VLOOKUP(MOD(C81,12)+(MOD(C81,12)=0)*12,Assumptions!$C$22:$D$33,2,FALSE)*(F81+G81)</f>
        <v>1120.525925443605</v>
      </c>
      <c r="R81" s="67">
        <f>IF(AND(MOD(C81,12)=0,D81&lt;15),Assumptions!$C$7*M81,0)</f>
        <v>0</v>
      </c>
      <c r="S81" s="68">
        <f>IF(MOD(C81,12)=0,M81*Assumptions!$D$17,0)</f>
        <v>0</v>
      </c>
      <c r="T81" s="68">
        <f t="shared" si="24"/>
        <v>0</v>
      </c>
      <c r="U81" s="67">
        <f>T81+AE81*(1+Assumptions!$D$17)</f>
        <v>0</v>
      </c>
      <c r="V81" s="67">
        <f>(M81+N81-O81)*(1+Assumptions!$D$17)-(P81+Q81)*(1+Assumptions!$D$17)^0.5-R81-T81</f>
        <v>67026585.115721144</v>
      </c>
      <c r="W81" s="67"/>
      <c r="X81" s="67">
        <f>IF(AND(H81=1,D81&lt;15),Assumptions!$D$10*N81+Assumptions!$D$11*(1+Assumptions!$D$16)^(B81-1)*$I$7,0)</f>
        <v>0</v>
      </c>
      <c r="Y81" s="65">
        <f>Assumptions!$C$13*N81</f>
        <v>0</v>
      </c>
      <c r="Z81" s="65">
        <f>NPV(Assumptions!$D$19,N81:$N$259)*(1+Assumptions!$D$19)</f>
        <v>47362609.279265225</v>
      </c>
      <c r="AA81" s="68">
        <f t="shared" si="25"/>
        <v>435641.3457077315</v>
      </c>
      <c r="AC81" s="67">
        <f t="shared" si="26"/>
        <v>67026585.115721144</v>
      </c>
      <c r="AD81" s="67"/>
      <c r="AE81" s="67"/>
      <c r="AF81" s="67"/>
      <c r="AG81" s="67"/>
      <c r="AH81" s="67"/>
      <c r="AI81" s="67"/>
      <c r="AK81" s="67"/>
      <c r="AL81" s="70">
        <f t="shared" si="18"/>
        <v>0</v>
      </c>
    </row>
    <row r="82" spans="2:38" x14ac:dyDescent="0.2">
      <c r="B82" s="5">
        <f t="shared" si="14"/>
        <v>75</v>
      </c>
      <c r="C82" s="5">
        <f t="shared" si="15"/>
        <v>75</v>
      </c>
      <c r="D82" s="5">
        <f t="shared" si="16"/>
        <v>6</v>
      </c>
      <c r="E82" s="5">
        <f t="shared" si="17"/>
        <v>52</v>
      </c>
      <c r="F82" s="64">
        <f>1-(1-VLOOKUP($E82,'Annual Mortality Rates'!$B$5:$C$105,2,FALSE))^(1/12)</f>
        <v>1.4344645210206952E-4</v>
      </c>
      <c r="G82" s="75">
        <f>IF(C82&gt;=[1]Assumptions!$H$9*12,100%,1-(1-IF(D82&gt;=7,2%,VLOOKUP($D82,'[1]Annual Lapse Rates'!$B$4:$C$14,2,FALSE)))^(1/12))</f>
        <v>2.5350486138366879E-3</v>
      </c>
      <c r="H82" s="81">
        <f t="shared" si="19"/>
        <v>3</v>
      </c>
      <c r="I82" s="65">
        <f t="shared" si="20"/>
        <v>3250.1165833198493</v>
      </c>
      <c r="J82" s="66">
        <f t="shared" si="21"/>
        <v>0.46621769279533259</v>
      </c>
      <c r="K82" s="66">
        <f t="shared" si="22"/>
        <v>8.2613880624797904</v>
      </c>
      <c r="M82" s="67">
        <f t="shared" si="27"/>
        <v>67026585.115721144</v>
      </c>
      <c r="N82" s="67">
        <f>IF(AND(MOD(C82,12)=1,D82&lt;15),Assumptions!$H$4*I81,0)</f>
        <v>0</v>
      </c>
      <c r="O82" s="67"/>
      <c r="P82" s="90">
        <f t="shared" si="23"/>
        <v>179530.37751918324</v>
      </c>
      <c r="Q82" s="90">
        <f>M82*VLOOKUP(MOD(C82,12)+(MOD(C82,12)=0)*12,Assumptions!$C$22:$D$33,2,FALSE)*(F82+G82)</f>
        <v>1683.0972892423431</v>
      </c>
      <c r="R82" s="67">
        <f>IF(AND(MOD(C82,12)=0,D82&lt;15),Assumptions!$C$7*M82,0)</f>
        <v>0</v>
      </c>
      <c r="S82" s="68">
        <f>IF(MOD(C82,12)=0,M82*Assumptions!$D$17,0)</f>
        <v>0</v>
      </c>
      <c r="T82" s="68">
        <f t="shared" si="24"/>
        <v>0</v>
      </c>
      <c r="U82" s="67">
        <f>T82+AE82*(1+Assumptions!$D$17)</f>
        <v>0</v>
      </c>
      <c r="V82" s="67">
        <f>(M82+N82-O82)*(1+Assumptions!$D$17)-(P82+Q82)*(1+Assumptions!$D$17)^0.5-R82-T82</f>
        <v>67118077.477625266</v>
      </c>
      <c r="W82" s="67"/>
      <c r="X82" s="67">
        <f>IF(AND(H82=1,D82&lt;15),Assumptions!$D$10*N82+Assumptions!$D$11*(1+Assumptions!$D$16)^(B82-1)*$I$7,0)</f>
        <v>0</v>
      </c>
      <c r="Y82" s="65">
        <f>Assumptions!$C$13*N82</f>
        <v>0</v>
      </c>
      <c r="Z82" s="65">
        <f>NPV(Assumptions!$D$19,N82:$N$259)*(1+Assumptions!$D$19)</f>
        <v>47565937.165799394</v>
      </c>
      <c r="AA82" s="68">
        <f t="shared" si="25"/>
        <v>437511.55588950973</v>
      </c>
      <c r="AC82" s="67">
        <f t="shared" si="26"/>
        <v>67118077.477625266</v>
      </c>
      <c r="AD82" s="67"/>
      <c r="AE82" s="67"/>
      <c r="AF82" s="67"/>
      <c r="AG82" s="67"/>
      <c r="AH82" s="67"/>
      <c r="AI82" s="67"/>
      <c r="AK82" s="67"/>
      <c r="AL82" s="70">
        <f t="shared" si="18"/>
        <v>0</v>
      </c>
    </row>
    <row r="83" spans="2:38" x14ac:dyDescent="0.2">
      <c r="B83" s="5">
        <f t="shared" si="14"/>
        <v>76</v>
      </c>
      <c r="C83" s="5">
        <f t="shared" si="15"/>
        <v>76</v>
      </c>
      <c r="D83" s="5">
        <f t="shared" si="16"/>
        <v>6</v>
      </c>
      <c r="E83" s="5">
        <f t="shared" si="17"/>
        <v>52</v>
      </c>
      <c r="F83" s="64">
        <f>1-(1-VLOOKUP($E83,'Annual Mortality Rates'!$B$5:$C$105,2,FALSE))^(1/12)</f>
        <v>1.4344645210206952E-4</v>
      </c>
      <c r="G83" s="75">
        <f>IF(C83&gt;=[1]Assumptions!$H$9*12,100%,1-(1-IF(D83&gt;=7,2%,VLOOKUP($D83,'[1]Annual Lapse Rates'!$B$4:$C$14,2,FALSE)))^(1/12))</f>
        <v>2.5350486138366879E-3</v>
      </c>
      <c r="H83" s="81">
        <f t="shared" si="19"/>
        <v>4</v>
      </c>
      <c r="I83" s="65">
        <f t="shared" si="20"/>
        <v>3241.3889775645739</v>
      </c>
      <c r="J83" s="66">
        <f t="shared" si="21"/>
        <v>0.46496574871439272</v>
      </c>
      <c r="K83" s="66">
        <f t="shared" si="22"/>
        <v>8.2392035393526157</v>
      </c>
      <c r="M83" s="67">
        <f t="shared" si="27"/>
        <v>67118077.477625266</v>
      </c>
      <c r="N83" s="67">
        <f>IF(AND(MOD(C83,12)=1,D83&lt;15),Assumptions!$H$4*I82,0)</f>
        <v>0</v>
      </c>
      <c r="O83" s="67"/>
      <c r="P83" s="90">
        <f t="shared" si="23"/>
        <v>179775.43935911451</v>
      </c>
      <c r="Q83" s="90">
        <f>M83*VLOOKUP(MOD(C83,12)+(MOD(C83,12)=0)*12,Assumptions!$C$22:$D$33,2,FALSE)*(F83+G83)</f>
        <v>2247.1929919889317</v>
      </c>
      <c r="R83" s="67">
        <f>IF(AND(MOD(C83,12)=0,D83&lt;15),Assumptions!$C$7*M83,0)</f>
        <v>0</v>
      </c>
      <c r="S83" s="68">
        <f>IF(MOD(C83,12)=0,M83*Assumptions!$D$17,0)</f>
        <v>0</v>
      </c>
      <c r="T83" s="68">
        <f t="shared" si="24"/>
        <v>0</v>
      </c>
      <c r="U83" s="67">
        <f>T83+AE83*(1+Assumptions!$D$17)</f>
        <v>0</v>
      </c>
      <c r="V83" s="67">
        <f>(M83+N83-O83)*(1+Assumptions!$D$17)-(P83+Q83)*(1+Assumptions!$D$17)^0.5-R83-T83</f>
        <v>67209131.78656581</v>
      </c>
      <c r="W83" s="67"/>
      <c r="X83" s="67">
        <f>IF(AND(H83=1,D83&lt;15),Assumptions!$D$10*N83+Assumptions!$D$11*(1+Assumptions!$D$16)^(B83-1)*$I$7,0)</f>
        <v>0</v>
      </c>
      <c r="Y83" s="65">
        <f>Assumptions!$C$13*N83</f>
        <v>0</v>
      </c>
      <c r="Z83" s="65">
        <f>NPV(Assumptions!$D$19,N83:$N$259)*(1+Assumptions!$D$19)</f>
        <v>47770137.939830109</v>
      </c>
      <c r="AA83" s="68">
        <f t="shared" si="25"/>
        <v>439389.79489168909</v>
      </c>
      <c r="AC83" s="67">
        <f t="shared" si="26"/>
        <v>67209131.78656581</v>
      </c>
      <c r="AD83" s="67"/>
      <c r="AE83" s="67"/>
      <c r="AF83" s="67"/>
      <c r="AG83" s="67"/>
      <c r="AH83" s="67"/>
      <c r="AI83" s="67"/>
      <c r="AK83" s="67"/>
      <c r="AL83" s="70">
        <f t="shared" si="18"/>
        <v>0</v>
      </c>
    </row>
    <row r="84" spans="2:38" x14ac:dyDescent="0.2">
      <c r="B84" s="5">
        <f t="shared" si="14"/>
        <v>77</v>
      </c>
      <c r="C84" s="5">
        <f t="shared" si="15"/>
        <v>77</v>
      </c>
      <c r="D84" s="5">
        <f t="shared" si="16"/>
        <v>6</v>
      </c>
      <c r="E84" s="5">
        <f t="shared" si="17"/>
        <v>52</v>
      </c>
      <c r="F84" s="64">
        <f>1-(1-VLOOKUP($E84,'Annual Mortality Rates'!$B$5:$C$105,2,FALSE))^(1/12)</f>
        <v>1.4344645210206952E-4</v>
      </c>
      <c r="G84" s="75">
        <f>IF(C84&gt;=[1]Assumptions!$H$9*12,100%,1-(1-IF(D84&gt;=7,2%,VLOOKUP($D84,'[1]Annual Lapse Rates'!$B$4:$C$14,2,FALSE)))^(1/12))</f>
        <v>2.5350486138366879E-3</v>
      </c>
      <c r="H84" s="81">
        <f t="shared" si="19"/>
        <v>5</v>
      </c>
      <c r="I84" s="65">
        <f t="shared" si="20"/>
        <v>3232.6848082765068</v>
      </c>
      <c r="J84" s="66">
        <f t="shared" si="21"/>
        <v>0.46371716651152373</v>
      </c>
      <c r="K84" s="66">
        <f t="shared" si="22"/>
        <v>8.2170786344805915</v>
      </c>
      <c r="M84" s="67">
        <f t="shared" si="27"/>
        <v>67209131.78656581</v>
      </c>
      <c r="N84" s="67">
        <f>IF(AND(MOD(C84,12)=1,D84&lt;15),Assumptions!$H$4*I83,0)</f>
        <v>0</v>
      </c>
      <c r="O84" s="67"/>
      <c r="P84" s="90">
        <f t="shared" si="23"/>
        <v>180019.32787634424</v>
      </c>
      <c r="Q84" s="90">
        <f>M84*VLOOKUP(MOD(C84,12)+(MOD(C84,12)=0)*12,Assumptions!$C$22:$D$33,2,FALSE)*(F84+G84)</f>
        <v>2812.8019980678787</v>
      </c>
      <c r="R84" s="67">
        <f>IF(AND(MOD(C84,12)=0,D84&lt;15),Assumptions!$C$7*M84,0)</f>
        <v>0</v>
      </c>
      <c r="S84" s="68">
        <f>IF(MOD(C84,12)=0,M84*Assumptions!$D$17,0)</f>
        <v>0</v>
      </c>
      <c r="T84" s="68">
        <f t="shared" si="24"/>
        <v>0</v>
      </c>
      <c r="U84" s="67">
        <f>T84+AE84*(1+Assumptions!$D$17)</f>
        <v>0</v>
      </c>
      <c r="V84" s="67">
        <f>(M84+N84-O84)*(1+Assumptions!$D$17)-(P84+Q84)*(1+Assumptions!$D$17)^0.5-R84-T84</f>
        <v>67299745.917188287</v>
      </c>
      <c r="W84" s="67"/>
      <c r="X84" s="67">
        <f>IF(AND(H84=1,D84&lt;15),Assumptions!$D$10*N84+Assumptions!$D$11*(1+Assumptions!$D$16)^(B84-1)*$I$7,0)</f>
        <v>0</v>
      </c>
      <c r="Y84" s="65">
        <f>Assumptions!$C$13*N84</f>
        <v>0</v>
      </c>
      <c r="Z84" s="65">
        <f>NPV(Assumptions!$D$19,N84:$N$259)*(1+Assumptions!$D$19)</f>
        <v>47975215.348667137</v>
      </c>
      <c r="AA84" s="68">
        <f t="shared" si="25"/>
        <v>441276.09718203032</v>
      </c>
      <c r="AC84" s="67">
        <f t="shared" si="26"/>
        <v>67299745.917188287</v>
      </c>
      <c r="AD84" s="67"/>
      <c r="AE84" s="67"/>
      <c r="AF84" s="67"/>
      <c r="AG84" s="67"/>
      <c r="AH84" s="67"/>
      <c r="AI84" s="67"/>
      <c r="AK84" s="67"/>
      <c r="AL84" s="70">
        <f t="shared" si="18"/>
        <v>0</v>
      </c>
    </row>
    <row r="85" spans="2:38" x14ac:dyDescent="0.2">
      <c r="B85" s="5">
        <f t="shared" si="14"/>
        <v>78</v>
      </c>
      <c r="C85" s="5">
        <f t="shared" si="15"/>
        <v>78</v>
      </c>
      <c r="D85" s="5">
        <f t="shared" si="16"/>
        <v>6</v>
      </c>
      <c r="E85" s="5">
        <f t="shared" si="17"/>
        <v>52</v>
      </c>
      <c r="F85" s="64">
        <f>1-(1-VLOOKUP($E85,'Annual Mortality Rates'!$B$5:$C$105,2,FALSE))^(1/12)</f>
        <v>1.4344645210206952E-4</v>
      </c>
      <c r="G85" s="75">
        <f>IF(C85&gt;=[1]Assumptions!$H$9*12,100%,1-(1-IF(D85&gt;=7,2%,VLOOKUP($D85,'[1]Annual Lapse Rates'!$B$4:$C$14,2,FALSE)))^(1/12))</f>
        <v>2.5350486138366879E-3</v>
      </c>
      <c r="H85" s="81">
        <f t="shared" si="19"/>
        <v>6</v>
      </c>
      <c r="I85" s="65">
        <f t="shared" si="20"/>
        <v>3224.0040124755146</v>
      </c>
      <c r="J85" s="66">
        <f t="shared" si="21"/>
        <v>0.46247193715244883</v>
      </c>
      <c r="K85" s="66">
        <f t="shared" si="22"/>
        <v>8.1950131421922769</v>
      </c>
      <c r="M85" s="67">
        <f t="shared" si="27"/>
        <v>67299745.917188287</v>
      </c>
      <c r="N85" s="67">
        <f>IF(AND(MOD(C85,12)=1,D85&lt;15),Assumptions!$H$4*I84,0)</f>
        <v>0</v>
      </c>
      <c r="O85" s="67"/>
      <c r="P85" s="90">
        <f t="shared" si="23"/>
        <v>180262.03737812085</v>
      </c>
      <c r="Q85" s="90">
        <f>M85*VLOOKUP(MOD(C85,12)+(MOD(C85,12)=0)*12,Assumptions!$C$22:$D$33,2,FALSE)*(F85+G85)</f>
        <v>3379.9132008397669</v>
      </c>
      <c r="R85" s="67">
        <f>IF(AND(MOD(C85,12)=0,D85&lt;15),Assumptions!$C$7*M85,0)</f>
        <v>0</v>
      </c>
      <c r="S85" s="68">
        <f>IF(MOD(C85,12)=0,M85*Assumptions!$D$17,0)</f>
        <v>0</v>
      </c>
      <c r="T85" s="68">
        <f t="shared" si="24"/>
        <v>0</v>
      </c>
      <c r="U85" s="67">
        <f>T85+AE85*(1+Assumptions!$D$17)</f>
        <v>0</v>
      </c>
      <c r="V85" s="67">
        <f>(M85+N85-O85)*(1+Assumptions!$D$17)-(P85+Q85)*(1+Assumptions!$D$17)^0.5-R85-T85</f>
        <v>67389917.752312839</v>
      </c>
      <c r="W85" s="67"/>
      <c r="X85" s="67">
        <f>IF(AND(H85=1,D85&lt;15),Assumptions!$D$10*N85+Assumptions!$D$11*(1+Assumptions!$D$16)^(B85-1)*$I$7,0)</f>
        <v>0</v>
      </c>
      <c r="Y85" s="65">
        <f>Assumptions!$C$13*N85</f>
        <v>0</v>
      </c>
      <c r="Z85" s="65">
        <f>NPV(Assumptions!$D$19,N85:$N$259)*(1+Assumptions!$D$19)</f>
        <v>48181173.155707493</v>
      </c>
      <c r="AA85" s="68">
        <f t="shared" si="25"/>
        <v>443170.49737626448</v>
      </c>
      <c r="AC85" s="67">
        <f t="shared" si="26"/>
        <v>67389917.752312839</v>
      </c>
      <c r="AD85" s="67"/>
      <c r="AE85" s="67"/>
      <c r="AF85" s="67"/>
      <c r="AG85" s="67"/>
      <c r="AH85" s="67"/>
      <c r="AI85" s="67"/>
      <c r="AK85" s="67"/>
      <c r="AL85" s="70">
        <f t="shared" si="18"/>
        <v>0</v>
      </c>
    </row>
    <row r="86" spans="2:38" x14ac:dyDescent="0.2">
      <c r="B86" s="5">
        <f t="shared" si="14"/>
        <v>79</v>
      </c>
      <c r="C86" s="5">
        <f t="shared" si="15"/>
        <v>79</v>
      </c>
      <c r="D86" s="5">
        <f t="shared" si="16"/>
        <v>6</v>
      </c>
      <c r="E86" s="5">
        <f t="shared" si="17"/>
        <v>52</v>
      </c>
      <c r="F86" s="64">
        <f>1-(1-VLOOKUP($E86,'Annual Mortality Rates'!$B$5:$C$105,2,FALSE))^(1/12)</f>
        <v>1.4344645210206952E-4</v>
      </c>
      <c r="G86" s="75">
        <f>IF(C86&gt;=[1]Assumptions!$H$9*12,100%,1-(1-IF(D86&gt;=7,2%,VLOOKUP($D86,'[1]Annual Lapse Rates'!$B$4:$C$14,2,FALSE)))^(1/12))</f>
        <v>2.5350486138366879E-3</v>
      </c>
      <c r="H86" s="81">
        <f t="shared" si="19"/>
        <v>7</v>
      </c>
      <c r="I86" s="65">
        <f t="shared" si="20"/>
        <v>3215.3465273961701</v>
      </c>
      <c r="J86" s="66">
        <f t="shared" si="21"/>
        <v>0.4612300516336903</v>
      </c>
      <c r="K86" s="66">
        <f t="shared" si="22"/>
        <v>8.1730069028299734</v>
      </c>
      <c r="M86" s="67">
        <f t="shared" si="27"/>
        <v>67389917.752312839</v>
      </c>
      <c r="N86" s="67">
        <f>IF(AND(MOD(C86,12)=1,D86&lt;15),Assumptions!$H$4*I85,0)</f>
        <v>0</v>
      </c>
      <c r="O86" s="67"/>
      <c r="P86" s="90">
        <f t="shared" si="23"/>
        <v>180503.56219358862</v>
      </c>
      <c r="Q86" s="90">
        <f>M86*VLOOKUP(MOD(C86,12)+(MOD(C86,12)=0)*12,Assumptions!$C$22:$D$33,2,FALSE)*(F86+G86)</f>
        <v>3948.5154229847517</v>
      </c>
      <c r="R86" s="67">
        <f>IF(AND(MOD(C86,12)=0,D86&lt;15),Assumptions!$C$7*M86,0)</f>
        <v>0</v>
      </c>
      <c r="S86" s="68">
        <f>IF(MOD(C86,12)=0,M86*Assumptions!$D$17,0)</f>
        <v>0</v>
      </c>
      <c r="T86" s="68">
        <f t="shared" si="24"/>
        <v>0</v>
      </c>
      <c r="U86" s="67">
        <f>T86+AE86*(1+Assumptions!$D$17)</f>
        <v>0</v>
      </c>
      <c r="V86" s="67">
        <f>(M86+N86-O86)*(1+Assumptions!$D$17)-(P86+Q86)*(1+Assumptions!$D$17)^0.5-R86-T86</f>
        <v>67479645.183016405</v>
      </c>
      <c r="W86" s="67"/>
      <c r="X86" s="67">
        <f>IF(AND(H86=1,D86&lt;15),Assumptions!$D$10*N86+Assumptions!$D$11*(1+Assumptions!$D$16)^(B86-1)*$I$7,0)</f>
        <v>0</v>
      </c>
      <c r="Y86" s="65">
        <f>Assumptions!$C$13*N86</f>
        <v>0</v>
      </c>
      <c r="Z86" s="65">
        <f>NPV(Assumptions!$D$19,N86:$N$259)*(1+Assumptions!$D$19)</f>
        <v>48388015.140504487</v>
      </c>
      <c r="AA86" s="68">
        <f t="shared" si="25"/>
        <v>445073.03023872792</v>
      </c>
      <c r="AC86" s="67">
        <f t="shared" si="26"/>
        <v>67479645.183016405</v>
      </c>
      <c r="AD86" s="67"/>
      <c r="AE86" s="67"/>
      <c r="AF86" s="67"/>
      <c r="AG86" s="67"/>
      <c r="AH86" s="67"/>
      <c r="AI86" s="67"/>
      <c r="AK86" s="67"/>
      <c r="AL86" s="70">
        <f t="shared" si="18"/>
        <v>0</v>
      </c>
    </row>
    <row r="87" spans="2:38" x14ac:dyDescent="0.2">
      <c r="B87" s="5">
        <f t="shared" si="14"/>
        <v>80</v>
      </c>
      <c r="C87" s="5">
        <f t="shared" si="15"/>
        <v>80</v>
      </c>
      <c r="D87" s="5">
        <f t="shared" si="16"/>
        <v>6</v>
      </c>
      <c r="E87" s="5">
        <f t="shared" si="17"/>
        <v>52</v>
      </c>
      <c r="F87" s="64">
        <f>1-(1-VLOOKUP($E87,'Annual Mortality Rates'!$B$5:$C$105,2,FALSE))^(1/12)</f>
        <v>1.4344645210206952E-4</v>
      </c>
      <c r="G87" s="75">
        <f>IF(C87&gt;=[1]Assumptions!$H$9*12,100%,1-(1-IF(D87&gt;=7,2%,VLOOKUP($D87,'[1]Annual Lapse Rates'!$B$4:$C$14,2,FALSE)))^(1/12))</f>
        <v>2.5350486138366879E-3</v>
      </c>
      <c r="H87" s="81">
        <f t="shared" si="19"/>
        <v>8</v>
      </c>
      <c r="I87" s="65">
        <f t="shared" si="20"/>
        <v>3206.7122904417065</v>
      </c>
      <c r="J87" s="66">
        <f t="shared" si="21"/>
        <v>0.45999150097596392</v>
      </c>
      <c r="K87" s="66">
        <f t="shared" si="22"/>
        <v>8.1510597572802688</v>
      </c>
      <c r="M87" s="67">
        <f t="shared" si="27"/>
        <v>67479645.183016405</v>
      </c>
      <c r="N87" s="67">
        <f>IF(AND(MOD(C87,12)=1,D87&lt;15),Assumptions!$H$4*I86,0)</f>
        <v>0</v>
      </c>
      <c r="O87" s="67"/>
      <c r="P87" s="90">
        <f t="shared" si="23"/>
        <v>180743.89667400747</v>
      </c>
      <c r="Q87" s="90">
        <f>M87*VLOOKUP(MOD(C87,12)+(MOD(C87,12)=0)*12,Assumptions!$C$22:$D$33,2,FALSE)*(F87+G87)</f>
        <v>4518.5974168501871</v>
      </c>
      <c r="R87" s="67">
        <f>IF(AND(MOD(C87,12)=0,D87&lt;15),Assumptions!$C$7*M87,0)</f>
        <v>0</v>
      </c>
      <c r="S87" s="68">
        <f>IF(MOD(C87,12)=0,M87*Assumptions!$D$17,0)</f>
        <v>0</v>
      </c>
      <c r="T87" s="68">
        <f t="shared" si="24"/>
        <v>0</v>
      </c>
      <c r="U87" s="67">
        <f>T87+AE87*(1+Assumptions!$D$17)</f>
        <v>0</v>
      </c>
      <c r="V87" s="67">
        <f>(M87+N87-O87)*(1+Assumptions!$D$17)-(P87+Q87)*(1+Assumptions!$D$17)^0.5-R87-T87</f>
        <v>67568926.108714685</v>
      </c>
      <c r="W87" s="67"/>
      <c r="X87" s="67">
        <f>IF(AND(H87=1,D87&lt;15),Assumptions!$D$10*N87+Assumptions!$D$11*(1+Assumptions!$D$16)^(B87-1)*$I$7,0)</f>
        <v>0</v>
      </c>
      <c r="Y87" s="65">
        <f>Assumptions!$C$13*N87</f>
        <v>0</v>
      </c>
      <c r="Z87" s="65">
        <f>NPV(Assumptions!$D$19,N87:$N$259)*(1+Assumptions!$D$19)</f>
        <v>48595745.09883704</v>
      </c>
      <c r="AA87" s="68">
        <f t="shared" si="25"/>
        <v>446983.73068300058</v>
      </c>
      <c r="AC87" s="67">
        <f t="shared" si="26"/>
        <v>67568926.108714685</v>
      </c>
      <c r="AD87" s="67"/>
      <c r="AE87" s="67"/>
      <c r="AF87" s="67"/>
      <c r="AG87" s="67"/>
      <c r="AH87" s="67"/>
      <c r="AI87" s="67"/>
      <c r="AK87" s="67"/>
      <c r="AL87" s="70">
        <f t="shared" si="18"/>
        <v>0</v>
      </c>
    </row>
    <row r="88" spans="2:38" x14ac:dyDescent="0.2">
      <c r="B88" s="5">
        <f t="shared" si="14"/>
        <v>81</v>
      </c>
      <c r="C88" s="5">
        <f t="shared" si="15"/>
        <v>81</v>
      </c>
      <c r="D88" s="5">
        <f t="shared" si="16"/>
        <v>6</v>
      </c>
      <c r="E88" s="5">
        <f t="shared" si="17"/>
        <v>52</v>
      </c>
      <c r="F88" s="64">
        <f>1-(1-VLOOKUP($E88,'Annual Mortality Rates'!$B$5:$C$105,2,FALSE))^(1/12)</f>
        <v>1.4344645210206952E-4</v>
      </c>
      <c r="G88" s="75">
        <f>IF(C88&gt;=[1]Assumptions!$H$9*12,100%,1-(1-IF(D88&gt;=7,2%,VLOOKUP($D88,'[1]Annual Lapse Rates'!$B$4:$C$14,2,FALSE)))^(1/12))</f>
        <v>2.5350486138366879E-3</v>
      </c>
      <c r="H88" s="81">
        <f t="shared" si="19"/>
        <v>9</v>
      </c>
      <c r="I88" s="65">
        <f t="shared" si="20"/>
        <v>3198.1012391834506</v>
      </c>
      <c r="J88" s="66">
        <f t="shared" si="21"/>
        <v>0.45875627622409804</v>
      </c>
      <c r="K88" s="66">
        <f t="shared" si="22"/>
        <v>8.129171546857318</v>
      </c>
      <c r="M88" s="67">
        <f t="shared" si="27"/>
        <v>67568926.108714685</v>
      </c>
      <c r="N88" s="67">
        <f>IF(AND(MOD(C88,12)=1,D88&lt;15),Assumptions!$H$4*I87,0)</f>
        <v>0</v>
      </c>
      <c r="O88" s="67"/>
      <c r="P88" s="90">
        <f t="shared" si="23"/>
        <v>180983.03519297278</v>
      </c>
      <c r="Q88" s="90">
        <f>M88*VLOOKUP(MOD(C88,12)+(MOD(C88,12)=0)*12,Assumptions!$C$22:$D$33,2,FALSE)*(F88+G88)</f>
        <v>5090.1478648023594</v>
      </c>
      <c r="R88" s="67">
        <f>IF(AND(MOD(C88,12)=0,D88&lt;15),Assumptions!$C$7*M88,0)</f>
        <v>0</v>
      </c>
      <c r="S88" s="68">
        <f>IF(MOD(C88,12)=0,M88*Assumptions!$D$17,0)</f>
        <v>0</v>
      </c>
      <c r="T88" s="68">
        <f t="shared" si="24"/>
        <v>0</v>
      </c>
      <c r="U88" s="67">
        <f>T88+AE88*(1+Assumptions!$D$17)</f>
        <v>0</v>
      </c>
      <c r="V88" s="67">
        <f>(M88+N88-O88)*(1+Assumptions!$D$17)-(P88+Q88)*(1+Assumptions!$D$17)^0.5-R88-T88</f>
        <v>67657758.437243864</v>
      </c>
      <c r="W88" s="67"/>
      <c r="X88" s="67">
        <f>IF(AND(H88=1,D88&lt;15),Assumptions!$D$10*N88+Assumptions!$D$11*(1+Assumptions!$D$16)^(B88-1)*$I$7,0)</f>
        <v>0</v>
      </c>
      <c r="Y88" s="65">
        <f>Assumptions!$C$13*N88</f>
        <v>0</v>
      </c>
      <c r="Z88" s="65">
        <f>NPV(Assumptions!$D$19,N88:$N$259)*(1+Assumptions!$D$19)</f>
        <v>48804366.842779391</v>
      </c>
      <c r="AA88" s="68">
        <f t="shared" si="25"/>
        <v>448902.63377254648</v>
      </c>
      <c r="AC88" s="67">
        <f t="shared" si="26"/>
        <v>67657758.437243864</v>
      </c>
      <c r="AD88" s="67"/>
      <c r="AE88" s="67"/>
      <c r="AF88" s="67"/>
      <c r="AG88" s="67"/>
      <c r="AH88" s="67"/>
      <c r="AI88" s="67"/>
      <c r="AK88" s="67"/>
      <c r="AL88" s="70">
        <f t="shared" si="18"/>
        <v>0</v>
      </c>
    </row>
    <row r="89" spans="2:38" x14ac:dyDescent="0.2">
      <c r="B89" s="5">
        <f t="shared" si="14"/>
        <v>82</v>
      </c>
      <c r="C89" s="5">
        <f t="shared" si="15"/>
        <v>82</v>
      </c>
      <c r="D89" s="5">
        <f t="shared" si="16"/>
        <v>6</v>
      </c>
      <c r="E89" s="5">
        <f t="shared" si="17"/>
        <v>52</v>
      </c>
      <c r="F89" s="64">
        <f>1-(1-VLOOKUP($E89,'Annual Mortality Rates'!$B$5:$C$105,2,FALSE))^(1/12)</f>
        <v>1.4344645210206952E-4</v>
      </c>
      <c r="G89" s="75">
        <f>IF(C89&gt;=[1]Assumptions!$H$9*12,100%,1-(1-IF(D89&gt;=7,2%,VLOOKUP($D89,'[1]Annual Lapse Rates'!$B$4:$C$14,2,FALSE)))^(1/12))</f>
        <v>2.5350486138366879E-3</v>
      </c>
      <c r="H89" s="81">
        <f t="shared" si="19"/>
        <v>10</v>
      </c>
      <c r="I89" s="65">
        <f t="shared" si="20"/>
        <v>3189.5133113603692</v>
      </c>
      <c r="J89" s="66">
        <f t="shared" si="21"/>
        <v>0.45752436844696837</v>
      </c>
      <c r="K89" s="66">
        <f t="shared" si="22"/>
        <v>8.1073421133014012</v>
      </c>
      <c r="M89" s="67">
        <f t="shared" si="27"/>
        <v>67657758.437243864</v>
      </c>
      <c r="N89" s="67">
        <f>IF(AND(MOD(C89,12)=1,D89&lt;15),Assumptions!$H$4*I88,0)</f>
        <v>0</v>
      </c>
      <c r="O89" s="67"/>
      <c r="P89" s="90">
        <f t="shared" si="23"/>
        <v>181220.97214663401</v>
      </c>
      <c r="Q89" s="90">
        <f>M89*VLOOKUP(MOD(C89,12)+(MOD(C89,12)=0)*12,Assumptions!$C$22:$D$33,2,FALSE)*(F89+G89)</f>
        <v>5663.1553795823129</v>
      </c>
      <c r="R89" s="67">
        <f>IF(AND(MOD(C89,12)=0,D89&lt;15),Assumptions!$C$7*M89,0)</f>
        <v>0</v>
      </c>
      <c r="S89" s="68">
        <f>IF(MOD(C89,12)=0,M89*Assumptions!$D$17,0)</f>
        <v>0</v>
      </c>
      <c r="T89" s="68">
        <f t="shared" si="24"/>
        <v>0</v>
      </c>
      <c r="U89" s="67">
        <f>T89+AE89*(1+Assumptions!$D$17)</f>
        <v>0</v>
      </c>
      <c r="V89" s="67">
        <f>(M89+N89-O89)*(1+Assumptions!$D$17)-(P89+Q89)*(1+Assumptions!$D$17)^0.5-R89-T89</f>
        <v>67746140.084942088</v>
      </c>
      <c r="W89" s="67"/>
      <c r="X89" s="67">
        <f>IF(AND(H89=1,D89&lt;15),Assumptions!$D$10*N89+Assumptions!$D$11*(1+Assumptions!$D$16)^(B89-1)*$I$7,0)</f>
        <v>0</v>
      </c>
      <c r="Y89" s="65">
        <f>Assumptions!$C$13*N89</f>
        <v>0</v>
      </c>
      <c r="Z89" s="65">
        <f>NPV(Assumptions!$D$19,N89:$N$259)*(1+Assumptions!$D$19)</f>
        <v>49013884.200771011</v>
      </c>
      <c r="AA89" s="68">
        <f t="shared" si="25"/>
        <v>450829.77472135727</v>
      </c>
      <c r="AC89" s="67">
        <f t="shared" si="26"/>
        <v>67746140.084942088</v>
      </c>
      <c r="AD89" s="67"/>
      <c r="AE89" s="67"/>
      <c r="AF89" s="67"/>
      <c r="AG89" s="67"/>
      <c r="AH89" s="67"/>
      <c r="AI89" s="67"/>
      <c r="AK89" s="67"/>
      <c r="AL89" s="70">
        <f t="shared" si="18"/>
        <v>0</v>
      </c>
    </row>
    <row r="90" spans="2:38" x14ac:dyDescent="0.2">
      <c r="B90" s="5">
        <f t="shared" si="14"/>
        <v>83</v>
      </c>
      <c r="C90" s="5">
        <f t="shared" si="15"/>
        <v>83</v>
      </c>
      <c r="D90" s="5">
        <f t="shared" si="16"/>
        <v>6</v>
      </c>
      <c r="E90" s="5">
        <f t="shared" si="17"/>
        <v>52</v>
      </c>
      <c r="F90" s="64">
        <f>1-(1-VLOOKUP($E90,'Annual Mortality Rates'!$B$5:$C$105,2,FALSE))^(1/12)</f>
        <v>1.4344645210206952E-4</v>
      </c>
      <c r="G90" s="75">
        <f>IF(C90&gt;=[1]Assumptions!$H$9*12,100%,1-(1-IF(D90&gt;=7,2%,VLOOKUP($D90,'[1]Annual Lapse Rates'!$B$4:$C$14,2,FALSE)))^(1/12))</f>
        <v>2.5350486138366879E-3</v>
      </c>
      <c r="H90" s="81">
        <f t="shared" si="19"/>
        <v>11</v>
      </c>
      <c r="I90" s="65">
        <f t="shared" si="20"/>
        <v>3180.9484448786206</v>
      </c>
      <c r="J90" s="66">
        <f t="shared" si="21"/>
        <v>0.4562957687374336</v>
      </c>
      <c r="K90" s="66">
        <f t="shared" si="22"/>
        <v>8.0855712987777686</v>
      </c>
      <c r="M90" s="67">
        <f t="shared" si="27"/>
        <v>67746140.084942088</v>
      </c>
      <c r="N90" s="67">
        <f>IF(AND(MOD(C90,12)=1,D90&lt;15),Assumptions!$H$4*I89,0)</f>
        <v>0</v>
      </c>
      <c r="O90" s="67"/>
      <c r="P90" s="90">
        <f t="shared" si="23"/>
        <v>181457.70195391326</v>
      </c>
      <c r="Q90" s="90">
        <f>M90*VLOOKUP(MOD(C90,12)+(MOD(C90,12)=0)*12,Assumptions!$C$22:$D$33,2,FALSE)*(F90+G90)</f>
        <v>6237.6085046657681</v>
      </c>
      <c r="R90" s="67">
        <f>IF(AND(MOD(C90,12)=0,D90&lt;15),Assumptions!$C$7*M90,0)</f>
        <v>0</v>
      </c>
      <c r="S90" s="68">
        <f>IF(MOD(C90,12)=0,M90*Assumptions!$D$17,0)</f>
        <v>0</v>
      </c>
      <c r="T90" s="68">
        <f t="shared" si="24"/>
        <v>0</v>
      </c>
      <c r="U90" s="67">
        <f>T90+AE90*(1+Assumptions!$D$17)</f>
        <v>0</v>
      </c>
      <c r="V90" s="67">
        <f>(M90+N90-O90)*(1+Assumptions!$D$17)-(P90+Q90)*(1+Assumptions!$D$17)^0.5-R90-T90</f>
        <v>67834068.976730675</v>
      </c>
      <c r="W90" s="67"/>
      <c r="X90" s="67">
        <f>IF(AND(H90=1,D90&lt;15),Assumptions!$D$10*N90+Assumptions!$D$11*(1+Assumptions!$D$16)^(B90-1)*$I$7,0)</f>
        <v>0</v>
      </c>
      <c r="Y90" s="65">
        <f>Assumptions!$C$13*N90</f>
        <v>0</v>
      </c>
      <c r="Z90" s="65">
        <f>NPV(Assumptions!$D$19,N90:$N$259)*(1+Assumptions!$D$19)</f>
        <v>49224301.017686896</v>
      </c>
      <c r="AA90" s="68">
        <f t="shared" si="25"/>
        <v>452765.18889459869</v>
      </c>
      <c r="AC90" s="67">
        <f t="shared" si="26"/>
        <v>67834068.976730675</v>
      </c>
      <c r="AD90" s="67"/>
      <c r="AE90" s="67"/>
      <c r="AF90" s="67"/>
      <c r="AG90" s="67"/>
      <c r="AH90" s="67"/>
      <c r="AI90" s="67"/>
      <c r="AK90" s="67"/>
      <c r="AL90" s="70">
        <f t="shared" si="18"/>
        <v>0</v>
      </c>
    </row>
    <row r="91" spans="2:38" x14ac:dyDescent="0.2">
      <c r="B91" s="5">
        <f t="shared" si="14"/>
        <v>84</v>
      </c>
      <c r="C91" s="5">
        <f t="shared" si="15"/>
        <v>84</v>
      </c>
      <c r="D91" s="5">
        <f t="shared" si="16"/>
        <v>6</v>
      </c>
      <c r="E91" s="5">
        <f t="shared" si="17"/>
        <v>52</v>
      </c>
      <c r="F91" s="64">
        <f>1-(1-VLOOKUP($E91,'Annual Mortality Rates'!$B$5:$C$105,2,FALSE))^(1/12)</f>
        <v>1.4344645210206952E-4</v>
      </c>
      <c r="G91" s="75">
        <f>IF(C91&gt;=[1]Assumptions!$H$9*12,100%,1-(1-IF(D91&gt;=7,2%,VLOOKUP($D91,'[1]Annual Lapse Rates'!$B$4:$C$14,2,FALSE)))^(1/12))</f>
        <v>2.5350486138366879E-3</v>
      </c>
      <c r="H91" s="81">
        <f t="shared" si="19"/>
        <v>12</v>
      </c>
      <c r="I91" s="65">
        <f t="shared" si="20"/>
        <v>3172.4065778111053</v>
      </c>
      <c r="J91" s="66">
        <f t="shared" si="21"/>
        <v>0.45507046821227098</v>
      </c>
      <c r="K91" s="66">
        <f t="shared" si="22"/>
        <v>8.0638589458755146</v>
      </c>
      <c r="M91" s="67">
        <f t="shared" si="27"/>
        <v>67834068.976730675</v>
      </c>
      <c r="N91" s="67">
        <f>IF(AND(MOD(C91,12)=1,D91&lt;15),Assumptions!$H$4*I90,0)</f>
        <v>0</v>
      </c>
      <c r="O91" s="67"/>
      <c r="P91" s="90">
        <f t="shared" si="23"/>
        <v>181693.21905672245</v>
      </c>
      <c r="Q91" s="90">
        <f>M91*VLOOKUP(MOD(C91,12)+(MOD(C91,12)=0)*12,Assumptions!$C$22:$D$33,2,FALSE)*(F91+G91)</f>
        <v>6813.4957146270926</v>
      </c>
      <c r="R91" s="67">
        <f>IF(AND(MOD(C91,12)=0,D91&lt;15),Assumptions!$C$7*M91,0)</f>
        <v>33917.034488365338</v>
      </c>
      <c r="S91" s="68">
        <f>IF(MOD(C91,12)=0,M91*Assumptions!$D$17,0)</f>
        <v>276364.39375974139</v>
      </c>
      <c r="T91" s="68">
        <f t="shared" si="24"/>
        <v>0</v>
      </c>
      <c r="U91" s="67">
        <f>T91+AE91*(1+Assumptions!$D$17)</f>
        <v>0</v>
      </c>
      <c r="V91" s="67">
        <f>(M91+N91-O91)*(1+Assumptions!$D$17)-(P91+Q91)*(1+Assumptions!$D$17)^0.5-R91-T91</f>
        <v>67887626.01170671</v>
      </c>
      <c r="W91" s="67"/>
      <c r="X91" s="67">
        <f>IF(AND(H91=1,D91&lt;15),Assumptions!$D$10*N91+Assumptions!$D$11*(1+Assumptions!$D$16)^(B91-1)*$I$7,0)</f>
        <v>0</v>
      </c>
      <c r="Y91" s="65">
        <f>Assumptions!$C$13*N91</f>
        <v>0</v>
      </c>
      <c r="Z91" s="65">
        <f>NPV(Assumptions!$D$19,N91:$N$259)*(1+Assumptions!$D$19)</f>
        <v>49435621.154908121</v>
      </c>
      <c r="AA91" s="68">
        <f t="shared" si="25"/>
        <v>454708.91180925851</v>
      </c>
      <c r="AC91" s="67">
        <f t="shared" si="26"/>
        <v>67887626.01170671</v>
      </c>
      <c r="AD91" s="67"/>
      <c r="AE91" s="67"/>
      <c r="AF91" s="67"/>
      <c r="AG91" s="67"/>
      <c r="AH91" s="67"/>
      <c r="AI91" s="67"/>
      <c r="AK91" s="67"/>
      <c r="AL91" s="70">
        <f t="shared" si="18"/>
        <v>0</v>
      </c>
    </row>
    <row r="92" spans="2:38" x14ac:dyDescent="0.2">
      <c r="B92" s="5">
        <f t="shared" si="14"/>
        <v>85</v>
      </c>
      <c r="C92" s="5">
        <f t="shared" si="15"/>
        <v>85</v>
      </c>
      <c r="D92" s="5">
        <f t="shared" si="16"/>
        <v>7</v>
      </c>
      <c r="E92" s="5">
        <f t="shared" si="17"/>
        <v>53</v>
      </c>
      <c r="F92" s="64">
        <f>1-(1-VLOOKUP($E92,'Annual Mortality Rates'!$B$5:$C$105,2,FALSE))^(1/12)</f>
        <v>1.5763659934686647E-4</v>
      </c>
      <c r="G92" s="75">
        <f>IF(C92&gt;=[1]Assumptions!$H$9*12,100%,1-(1-IF(D92&gt;=7,2%,VLOOKUP($D92,'[1]Annual Lapse Rates'!$B$4:$C$14,2,FALSE)))^(1/12))</f>
        <v>1.6821425527395739E-3</v>
      </c>
      <c r="H92" s="81">
        <f t="shared" si="19"/>
        <v>1</v>
      </c>
      <c r="I92" s="65">
        <f t="shared" si="20"/>
        <v>3163.8876483970175</v>
      </c>
      <c r="J92" s="66">
        <f t="shared" si="21"/>
        <v>0.4987444896088602</v>
      </c>
      <c r="K92" s="66">
        <f t="shared" si="22"/>
        <v>5.336440099126988</v>
      </c>
      <c r="M92" s="67">
        <f t="shared" si="27"/>
        <v>67887626.01170671</v>
      </c>
      <c r="N92" s="67">
        <f>IF(AND(MOD(C92,12)=1,D92&lt;15),Assumptions!$H$4*I91,0)</f>
        <v>7931016.4445277629</v>
      </c>
      <c r="O92" s="67"/>
      <c r="P92" s="90">
        <f t="shared" si="23"/>
        <v>124898.23902097915</v>
      </c>
      <c r="Q92" s="90">
        <f>M92*VLOOKUP(MOD(C92,12)+(MOD(C92,12)=0)*12,Assumptions!$C$22:$D$33,2,FALSE)*(F92+G92)</f>
        <v>390.30699694055983</v>
      </c>
      <c r="R92" s="67">
        <f>IF(AND(MOD(C92,12)=0,D92&lt;15),Assumptions!$C$7*M92,0)</f>
        <v>0</v>
      </c>
      <c r="S92" s="68">
        <f>IF(MOD(C92,12)=0,M92*Assumptions!$D$17,0)</f>
        <v>0</v>
      </c>
      <c r="T92" s="68">
        <f t="shared" si="24"/>
        <v>0</v>
      </c>
      <c r="U92" s="67">
        <f>T92+AE92*(1+Assumptions!$D$17)</f>
        <v>0</v>
      </c>
      <c r="V92" s="67">
        <f>(M92+N92-O92)*(1+Assumptions!$D$17)-(P92+Q92)*(1+Assumptions!$D$17)^0.5-R92-T92</f>
        <v>76001993.483590662</v>
      </c>
      <c r="W92" s="67"/>
      <c r="X92" s="67">
        <f>IF(AND(H92=1,D92&lt;15),Assumptions!$D$10*N92+Assumptions!$D$11*(1+Assumptions!$D$16)^(B92-1)*$I$7,0)</f>
        <v>76987.366421240527</v>
      </c>
      <c r="Y92" s="65">
        <f>Assumptions!$C$13*N92</f>
        <v>39655.082222638819</v>
      </c>
      <c r="Z92" s="65">
        <f>NPV(Assumptions!$D$19,N92:$N$259)*(1+Assumptions!$D$19)</f>
        <v>49647848.490392625</v>
      </c>
      <c r="AA92" s="68">
        <f t="shared" si="25"/>
        <v>383711.47890030121</v>
      </c>
      <c r="AC92" s="67">
        <f t="shared" si="26"/>
        <v>76001993.483590662</v>
      </c>
      <c r="AD92" s="67"/>
      <c r="AE92" s="67"/>
      <c r="AF92" s="67"/>
      <c r="AG92" s="67"/>
      <c r="AH92" s="67"/>
      <c r="AI92" s="67"/>
      <c r="AK92" s="67"/>
      <c r="AL92" s="70">
        <f t="shared" si="18"/>
        <v>0</v>
      </c>
    </row>
    <row r="93" spans="2:38" x14ac:dyDescent="0.2">
      <c r="B93" s="5">
        <f t="shared" si="14"/>
        <v>86</v>
      </c>
      <c r="C93" s="5">
        <f t="shared" si="15"/>
        <v>86</v>
      </c>
      <c r="D93" s="5">
        <f t="shared" si="16"/>
        <v>7</v>
      </c>
      <c r="E93" s="5">
        <f t="shared" si="17"/>
        <v>53</v>
      </c>
      <c r="F93" s="64">
        <f>1-(1-VLOOKUP($E93,'Annual Mortality Rates'!$B$5:$C$105,2,FALSE))^(1/12)</f>
        <v>1.5763659934686647E-4</v>
      </c>
      <c r="G93" s="75">
        <f>IF(C93&gt;=[1]Assumptions!$H$9*12,100%,1-(1-IF(D93&gt;=7,2%,VLOOKUP($D93,'[1]Annual Lapse Rates'!$B$4:$C$14,2,FALSE)))^(1/12))</f>
        <v>1.6821425527395739E-3</v>
      </c>
      <c r="H93" s="81">
        <f t="shared" si="19"/>
        <v>2</v>
      </c>
      <c r="I93" s="65">
        <f t="shared" si="20"/>
        <v>3158.052463808282</v>
      </c>
      <c r="J93" s="66">
        <f t="shared" si="21"/>
        <v>0.49782465095373069</v>
      </c>
      <c r="K93" s="66">
        <f t="shared" si="22"/>
        <v>5.3221100454557666</v>
      </c>
      <c r="M93" s="67">
        <f t="shared" si="27"/>
        <v>76001993.483590662</v>
      </c>
      <c r="N93" s="67">
        <f>IF(AND(MOD(C93,12)=1,D93&lt;15),Assumptions!$H$4*I92,0)</f>
        <v>0</v>
      </c>
      <c r="O93" s="67"/>
      <c r="P93" s="90">
        <f t="shared" si="23"/>
        <v>139826.8831281196</v>
      </c>
      <c r="Q93" s="90">
        <f>M93*VLOOKUP(MOD(C93,12)+(MOD(C93,12)=0)*12,Assumptions!$C$22:$D$33,2,FALSE)*(F93+G93)</f>
        <v>873.91801955074754</v>
      </c>
      <c r="R93" s="67">
        <f>IF(AND(MOD(C93,12)=0,D93&lt;15),Assumptions!$C$7*M93,0)</f>
        <v>0</v>
      </c>
      <c r="S93" s="68">
        <f>IF(MOD(C93,12)=0,M93*Assumptions!$D$17,0)</f>
        <v>0</v>
      </c>
      <c r="T93" s="68">
        <f t="shared" si="24"/>
        <v>0</v>
      </c>
      <c r="U93" s="67">
        <f>T93+AE93*(1+Assumptions!$D$17)</f>
        <v>0</v>
      </c>
      <c r="V93" s="67">
        <f>(M93+N93-O93)*(1+Assumptions!$D$17)-(P93+Q93)*(1+Assumptions!$D$17)^0.5-R93-T93</f>
        <v>76170647.886793345</v>
      </c>
      <c r="W93" s="67"/>
      <c r="X93" s="67">
        <f>IF(AND(H93=1,D93&lt;15),Assumptions!$D$10*N93+Assumptions!$D$11*(1+Assumptions!$D$16)^(B93-1)*$I$7,0)</f>
        <v>0</v>
      </c>
      <c r="Y93" s="65">
        <f>Assumptions!$C$13*N93</f>
        <v>0</v>
      </c>
      <c r="Z93" s="65">
        <f>NPV(Assumptions!$D$19,N93:$N$259)*(1+Assumptions!$D$19)</f>
        <v>41895922.586311504</v>
      </c>
      <c r="AA93" s="68">
        <f t="shared" si="25"/>
        <v>385358.753939218</v>
      </c>
      <c r="AC93" s="67">
        <f t="shared" si="26"/>
        <v>76170647.886793345</v>
      </c>
      <c r="AD93" s="67"/>
      <c r="AE93" s="67"/>
      <c r="AF93" s="67"/>
      <c r="AG93" s="67"/>
      <c r="AH93" s="67"/>
      <c r="AI93" s="67"/>
      <c r="AK93" s="67"/>
      <c r="AL93" s="70">
        <f t="shared" si="18"/>
        <v>0</v>
      </c>
    </row>
    <row r="94" spans="2:38" x14ac:dyDescent="0.2">
      <c r="B94" s="5">
        <f t="shared" si="14"/>
        <v>87</v>
      </c>
      <c r="C94" s="5">
        <f t="shared" si="15"/>
        <v>87</v>
      </c>
      <c r="D94" s="5">
        <f t="shared" si="16"/>
        <v>7</v>
      </c>
      <c r="E94" s="5">
        <f t="shared" si="17"/>
        <v>53</v>
      </c>
      <c r="F94" s="64">
        <f>1-(1-VLOOKUP($E94,'Annual Mortality Rates'!$B$5:$C$105,2,FALSE))^(1/12)</f>
        <v>1.5763659934686647E-4</v>
      </c>
      <c r="G94" s="75">
        <f>IF(C94&gt;=[1]Assumptions!$H$9*12,100%,1-(1-IF(D94&gt;=7,2%,VLOOKUP($D94,'[1]Annual Lapse Rates'!$B$4:$C$14,2,FALSE)))^(1/12))</f>
        <v>1.6821425527395739E-3</v>
      </c>
      <c r="H94" s="81">
        <f t="shared" si="19"/>
        <v>3</v>
      </c>
      <c r="I94" s="65">
        <f t="shared" si="20"/>
        <v>3152.2325291118727</v>
      </c>
      <c r="J94" s="66">
        <f t="shared" si="21"/>
        <v>0.49690721623976786</v>
      </c>
      <c r="K94" s="66">
        <f t="shared" si="22"/>
        <v>5.3122944331559641</v>
      </c>
      <c r="M94" s="67">
        <f t="shared" si="27"/>
        <v>76170647.886793345</v>
      </c>
      <c r="N94" s="67">
        <f>IF(AND(MOD(C94,12)=1,D94&lt;15),Assumptions!$H$4*I93,0)</f>
        <v>0</v>
      </c>
      <c r="O94" s="67"/>
      <c r="P94" s="90">
        <f t="shared" si="23"/>
        <v>140137.16998303946</v>
      </c>
      <c r="Q94" s="90">
        <f>M94*VLOOKUP(MOD(C94,12)+(MOD(C94,12)=0)*12,Assumptions!$C$22:$D$33,2,FALSE)*(F94+G94)</f>
        <v>1313.7859685909953</v>
      </c>
      <c r="R94" s="67">
        <f>IF(AND(MOD(C94,12)=0,D94&lt;15),Assumptions!$C$7*M94,0)</f>
        <v>0</v>
      </c>
      <c r="S94" s="68">
        <f>IF(MOD(C94,12)=0,M94*Assumptions!$D$17,0)</f>
        <v>0</v>
      </c>
      <c r="T94" s="68">
        <f t="shared" si="24"/>
        <v>0</v>
      </c>
      <c r="U94" s="67">
        <f>T94+AE94*(1+Assumptions!$D$17)</f>
        <v>0</v>
      </c>
      <c r="V94" s="67">
        <f>(M94+N94-O94)*(1+Assumptions!$D$17)-(P94+Q94)*(1+Assumptions!$D$17)^0.5-R94-T94</f>
        <v>76339237.727548882</v>
      </c>
      <c r="W94" s="67"/>
      <c r="X94" s="67">
        <f>IF(AND(H94=1,D94&lt;15),Assumptions!$D$10*N94+Assumptions!$D$11*(1+Assumptions!$D$16)^(B94-1)*$I$7,0)</f>
        <v>0</v>
      </c>
      <c r="Y94" s="65">
        <f>Assumptions!$C$13*N94</f>
        <v>0</v>
      </c>
      <c r="Z94" s="65">
        <f>NPV(Assumptions!$D$19,N94:$N$259)*(1+Assumptions!$D$19)</f>
        <v>42075781.963223062</v>
      </c>
      <c r="AA94" s="68">
        <f t="shared" si="25"/>
        <v>387013.10073700332</v>
      </c>
      <c r="AC94" s="67">
        <f t="shared" si="26"/>
        <v>76339237.727548882</v>
      </c>
      <c r="AD94" s="67"/>
      <c r="AE94" s="67"/>
      <c r="AF94" s="67"/>
      <c r="AG94" s="67"/>
      <c r="AH94" s="67"/>
      <c r="AI94" s="67"/>
      <c r="AK94" s="67"/>
      <c r="AL94" s="70">
        <f t="shared" si="18"/>
        <v>0</v>
      </c>
    </row>
    <row r="95" spans="2:38" x14ac:dyDescent="0.2">
      <c r="B95" s="5">
        <f t="shared" si="14"/>
        <v>88</v>
      </c>
      <c r="C95" s="5">
        <f t="shared" si="15"/>
        <v>88</v>
      </c>
      <c r="D95" s="5">
        <f t="shared" si="16"/>
        <v>7</v>
      </c>
      <c r="E95" s="5">
        <f t="shared" si="17"/>
        <v>53</v>
      </c>
      <c r="F95" s="64">
        <f>1-(1-VLOOKUP($E95,'Annual Mortality Rates'!$B$5:$C$105,2,FALSE))^(1/12)</f>
        <v>1.5763659934686647E-4</v>
      </c>
      <c r="G95" s="75">
        <f>IF(C95&gt;=[1]Assumptions!$H$9*12,100%,1-(1-IF(D95&gt;=7,2%,VLOOKUP($D95,'[1]Annual Lapse Rates'!$B$4:$C$14,2,FALSE)))^(1/12))</f>
        <v>1.6821425527395739E-3</v>
      </c>
      <c r="H95" s="81">
        <f t="shared" si="19"/>
        <v>4</v>
      </c>
      <c r="I95" s="65">
        <f t="shared" si="20"/>
        <v>3146.4233274624771</v>
      </c>
      <c r="J95" s="66">
        <f t="shared" si="21"/>
        <v>0.49599147344683692</v>
      </c>
      <c r="K95" s="66">
        <f t="shared" si="22"/>
        <v>5.3025044733489688</v>
      </c>
      <c r="M95" s="67">
        <f t="shared" si="27"/>
        <v>76339237.727548882</v>
      </c>
      <c r="N95" s="67">
        <f>IF(AND(MOD(C95,12)=1,D95&lt;15),Assumptions!$H$4*I94,0)</f>
        <v>0</v>
      </c>
      <c r="O95" s="67"/>
      <c r="P95" s="90">
        <f t="shared" si="23"/>
        <v>140447.33805731509</v>
      </c>
      <c r="Q95" s="90">
        <f>M95*VLOOKUP(MOD(C95,12)+(MOD(C95,12)=0)*12,Assumptions!$C$22:$D$33,2,FALSE)*(F95+G95)</f>
        <v>1755.5917257164388</v>
      </c>
      <c r="R95" s="67">
        <f>IF(AND(MOD(C95,12)=0,D95&lt;15),Assumptions!$C$7*M95,0)</f>
        <v>0</v>
      </c>
      <c r="S95" s="68">
        <f>IF(MOD(C95,12)=0,M95*Assumptions!$D$17,0)</f>
        <v>0</v>
      </c>
      <c r="T95" s="68">
        <f t="shared" si="24"/>
        <v>0</v>
      </c>
      <c r="U95" s="67">
        <f>T95+AE95*(1+Assumptions!$D$17)</f>
        <v>0</v>
      </c>
      <c r="V95" s="67">
        <f>(M95+N95-O95)*(1+Assumptions!$D$17)-(P95+Q95)*(1+Assumptions!$D$17)^0.5-R95-T95</f>
        <v>76507760.920092717</v>
      </c>
      <c r="W95" s="67"/>
      <c r="X95" s="67">
        <f>IF(AND(H95=1,D95&lt;15),Assumptions!$D$10*N95+Assumptions!$D$11*(1+Assumptions!$D$16)^(B95-1)*$I$7,0)</f>
        <v>0</v>
      </c>
      <c r="Y95" s="65">
        <f>Assumptions!$C$13*N95</f>
        <v>0</v>
      </c>
      <c r="Z95" s="65">
        <f>NPV(Assumptions!$D$19,N95:$N$259)*(1+Assumptions!$D$19)</f>
        <v>42256413.477217816</v>
      </c>
      <c r="AA95" s="68">
        <f t="shared" si="25"/>
        <v>388674.54965274851</v>
      </c>
      <c r="AC95" s="67">
        <f t="shared" si="26"/>
        <v>76507760.920092717</v>
      </c>
      <c r="AD95" s="67"/>
      <c r="AE95" s="67"/>
      <c r="AF95" s="67"/>
      <c r="AG95" s="67"/>
      <c r="AH95" s="67"/>
      <c r="AI95" s="67"/>
      <c r="AK95" s="67"/>
      <c r="AL95" s="70">
        <f t="shared" si="18"/>
        <v>0</v>
      </c>
    </row>
    <row r="96" spans="2:38" x14ac:dyDescent="0.2">
      <c r="B96" s="5">
        <f t="shared" si="14"/>
        <v>89</v>
      </c>
      <c r="C96" s="5">
        <f t="shared" si="15"/>
        <v>89</v>
      </c>
      <c r="D96" s="5">
        <f t="shared" si="16"/>
        <v>7</v>
      </c>
      <c r="E96" s="5">
        <f t="shared" si="17"/>
        <v>53</v>
      </c>
      <c r="F96" s="64">
        <f>1-(1-VLOOKUP($E96,'Annual Mortality Rates'!$B$5:$C$105,2,FALSE))^(1/12)</f>
        <v>1.5763659934686647E-4</v>
      </c>
      <c r="G96" s="75">
        <f>IF(C96&gt;=[1]Assumptions!$H$9*12,100%,1-(1-IF(D96&gt;=7,2%,VLOOKUP($D96,'[1]Annual Lapse Rates'!$B$4:$C$14,2,FALSE)))^(1/12))</f>
        <v>1.6821425527395739E-3</v>
      </c>
      <c r="H96" s="81">
        <f t="shared" si="19"/>
        <v>5</v>
      </c>
      <c r="I96" s="65">
        <f t="shared" si="20"/>
        <v>3140.6248315156813</v>
      </c>
      <c r="J96" s="66">
        <f t="shared" si="21"/>
        <v>0.49507741826445745</v>
      </c>
      <c r="K96" s="66">
        <f t="shared" si="22"/>
        <v>5.2927325680570751</v>
      </c>
      <c r="M96" s="67">
        <f t="shared" si="27"/>
        <v>76507760.920092717</v>
      </c>
      <c r="N96" s="67">
        <f>IF(AND(MOD(C96,12)=1,D96&lt;15),Assumptions!$H$4*I95,0)</f>
        <v>0</v>
      </c>
      <c r="O96" s="67"/>
      <c r="P96" s="90">
        <f t="shared" si="23"/>
        <v>140757.38351360027</v>
      </c>
      <c r="Q96" s="90">
        <f>M96*VLOOKUP(MOD(C96,12)+(MOD(C96,12)=0)*12,Assumptions!$C$22:$D$33,2,FALSE)*(F96+G96)</f>
        <v>2199.3341174000043</v>
      </c>
      <c r="R96" s="67">
        <f>IF(AND(MOD(C96,12)=0,D96&lt;15),Assumptions!$C$7*M96,0)</f>
        <v>0</v>
      </c>
      <c r="S96" s="68">
        <f>IF(MOD(C96,12)=0,M96*Assumptions!$D$17,0)</f>
        <v>0</v>
      </c>
      <c r="T96" s="68">
        <f t="shared" si="24"/>
        <v>0</v>
      </c>
      <c r="U96" s="67">
        <f>T96+AE96*(1+Assumptions!$D$17)</f>
        <v>0</v>
      </c>
      <c r="V96" s="67">
        <f>(M96+N96-O96)*(1+Assumptions!$D$17)-(P96+Q96)*(1+Assumptions!$D$17)^0.5-R96-T96</f>
        <v>76676215.375183716</v>
      </c>
      <c r="W96" s="67"/>
      <c r="X96" s="67">
        <f>IF(AND(H96=1,D96&lt;15),Assumptions!$D$10*N96+Assumptions!$D$11*(1+Assumptions!$D$16)^(B96-1)*$I$7,0)</f>
        <v>0</v>
      </c>
      <c r="Y96" s="65">
        <f>Assumptions!$C$13*N96</f>
        <v>0</v>
      </c>
      <c r="Z96" s="65">
        <f>NPV(Assumptions!$D$19,N96:$N$259)*(1+Assumptions!$D$19)</f>
        <v>42437820.443083584</v>
      </c>
      <c r="AA96" s="68">
        <f t="shared" si="25"/>
        <v>390343.13117587665</v>
      </c>
      <c r="AC96" s="67">
        <f t="shared" si="26"/>
        <v>76676215.375183716</v>
      </c>
      <c r="AD96" s="67"/>
      <c r="AE96" s="67"/>
      <c r="AF96" s="67"/>
      <c r="AG96" s="67"/>
      <c r="AH96" s="67"/>
      <c r="AI96" s="67"/>
      <c r="AK96" s="67"/>
      <c r="AL96" s="70">
        <f t="shared" si="18"/>
        <v>0</v>
      </c>
    </row>
    <row r="97" spans="2:38" x14ac:dyDescent="0.2">
      <c r="B97" s="5">
        <f t="shared" si="14"/>
        <v>90</v>
      </c>
      <c r="C97" s="5">
        <f t="shared" si="15"/>
        <v>90</v>
      </c>
      <c r="D97" s="5">
        <f t="shared" si="16"/>
        <v>7</v>
      </c>
      <c r="E97" s="5">
        <f t="shared" si="17"/>
        <v>53</v>
      </c>
      <c r="F97" s="64">
        <f>1-(1-VLOOKUP($E97,'Annual Mortality Rates'!$B$5:$C$105,2,FALSE))^(1/12)</f>
        <v>1.5763659934686647E-4</v>
      </c>
      <c r="G97" s="75">
        <f>IF(C97&gt;=[1]Assumptions!$H$9*12,100%,1-(1-IF(D97&gt;=7,2%,VLOOKUP($D97,'[1]Annual Lapse Rates'!$B$4:$C$14,2,FALSE)))^(1/12))</f>
        <v>1.6821425527395739E-3</v>
      </c>
      <c r="H97" s="81">
        <f t="shared" si="19"/>
        <v>6</v>
      </c>
      <c r="I97" s="65">
        <f t="shared" si="20"/>
        <v>3134.8370215293598</v>
      </c>
      <c r="J97" s="66">
        <f t="shared" si="21"/>
        <v>0.49416504758054791</v>
      </c>
      <c r="K97" s="66">
        <f t="shared" si="22"/>
        <v>5.2829786712830824</v>
      </c>
      <c r="M97" s="67">
        <f t="shared" si="27"/>
        <v>76676215.375183716</v>
      </c>
      <c r="N97" s="67">
        <f>IF(AND(MOD(C97,12)=1,D97&lt;15),Assumptions!$H$4*I96,0)</f>
        <v>0</v>
      </c>
      <c r="O97" s="67"/>
      <c r="P97" s="90">
        <f t="shared" si="23"/>
        <v>141067.30250815279</v>
      </c>
      <c r="Q97" s="90">
        <f>M97*VLOOKUP(MOD(C97,12)+(MOD(C97,12)=0)*12,Assumptions!$C$22:$D$33,2,FALSE)*(F97+G97)</f>
        <v>2645.0119220278652</v>
      </c>
      <c r="R97" s="67">
        <f>IF(AND(MOD(C97,12)=0,D97&lt;15),Assumptions!$C$7*M97,0)</f>
        <v>0</v>
      </c>
      <c r="S97" s="68">
        <f>IF(MOD(C97,12)=0,M97*Assumptions!$D$17,0)</f>
        <v>0</v>
      </c>
      <c r="T97" s="68">
        <f t="shared" si="24"/>
        <v>0</v>
      </c>
      <c r="U97" s="67">
        <f>T97+AE97*(1+Assumptions!$D$17)</f>
        <v>0</v>
      </c>
      <c r="V97" s="67">
        <f>(M97+N97-O97)*(1+Assumptions!$D$17)-(P97+Q97)*(1+Assumptions!$D$17)^0.5-R97-T97</f>
        <v>76844599.000144571</v>
      </c>
      <c r="W97" s="67"/>
      <c r="X97" s="67">
        <f>IF(AND(H97=1,D97&lt;15),Assumptions!$D$10*N97+Assumptions!$D$11*(1+Assumptions!$D$16)^(B97-1)*$I$7,0)</f>
        <v>0</v>
      </c>
      <c r="Y97" s="65">
        <f>Assumptions!$C$13*N97</f>
        <v>0</v>
      </c>
      <c r="Z97" s="65">
        <f>NPV(Assumptions!$D$19,N97:$N$259)*(1+Assumptions!$D$19)</f>
        <v>42620006.189838611</v>
      </c>
      <c r="AA97" s="68">
        <f t="shared" si="25"/>
        <v>392018.87592670205</v>
      </c>
      <c r="AC97" s="67">
        <f t="shared" si="26"/>
        <v>76844599.000144571</v>
      </c>
      <c r="AD97" s="67"/>
      <c r="AE97" s="67"/>
      <c r="AF97" s="67"/>
      <c r="AG97" s="67"/>
      <c r="AH97" s="67"/>
      <c r="AI97" s="67"/>
      <c r="AK97" s="67"/>
      <c r="AL97" s="70">
        <f t="shared" si="18"/>
        <v>0</v>
      </c>
    </row>
    <row r="98" spans="2:38" x14ac:dyDescent="0.2">
      <c r="B98" s="5">
        <f t="shared" si="14"/>
        <v>91</v>
      </c>
      <c r="C98" s="5">
        <f t="shared" si="15"/>
        <v>91</v>
      </c>
      <c r="D98" s="5">
        <f t="shared" si="16"/>
        <v>7</v>
      </c>
      <c r="E98" s="5">
        <f t="shared" si="17"/>
        <v>53</v>
      </c>
      <c r="F98" s="64">
        <f>1-(1-VLOOKUP($E98,'Annual Mortality Rates'!$B$5:$C$105,2,FALSE))^(1/12)</f>
        <v>1.5763659934686647E-4</v>
      </c>
      <c r="G98" s="75">
        <f>IF(C98&gt;=[1]Assumptions!$H$9*12,100%,1-(1-IF(D98&gt;=7,2%,VLOOKUP($D98,'[1]Annual Lapse Rates'!$B$4:$C$14,2,FALSE)))^(1/12))</f>
        <v>1.6821425527395739E-3</v>
      </c>
      <c r="H98" s="81">
        <f t="shared" si="19"/>
        <v>7</v>
      </c>
      <c r="I98" s="65">
        <f t="shared" si="20"/>
        <v>3129.0598778104959</v>
      </c>
      <c r="J98" s="66">
        <f t="shared" si="21"/>
        <v>0.49325435829076808</v>
      </c>
      <c r="K98" s="66">
        <f t="shared" si="22"/>
        <v>5.2732427498179204</v>
      </c>
      <c r="M98" s="67">
        <f t="shared" si="27"/>
        <v>76844599.000144571</v>
      </c>
      <c r="N98" s="67">
        <f>IF(AND(MOD(C98,12)=1,D98&lt;15),Assumptions!$H$4*I97,0)</f>
        <v>0</v>
      </c>
      <c r="O98" s="67"/>
      <c r="P98" s="90">
        <f t="shared" si="23"/>
        <v>141377.09119090851</v>
      </c>
      <c r="Q98" s="90">
        <f>M98*VLOOKUP(MOD(C98,12)+(MOD(C98,12)=0)*12,Assumptions!$C$22:$D$33,2,FALSE)*(F98+G98)</f>
        <v>3092.6238698011239</v>
      </c>
      <c r="R98" s="67">
        <f>IF(AND(MOD(C98,12)=0,D98&lt;15),Assumptions!$C$7*M98,0)</f>
        <v>0</v>
      </c>
      <c r="S98" s="68">
        <f>IF(MOD(C98,12)=0,M98*Assumptions!$D$17,0)</f>
        <v>0</v>
      </c>
      <c r="T98" s="68">
        <f t="shared" si="24"/>
        <v>0</v>
      </c>
      <c r="U98" s="67">
        <f>T98+AE98*(1+Assumptions!$D$17)</f>
        <v>0</v>
      </c>
      <c r="V98" s="67">
        <f>(M98+N98-O98)*(1+Assumptions!$D$17)-(P98+Q98)*(1+Assumptions!$D$17)^0.5-R98-T98</f>
        <v>77012909.698902443</v>
      </c>
      <c r="W98" s="67"/>
      <c r="X98" s="67">
        <f>IF(AND(H98=1,D98&lt;15),Assumptions!$D$10*N98+Assumptions!$D$11*(1+Assumptions!$D$16)^(B98-1)*$I$7,0)</f>
        <v>0</v>
      </c>
      <c r="Y98" s="65">
        <f>Assumptions!$C$13*N98</f>
        <v>0</v>
      </c>
      <c r="Z98" s="65">
        <f>NPV(Assumptions!$D$19,N98:$N$259)*(1+Assumptions!$D$19)</f>
        <v>42802974.06079261</v>
      </c>
      <c r="AA98" s="68">
        <f t="shared" si="25"/>
        <v>393701.81465699238</v>
      </c>
      <c r="AC98" s="67">
        <f t="shared" si="26"/>
        <v>77012909.698902443</v>
      </c>
      <c r="AD98" s="67"/>
      <c r="AE98" s="67"/>
      <c r="AF98" s="67"/>
      <c r="AG98" s="67"/>
      <c r="AH98" s="67"/>
      <c r="AI98" s="67"/>
      <c r="AK98" s="67"/>
      <c r="AL98" s="70">
        <f t="shared" si="18"/>
        <v>0</v>
      </c>
    </row>
    <row r="99" spans="2:38" x14ac:dyDescent="0.2">
      <c r="B99" s="5">
        <f t="shared" si="14"/>
        <v>92</v>
      </c>
      <c r="C99" s="5">
        <f t="shared" si="15"/>
        <v>92</v>
      </c>
      <c r="D99" s="5">
        <f t="shared" si="16"/>
        <v>7</v>
      </c>
      <c r="E99" s="5">
        <f t="shared" si="17"/>
        <v>53</v>
      </c>
      <c r="F99" s="64">
        <f>1-(1-VLOOKUP($E99,'Annual Mortality Rates'!$B$5:$C$105,2,FALSE))^(1/12)</f>
        <v>1.5763659934686647E-4</v>
      </c>
      <c r="G99" s="75">
        <f>IF(C99&gt;=[1]Assumptions!$H$9*12,100%,1-(1-IF(D99&gt;=7,2%,VLOOKUP($D99,'[1]Annual Lapse Rates'!$B$4:$C$14,2,FALSE)))^(1/12))</f>
        <v>1.6821425527395739E-3</v>
      </c>
      <c r="H99" s="81">
        <f t="shared" si="19"/>
        <v>8</v>
      </c>
      <c r="I99" s="65">
        <f t="shared" si="20"/>
        <v>3123.2933807023869</v>
      </c>
      <c r="J99" s="66">
        <f t="shared" si="21"/>
        <v>0.49234534729650226</v>
      </c>
      <c r="K99" s="66">
        <f t="shared" si="22"/>
        <v>5.2635247705351267</v>
      </c>
      <c r="M99" s="67">
        <f t="shared" si="27"/>
        <v>77012909.698902443</v>
      </c>
      <c r="N99" s="67">
        <f>IF(AND(MOD(C99,12)=1,D99&lt;15),Assumptions!$H$4*I98,0)</f>
        <v>0</v>
      </c>
      <c r="O99" s="67"/>
      <c r="P99" s="90">
        <f t="shared" si="23"/>
        <v>141686.74570555633</v>
      </c>
      <c r="Q99" s="90">
        <f>M99*VLOOKUP(MOD(C99,12)+(MOD(C99,12)=0)*12,Assumptions!$C$22:$D$33,2,FALSE)*(F99+G99)</f>
        <v>3542.1686426389083</v>
      </c>
      <c r="R99" s="67">
        <f>IF(AND(MOD(C99,12)=0,D99&lt;15),Assumptions!$C$7*M99,0)</f>
        <v>0</v>
      </c>
      <c r="S99" s="68">
        <f>IF(MOD(C99,12)=0,M99*Assumptions!$D$17,0)</f>
        <v>0</v>
      </c>
      <c r="T99" s="68">
        <f t="shared" si="24"/>
        <v>0</v>
      </c>
      <c r="U99" s="67">
        <f>T99+AE99*(1+Assumptions!$D$17)</f>
        <v>0</v>
      </c>
      <c r="V99" s="67">
        <f>(M99+N99-O99)*(1+Assumptions!$D$17)-(P99+Q99)*(1+Assumptions!$D$17)^0.5-R99-T99</f>
        <v>77181145.372029737</v>
      </c>
      <c r="W99" s="67"/>
      <c r="X99" s="67">
        <f>IF(AND(H99=1,D99&lt;15),Assumptions!$D$10*N99+Assumptions!$D$11*(1+Assumptions!$D$16)^(B99-1)*$I$7,0)</f>
        <v>0</v>
      </c>
      <c r="Y99" s="65">
        <f>Assumptions!$C$13*N99</f>
        <v>0</v>
      </c>
      <c r="Z99" s="65">
        <f>NPV(Assumptions!$D$19,N99:$N$259)*(1+Assumptions!$D$19)</f>
        <v>42986727.413608178</v>
      </c>
      <c r="AA99" s="68">
        <f t="shared" si="25"/>
        <v>395391.97825053253</v>
      </c>
      <c r="AC99" s="67">
        <f t="shared" si="26"/>
        <v>77181145.372029737</v>
      </c>
      <c r="AD99" s="67"/>
      <c r="AE99" s="67"/>
      <c r="AF99" s="67"/>
      <c r="AG99" s="67"/>
      <c r="AH99" s="67"/>
      <c r="AI99" s="67"/>
      <c r="AK99" s="67"/>
      <c r="AL99" s="70">
        <f t="shared" si="18"/>
        <v>0</v>
      </c>
    </row>
    <row r="100" spans="2:38" x14ac:dyDescent="0.2">
      <c r="B100" s="5">
        <f t="shared" si="14"/>
        <v>93</v>
      </c>
      <c r="C100" s="5">
        <f t="shared" si="15"/>
        <v>93</v>
      </c>
      <c r="D100" s="5">
        <f t="shared" si="16"/>
        <v>7</v>
      </c>
      <c r="E100" s="5">
        <f t="shared" si="17"/>
        <v>53</v>
      </c>
      <c r="F100" s="64">
        <f>1-(1-VLOOKUP($E100,'Annual Mortality Rates'!$B$5:$C$105,2,FALSE))^(1/12)</f>
        <v>1.5763659934686647E-4</v>
      </c>
      <c r="G100" s="75">
        <f>IF(C100&gt;=[1]Assumptions!$H$9*12,100%,1-(1-IF(D100&gt;=7,2%,VLOOKUP($D100,'[1]Annual Lapse Rates'!$B$4:$C$14,2,FALSE)))^(1/12))</f>
        <v>1.6821425527395739E-3</v>
      </c>
      <c r="H100" s="81">
        <f t="shared" si="19"/>
        <v>9</v>
      </c>
      <c r="I100" s="65">
        <f t="shared" si="20"/>
        <v>3117.5375105845551</v>
      </c>
      <c r="J100" s="66">
        <f t="shared" si="21"/>
        <v>0.49143801150484501</v>
      </c>
      <c r="K100" s="66">
        <f t="shared" si="22"/>
        <v>5.2538247003693268</v>
      </c>
      <c r="M100" s="67">
        <f t="shared" si="27"/>
        <v>77181145.372029737</v>
      </c>
      <c r="N100" s="67">
        <f>IF(AND(MOD(C100,12)=1,D100&lt;15),Assumptions!$H$4*I99,0)</f>
        <v>0</v>
      </c>
      <c r="O100" s="67"/>
      <c r="P100" s="90">
        <f t="shared" si="23"/>
        <v>141996.26218961316</v>
      </c>
      <c r="Q100" s="90">
        <f>M100*VLOOKUP(MOD(C100,12)+(MOD(C100,12)=0)*12,Assumptions!$C$22:$D$33,2,FALSE)*(F100+G100)</f>
        <v>3993.6448740828705</v>
      </c>
      <c r="R100" s="67">
        <f>IF(AND(MOD(C100,12)=0,D100&lt;15),Assumptions!$C$7*M100,0)</f>
        <v>0</v>
      </c>
      <c r="S100" s="68">
        <f>IF(MOD(C100,12)=0,M100*Assumptions!$D$17,0)</f>
        <v>0</v>
      </c>
      <c r="T100" s="68">
        <f t="shared" si="24"/>
        <v>0</v>
      </c>
      <c r="U100" s="67">
        <f>T100+AE100*(1+Assumptions!$D$17)</f>
        <v>0</v>
      </c>
      <c r="V100" s="67">
        <f>(M100+N100-O100)*(1+Assumptions!$D$17)-(P100+Q100)*(1+Assumptions!$D$17)^0.5-R100-T100</f>
        <v>77349303.916785121</v>
      </c>
      <c r="W100" s="67"/>
      <c r="X100" s="67">
        <f>IF(AND(H100=1,D100&lt;15),Assumptions!$D$10*N100+Assumptions!$D$11*(1+Assumptions!$D$16)^(B100-1)*$I$7,0)</f>
        <v>0</v>
      </c>
      <c r="Y100" s="65">
        <f>Assumptions!$C$13*N100</f>
        <v>0</v>
      </c>
      <c r="Z100" s="65">
        <f>NPV(Assumptions!$D$19,N100:$N$259)*(1+Assumptions!$D$19)</f>
        <v>43171269.620362327</v>
      </c>
      <c r="AA100" s="68">
        <f t="shared" si="25"/>
        <v>397089.39772369165</v>
      </c>
      <c r="AC100" s="67">
        <f t="shared" si="26"/>
        <v>77349303.916785121</v>
      </c>
      <c r="AD100" s="67"/>
      <c r="AE100" s="67"/>
      <c r="AF100" s="67"/>
      <c r="AG100" s="67"/>
      <c r="AH100" s="67"/>
      <c r="AI100" s="67"/>
      <c r="AK100" s="67"/>
      <c r="AL100" s="70">
        <f t="shared" si="18"/>
        <v>0</v>
      </c>
    </row>
    <row r="101" spans="2:38" x14ac:dyDescent="0.2">
      <c r="B101" s="5">
        <f t="shared" si="14"/>
        <v>94</v>
      </c>
      <c r="C101" s="5">
        <f t="shared" si="15"/>
        <v>94</v>
      </c>
      <c r="D101" s="5">
        <f t="shared" si="16"/>
        <v>7</v>
      </c>
      <c r="E101" s="5">
        <f t="shared" si="17"/>
        <v>53</v>
      </c>
      <c r="F101" s="64">
        <f>1-(1-VLOOKUP($E101,'Annual Mortality Rates'!$B$5:$C$105,2,FALSE))^(1/12)</f>
        <v>1.5763659934686647E-4</v>
      </c>
      <c r="G101" s="75">
        <f>IF(C101&gt;=[1]Assumptions!$H$9*12,100%,1-(1-IF(D101&gt;=7,2%,VLOOKUP($D101,'[1]Annual Lapse Rates'!$B$4:$C$14,2,FALSE)))^(1/12))</f>
        <v>1.6821425527395739E-3</v>
      </c>
      <c r="H101" s="81">
        <f t="shared" si="19"/>
        <v>10</v>
      </c>
      <c r="I101" s="65">
        <f t="shared" si="20"/>
        <v>3111.7922478726809</v>
      </c>
      <c r="J101" s="66">
        <f t="shared" si="21"/>
        <v>0.49053234782859079</v>
      </c>
      <c r="K101" s="66">
        <f t="shared" si="22"/>
        <v>5.2441425063160798</v>
      </c>
      <c r="M101" s="67">
        <f t="shared" si="27"/>
        <v>77349303.916785121</v>
      </c>
      <c r="N101" s="67">
        <f>IF(AND(MOD(C101,12)=1,D101&lt;15),Assumptions!$H$4*I100,0)</f>
        <v>0</v>
      </c>
      <c r="O101" s="67"/>
      <c r="P101" s="90">
        <f t="shared" si="23"/>
        <v>142305.63677449932</v>
      </c>
      <c r="Q101" s="90">
        <f>M101*VLOOKUP(MOD(C101,12)+(MOD(C101,12)=0)*12,Assumptions!$C$22:$D$33,2,FALSE)*(F101+G101)</f>
        <v>4447.0511492031037</v>
      </c>
      <c r="R101" s="67">
        <f>IF(AND(MOD(C101,12)=0,D101&lt;15),Assumptions!$C$7*M101,0)</f>
        <v>0</v>
      </c>
      <c r="S101" s="68">
        <f>IF(MOD(C101,12)=0,M101*Assumptions!$D$17,0)</f>
        <v>0</v>
      </c>
      <c r="T101" s="68">
        <f t="shared" si="24"/>
        <v>0</v>
      </c>
      <c r="U101" s="67">
        <f>T101+AE101*(1+Assumptions!$D$17)</f>
        <v>0</v>
      </c>
      <c r="V101" s="67">
        <f>(M101+N101-O101)*(1+Assumptions!$D$17)-(P101+Q101)*(1+Assumptions!$D$17)^0.5-R101-T101</f>
        <v>77517383.227154702</v>
      </c>
      <c r="W101" s="67"/>
      <c r="X101" s="67">
        <f>IF(AND(H101=1,D101&lt;15),Assumptions!$D$10*N101+Assumptions!$D$11*(1+Assumptions!$D$16)^(B101-1)*$I$7,0)</f>
        <v>0</v>
      </c>
      <c r="Y101" s="65">
        <f>Assumptions!$C$13*N101</f>
        <v>0</v>
      </c>
      <c r="Z101" s="65">
        <f>NPV(Assumptions!$D$19,N101:$N$259)*(1+Assumptions!$D$19)</f>
        <v>43356604.067608431</v>
      </c>
      <c r="AA101" s="68">
        <f t="shared" si="25"/>
        <v>398794.10422599234</v>
      </c>
      <c r="AC101" s="67">
        <f t="shared" si="26"/>
        <v>77517383.227154702</v>
      </c>
      <c r="AD101" s="67"/>
      <c r="AE101" s="67"/>
      <c r="AF101" s="67"/>
      <c r="AG101" s="67"/>
      <c r="AH101" s="67"/>
      <c r="AI101" s="67"/>
      <c r="AK101" s="67"/>
      <c r="AL101" s="70">
        <f t="shared" si="18"/>
        <v>0</v>
      </c>
    </row>
    <row r="102" spans="2:38" x14ac:dyDescent="0.2">
      <c r="B102" s="5">
        <f t="shared" si="14"/>
        <v>95</v>
      </c>
      <c r="C102" s="5">
        <f t="shared" si="15"/>
        <v>95</v>
      </c>
      <c r="D102" s="5">
        <f t="shared" si="16"/>
        <v>7</v>
      </c>
      <c r="E102" s="5">
        <f t="shared" si="17"/>
        <v>53</v>
      </c>
      <c r="F102" s="64">
        <f>1-(1-VLOOKUP($E102,'Annual Mortality Rates'!$B$5:$C$105,2,FALSE))^(1/12)</f>
        <v>1.5763659934686647E-4</v>
      </c>
      <c r="G102" s="75">
        <f>IF(C102&gt;=[1]Assumptions!$H$9*12,100%,1-(1-IF(D102&gt;=7,2%,VLOOKUP($D102,'[1]Annual Lapse Rates'!$B$4:$C$14,2,FALSE)))^(1/12))</f>
        <v>1.6821425527395739E-3</v>
      </c>
      <c r="H102" s="81">
        <f t="shared" si="19"/>
        <v>11</v>
      </c>
      <c r="I102" s="65">
        <f t="shared" si="20"/>
        <v>3106.057573018536</v>
      </c>
      <c r="J102" s="66">
        <f t="shared" si="21"/>
        <v>0.48962835318622339</v>
      </c>
      <c r="K102" s="66">
        <f t="shared" si="22"/>
        <v>5.2344781554317681</v>
      </c>
      <c r="M102" s="67">
        <f t="shared" si="27"/>
        <v>77517383.227154702</v>
      </c>
      <c r="N102" s="67">
        <f>IF(AND(MOD(C102,12)=1,D102&lt;15),Assumptions!$H$4*I101,0)</f>
        <v>0</v>
      </c>
      <c r="O102" s="67"/>
      <c r="P102" s="90">
        <f t="shared" si="23"/>
        <v>142614.86558561435</v>
      </c>
      <c r="Q102" s="90">
        <f>M102*VLOOKUP(MOD(C102,12)+(MOD(C102,12)=0)*12,Assumptions!$C$22:$D$33,2,FALSE)*(F102+G102)</f>
        <v>4902.3860045054935</v>
      </c>
      <c r="R102" s="67">
        <f>IF(AND(MOD(C102,12)=0,D102&lt;15),Assumptions!$C$7*M102,0)</f>
        <v>0</v>
      </c>
      <c r="S102" s="68">
        <f>IF(MOD(C102,12)=0,M102*Assumptions!$D$17,0)</f>
        <v>0</v>
      </c>
      <c r="T102" s="68">
        <f t="shared" si="24"/>
        <v>0</v>
      </c>
      <c r="U102" s="67">
        <f>T102+AE102*(1+Assumptions!$D$17)</f>
        <v>0</v>
      </c>
      <c r="V102" s="67">
        <f>(M102+N102-O102)*(1+Assumptions!$D$17)-(P102+Q102)*(1+Assumptions!$D$17)^0.5-R102-T102</f>
        <v>77685381.193893358</v>
      </c>
      <c r="W102" s="67"/>
      <c r="X102" s="67">
        <f>IF(AND(H102=1,D102&lt;15),Assumptions!$D$10*N102+Assumptions!$D$11*(1+Assumptions!$D$16)^(B102-1)*$I$7,0)</f>
        <v>0</v>
      </c>
      <c r="Y102" s="65">
        <f>Assumptions!$C$13*N102</f>
        <v>0</v>
      </c>
      <c r="Z102" s="65">
        <f>NPV(Assumptions!$D$19,N102:$N$259)*(1+Assumptions!$D$19)</f>
        <v>43542734.156438343</v>
      </c>
      <c r="AA102" s="68">
        <f t="shared" si="25"/>
        <v>400506.12904068216</v>
      </c>
      <c r="AC102" s="67">
        <f t="shared" si="26"/>
        <v>77685381.193893358</v>
      </c>
      <c r="AD102" s="67"/>
      <c r="AE102" s="67"/>
      <c r="AF102" s="67"/>
      <c r="AG102" s="67"/>
      <c r="AH102" s="67"/>
      <c r="AI102" s="67"/>
      <c r="AK102" s="67"/>
      <c r="AL102" s="70">
        <f t="shared" si="18"/>
        <v>0</v>
      </c>
    </row>
    <row r="103" spans="2:38" x14ac:dyDescent="0.2">
      <c r="B103" s="5">
        <f t="shared" si="14"/>
        <v>96</v>
      </c>
      <c r="C103" s="5">
        <f t="shared" si="15"/>
        <v>96</v>
      </c>
      <c r="D103" s="5">
        <f t="shared" si="16"/>
        <v>7</v>
      </c>
      <c r="E103" s="5">
        <f t="shared" si="17"/>
        <v>53</v>
      </c>
      <c r="F103" s="64">
        <f>1-(1-VLOOKUP($E103,'Annual Mortality Rates'!$B$5:$C$105,2,FALSE))^(1/12)</f>
        <v>1.5763659934686647E-4</v>
      </c>
      <c r="G103" s="75">
        <f>IF(C103&gt;=[1]Assumptions!$H$9*12,100%,1-(1-IF(D103&gt;=7,2%,VLOOKUP($D103,'[1]Annual Lapse Rates'!$B$4:$C$14,2,FALSE)))^(1/12))</f>
        <v>1.6821425527395739E-3</v>
      </c>
      <c r="H103" s="81">
        <f t="shared" si="19"/>
        <v>12</v>
      </c>
      <c r="I103" s="65">
        <f t="shared" si="20"/>
        <v>3100.3334665099183</v>
      </c>
      <c r="J103" s="66">
        <f t="shared" si="21"/>
        <v>0.48872602450190561</v>
      </c>
      <c r="K103" s="66">
        <f t="shared" si="22"/>
        <v>5.2248316148334855</v>
      </c>
      <c r="M103" s="67">
        <f t="shared" si="27"/>
        <v>77685381.193893358</v>
      </c>
      <c r="N103" s="67">
        <f>IF(AND(MOD(C103,12)=1,D103&lt;15),Assumptions!$H$4*I102,0)</f>
        <v>0</v>
      </c>
      <c r="O103" s="67"/>
      <c r="P103" s="90">
        <f t="shared" si="23"/>
        <v>142923.94474241303</v>
      </c>
      <c r="Q103" s="90">
        <f>M103*VLOOKUP(MOD(C103,12)+(MOD(C103,12)=0)*12,Assumptions!$C$22:$D$33,2,FALSE)*(F103+G103)</f>
        <v>5359.6479278404886</v>
      </c>
      <c r="R103" s="67">
        <f>IF(AND(MOD(C103,12)=0,D103&lt;15),Assumptions!$C$7*M103,0)</f>
        <v>38842.690596946682</v>
      </c>
      <c r="S103" s="68">
        <f>IF(MOD(C103,12)=0,M103*Assumptions!$D$17,0)</f>
        <v>316499.85916382947</v>
      </c>
      <c r="T103" s="68">
        <f t="shared" si="24"/>
        <v>0</v>
      </c>
      <c r="U103" s="67">
        <f>T103+AE103*(1+Assumptions!$D$17)</f>
        <v>0</v>
      </c>
      <c r="V103" s="67">
        <f>(M103+N103-O103)*(1+Assumptions!$D$17)-(P103+Q103)*(1+Assumptions!$D$17)^0.5-R103-T103</f>
        <v>77814453.013969406</v>
      </c>
      <c r="W103" s="67"/>
      <c r="X103" s="67">
        <f>IF(AND(H103=1,D103&lt;15),Assumptions!$D$10*N103+Assumptions!$D$11*(1+Assumptions!$D$16)^(B103-1)*$I$7,0)</f>
        <v>0</v>
      </c>
      <c r="Y103" s="65">
        <f>Assumptions!$C$13*N103</f>
        <v>0</v>
      </c>
      <c r="Z103" s="65">
        <f>NPV(Assumptions!$D$19,N103:$N$259)*(1+Assumptions!$D$19)</f>
        <v>43729663.302544832</v>
      </c>
      <c r="AA103" s="68">
        <f t="shared" si="25"/>
        <v>402225.50358530803</v>
      </c>
      <c r="AC103" s="67">
        <f t="shared" si="26"/>
        <v>77814453.013969406</v>
      </c>
      <c r="AD103" s="67"/>
      <c r="AE103" s="67"/>
      <c r="AF103" s="67"/>
      <c r="AG103" s="67"/>
      <c r="AH103" s="67"/>
      <c r="AI103" s="67"/>
      <c r="AK103" s="67"/>
      <c r="AL103" s="70">
        <f t="shared" si="18"/>
        <v>0</v>
      </c>
    </row>
    <row r="104" spans="2:38" x14ac:dyDescent="0.2">
      <c r="B104" s="5">
        <f t="shared" si="14"/>
        <v>97</v>
      </c>
      <c r="C104" s="5">
        <f t="shared" si="15"/>
        <v>97</v>
      </c>
      <c r="D104" s="5">
        <f t="shared" si="16"/>
        <v>8</v>
      </c>
      <c r="E104" s="5">
        <f t="shared" si="17"/>
        <v>54</v>
      </c>
      <c r="F104" s="64">
        <f>1-(1-VLOOKUP($E104,'Annual Mortality Rates'!$B$5:$C$105,2,FALSE))^(1/12)</f>
        <v>1.7349879770289789E-4</v>
      </c>
      <c r="G104" s="75">
        <f>IF(C104&gt;=[1]Assumptions!$H$9*12,100%,1-(1-IF(D104&gt;=7,2%,VLOOKUP($D104,'[1]Annual Lapse Rates'!$B$4:$C$14,2,FALSE)))^(1/12))</f>
        <v>1.6821425527395739E-3</v>
      </c>
      <c r="H104" s="81">
        <f t="shared" si="19"/>
        <v>1</v>
      </c>
      <c r="I104" s="65">
        <f t="shared" si="20"/>
        <v>3094.619908870583</v>
      </c>
      <c r="J104" s="66">
        <f t="shared" si="21"/>
        <v>0.53691283353649755</v>
      </c>
      <c r="K104" s="66">
        <f t="shared" si="22"/>
        <v>5.2152028516989262</v>
      </c>
      <c r="M104" s="67">
        <f t="shared" si="27"/>
        <v>77814453.013969406</v>
      </c>
      <c r="N104" s="67">
        <f>IF(AND(MOD(C104,12)=1,D104&lt;15),Assumptions!$H$4*I103,0)</f>
        <v>7750833.6662747953</v>
      </c>
      <c r="O104" s="67"/>
      <c r="P104" s="90">
        <f t="shared" si="23"/>
        <v>144395.71667478446</v>
      </c>
      <c r="Q104" s="90">
        <f>M104*VLOOKUP(MOD(C104,12)+(MOD(C104,12)=0)*12,Assumptions!$C$22:$D$33,2,FALSE)*(F104+G104)</f>
        <v>451.23661460870147</v>
      </c>
      <c r="R104" s="67">
        <f>IF(AND(MOD(C104,12)=0,D104&lt;15),Assumptions!$C$7*M104,0)</f>
        <v>0</v>
      </c>
      <c r="S104" s="68">
        <f>IF(MOD(C104,12)=0,M104*Assumptions!$D$17,0)</f>
        <v>0</v>
      </c>
      <c r="T104" s="68">
        <f t="shared" si="24"/>
        <v>0</v>
      </c>
      <c r="U104" s="67">
        <f>T104+AE104*(1+Assumptions!$D$17)</f>
        <v>0</v>
      </c>
      <c r="V104" s="67">
        <f>(M104+N104-O104)*(1+Assumptions!$D$17)-(P104+Q104)*(1+Assumptions!$D$17)^0.5-R104-T104</f>
        <v>85768748.534184143</v>
      </c>
      <c r="W104" s="67"/>
      <c r="X104" s="67">
        <f>IF(AND(H104=1,D104&lt;15),Assumptions!$D$10*N104+Assumptions!$D$11*(1+Assumptions!$D$16)^(B104-1)*$I$7,0)</f>
        <v>76833.098213947727</v>
      </c>
      <c r="Y104" s="65">
        <f>Assumptions!$C$13*N104</f>
        <v>38754.168331373978</v>
      </c>
      <c r="Z104" s="65">
        <f>NPV(Assumptions!$D$19,N104:$N$259)*(1+Assumptions!$D$19)</f>
        <v>43917394.936284244</v>
      </c>
      <c r="AA104" s="68">
        <f t="shared" si="25"/>
        <v>332660.08062156482</v>
      </c>
      <c r="AC104" s="67">
        <f t="shared" si="26"/>
        <v>85768748.534184143</v>
      </c>
      <c r="AD104" s="67"/>
      <c r="AE104" s="67"/>
      <c r="AF104" s="67"/>
      <c r="AG104" s="67"/>
      <c r="AH104" s="67"/>
      <c r="AI104" s="67"/>
      <c r="AK104" s="67"/>
      <c r="AL104" s="70">
        <f t="shared" si="18"/>
        <v>0</v>
      </c>
    </row>
    <row r="105" spans="2:38" x14ac:dyDescent="0.2">
      <c r="B105" s="5">
        <f t="shared" si="14"/>
        <v>98</v>
      </c>
      <c r="C105" s="5">
        <f t="shared" si="15"/>
        <v>98</v>
      </c>
      <c r="D105" s="5">
        <f t="shared" si="16"/>
        <v>8</v>
      </c>
      <c r="E105" s="5">
        <f t="shared" si="17"/>
        <v>54</v>
      </c>
      <c r="F105" s="64">
        <f>1-(1-VLOOKUP($E105,'Annual Mortality Rates'!$B$5:$C$105,2,FALSE))^(1/12)</f>
        <v>1.7349879770289789E-4</v>
      </c>
      <c r="G105" s="75">
        <f>IF(C105&gt;=[1]Assumptions!$H$9*12,100%,1-(1-IF(D105&gt;=7,2%,VLOOKUP($D105,'[1]Annual Lapse Rates'!$B$4:$C$14,2,FALSE)))^(1/12))</f>
        <v>1.6821425527395739E-3</v>
      </c>
      <c r="H105" s="81">
        <f t="shared" si="19"/>
        <v>2</v>
      </c>
      <c r="I105" s="65">
        <f t="shared" si="20"/>
        <v>3088.8677931853476</v>
      </c>
      <c r="J105" s="66">
        <f t="shared" si="21"/>
        <v>0.53591484838086123</v>
      </c>
      <c r="K105" s="66">
        <f t="shared" si="22"/>
        <v>5.2055918332662703</v>
      </c>
      <c r="M105" s="67">
        <f t="shared" si="27"/>
        <v>85768748.534184143</v>
      </c>
      <c r="N105" s="67">
        <f>IF(AND(MOD(C105,12)=1,D105&lt;15),Assumptions!$H$4*I104,0)</f>
        <v>0</v>
      </c>
      <c r="O105" s="67"/>
      <c r="P105" s="90">
        <f t="shared" si="23"/>
        <v>159156.03635573425</v>
      </c>
      <c r="Q105" s="90">
        <f>M105*VLOOKUP(MOD(C105,12)+(MOD(C105,12)=0)*12,Assumptions!$C$22:$D$33,2,FALSE)*(F105+G105)</f>
        <v>994.72522722333906</v>
      </c>
      <c r="R105" s="67">
        <f>IF(AND(MOD(C105,12)=0,D105&lt;15),Assumptions!$C$7*M105,0)</f>
        <v>0</v>
      </c>
      <c r="S105" s="68">
        <f>IF(MOD(C105,12)=0,M105*Assumptions!$D$17,0)</f>
        <v>0</v>
      </c>
      <c r="T105" s="68">
        <f t="shared" si="24"/>
        <v>0</v>
      </c>
      <c r="U105" s="67">
        <f>T105+AE105*(1+Assumptions!$D$17)</f>
        <v>0</v>
      </c>
      <c r="V105" s="67">
        <f>(M105+N105-O105)*(1+Assumptions!$D$17)-(P105+Q105)*(1+Assumptions!$D$17)^0.5-R105-T105</f>
        <v>85957704.365492016</v>
      </c>
      <c r="W105" s="67"/>
      <c r="X105" s="67">
        <f>IF(AND(H105=1,D105&lt;15),Assumptions!$D$10*N105+Assumptions!$D$11*(1+Assumptions!$D$16)^(B105-1)*$I$7,0)</f>
        <v>0</v>
      </c>
      <c r="Y105" s="65">
        <f>Assumptions!$C$13*N105</f>
        <v>0</v>
      </c>
      <c r="Z105" s="65">
        <f>NPV(Assumptions!$D$19,N105:$N$259)*(1+Assumptions!$D$19)</f>
        <v>36321824.474003986</v>
      </c>
      <c r="AA105" s="68">
        <f t="shared" si="25"/>
        <v>334088.19178681442</v>
      </c>
      <c r="AC105" s="67">
        <f t="shared" si="26"/>
        <v>85957704.365492016</v>
      </c>
      <c r="AD105" s="67"/>
      <c r="AE105" s="67"/>
      <c r="AF105" s="67"/>
      <c r="AG105" s="67"/>
      <c r="AH105" s="67"/>
      <c r="AI105" s="67"/>
      <c r="AK105" s="67"/>
      <c r="AL105" s="70">
        <f t="shared" si="18"/>
        <v>0</v>
      </c>
    </row>
    <row r="106" spans="2:38" x14ac:dyDescent="0.2">
      <c r="B106" s="5">
        <f t="shared" si="14"/>
        <v>99</v>
      </c>
      <c r="C106" s="5">
        <f t="shared" si="15"/>
        <v>99</v>
      </c>
      <c r="D106" s="5">
        <f t="shared" si="16"/>
        <v>8</v>
      </c>
      <c r="E106" s="5">
        <f t="shared" si="17"/>
        <v>54</v>
      </c>
      <c r="F106" s="64">
        <f>1-(1-VLOOKUP($E106,'Annual Mortality Rates'!$B$5:$C$105,2,FALSE))^(1/12)</f>
        <v>1.7349879770289789E-4</v>
      </c>
      <c r="G106" s="75">
        <f>IF(C106&gt;=[1]Assumptions!$H$9*12,100%,1-(1-IF(D106&gt;=7,2%,VLOOKUP($D106,'[1]Annual Lapse Rates'!$B$4:$C$14,2,FALSE)))^(1/12))</f>
        <v>1.6821425527395739E-3</v>
      </c>
      <c r="H106" s="81">
        <f t="shared" si="19"/>
        <v>3</v>
      </c>
      <c r="I106" s="65">
        <f t="shared" si="20"/>
        <v>3083.1262865037006</v>
      </c>
      <c r="J106" s="66">
        <f t="shared" si="21"/>
        <v>0.53491870387459239</v>
      </c>
      <c r="K106" s="66">
        <f t="shared" si="22"/>
        <v>5.1959159547038549</v>
      </c>
      <c r="M106" s="67">
        <f t="shared" si="27"/>
        <v>85957704.365492016</v>
      </c>
      <c r="N106" s="67">
        <f>IF(AND(MOD(C106,12)=1,D106&lt;15),Assumptions!$H$4*I105,0)</f>
        <v>0</v>
      </c>
      <c r="O106" s="67"/>
      <c r="P106" s="90">
        <f t="shared" si="23"/>
        <v>159506.67060971636</v>
      </c>
      <c r="Q106" s="90">
        <f>M106*VLOOKUP(MOD(C106,12)+(MOD(C106,12)=0)*12,Assumptions!$C$22:$D$33,2,FALSE)*(F106+G106)</f>
        <v>1495.3750369660911</v>
      </c>
      <c r="R106" s="67">
        <f>IF(AND(MOD(C106,12)=0,D106&lt;15),Assumptions!$C$7*M106,0)</f>
        <v>0</v>
      </c>
      <c r="S106" s="68">
        <f>IF(MOD(C106,12)=0,M106*Assumptions!$D$17,0)</f>
        <v>0</v>
      </c>
      <c r="T106" s="68">
        <f t="shared" si="24"/>
        <v>0</v>
      </c>
      <c r="U106" s="67">
        <f>T106+AE106*(1+Assumptions!$D$17)</f>
        <v>0</v>
      </c>
      <c r="V106" s="67">
        <f>(M106+N106-O106)*(1+Assumptions!$D$17)-(P106+Q106)*(1+Assumptions!$D$17)^0.5-R106-T106</f>
        <v>86146577.009826899</v>
      </c>
      <c r="W106" s="67"/>
      <c r="X106" s="67">
        <f>IF(AND(H106=1,D106&lt;15),Assumptions!$D$10*N106+Assumptions!$D$11*(1+Assumptions!$D$16)^(B106-1)*$I$7,0)</f>
        <v>0</v>
      </c>
      <c r="Y106" s="65">
        <f>Assumptions!$C$13*N106</f>
        <v>0</v>
      </c>
      <c r="Z106" s="65">
        <f>NPV(Assumptions!$D$19,N106:$N$259)*(1+Assumptions!$D$19)</f>
        <v>36477754.223604962</v>
      </c>
      <c r="AA106" s="68">
        <f t="shared" si="25"/>
        <v>335522.43383947469</v>
      </c>
      <c r="AC106" s="67">
        <f t="shared" si="26"/>
        <v>86146577.009826899</v>
      </c>
      <c r="AD106" s="67"/>
      <c r="AE106" s="67"/>
      <c r="AF106" s="67"/>
      <c r="AG106" s="67"/>
      <c r="AH106" s="67"/>
      <c r="AI106" s="67"/>
      <c r="AK106" s="67"/>
      <c r="AL106" s="70">
        <f t="shared" si="18"/>
        <v>0</v>
      </c>
    </row>
    <row r="107" spans="2:38" x14ac:dyDescent="0.2">
      <c r="B107" s="5">
        <f t="shared" si="14"/>
        <v>100</v>
      </c>
      <c r="C107" s="5">
        <f t="shared" si="15"/>
        <v>100</v>
      </c>
      <c r="D107" s="5">
        <f t="shared" si="16"/>
        <v>8</v>
      </c>
      <c r="E107" s="5">
        <f t="shared" si="17"/>
        <v>54</v>
      </c>
      <c r="F107" s="64">
        <f>1-(1-VLOOKUP($E107,'Annual Mortality Rates'!$B$5:$C$105,2,FALSE))^(1/12)</f>
        <v>1.7349879770289789E-4</v>
      </c>
      <c r="G107" s="75">
        <f>IF(C107&gt;=[1]Assumptions!$H$9*12,100%,1-(1-IF(D107&gt;=7,2%,VLOOKUP($D107,'[1]Annual Lapse Rates'!$B$4:$C$14,2,FALSE)))^(1/12))</f>
        <v>1.6821425527395739E-3</v>
      </c>
      <c r="H107" s="81">
        <f t="shared" si="19"/>
        <v>4</v>
      </c>
      <c r="I107" s="65">
        <f t="shared" si="20"/>
        <v>3077.3954518451224</v>
      </c>
      <c r="J107" s="66">
        <f t="shared" si="21"/>
        <v>0.5339244109514949</v>
      </c>
      <c r="K107" s="66">
        <f t="shared" si="22"/>
        <v>5.186257921997818</v>
      </c>
      <c r="M107" s="67">
        <f t="shared" si="27"/>
        <v>86146577.009826899</v>
      </c>
      <c r="N107" s="67">
        <f>IF(AND(MOD(C107,12)=1,D107&lt;15),Assumptions!$H$4*I106,0)</f>
        <v>0</v>
      </c>
      <c r="O107" s="67"/>
      <c r="P107" s="90">
        <f t="shared" si="23"/>
        <v>159857.15049851159</v>
      </c>
      <c r="Q107" s="90">
        <f>M107*VLOOKUP(MOD(C107,12)+(MOD(C107,12)=0)*12,Assumptions!$C$22:$D$33,2,FALSE)*(F107+G107)</f>
        <v>1998.2143812313948</v>
      </c>
      <c r="R107" s="67">
        <f>IF(AND(MOD(C107,12)=0,D107&lt;15),Assumptions!$C$7*M107,0)</f>
        <v>0</v>
      </c>
      <c r="S107" s="68">
        <f>IF(MOD(C107,12)=0,M107*Assumptions!$D$17,0)</f>
        <v>0</v>
      </c>
      <c r="T107" s="68">
        <f t="shared" si="24"/>
        <v>0</v>
      </c>
      <c r="U107" s="67">
        <f>T107+AE107*(1+Assumptions!$D$17)</f>
        <v>0</v>
      </c>
      <c r="V107" s="67">
        <f>(M107+N107-O107)*(1+Assumptions!$D$17)-(P107+Q107)*(1+Assumptions!$D$17)^0.5-R107-T107</f>
        <v>86335364.088963881</v>
      </c>
      <c r="W107" s="67"/>
      <c r="X107" s="67">
        <f>IF(AND(H107=1,D107&lt;15),Assumptions!$D$10*N107+Assumptions!$D$11*(1+Assumptions!$D$16)^(B107-1)*$I$7,0)</f>
        <v>0</v>
      </c>
      <c r="Y107" s="65">
        <f>Assumptions!$C$13*N107</f>
        <v>0</v>
      </c>
      <c r="Z107" s="65">
        <f>NPV(Assumptions!$D$19,N107:$N$259)*(1+Assumptions!$D$19)</f>
        <v>36634353.380295552</v>
      </c>
      <c r="AA107" s="68">
        <f t="shared" si="25"/>
        <v>336962.83309947181</v>
      </c>
      <c r="AC107" s="67">
        <f t="shared" si="26"/>
        <v>86335364.088963881</v>
      </c>
      <c r="AD107" s="67"/>
      <c r="AE107" s="67"/>
      <c r="AF107" s="67"/>
      <c r="AG107" s="67"/>
      <c r="AH107" s="67"/>
      <c r="AI107" s="67"/>
      <c r="AK107" s="67"/>
      <c r="AL107" s="70">
        <f t="shared" si="18"/>
        <v>0</v>
      </c>
    </row>
    <row r="108" spans="2:38" x14ac:dyDescent="0.2">
      <c r="B108" s="5">
        <f t="shared" si="14"/>
        <v>101</v>
      </c>
      <c r="C108" s="5">
        <f t="shared" si="15"/>
        <v>101</v>
      </c>
      <c r="D108" s="5">
        <f t="shared" si="16"/>
        <v>8</v>
      </c>
      <c r="E108" s="5">
        <f t="shared" si="17"/>
        <v>54</v>
      </c>
      <c r="F108" s="64">
        <f>1-(1-VLOOKUP($E108,'Annual Mortality Rates'!$B$5:$C$105,2,FALSE))^(1/12)</f>
        <v>1.7349879770289789E-4</v>
      </c>
      <c r="G108" s="75">
        <f>IF(C108&gt;=[1]Assumptions!$H$9*12,100%,1-(1-IF(D108&gt;=7,2%,VLOOKUP($D108,'[1]Annual Lapse Rates'!$B$4:$C$14,2,FALSE)))^(1/12))</f>
        <v>1.6821425527395739E-3</v>
      </c>
      <c r="H108" s="81">
        <f t="shared" si="19"/>
        <v>5</v>
      </c>
      <c r="I108" s="65">
        <f t="shared" si="20"/>
        <v>3071.6752695121731</v>
      </c>
      <c r="J108" s="66">
        <f t="shared" si="21"/>
        <v>0.53293196619408689</v>
      </c>
      <c r="K108" s="66">
        <f t="shared" si="22"/>
        <v>5.1766178411559087</v>
      </c>
      <c r="M108" s="67">
        <f t="shared" si="27"/>
        <v>86335364.088963881</v>
      </c>
      <c r="N108" s="67">
        <f>IF(AND(MOD(C108,12)=1,D108&lt;15),Assumptions!$H$4*I107,0)</f>
        <v>0</v>
      </c>
      <c r="O108" s="67"/>
      <c r="P108" s="90">
        <f t="shared" si="23"/>
        <v>160207.47160898743</v>
      </c>
      <c r="Q108" s="90">
        <f>M108*VLOOKUP(MOD(C108,12)+(MOD(C108,12)=0)*12,Assumptions!$C$22:$D$33,2,FALSE)*(F108+G108)</f>
        <v>2503.2417438904286</v>
      </c>
      <c r="R108" s="67">
        <f>IF(AND(MOD(C108,12)=0,D108&lt;15),Assumptions!$C$7*M108,0)</f>
        <v>0</v>
      </c>
      <c r="S108" s="68">
        <f>IF(MOD(C108,12)=0,M108*Assumptions!$D$17,0)</f>
        <v>0</v>
      </c>
      <c r="T108" s="68">
        <f t="shared" si="24"/>
        <v>0</v>
      </c>
      <c r="U108" s="67">
        <f>T108+AE108*(1+Assumptions!$D$17)</f>
        <v>0</v>
      </c>
      <c r="V108" s="67">
        <f>(M108+N108-O108)*(1+Assumptions!$D$17)-(P108+Q108)*(1+Assumptions!$D$17)^0.5-R108-T108</f>
        <v>86524063.220930189</v>
      </c>
      <c r="W108" s="67"/>
      <c r="X108" s="67">
        <f>IF(AND(H108=1,D108&lt;15),Assumptions!$D$10*N108+Assumptions!$D$11*(1+Assumptions!$D$16)^(B108-1)*$I$7,0)</f>
        <v>0</v>
      </c>
      <c r="Y108" s="65">
        <f>Assumptions!$C$13*N108</f>
        <v>0</v>
      </c>
      <c r="Z108" s="65">
        <f>NPV(Assumptions!$D$19,N108:$N$259)*(1+Assumptions!$D$19)</f>
        <v>36791624.817843296</v>
      </c>
      <c r="AA108" s="68">
        <f t="shared" si="25"/>
        <v>338409.41599972348</v>
      </c>
      <c r="AC108" s="67">
        <f t="shared" si="26"/>
        <v>86524063.220930189</v>
      </c>
      <c r="AD108" s="67"/>
      <c r="AE108" s="67"/>
      <c r="AF108" s="67"/>
      <c r="AG108" s="67"/>
      <c r="AH108" s="67"/>
      <c r="AI108" s="67"/>
      <c r="AK108" s="67"/>
      <c r="AL108" s="70">
        <f t="shared" si="18"/>
        <v>0</v>
      </c>
    </row>
    <row r="109" spans="2:38" x14ac:dyDescent="0.2">
      <c r="B109" s="5">
        <f t="shared" si="14"/>
        <v>102</v>
      </c>
      <c r="C109" s="5">
        <f t="shared" si="15"/>
        <v>102</v>
      </c>
      <c r="D109" s="5">
        <f t="shared" si="16"/>
        <v>8</v>
      </c>
      <c r="E109" s="5">
        <f t="shared" si="17"/>
        <v>54</v>
      </c>
      <c r="F109" s="64">
        <f>1-(1-VLOOKUP($E109,'Annual Mortality Rates'!$B$5:$C$105,2,FALSE))^(1/12)</f>
        <v>1.7349879770289789E-4</v>
      </c>
      <c r="G109" s="75">
        <f>IF(C109&gt;=[1]Assumptions!$H$9*12,100%,1-(1-IF(D109&gt;=7,2%,VLOOKUP($D109,'[1]Annual Lapse Rates'!$B$4:$C$14,2,FALSE)))^(1/12))</f>
        <v>1.6821425527395739E-3</v>
      </c>
      <c r="H109" s="81">
        <f t="shared" si="19"/>
        <v>6</v>
      </c>
      <c r="I109" s="65">
        <f t="shared" si="20"/>
        <v>3065.9657197048232</v>
      </c>
      <c r="J109" s="66">
        <f t="shared" si="21"/>
        <v>0.53194136616708687</v>
      </c>
      <c r="K109" s="66">
        <f t="shared" si="22"/>
        <v>5.1669956790442253</v>
      </c>
      <c r="M109" s="67">
        <f t="shared" si="27"/>
        <v>86524063.220930189</v>
      </c>
      <c r="N109" s="67">
        <f>IF(AND(MOD(C109,12)=1,D109&lt;15),Assumptions!$H$4*I108,0)</f>
        <v>0</v>
      </c>
      <c r="O109" s="67"/>
      <c r="P109" s="90">
        <f t="shared" si="23"/>
        <v>160557.62952105669</v>
      </c>
      <c r="Q109" s="90">
        <f>M109*VLOOKUP(MOD(C109,12)+(MOD(C109,12)=0)*12,Assumptions!$C$22:$D$33,2,FALSE)*(F109+G109)</f>
        <v>3010.4555535198133</v>
      </c>
      <c r="R109" s="67">
        <f>IF(AND(MOD(C109,12)=0,D109&lt;15),Assumptions!$C$7*M109,0)</f>
        <v>0</v>
      </c>
      <c r="S109" s="68">
        <f>IF(MOD(C109,12)=0,M109*Assumptions!$D$17,0)</f>
        <v>0</v>
      </c>
      <c r="T109" s="68">
        <f t="shared" si="24"/>
        <v>0</v>
      </c>
      <c r="U109" s="67">
        <f>T109+AE109*(1+Assumptions!$D$17)</f>
        <v>0</v>
      </c>
      <c r="V109" s="67">
        <f>(M109+N109-O109)*(1+Assumptions!$D$17)-(P109+Q109)*(1+Assumptions!$D$17)^0.5-R109-T109</f>
        <v>86712672.020052299</v>
      </c>
      <c r="W109" s="67"/>
      <c r="X109" s="67">
        <f>IF(AND(H109=1,D109&lt;15),Assumptions!$D$10*N109+Assumptions!$D$11*(1+Assumptions!$D$16)^(B109-1)*$I$7,0)</f>
        <v>0</v>
      </c>
      <c r="Y109" s="65">
        <f>Assumptions!$C$13*N109</f>
        <v>0</v>
      </c>
      <c r="Z109" s="65">
        <f>NPV(Assumptions!$D$19,N109:$N$259)*(1+Assumptions!$D$19)</f>
        <v>36949571.422352806</v>
      </c>
      <c r="AA109" s="68">
        <f t="shared" si="25"/>
        <v>339862.20908662415</v>
      </c>
      <c r="AC109" s="67">
        <f t="shared" si="26"/>
        <v>86712672.020052299</v>
      </c>
      <c r="AD109" s="67"/>
      <c r="AE109" s="67"/>
      <c r="AF109" s="67"/>
      <c r="AG109" s="67"/>
      <c r="AH109" s="67"/>
      <c r="AI109" s="67"/>
      <c r="AK109" s="67"/>
      <c r="AL109" s="70">
        <f t="shared" si="18"/>
        <v>0</v>
      </c>
    </row>
    <row r="110" spans="2:38" x14ac:dyDescent="0.2">
      <c r="B110" s="5">
        <f t="shared" si="14"/>
        <v>103</v>
      </c>
      <c r="C110" s="5">
        <f t="shared" si="15"/>
        <v>103</v>
      </c>
      <c r="D110" s="5">
        <f t="shared" si="16"/>
        <v>8</v>
      </c>
      <c r="E110" s="5">
        <f t="shared" si="17"/>
        <v>54</v>
      </c>
      <c r="F110" s="64">
        <f>1-(1-VLOOKUP($E110,'Annual Mortality Rates'!$B$5:$C$105,2,FALSE))^(1/12)</f>
        <v>1.7349879770289789E-4</v>
      </c>
      <c r="G110" s="75">
        <f>IF(C110&gt;=[1]Assumptions!$H$9*12,100%,1-(1-IF(D110&gt;=7,2%,VLOOKUP($D110,'[1]Annual Lapse Rates'!$B$4:$C$14,2,FALSE)))^(1/12))</f>
        <v>1.6821425527395739E-3</v>
      </c>
      <c r="H110" s="81">
        <f t="shared" si="19"/>
        <v>7</v>
      </c>
      <c r="I110" s="65">
        <f t="shared" si="20"/>
        <v>3060.2667826596116</v>
      </c>
      <c r="J110" s="66">
        <f t="shared" si="21"/>
        <v>0.53095260744155814</v>
      </c>
      <c r="K110" s="66">
        <f t="shared" si="22"/>
        <v>5.1573914023562963</v>
      </c>
      <c r="M110" s="67">
        <f t="shared" si="27"/>
        <v>86712672.020052299</v>
      </c>
      <c r="N110" s="67">
        <f>IF(AND(MOD(C110,12)=1,D110&lt;15),Assumptions!$H$4*I109,0)</f>
        <v>0</v>
      </c>
      <c r="O110" s="67"/>
      <c r="P110" s="90">
        <f t="shared" si="23"/>
        <v>160907.61980776498</v>
      </c>
      <c r="Q110" s="90">
        <f>M110*VLOOKUP(MOD(C110,12)+(MOD(C110,12)=0)*12,Assumptions!$C$22:$D$33,2,FALSE)*(F110+G110)</f>
        <v>3519.8541832948595</v>
      </c>
      <c r="R110" s="67">
        <f>IF(AND(MOD(C110,12)=0,D110&lt;15),Assumptions!$C$7*M110,0)</f>
        <v>0</v>
      </c>
      <c r="S110" s="68">
        <f>IF(MOD(C110,12)=0,M110*Assumptions!$D$17,0)</f>
        <v>0</v>
      </c>
      <c r="T110" s="68">
        <f t="shared" si="24"/>
        <v>0</v>
      </c>
      <c r="U110" s="67">
        <f>T110+AE110*(1+Assumptions!$D$17)</f>
        <v>0</v>
      </c>
      <c r="V110" s="67">
        <f>(M110+N110-O110)*(1+Assumptions!$D$17)-(P110+Q110)*(1+Assumptions!$D$17)^0.5-R110-T110</f>
        <v>86901188.097003266</v>
      </c>
      <c r="W110" s="67"/>
      <c r="X110" s="67">
        <f>IF(AND(H110=1,D110&lt;15),Assumptions!$D$10*N110+Assumptions!$D$11*(1+Assumptions!$D$16)^(B110-1)*$I$7,0)</f>
        <v>0</v>
      </c>
      <c r="Y110" s="65">
        <f>Assumptions!$C$13*N110</f>
        <v>0</v>
      </c>
      <c r="Z110" s="65">
        <f>NPV(Assumptions!$D$19,N110:$N$259)*(1+Assumptions!$D$19)</f>
        <v>37108196.092318788</v>
      </c>
      <c r="AA110" s="68">
        <f t="shared" si="25"/>
        <v>341321.23902053176</v>
      </c>
      <c r="AC110" s="67">
        <f t="shared" si="26"/>
        <v>86901188.097003266</v>
      </c>
      <c r="AD110" s="67"/>
      <c r="AE110" s="67"/>
      <c r="AF110" s="67"/>
      <c r="AG110" s="67"/>
      <c r="AH110" s="67"/>
      <c r="AI110" s="67"/>
      <c r="AK110" s="67"/>
      <c r="AL110" s="70">
        <f t="shared" si="18"/>
        <v>0</v>
      </c>
    </row>
    <row r="111" spans="2:38" x14ac:dyDescent="0.2">
      <c r="B111" s="5">
        <f t="shared" si="14"/>
        <v>104</v>
      </c>
      <c r="C111" s="5">
        <f t="shared" si="15"/>
        <v>104</v>
      </c>
      <c r="D111" s="5">
        <f t="shared" si="16"/>
        <v>8</v>
      </c>
      <c r="E111" s="5">
        <f t="shared" si="17"/>
        <v>54</v>
      </c>
      <c r="F111" s="64">
        <f>1-(1-VLOOKUP($E111,'Annual Mortality Rates'!$B$5:$C$105,2,FALSE))^(1/12)</f>
        <v>1.7349879770289789E-4</v>
      </c>
      <c r="G111" s="75">
        <f>IF(C111&gt;=[1]Assumptions!$H$9*12,100%,1-(1-IF(D111&gt;=7,2%,VLOOKUP($D111,'[1]Annual Lapse Rates'!$B$4:$C$14,2,FALSE)))^(1/12))</f>
        <v>1.6821425527395739E-3</v>
      </c>
      <c r="H111" s="81">
        <f t="shared" si="19"/>
        <v>8</v>
      </c>
      <c r="I111" s="65">
        <f t="shared" si="20"/>
        <v>3054.578438649814</v>
      </c>
      <c r="J111" s="66">
        <f t="shared" si="21"/>
        <v>0.52996568659493781</v>
      </c>
      <c r="K111" s="66">
        <f t="shared" si="22"/>
        <v>5.1478049778471622</v>
      </c>
      <c r="M111" s="67">
        <f t="shared" si="27"/>
        <v>86901188.097003266</v>
      </c>
      <c r="N111" s="67">
        <f>IF(AND(MOD(C111,12)=1,D111&lt;15),Assumptions!$H$4*I110,0)</f>
        <v>0</v>
      </c>
      <c r="O111" s="67"/>
      <c r="P111" s="90">
        <f t="shared" si="23"/>
        <v>161257.43803537841</v>
      </c>
      <c r="Q111" s="90">
        <f>M111*VLOOKUP(MOD(C111,12)+(MOD(C111,12)=0)*12,Assumptions!$C$22:$D$33,2,FALSE)*(F111+G111)</f>
        <v>4031.43595088446</v>
      </c>
      <c r="R111" s="67">
        <f>IF(AND(MOD(C111,12)=0,D111&lt;15),Assumptions!$C$7*M111,0)</f>
        <v>0</v>
      </c>
      <c r="S111" s="68">
        <f>IF(MOD(C111,12)=0,M111*Assumptions!$D$17,0)</f>
        <v>0</v>
      </c>
      <c r="T111" s="68">
        <f t="shared" si="24"/>
        <v>0</v>
      </c>
      <c r="U111" s="67">
        <f>T111+AE111*(1+Assumptions!$D$17)</f>
        <v>0</v>
      </c>
      <c r="V111" s="67">
        <f>(M111+N111-O111)*(1+Assumptions!$D$17)-(P111+Q111)*(1+Assumptions!$D$17)^0.5-R111-T111</f>
        <v>87089609.058850244</v>
      </c>
      <c r="W111" s="67"/>
      <c r="X111" s="67">
        <f>IF(AND(H111=1,D111&lt;15),Assumptions!$D$10*N111+Assumptions!$D$11*(1+Assumptions!$D$16)^(B111-1)*$I$7,0)</f>
        <v>0</v>
      </c>
      <c r="Y111" s="65">
        <f>Assumptions!$C$13*N111</f>
        <v>0</v>
      </c>
      <c r="Z111" s="65">
        <f>NPV(Assumptions!$D$19,N111:$N$259)*(1+Assumptions!$D$19)</f>
        <v>37267501.738679156</v>
      </c>
      <c r="AA111" s="68">
        <f t="shared" si="25"/>
        <v>342786.53257625777</v>
      </c>
      <c r="AC111" s="67">
        <f t="shared" si="26"/>
        <v>87089609.058850244</v>
      </c>
      <c r="AD111" s="67"/>
      <c r="AE111" s="67"/>
      <c r="AF111" s="67"/>
      <c r="AG111" s="67"/>
      <c r="AH111" s="67"/>
      <c r="AI111" s="67"/>
      <c r="AK111" s="67"/>
      <c r="AL111" s="70">
        <f t="shared" si="18"/>
        <v>0</v>
      </c>
    </row>
    <row r="112" spans="2:38" x14ac:dyDescent="0.2">
      <c r="B112" s="5">
        <f t="shared" si="14"/>
        <v>105</v>
      </c>
      <c r="C112" s="5">
        <f t="shared" si="15"/>
        <v>105</v>
      </c>
      <c r="D112" s="5">
        <f t="shared" si="16"/>
        <v>8</v>
      </c>
      <c r="E112" s="5">
        <f t="shared" si="17"/>
        <v>54</v>
      </c>
      <c r="F112" s="64">
        <f>1-(1-VLOOKUP($E112,'Annual Mortality Rates'!$B$5:$C$105,2,FALSE))^(1/12)</f>
        <v>1.7349879770289789E-4</v>
      </c>
      <c r="G112" s="75">
        <f>IF(C112&gt;=[1]Assumptions!$H$9*12,100%,1-(1-IF(D112&gt;=7,2%,VLOOKUP($D112,'[1]Annual Lapse Rates'!$B$4:$C$14,2,FALSE)))^(1/12))</f>
        <v>1.6821425527395739E-3</v>
      </c>
      <c r="H112" s="81">
        <f t="shared" si="19"/>
        <v>9</v>
      </c>
      <c r="I112" s="65">
        <f t="shared" si="20"/>
        <v>3048.9006679853719</v>
      </c>
      <c r="J112" s="66">
        <f t="shared" si="21"/>
        <v>0.52898060021102433</v>
      </c>
      <c r="K112" s="66">
        <f t="shared" si="22"/>
        <v>5.1382363723336599</v>
      </c>
      <c r="M112" s="67">
        <f t="shared" si="27"/>
        <v>87089609.058850244</v>
      </c>
      <c r="N112" s="67">
        <f>IF(AND(MOD(C112,12)=1,D112&lt;15),Assumptions!$H$4*I111,0)</f>
        <v>0</v>
      </c>
      <c r="O112" s="67"/>
      <c r="P112" s="90">
        <f t="shared" si="23"/>
        <v>161607.07976347179</v>
      </c>
      <c r="Q112" s="90">
        <f>M112*VLOOKUP(MOD(C112,12)+(MOD(C112,12)=0)*12,Assumptions!$C$22:$D$33,2,FALSE)*(F112+G112)</f>
        <v>4545.1991183476439</v>
      </c>
      <c r="R112" s="67">
        <f>IF(AND(MOD(C112,12)=0,D112&lt;15),Assumptions!$C$7*M112,0)</f>
        <v>0</v>
      </c>
      <c r="S112" s="68">
        <f>IF(MOD(C112,12)=0,M112*Assumptions!$D$17,0)</f>
        <v>0</v>
      </c>
      <c r="T112" s="68">
        <f t="shared" si="24"/>
        <v>0</v>
      </c>
      <c r="U112" s="67">
        <f>T112+AE112*(1+Assumptions!$D$17)</f>
        <v>0</v>
      </c>
      <c r="V112" s="67">
        <f>(M112+N112-O112)*(1+Assumptions!$D$17)-(P112+Q112)*(1+Assumptions!$D$17)^0.5-R112-T112</f>
        <v>87277932.50910221</v>
      </c>
      <c r="W112" s="67"/>
      <c r="X112" s="67">
        <f>IF(AND(H112=1,D112&lt;15),Assumptions!$D$10*N112+Assumptions!$D$11*(1+Assumptions!$D$16)^(B112-1)*$I$7,0)</f>
        <v>0</v>
      </c>
      <c r="Y112" s="65">
        <f>Assumptions!$C$13*N112</f>
        <v>0</v>
      </c>
      <c r="Z112" s="65">
        <f>NPV(Assumptions!$D$19,N112:$N$259)*(1+Assumptions!$D$19)</f>
        <v>37427491.284868538</v>
      </c>
      <c r="AA112" s="68">
        <f t="shared" si="25"/>
        <v>344258.11664355762</v>
      </c>
      <c r="AC112" s="67">
        <f t="shared" si="26"/>
        <v>87277932.50910221</v>
      </c>
      <c r="AD112" s="67"/>
      <c r="AE112" s="67"/>
      <c r="AF112" s="67"/>
      <c r="AG112" s="67"/>
      <c r="AH112" s="67"/>
      <c r="AI112" s="67"/>
      <c r="AK112" s="67"/>
      <c r="AL112" s="70">
        <f t="shared" si="18"/>
        <v>0</v>
      </c>
    </row>
    <row r="113" spans="2:38" x14ac:dyDescent="0.2">
      <c r="B113" s="5">
        <f t="shared" si="14"/>
        <v>106</v>
      </c>
      <c r="C113" s="5">
        <f t="shared" si="15"/>
        <v>106</v>
      </c>
      <c r="D113" s="5">
        <f t="shared" si="16"/>
        <v>8</v>
      </c>
      <c r="E113" s="5">
        <f t="shared" si="17"/>
        <v>54</v>
      </c>
      <c r="F113" s="64">
        <f>1-(1-VLOOKUP($E113,'Annual Mortality Rates'!$B$5:$C$105,2,FALSE))^(1/12)</f>
        <v>1.7349879770289789E-4</v>
      </c>
      <c r="G113" s="75">
        <f>IF(C113&gt;=[1]Assumptions!$H$9*12,100%,1-(1-IF(D113&gt;=7,2%,VLOOKUP($D113,'[1]Annual Lapse Rates'!$B$4:$C$14,2,FALSE)))^(1/12))</f>
        <v>1.6821425527395739E-3</v>
      </c>
      <c r="H113" s="81">
        <f t="shared" si="19"/>
        <v>10</v>
      </c>
      <c r="I113" s="65">
        <f t="shared" si="20"/>
        <v>3043.2334510128271</v>
      </c>
      <c r="J113" s="66">
        <f t="shared" si="21"/>
        <v>0.5279973448799663</v>
      </c>
      <c r="K113" s="66">
        <f t="shared" si="22"/>
        <v>5.1286855526943054</v>
      </c>
      <c r="M113" s="67">
        <f t="shared" si="27"/>
        <v>87277932.50910221</v>
      </c>
      <c r="N113" s="67">
        <f>IF(AND(MOD(C113,12)=1,D113&lt;15),Assumptions!$H$4*I112,0)</f>
        <v>0</v>
      </c>
      <c r="O113" s="67"/>
      <c r="P113" s="90">
        <f t="shared" si="23"/>
        <v>161956.54054501734</v>
      </c>
      <c r="Q113" s="90">
        <f>M113*VLOOKUP(MOD(C113,12)+(MOD(C113,12)=0)*12,Assumptions!$C$22:$D$33,2,FALSE)*(F113+G113)</f>
        <v>5061.1418920317919</v>
      </c>
      <c r="R113" s="67">
        <f>IF(AND(MOD(C113,12)=0,D113&lt;15),Assumptions!$C$7*M113,0)</f>
        <v>0</v>
      </c>
      <c r="S113" s="68">
        <f>IF(MOD(C113,12)=0,M113*Assumptions!$D$17,0)</f>
        <v>0</v>
      </c>
      <c r="T113" s="68">
        <f t="shared" si="24"/>
        <v>0</v>
      </c>
      <c r="U113" s="67">
        <f>T113+AE113*(1+Assumptions!$D$17)</f>
        <v>0</v>
      </c>
      <c r="V113" s="67">
        <f>(M113+N113-O113)*(1+Assumptions!$D$17)-(P113+Q113)*(1+Assumptions!$D$17)^0.5-R113-T113</f>
        <v>87466156.047757939</v>
      </c>
      <c r="W113" s="67"/>
      <c r="X113" s="67">
        <f>IF(AND(H113=1,D113&lt;15),Assumptions!$D$10*N113+Assumptions!$D$11*(1+Assumptions!$D$16)^(B113-1)*$I$7,0)</f>
        <v>0</v>
      </c>
      <c r="Y113" s="65">
        <f>Assumptions!$C$13*N113</f>
        <v>0</v>
      </c>
      <c r="Z113" s="65">
        <f>NPV(Assumptions!$D$19,N113:$N$259)*(1+Assumptions!$D$19)</f>
        <v>37588167.666871861</v>
      </c>
      <c r="AA113" s="68">
        <f t="shared" si="25"/>
        <v>345736.01822762453</v>
      </c>
      <c r="AC113" s="67">
        <f t="shared" si="26"/>
        <v>87466156.047757939</v>
      </c>
      <c r="AD113" s="67"/>
      <c r="AE113" s="67"/>
      <c r="AF113" s="67"/>
      <c r="AG113" s="67"/>
      <c r="AH113" s="67"/>
      <c r="AI113" s="67"/>
      <c r="AK113" s="67"/>
      <c r="AL113" s="70">
        <f t="shared" si="18"/>
        <v>0</v>
      </c>
    </row>
    <row r="114" spans="2:38" x14ac:dyDescent="0.2">
      <c r="B114" s="5">
        <f t="shared" si="14"/>
        <v>107</v>
      </c>
      <c r="C114" s="5">
        <f t="shared" si="15"/>
        <v>107</v>
      </c>
      <c r="D114" s="5">
        <f t="shared" si="16"/>
        <v>8</v>
      </c>
      <c r="E114" s="5">
        <f t="shared" si="17"/>
        <v>54</v>
      </c>
      <c r="F114" s="64">
        <f>1-(1-VLOOKUP($E114,'Annual Mortality Rates'!$B$5:$C$105,2,FALSE))^(1/12)</f>
        <v>1.7349879770289789E-4</v>
      </c>
      <c r="G114" s="75">
        <f>IF(C114&gt;=[1]Assumptions!$H$9*12,100%,1-(1-IF(D114&gt;=7,2%,VLOOKUP($D114,'[1]Annual Lapse Rates'!$B$4:$C$14,2,FALSE)))^(1/12))</f>
        <v>1.6821425527395739E-3</v>
      </c>
      <c r="H114" s="81">
        <f t="shared" si="19"/>
        <v>11</v>
      </c>
      <c r="I114" s="65">
        <f t="shared" si="20"/>
        <v>3037.5767681152529</v>
      </c>
      <c r="J114" s="66">
        <f t="shared" si="21"/>
        <v>0.52701591719825058</v>
      </c>
      <c r="K114" s="66">
        <f t="shared" si="22"/>
        <v>5.1191524858691801</v>
      </c>
      <c r="M114" s="67">
        <f t="shared" si="27"/>
        <v>87466156.047757939</v>
      </c>
      <c r="N114" s="67">
        <f>IF(AND(MOD(C114,12)=1,D114&lt;15),Assumptions!$H$4*I113,0)</f>
        <v>0</v>
      </c>
      <c r="O114" s="67"/>
      <c r="P114" s="90">
        <f t="shared" si="23"/>
        <v>162305.8159264735</v>
      </c>
      <c r="Q114" s="90">
        <f>M114*VLOOKUP(MOD(C114,12)+(MOD(C114,12)=0)*12,Assumptions!$C$22:$D$33,2,FALSE)*(F114+G114)</f>
        <v>5579.2624224725278</v>
      </c>
      <c r="R114" s="67">
        <f>IF(AND(MOD(C114,12)=0,D114&lt;15),Assumptions!$C$7*M114,0)</f>
        <v>0</v>
      </c>
      <c r="S114" s="68">
        <f>IF(MOD(C114,12)=0,M114*Assumptions!$D$17,0)</f>
        <v>0</v>
      </c>
      <c r="T114" s="68">
        <f t="shared" si="24"/>
        <v>0</v>
      </c>
      <c r="U114" s="67">
        <f>T114+AE114*(1+Assumptions!$D$17)</f>
        <v>0</v>
      </c>
      <c r="V114" s="67">
        <f>(M114+N114-O114)*(1+Assumptions!$D$17)-(P114+Q114)*(1+Assumptions!$D$17)^0.5-R114-T114</f>
        <v>87654277.271354124</v>
      </c>
      <c r="W114" s="67"/>
      <c r="X114" s="67">
        <f>IF(AND(H114=1,D114&lt;15),Assumptions!$D$10*N114+Assumptions!$D$11*(1+Assumptions!$D$16)^(B114-1)*$I$7,0)</f>
        <v>0</v>
      </c>
      <c r="Y114" s="65">
        <f>Assumptions!$C$13*N114</f>
        <v>0</v>
      </c>
      <c r="Z114" s="65">
        <f>NPV(Assumptions!$D$19,N114:$N$259)*(1+Assumptions!$D$19)</f>
        <v>37749533.833278216</v>
      </c>
      <c r="AA114" s="68">
        <f t="shared" si="25"/>
        <v>347220.26444958564</v>
      </c>
      <c r="AC114" s="67">
        <f t="shared" si="26"/>
        <v>87654277.271354124</v>
      </c>
      <c r="AD114" s="67"/>
      <c r="AE114" s="67"/>
      <c r="AF114" s="67"/>
      <c r="AG114" s="67"/>
      <c r="AH114" s="67"/>
      <c r="AI114" s="67"/>
      <c r="AK114" s="67"/>
      <c r="AL114" s="70">
        <f t="shared" si="18"/>
        <v>0</v>
      </c>
    </row>
    <row r="115" spans="2:38" x14ac:dyDescent="0.2">
      <c r="B115" s="5">
        <f t="shared" si="14"/>
        <v>108</v>
      </c>
      <c r="C115" s="5">
        <f t="shared" si="15"/>
        <v>108</v>
      </c>
      <c r="D115" s="5">
        <f t="shared" si="16"/>
        <v>8</v>
      </c>
      <c r="E115" s="5">
        <f t="shared" si="17"/>
        <v>54</v>
      </c>
      <c r="F115" s="64">
        <f>1-(1-VLOOKUP($E115,'Annual Mortality Rates'!$B$5:$C$105,2,FALSE))^(1/12)</f>
        <v>1.7349879770289789E-4</v>
      </c>
      <c r="G115" s="75">
        <f>IF(C115&gt;=[1]Assumptions!$H$9*12,100%,1-(1-IF(D115&gt;=7,2%,VLOOKUP($D115,'[1]Annual Lapse Rates'!$B$4:$C$14,2,FALSE)))^(1/12))</f>
        <v>1.6821425527395739E-3</v>
      </c>
      <c r="H115" s="81">
        <f t="shared" si="19"/>
        <v>12</v>
      </c>
      <c r="I115" s="65">
        <f t="shared" si="20"/>
        <v>3031.9305997121855</v>
      </c>
      <c r="J115" s="66">
        <f t="shared" si="21"/>
        <v>0.52603631376869031</v>
      </c>
      <c r="K115" s="66">
        <f t="shared" si="22"/>
        <v>5.1096371388598163</v>
      </c>
      <c r="M115" s="67">
        <f t="shared" si="27"/>
        <v>87654277.271354124</v>
      </c>
      <c r="N115" s="67">
        <f>IF(AND(MOD(C115,12)=1,D115&lt;15),Assumptions!$H$4*I114,0)</f>
        <v>0</v>
      </c>
      <c r="O115" s="67"/>
      <c r="P115" s="90">
        <f t="shared" si="23"/>
        <v>162654.90144787444</v>
      </c>
      <c r="Q115" s="90">
        <f>M115*VLOOKUP(MOD(C115,12)+(MOD(C115,12)=0)*12,Assumptions!$C$22:$D$33,2,FALSE)*(F115+G115)</f>
        <v>6099.5588042952922</v>
      </c>
      <c r="R115" s="67">
        <f>IF(AND(MOD(C115,12)=0,D115&lt;15),Assumptions!$C$7*M115,0)</f>
        <v>43827.13863567706</v>
      </c>
      <c r="S115" s="68">
        <f>IF(MOD(C115,12)=0,M115*Assumptions!$D$17,0)</f>
        <v>357114.37576973112</v>
      </c>
      <c r="T115" s="68">
        <f t="shared" si="24"/>
        <v>0</v>
      </c>
      <c r="U115" s="67">
        <f>T115+AE115*(1+Assumptions!$D$17)</f>
        <v>0</v>
      </c>
      <c r="V115" s="67">
        <f>(M115+N115-O115)*(1+Assumptions!$D$17)-(P115+Q115)*(1+Assumptions!$D$17)^0.5-R115-T115</f>
        <v>87798466.634378061</v>
      </c>
      <c r="W115" s="67"/>
      <c r="X115" s="67">
        <f>IF(AND(H115=1,D115&lt;15),Assumptions!$D$10*N115+Assumptions!$D$11*(1+Assumptions!$D$16)^(B115-1)*$I$7,0)</f>
        <v>0</v>
      </c>
      <c r="Y115" s="65">
        <f>Assumptions!$C$13*N115</f>
        <v>0</v>
      </c>
      <c r="Z115" s="65">
        <f>NPV(Assumptions!$D$19,N115:$N$259)*(1+Assumptions!$D$19)</f>
        <v>37911592.745335065</v>
      </c>
      <c r="AA115" s="68">
        <f t="shared" si="25"/>
        <v>348710.88254699862</v>
      </c>
      <c r="AC115" s="67">
        <f t="shared" si="26"/>
        <v>87798466.634378061</v>
      </c>
      <c r="AD115" s="67"/>
      <c r="AE115" s="67"/>
      <c r="AF115" s="67"/>
      <c r="AG115" s="67"/>
      <c r="AH115" s="67"/>
      <c r="AI115" s="67"/>
      <c r="AK115" s="67"/>
      <c r="AL115" s="70">
        <f t="shared" si="18"/>
        <v>0</v>
      </c>
    </row>
    <row r="116" spans="2:38" x14ac:dyDescent="0.2">
      <c r="B116" s="5">
        <f t="shared" si="14"/>
        <v>109</v>
      </c>
      <c r="C116" s="5">
        <f t="shared" si="15"/>
        <v>109</v>
      </c>
      <c r="D116" s="5">
        <f t="shared" si="16"/>
        <v>9</v>
      </c>
      <c r="E116" s="5">
        <f t="shared" si="17"/>
        <v>55</v>
      </c>
      <c r="F116" s="64">
        <f>1-(1-VLOOKUP($E116,'Annual Mortality Rates'!$B$5:$C$105,2,FALSE))^(1/12)</f>
        <v>1.9186901267576051E-4</v>
      </c>
      <c r="G116" s="75">
        <f>IF(C116&gt;=[1]Assumptions!$H$9*12,100%,1-(1-IF(D116&gt;=7,2%,VLOOKUP($D116,'[1]Annual Lapse Rates'!$B$4:$C$14,2,FALSE)))^(1/12))</f>
        <v>1.6821425527395739E-3</v>
      </c>
      <c r="H116" s="81">
        <f t="shared" si="19"/>
        <v>1</v>
      </c>
      <c r="I116" s="65">
        <f t="shared" si="20"/>
        <v>3026.2949262595571</v>
      </c>
      <c r="J116" s="66">
        <f t="shared" si="21"/>
        <v>0.58065221956708468</v>
      </c>
      <c r="K116" s="66">
        <f t="shared" si="22"/>
        <v>5.1001394787290835</v>
      </c>
      <c r="M116" s="67">
        <f t="shared" si="27"/>
        <v>87798466.634378061</v>
      </c>
      <c r="N116" s="67">
        <f>IF(AND(MOD(C116,12)=1,D116&lt;15),Assumptions!$H$4*I115,0)</f>
        <v>7579826.4992804639</v>
      </c>
      <c r="O116" s="67"/>
      <c r="P116" s="90">
        <f t="shared" si="23"/>
        <v>164535.34189855683</v>
      </c>
      <c r="Q116" s="90">
        <f>M116*VLOOKUP(MOD(C116,12)+(MOD(C116,12)=0)*12,Assumptions!$C$22:$D$33,2,FALSE)*(F116+G116)</f>
        <v>514.17294343299011</v>
      </c>
      <c r="R116" s="67">
        <f>IF(AND(MOD(C116,12)=0,D116&lt;15),Assumptions!$C$7*M116,0)</f>
        <v>0</v>
      </c>
      <c r="S116" s="68">
        <f>IF(MOD(C116,12)=0,M116*Assumptions!$D$17,0)</f>
        <v>0</v>
      </c>
      <c r="T116" s="68">
        <f t="shared" si="24"/>
        <v>0</v>
      </c>
      <c r="U116" s="67">
        <f>T116+AE116*(1+Assumptions!$D$17)</f>
        <v>0</v>
      </c>
      <c r="V116" s="67">
        <f>(M116+N116-O116)*(1+Assumptions!$D$17)-(P116+Q116)*(1+Assumptions!$D$17)^0.5-R116-T116</f>
        <v>95601490.716989875</v>
      </c>
      <c r="W116" s="67"/>
      <c r="X116" s="67">
        <f>IF(AND(H116=1,D116&lt;15),Assumptions!$D$10*N116+Assumptions!$D$11*(1+Assumptions!$D$16)^(B116-1)*$I$7,0)</f>
        <v>76739.640976627561</v>
      </c>
      <c r="Y116" s="65">
        <f>Assumptions!$C$13*N116</f>
        <v>37899.132496402322</v>
      </c>
      <c r="Z116" s="65">
        <f>NPV(Assumptions!$D$19,N116:$N$259)*(1+Assumptions!$D$19)</f>
        <v>38074347.377002463</v>
      </c>
      <c r="AA116" s="68">
        <f t="shared" si="25"/>
        <v>280488.64524233883</v>
      </c>
      <c r="AC116" s="67">
        <f t="shared" si="26"/>
        <v>95601490.716989875</v>
      </c>
      <c r="AD116" s="67"/>
      <c r="AE116" s="67"/>
      <c r="AF116" s="67"/>
      <c r="AG116" s="67"/>
      <c r="AH116" s="67"/>
      <c r="AI116" s="67"/>
      <c r="AK116" s="67"/>
      <c r="AL116" s="70">
        <f t="shared" si="18"/>
        <v>0</v>
      </c>
    </row>
    <row r="117" spans="2:38" x14ac:dyDescent="0.2">
      <c r="B117" s="5">
        <f t="shared" si="14"/>
        <v>110</v>
      </c>
      <c r="C117" s="5">
        <f t="shared" si="15"/>
        <v>110</v>
      </c>
      <c r="D117" s="5">
        <f t="shared" si="16"/>
        <v>9</v>
      </c>
      <c r="E117" s="5">
        <f t="shared" si="17"/>
        <v>55</v>
      </c>
      <c r="F117" s="64">
        <f>1-(1-VLOOKUP($E117,'Annual Mortality Rates'!$B$5:$C$105,2,FALSE))^(1/12)</f>
        <v>1.9186901267576051E-4</v>
      </c>
      <c r="G117" s="75">
        <f>IF(C117&gt;=[1]Assumptions!$H$9*12,100%,1-(1-IF(D117&gt;=7,2%,VLOOKUP($D117,'[1]Annual Lapse Rates'!$B$4:$C$14,2,FALSE)))^(1/12))</f>
        <v>1.6821425527395739E-3</v>
      </c>
      <c r="H117" s="81">
        <f t="shared" si="19"/>
        <v>2</v>
      </c>
      <c r="I117" s="65">
        <f t="shared" si="20"/>
        <v>3020.6141345612609</v>
      </c>
      <c r="J117" s="66">
        <f t="shared" si="21"/>
        <v>0.57956225167271591</v>
      </c>
      <c r="K117" s="66">
        <f t="shared" si="22"/>
        <v>5.0906594726010717</v>
      </c>
      <c r="M117" s="67">
        <f t="shared" si="27"/>
        <v>95601490.716989875</v>
      </c>
      <c r="N117" s="67">
        <f>IF(AND(MOD(C117,12)=1,D117&lt;15),Assumptions!$H$4*I116,0)</f>
        <v>0</v>
      </c>
      <c r="O117" s="67"/>
      <c r="P117" s="90">
        <f t="shared" si="23"/>
        <v>179158.29927458576</v>
      </c>
      <c r="Q117" s="90">
        <f>M117*VLOOKUP(MOD(C117,12)+(MOD(C117,12)=0)*12,Assumptions!$C$22:$D$33,2,FALSE)*(F117+G117)</f>
        <v>1119.7393704661611</v>
      </c>
      <c r="R117" s="67">
        <f>IF(AND(MOD(C117,12)=0,D117&lt;15),Assumptions!$C$7*M117,0)</f>
        <v>0</v>
      </c>
      <c r="S117" s="68">
        <f>IF(MOD(C117,12)=0,M117*Assumptions!$D$17,0)</f>
        <v>0</v>
      </c>
      <c r="T117" s="68">
        <f t="shared" si="24"/>
        <v>0</v>
      </c>
      <c r="U117" s="67">
        <f>T117+AE117*(1+Assumptions!$D$17)</f>
        <v>0</v>
      </c>
      <c r="V117" s="67">
        <f>(M117+N117-O117)*(1+Assumptions!$D$17)-(P117+Q117)*(1+Assumptions!$D$17)^0.5-R117-T117</f>
        <v>95810338.121187463</v>
      </c>
      <c r="W117" s="67"/>
      <c r="X117" s="67">
        <f>IF(AND(H117=1,D117&lt;15),Assumptions!$D$10*N117+Assumptions!$D$11*(1+Assumptions!$D$16)^(B117-1)*$I$7,0)</f>
        <v>0</v>
      </c>
      <c r="Y117" s="65">
        <f>Assumptions!$C$13*N117</f>
        <v>0</v>
      </c>
      <c r="Z117" s="65">
        <f>NPV(Assumptions!$D$19,N117:$N$259)*(1+Assumptions!$D$19)</f>
        <v>30625433.987774283</v>
      </c>
      <c r="AA117" s="68">
        <f t="shared" si="25"/>
        <v>281692.78420980339</v>
      </c>
      <c r="AC117" s="67">
        <f t="shared" si="26"/>
        <v>95810338.121187463</v>
      </c>
      <c r="AD117" s="67"/>
      <c r="AE117" s="67"/>
      <c r="AF117" s="67"/>
      <c r="AG117" s="67"/>
      <c r="AH117" s="67"/>
      <c r="AI117" s="67"/>
      <c r="AK117" s="67"/>
      <c r="AL117" s="70">
        <f t="shared" si="18"/>
        <v>0</v>
      </c>
    </row>
    <row r="118" spans="2:38" x14ac:dyDescent="0.2">
      <c r="B118" s="5">
        <f t="shared" si="14"/>
        <v>111</v>
      </c>
      <c r="C118" s="5">
        <f t="shared" si="15"/>
        <v>111</v>
      </c>
      <c r="D118" s="5">
        <f t="shared" si="16"/>
        <v>9</v>
      </c>
      <c r="E118" s="5">
        <f t="shared" si="17"/>
        <v>55</v>
      </c>
      <c r="F118" s="64">
        <f>1-(1-VLOOKUP($E118,'Annual Mortality Rates'!$B$5:$C$105,2,FALSE))^(1/12)</f>
        <v>1.9186901267576051E-4</v>
      </c>
      <c r="G118" s="75">
        <f>IF(C118&gt;=[1]Assumptions!$H$9*12,100%,1-(1-IF(D118&gt;=7,2%,VLOOKUP($D118,'[1]Annual Lapse Rates'!$B$4:$C$14,2,FALSE)))^(1/12))</f>
        <v>1.6821425527395739E-3</v>
      </c>
      <c r="H118" s="81">
        <f t="shared" si="19"/>
        <v>3</v>
      </c>
      <c r="I118" s="65">
        <f t="shared" si="20"/>
        <v>3014.9439128369872</v>
      </c>
      <c r="J118" s="66">
        <f t="shared" si="21"/>
        <v>0.57847431182882691</v>
      </c>
      <c r="K118" s="66">
        <f t="shared" si="22"/>
        <v>5.0811035711521182</v>
      </c>
      <c r="M118" s="67">
        <f t="shared" si="27"/>
        <v>95810338.121187463</v>
      </c>
      <c r="N118" s="67">
        <f>IF(AND(MOD(C118,12)=1,D118&lt;15),Assumptions!$H$4*I117,0)</f>
        <v>0</v>
      </c>
      <c r="O118" s="67"/>
      <c r="P118" s="90">
        <f t="shared" si="23"/>
        <v>179549.681725459</v>
      </c>
      <c r="Q118" s="90">
        <f>M118*VLOOKUP(MOD(C118,12)+(MOD(C118,12)=0)*12,Assumptions!$C$22:$D$33,2,FALSE)*(F118+G118)</f>
        <v>1683.2782661761785</v>
      </c>
      <c r="R118" s="67">
        <f>IF(AND(MOD(C118,12)=0,D118&lt;15),Assumptions!$C$7*M118,0)</f>
        <v>0</v>
      </c>
      <c r="S118" s="68">
        <f>IF(MOD(C118,12)=0,M118*Assumptions!$D$17,0)</f>
        <v>0</v>
      </c>
      <c r="T118" s="68">
        <f t="shared" si="24"/>
        <v>0</v>
      </c>
      <c r="U118" s="67">
        <f>T118+AE118*(1+Assumptions!$D$17)</f>
        <v>0</v>
      </c>
      <c r="V118" s="67">
        <f>(M118+N118-O118)*(1+Assumptions!$D$17)-(P118+Q118)*(1+Assumptions!$D$17)^0.5-R118-T118</f>
        <v>96019079.530958429</v>
      </c>
      <c r="W118" s="67"/>
      <c r="X118" s="67">
        <f>IF(AND(H118=1,D118&lt;15),Assumptions!$D$10*N118+Assumptions!$D$11*(1+Assumptions!$D$16)^(B118-1)*$I$7,0)</f>
        <v>0</v>
      </c>
      <c r="Y118" s="65">
        <f>Assumptions!$C$13*N118</f>
        <v>0</v>
      </c>
      <c r="Z118" s="65">
        <f>NPV(Assumptions!$D$19,N118:$N$259)*(1+Assumptions!$D$19)</f>
        <v>30756909.108374372</v>
      </c>
      <c r="AA118" s="68">
        <f t="shared" si="25"/>
        <v>282902.09255106456</v>
      </c>
      <c r="AC118" s="67">
        <f t="shared" si="26"/>
        <v>96019079.530958429</v>
      </c>
      <c r="AD118" s="67"/>
      <c r="AE118" s="67"/>
      <c r="AF118" s="67"/>
      <c r="AG118" s="67"/>
      <c r="AH118" s="67"/>
      <c r="AI118" s="67"/>
      <c r="AK118" s="67"/>
      <c r="AL118" s="70">
        <f t="shared" si="18"/>
        <v>0</v>
      </c>
    </row>
    <row r="119" spans="2:38" x14ac:dyDescent="0.2">
      <c r="B119" s="5">
        <f t="shared" si="14"/>
        <v>112</v>
      </c>
      <c r="C119" s="5">
        <f t="shared" si="15"/>
        <v>112</v>
      </c>
      <c r="D119" s="5">
        <f t="shared" si="16"/>
        <v>9</v>
      </c>
      <c r="E119" s="5">
        <f t="shared" si="17"/>
        <v>55</v>
      </c>
      <c r="F119" s="64">
        <f>1-(1-VLOOKUP($E119,'Annual Mortality Rates'!$B$5:$C$105,2,FALSE))^(1/12)</f>
        <v>1.9186901267576051E-4</v>
      </c>
      <c r="G119" s="75">
        <f>IF(C119&gt;=[1]Assumptions!$H$9*12,100%,1-(1-IF(D119&gt;=7,2%,VLOOKUP($D119,'[1]Annual Lapse Rates'!$B$4:$C$14,2,FALSE)))^(1/12))</f>
        <v>1.6821425527395739E-3</v>
      </c>
      <c r="H119" s="81">
        <f t="shared" si="19"/>
        <v>4</v>
      </c>
      <c r="I119" s="65">
        <f t="shared" si="20"/>
        <v>3009.2843349540062</v>
      </c>
      <c r="J119" s="66">
        <f t="shared" si="21"/>
        <v>0.57738841420825771</v>
      </c>
      <c r="K119" s="66">
        <f t="shared" si="22"/>
        <v>5.0715654499062488</v>
      </c>
      <c r="M119" s="67">
        <f t="shared" si="27"/>
        <v>96019079.530958429</v>
      </c>
      <c r="N119" s="67">
        <f>IF(AND(MOD(C119,12)=1,D119&lt;15),Assumptions!$H$4*I118,0)</f>
        <v>0</v>
      </c>
      <c r="O119" s="67"/>
      <c r="P119" s="90">
        <f t="shared" si="23"/>
        <v>179940.86554155091</v>
      </c>
      <c r="Q119" s="90">
        <f>M119*VLOOKUP(MOD(C119,12)+(MOD(C119,12)=0)*12,Assumptions!$C$22:$D$33,2,FALSE)*(F119+G119)</f>
        <v>2249.2608192693865</v>
      </c>
      <c r="R119" s="67">
        <f>IF(AND(MOD(C119,12)=0,D119&lt;15),Assumptions!$C$7*M119,0)</f>
        <v>0</v>
      </c>
      <c r="S119" s="68">
        <f>IF(MOD(C119,12)=0,M119*Assumptions!$D$17,0)</f>
        <v>0</v>
      </c>
      <c r="T119" s="68">
        <f t="shared" si="24"/>
        <v>0</v>
      </c>
      <c r="U119" s="67">
        <f>T119+AE119*(1+Assumptions!$D$17)</f>
        <v>0</v>
      </c>
      <c r="V119" s="67">
        <f>(M119+N119-O119)*(1+Assumptions!$D$17)-(P119+Q119)*(1+Assumptions!$D$17)^0.5-R119-T119</f>
        <v>96227712.26487717</v>
      </c>
      <c r="W119" s="67"/>
      <c r="X119" s="67">
        <f>IF(AND(H119=1,D119&lt;15),Assumptions!$D$10*N119+Assumptions!$D$11*(1+Assumptions!$D$16)^(B119-1)*$I$7,0)</f>
        <v>0</v>
      </c>
      <c r="Y119" s="65">
        <f>Assumptions!$C$13*N119</f>
        <v>0</v>
      </c>
      <c r="Z119" s="65">
        <f>NPV(Assumptions!$D$19,N119:$N$259)*(1+Assumptions!$D$19)</f>
        <v>30888948.652235981</v>
      </c>
      <c r="AA119" s="68">
        <f t="shared" si="25"/>
        <v>284116.59245826642</v>
      </c>
      <c r="AC119" s="67">
        <f t="shared" si="26"/>
        <v>96227712.26487717</v>
      </c>
      <c r="AD119" s="67"/>
      <c r="AE119" s="67"/>
      <c r="AF119" s="67"/>
      <c r="AG119" s="67"/>
      <c r="AH119" s="67"/>
      <c r="AI119" s="67"/>
      <c r="AK119" s="67"/>
      <c r="AL119" s="70">
        <f t="shared" si="18"/>
        <v>0</v>
      </c>
    </row>
    <row r="120" spans="2:38" x14ac:dyDescent="0.2">
      <c r="B120" s="5">
        <f t="shared" si="14"/>
        <v>113</v>
      </c>
      <c r="C120" s="5">
        <f t="shared" si="15"/>
        <v>113</v>
      </c>
      <c r="D120" s="5">
        <f t="shared" si="16"/>
        <v>9</v>
      </c>
      <c r="E120" s="5">
        <f t="shared" si="17"/>
        <v>55</v>
      </c>
      <c r="F120" s="64">
        <f>1-(1-VLOOKUP($E120,'Annual Mortality Rates'!$B$5:$C$105,2,FALSE))^(1/12)</f>
        <v>1.9186901267576051E-4</v>
      </c>
      <c r="G120" s="75">
        <f>IF(C120&gt;=[1]Assumptions!$H$9*12,100%,1-(1-IF(D120&gt;=7,2%,VLOOKUP($D120,'[1]Annual Lapse Rates'!$B$4:$C$14,2,FALSE)))^(1/12))</f>
        <v>1.6821425527395739E-3</v>
      </c>
      <c r="H120" s="81">
        <f t="shared" si="19"/>
        <v>5</v>
      </c>
      <c r="I120" s="65">
        <f t="shared" si="20"/>
        <v>3003.6353810898918</v>
      </c>
      <c r="J120" s="66">
        <f t="shared" si="21"/>
        <v>0.57630455500769917</v>
      </c>
      <c r="K120" s="66">
        <f t="shared" si="22"/>
        <v>5.0620452331187433</v>
      </c>
      <c r="M120" s="67">
        <f t="shared" si="27"/>
        <v>96227712.26487717</v>
      </c>
      <c r="N120" s="67">
        <f>IF(AND(MOD(C120,12)=1,D120&lt;15),Assumptions!$H$4*I119,0)</f>
        <v>0</v>
      </c>
      <c r="O120" s="67"/>
      <c r="P120" s="90">
        <f t="shared" si="23"/>
        <v>180331.84569783884</v>
      </c>
      <c r="Q120" s="90">
        <f>M120*VLOOKUP(MOD(C120,12)+(MOD(C120,12)=0)*12,Assumptions!$C$22:$D$33,2,FALSE)*(F120+G120)</f>
        <v>2817.6850890287319</v>
      </c>
      <c r="R120" s="67">
        <f>IF(AND(MOD(C120,12)=0,D120&lt;15),Assumptions!$C$7*M120,0)</f>
        <v>0</v>
      </c>
      <c r="S120" s="68">
        <f>IF(MOD(C120,12)=0,M120*Assumptions!$D$17,0)</f>
        <v>0</v>
      </c>
      <c r="T120" s="68">
        <f t="shared" si="24"/>
        <v>0</v>
      </c>
      <c r="U120" s="67">
        <f>T120+AE120*(1+Assumptions!$D$17)</f>
        <v>0</v>
      </c>
      <c r="V120" s="67">
        <f>(M120+N120-O120)*(1+Assumptions!$D$17)-(P120+Q120)*(1+Assumptions!$D$17)^0.5-R120-T120</f>
        <v>96436233.637573496</v>
      </c>
      <c r="W120" s="67"/>
      <c r="X120" s="67">
        <f>IF(AND(H120=1,D120&lt;15),Assumptions!$D$10*N120+Assumptions!$D$11*(1+Assumptions!$D$16)^(B120-1)*$I$7,0)</f>
        <v>0</v>
      </c>
      <c r="Y120" s="65">
        <f>Assumptions!$C$13*N120</f>
        <v>0</v>
      </c>
      <c r="Z120" s="65">
        <f>NPV(Assumptions!$D$19,N120:$N$259)*(1+Assumptions!$D$19)</f>
        <v>31021555.042430609</v>
      </c>
      <c r="AA120" s="68">
        <f t="shared" si="25"/>
        <v>285336.30621882406</v>
      </c>
      <c r="AC120" s="67">
        <f t="shared" si="26"/>
        <v>96436233.637573496</v>
      </c>
      <c r="AD120" s="67"/>
      <c r="AE120" s="67"/>
      <c r="AF120" s="67"/>
      <c r="AG120" s="67"/>
      <c r="AH120" s="67"/>
      <c r="AI120" s="67"/>
      <c r="AK120" s="67"/>
      <c r="AL120" s="70">
        <f t="shared" si="18"/>
        <v>0</v>
      </c>
    </row>
    <row r="121" spans="2:38" x14ac:dyDescent="0.2">
      <c r="B121" s="5">
        <f t="shared" si="14"/>
        <v>114</v>
      </c>
      <c r="C121" s="5">
        <f t="shared" si="15"/>
        <v>114</v>
      </c>
      <c r="D121" s="5">
        <f t="shared" si="16"/>
        <v>9</v>
      </c>
      <c r="E121" s="5">
        <f t="shared" si="17"/>
        <v>55</v>
      </c>
      <c r="F121" s="64">
        <f>1-(1-VLOOKUP($E121,'Annual Mortality Rates'!$B$5:$C$105,2,FALSE))^(1/12)</f>
        <v>1.9186901267576051E-4</v>
      </c>
      <c r="G121" s="75">
        <f>IF(C121&gt;=[1]Assumptions!$H$9*12,100%,1-(1-IF(D121&gt;=7,2%,VLOOKUP($D121,'[1]Annual Lapse Rates'!$B$4:$C$14,2,FALSE)))^(1/12))</f>
        <v>1.6821425527395739E-3</v>
      </c>
      <c r="H121" s="81">
        <f t="shared" si="19"/>
        <v>6</v>
      </c>
      <c r="I121" s="65">
        <f t="shared" si="20"/>
        <v>2997.9970313017657</v>
      </c>
      <c r="J121" s="66">
        <f t="shared" si="21"/>
        <v>0.5752227304007308</v>
      </c>
      <c r="K121" s="66">
        <f t="shared" si="22"/>
        <v>5.0525428874454539</v>
      </c>
      <c r="M121" s="67">
        <f t="shared" si="27"/>
        <v>96436233.637573496</v>
      </c>
      <c r="N121" s="67">
        <f>IF(AND(MOD(C121,12)=1,D121&lt;15),Assumptions!$H$4*I120,0)</f>
        <v>0</v>
      </c>
      <c r="O121" s="67"/>
      <c r="P121" s="90">
        <f t="shared" si="23"/>
        <v>180722.61716190804</v>
      </c>
      <c r="Q121" s="90">
        <f>M121*VLOOKUP(MOD(C121,12)+(MOD(C121,12)=0)*12,Assumptions!$C$22:$D$33,2,FALSE)*(F121+G121)</f>
        <v>3388.5490717857761</v>
      </c>
      <c r="R121" s="67">
        <f>IF(AND(MOD(C121,12)=0,D121&lt;15),Assumptions!$C$7*M121,0)</f>
        <v>0</v>
      </c>
      <c r="S121" s="68">
        <f>IF(MOD(C121,12)=0,M121*Assumptions!$D$17,0)</f>
        <v>0</v>
      </c>
      <c r="T121" s="68">
        <f t="shared" si="24"/>
        <v>0</v>
      </c>
      <c r="U121" s="67">
        <f>T121+AE121*(1+Assumptions!$D$17)</f>
        <v>0</v>
      </c>
      <c r="V121" s="67">
        <f>(M121+N121-O121)*(1+Assumptions!$D$17)-(P121+Q121)*(1+Assumptions!$D$17)^0.5-R121-T121</f>
        <v>96644640.95978713</v>
      </c>
      <c r="W121" s="67"/>
      <c r="X121" s="67">
        <f>IF(AND(H121=1,D121&lt;15),Assumptions!$D$10*N121+Assumptions!$D$11*(1+Assumptions!$D$16)^(B121-1)*$I$7,0)</f>
        <v>0</v>
      </c>
      <c r="Y121" s="65">
        <f>Assumptions!$C$13*N121</f>
        <v>0</v>
      </c>
      <c r="Z121" s="65">
        <f>NPV(Assumptions!$D$19,N121:$N$259)*(1+Assumptions!$D$19)</f>
        <v>31154730.712432023</v>
      </c>
      <c r="AA121" s="68">
        <f t="shared" si="25"/>
        <v>286561.25621583243</v>
      </c>
      <c r="AC121" s="67">
        <f t="shared" si="26"/>
        <v>96644640.95978713</v>
      </c>
      <c r="AD121" s="67"/>
      <c r="AE121" s="67"/>
      <c r="AF121" s="67"/>
      <c r="AG121" s="67"/>
      <c r="AH121" s="67"/>
      <c r="AI121" s="67"/>
      <c r="AK121" s="67"/>
      <c r="AL121" s="70">
        <f t="shared" si="18"/>
        <v>0</v>
      </c>
    </row>
    <row r="122" spans="2:38" x14ac:dyDescent="0.2">
      <c r="B122" s="5">
        <f t="shared" si="14"/>
        <v>115</v>
      </c>
      <c r="C122" s="5">
        <f t="shared" si="15"/>
        <v>115</v>
      </c>
      <c r="D122" s="5">
        <f t="shared" si="16"/>
        <v>9</v>
      </c>
      <c r="E122" s="5">
        <f t="shared" si="17"/>
        <v>55</v>
      </c>
      <c r="F122" s="64">
        <f>1-(1-VLOOKUP($E122,'Annual Mortality Rates'!$B$5:$C$105,2,FALSE))^(1/12)</f>
        <v>1.9186901267576051E-4</v>
      </c>
      <c r="G122" s="75">
        <f>IF(C122&gt;=[1]Assumptions!$H$9*12,100%,1-(1-IF(D122&gt;=7,2%,VLOOKUP($D122,'[1]Annual Lapse Rates'!$B$4:$C$14,2,FALSE)))^(1/12))</f>
        <v>1.6821425527395739E-3</v>
      </c>
      <c r="H122" s="81">
        <f t="shared" si="19"/>
        <v>7</v>
      </c>
      <c r="I122" s="65">
        <f t="shared" si="20"/>
        <v>2992.3692656839198</v>
      </c>
      <c r="J122" s="66">
        <f t="shared" si="21"/>
        <v>0.57414293656806414</v>
      </c>
      <c r="K122" s="66">
        <f t="shared" si="22"/>
        <v>5.043058379339616</v>
      </c>
      <c r="M122" s="67">
        <f t="shared" si="27"/>
        <v>96644640.95978713</v>
      </c>
      <c r="N122" s="67">
        <f>IF(AND(MOD(C122,12)=1,D122&lt;15),Assumptions!$H$4*I121,0)</f>
        <v>0</v>
      </c>
      <c r="O122" s="67"/>
      <c r="P122" s="90">
        <f t="shared" si="23"/>
        <v>181113.17489405363</v>
      </c>
      <c r="Q122" s="90">
        <f>M122*VLOOKUP(MOD(C122,12)+(MOD(C122,12)=0)*12,Assumptions!$C$22:$D$33,2,FALSE)*(F122+G122)</f>
        <v>3961.8507008074234</v>
      </c>
      <c r="R122" s="67">
        <f>IF(AND(MOD(C122,12)=0,D122&lt;15),Assumptions!$C$7*M122,0)</f>
        <v>0</v>
      </c>
      <c r="S122" s="68">
        <f>IF(MOD(C122,12)=0,M122*Assumptions!$D$17,0)</f>
        <v>0</v>
      </c>
      <c r="T122" s="68">
        <f t="shared" si="24"/>
        <v>0</v>
      </c>
      <c r="U122" s="67">
        <f>T122+AE122*(1+Assumptions!$D$17)</f>
        <v>0</v>
      </c>
      <c r="V122" s="67">
        <f>(M122+N122-O122)*(1+Assumptions!$D$17)-(P122+Q122)*(1+Assumptions!$D$17)^0.5-R122-T122</f>
        <v>96852931.538422301</v>
      </c>
      <c r="W122" s="67"/>
      <c r="X122" s="67">
        <f>IF(AND(H122=1,D122&lt;15),Assumptions!$D$10*N122+Assumptions!$D$11*(1+Assumptions!$D$16)^(B122-1)*$I$7,0)</f>
        <v>0</v>
      </c>
      <c r="Y122" s="65">
        <f>Assumptions!$C$13*N122</f>
        <v>0</v>
      </c>
      <c r="Z122" s="65">
        <f>NPV(Assumptions!$D$19,N122:$N$259)*(1+Assumptions!$D$19)</f>
        <v>31288478.106160894</v>
      </c>
      <c r="AA122" s="68">
        <f t="shared" si="25"/>
        <v>287791.46492847725</v>
      </c>
      <c r="AC122" s="67">
        <f t="shared" si="26"/>
        <v>96852931.538422301</v>
      </c>
      <c r="AD122" s="67"/>
      <c r="AE122" s="67"/>
      <c r="AF122" s="67"/>
      <c r="AG122" s="67"/>
      <c r="AH122" s="67"/>
      <c r="AI122" s="67"/>
      <c r="AK122" s="67"/>
      <c r="AL122" s="70">
        <f t="shared" si="18"/>
        <v>0</v>
      </c>
    </row>
    <row r="123" spans="2:38" x14ac:dyDescent="0.2">
      <c r="B123" s="5">
        <f t="shared" si="14"/>
        <v>116</v>
      </c>
      <c r="C123" s="5">
        <f t="shared" si="15"/>
        <v>116</v>
      </c>
      <c r="D123" s="5">
        <f t="shared" si="16"/>
        <v>9</v>
      </c>
      <c r="E123" s="5">
        <f t="shared" si="17"/>
        <v>55</v>
      </c>
      <c r="F123" s="64">
        <f>1-(1-VLOOKUP($E123,'Annual Mortality Rates'!$B$5:$C$105,2,FALSE))^(1/12)</f>
        <v>1.9186901267576051E-4</v>
      </c>
      <c r="G123" s="75">
        <f>IF(C123&gt;=[1]Assumptions!$H$9*12,100%,1-(1-IF(D123&gt;=7,2%,VLOOKUP($D123,'[1]Annual Lapse Rates'!$B$4:$C$14,2,FALSE)))^(1/12))</f>
        <v>1.6821425527395739E-3</v>
      </c>
      <c r="H123" s="81">
        <f t="shared" si="19"/>
        <v>8</v>
      </c>
      <c r="I123" s="65">
        <f t="shared" si="20"/>
        <v>2986.7520643680123</v>
      </c>
      <c r="J123" s="66">
        <f t="shared" si="21"/>
        <v>0.57306516969758003</v>
      </c>
      <c r="K123" s="66">
        <f t="shared" si="22"/>
        <v>5.0335916753169929</v>
      </c>
      <c r="M123" s="67">
        <f t="shared" si="27"/>
        <v>96852931.538422301</v>
      </c>
      <c r="N123" s="67">
        <f>IF(AND(MOD(C123,12)=1,D123&lt;15),Assumptions!$H$4*I122,0)</f>
        <v>0</v>
      </c>
      <c r="O123" s="67"/>
      <c r="P123" s="90">
        <f t="shared" si="23"/>
        <v>181503.513847383</v>
      </c>
      <c r="Q123" s="90">
        <f>M123*VLOOKUP(MOD(C123,12)+(MOD(C123,12)=0)*12,Assumptions!$C$22:$D$33,2,FALSE)*(F123+G123)</f>
        <v>4537.587846184575</v>
      </c>
      <c r="R123" s="67">
        <f>IF(AND(MOD(C123,12)=0,D123&lt;15),Assumptions!$C$7*M123,0)</f>
        <v>0</v>
      </c>
      <c r="S123" s="68">
        <f>IF(MOD(C123,12)=0,M123*Assumptions!$D$17,0)</f>
        <v>0</v>
      </c>
      <c r="T123" s="68">
        <f t="shared" si="24"/>
        <v>0</v>
      </c>
      <c r="U123" s="67">
        <f>T123+AE123*(1+Assumptions!$D$17)</f>
        <v>0</v>
      </c>
      <c r="V123" s="67">
        <f>(M123+N123-O123)*(1+Assumptions!$D$17)-(P123+Q123)*(1+Assumptions!$D$17)^0.5-R123-T123</f>
        <v>97061102.676602647</v>
      </c>
      <c r="W123" s="67"/>
      <c r="X123" s="67">
        <f>IF(AND(H123=1,D123&lt;15),Assumptions!$D$10*N123+Assumptions!$D$11*(1+Assumptions!$D$16)^(B123-1)*$I$7,0)</f>
        <v>0</v>
      </c>
      <c r="Y123" s="65">
        <f>Assumptions!$C$13*N123</f>
        <v>0</v>
      </c>
      <c r="Z123" s="65">
        <f>NPV(Assumptions!$D$19,N123:$N$259)*(1+Assumptions!$D$19)</f>
        <v>31422799.678029649</v>
      </c>
      <c r="AA123" s="68">
        <f t="shared" si="25"/>
        <v>289026.95493244758</v>
      </c>
      <c r="AC123" s="67">
        <f t="shared" si="26"/>
        <v>97061102.676602647</v>
      </c>
      <c r="AD123" s="67"/>
      <c r="AE123" s="67"/>
      <c r="AF123" s="67"/>
      <c r="AG123" s="67"/>
      <c r="AH123" s="67"/>
      <c r="AI123" s="67"/>
      <c r="AK123" s="67"/>
      <c r="AL123" s="70">
        <f t="shared" si="18"/>
        <v>0</v>
      </c>
    </row>
    <row r="124" spans="2:38" x14ac:dyDescent="0.2">
      <c r="B124" s="5">
        <f t="shared" si="14"/>
        <v>117</v>
      </c>
      <c r="C124" s="5">
        <f t="shared" si="15"/>
        <v>117</v>
      </c>
      <c r="D124" s="5">
        <f t="shared" si="16"/>
        <v>9</v>
      </c>
      <c r="E124" s="5">
        <f t="shared" si="17"/>
        <v>55</v>
      </c>
      <c r="F124" s="64">
        <f>1-(1-VLOOKUP($E124,'Annual Mortality Rates'!$B$5:$C$105,2,FALSE))^(1/12)</f>
        <v>1.9186901267576051E-4</v>
      </c>
      <c r="G124" s="75">
        <f>IF(C124&gt;=[1]Assumptions!$H$9*12,100%,1-(1-IF(D124&gt;=7,2%,VLOOKUP($D124,'[1]Annual Lapse Rates'!$B$4:$C$14,2,FALSE)))^(1/12))</f>
        <v>1.6821425527395739E-3</v>
      </c>
      <c r="H124" s="81">
        <f t="shared" si="19"/>
        <v>9</v>
      </c>
      <c r="I124" s="65">
        <f t="shared" si="20"/>
        <v>2981.1454075229976</v>
      </c>
      <c r="J124" s="66">
        <f t="shared" si="21"/>
        <v>0.57198942598431524</v>
      </c>
      <c r="K124" s="66">
        <f t="shared" si="22"/>
        <v>5.0241427419561999</v>
      </c>
      <c r="M124" s="67">
        <f t="shared" si="27"/>
        <v>97061102.676602647</v>
      </c>
      <c r="N124" s="67">
        <f>IF(AND(MOD(C124,12)=1,D124&lt;15),Assumptions!$H$4*I123,0)</f>
        <v>0</v>
      </c>
      <c r="O124" s="67"/>
      <c r="P124" s="90">
        <f t="shared" si="23"/>
        <v>181893.62896791863</v>
      </c>
      <c r="Q124" s="90">
        <f>M124*VLOOKUP(MOD(C124,12)+(MOD(C124,12)=0)*12,Assumptions!$C$22:$D$33,2,FALSE)*(F124+G124)</f>
        <v>5115.7583147227115</v>
      </c>
      <c r="R124" s="67">
        <f>IF(AND(MOD(C124,12)=0,D124&lt;15),Assumptions!$C$7*M124,0)</f>
        <v>0</v>
      </c>
      <c r="S124" s="68">
        <f>IF(MOD(C124,12)=0,M124*Assumptions!$D$17,0)</f>
        <v>0</v>
      </c>
      <c r="T124" s="68">
        <f t="shared" si="24"/>
        <v>0</v>
      </c>
      <c r="U124" s="67">
        <f>T124+AE124*(1+Assumptions!$D$17)</f>
        <v>0</v>
      </c>
      <c r="V124" s="67">
        <f>(M124+N124-O124)*(1+Assumptions!$D$17)-(P124+Q124)*(1+Assumptions!$D$17)^0.5-R124-T124</f>
        <v>97269151.67372629</v>
      </c>
      <c r="W124" s="67"/>
      <c r="X124" s="67">
        <f>IF(AND(H124=1,D124&lt;15),Assumptions!$D$10*N124+Assumptions!$D$11*(1+Assumptions!$D$16)^(B124-1)*$I$7,0)</f>
        <v>0</v>
      </c>
      <c r="Y124" s="65">
        <f>Assumptions!$C$13*N124</f>
        <v>0</v>
      </c>
      <c r="Z124" s="65">
        <f>NPV(Assumptions!$D$19,N124:$N$259)*(1+Assumptions!$D$19)</f>
        <v>31557697.892987538</v>
      </c>
      <c r="AA124" s="68">
        <f t="shared" si="25"/>
        <v>290267.74890034989</v>
      </c>
      <c r="AC124" s="67">
        <f t="shared" si="26"/>
        <v>97269151.67372629</v>
      </c>
      <c r="AD124" s="67"/>
      <c r="AE124" s="67"/>
      <c r="AF124" s="67"/>
      <c r="AG124" s="67"/>
      <c r="AH124" s="67"/>
      <c r="AI124" s="67"/>
      <c r="AK124" s="67"/>
      <c r="AL124" s="70">
        <f t="shared" si="18"/>
        <v>0</v>
      </c>
    </row>
    <row r="125" spans="2:38" x14ac:dyDescent="0.2">
      <c r="B125" s="5">
        <f t="shared" si="14"/>
        <v>118</v>
      </c>
      <c r="C125" s="5">
        <f t="shared" si="15"/>
        <v>118</v>
      </c>
      <c r="D125" s="5">
        <f t="shared" si="16"/>
        <v>9</v>
      </c>
      <c r="E125" s="5">
        <f t="shared" si="17"/>
        <v>55</v>
      </c>
      <c r="F125" s="64">
        <f>1-(1-VLOOKUP($E125,'Annual Mortality Rates'!$B$5:$C$105,2,FALSE))^(1/12)</f>
        <v>1.9186901267576051E-4</v>
      </c>
      <c r="G125" s="75">
        <f>IF(C125&gt;=[1]Assumptions!$H$9*12,100%,1-(1-IF(D125&gt;=7,2%,VLOOKUP($D125,'[1]Annual Lapse Rates'!$B$4:$C$14,2,FALSE)))^(1/12))</f>
        <v>1.6821425527395739E-3</v>
      </c>
      <c r="H125" s="81">
        <f t="shared" si="19"/>
        <v>10</v>
      </c>
      <c r="I125" s="65">
        <f t="shared" si="20"/>
        <v>2975.5492753550575</v>
      </c>
      <c r="J125" s="66">
        <f t="shared" si="21"/>
        <v>0.57091570163044947</v>
      </c>
      <c r="K125" s="66">
        <f t="shared" si="22"/>
        <v>5.0147115458985922</v>
      </c>
      <c r="M125" s="67">
        <f t="shared" si="27"/>
        <v>97269151.67372629</v>
      </c>
      <c r="N125" s="67">
        <f>IF(AND(MOD(C125,12)=1,D125&lt;15),Assumptions!$H$4*I124,0)</f>
        <v>0</v>
      </c>
      <c r="O125" s="67"/>
      <c r="P125" s="90">
        <f t="shared" si="23"/>
        <v>182283.51519470141</v>
      </c>
      <c r="Q125" s="90">
        <f>M125*VLOOKUP(MOD(C125,12)+(MOD(C125,12)=0)*12,Assumptions!$C$22:$D$33,2,FALSE)*(F125+G125)</f>
        <v>5696.359849834419</v>
      </c>
      <c r="R125" s="67">
        <f>IF(AND(MOD(C125,12)=0,D125&lt;15),Assumptions!$C$7*M125,0)</f>
        <v>0</v>
      </c>
      <c r="S125" s="68">
        <f>IF(MOD(C125,12)=0,M125*Assumptions!$D$17,0)</f>
        <v>0</v>
      </c>
      <c r="T125" s="68">
        <f t="shared" si="24"/>
        <v>0</v>
      </c>
      <c r="U125" s="67">
        <f>T125+AE125*(1+Assumptions!$D$17)</f>
        <v>0</v>
      </c>
      <c r="V125" s="67">
        <f>(M125+N125-O125)*(1+Assumptions!$D$17)-(P125+Q125)*(1+Assumptions!$D$17)^0.5-R125-T125</f>
        <v>97477075.82552126</v>
      </c>
      <c r="W125" s="67"/>
      <c r="X125" s="67">
        <f>IF(AND(H125=1,D125&lt;15),Assumptions!$D$10*N125+Assumptions!$D$11*(1+Assumptions!$D$16)^(B125-1)*$I$7,0)</f>
        <v>0</v>
      </c>
      <c r="Y125" s="65">
        <f>Assumptions!$C$13*N125</f>
        <v>0</v>
      </c>
      <c r="Z125" s="65">
        <f>NPV(Assumptions!$D$19,N125:$N$259)*(1+Assumptions!$D$19)</f>
        <v>31693175.226565834</v>
      </c>
      <c r="AA125" s="68">
        <f t="shared" si="25"/>
        <v>291513.86960212421</v>
      </c>
      <c r="AC125" s="67">
        <f t="shared" si="26"/>
        <v>97477075.82552126</v>
      </c>
      <c r="AD125" s="67"/>
      <c r="AE125" s="67"/>
      <c r="AF125" s="67"/>
      <c r="AG125" s="67"/>
      <c r="AH125" s="67"/>
      <c r="AI125" s="67"/>
      <c r="AK125" s="67"/>
      <c r="AL125" s="70">
        <f t="shared" si="18"/>
        <v>0</v>
      </c>
    </row>
    <row r="126" spans="2:38" x14ac:dyDescent="0.2">
      <c r="B126" s="5">
        <f t="shared" si="14"/>
        <v>119</v>
      </c>
      <c r="C126" s="5">
        <f t="shared" si="15"/>
        <v>119</v>
      </c>
      <c r="D126" s="5">
        <f t="shared" si="16"/>
        <v>9</v>
      </c>
      <c r="E126" s="5">
        <f t="shared" si="17"/>
        <v>55</v>
      </c>
      <c r="F126" s="64">
        <f>1-(1-VLOOKUP($E126,'Annual Mortality Rates'!$B$5:$C$105,2,FALSE))^(1/12)</f>
        <v>1.9186901267576051E-4</v>
      </c>
      <c r="G126" s="75">
        <f>IF(C126&gt;=[1]Assumptions!$H$9*12,100%,1-(1-IF(D126&gt;=7,2%,VLOOKUP($D126,'[1]Annual Lapse Rates'!$B$4:$C$14,2,FALSE)))^(1/12))</f>
        <v>1.6821425527395739E-3</v>
      </c>
      <c r="H126" s="81">
        <f t="shared" si="19"/>
        <v>11</v>
      </c>
      <c r="I126" s="65">
        <f t="shared" si="20"/>
        <v>2969.9636481075286</v>
      </c>
      <c r="J126" s="66">
        <f t="shared" si="21"/>
        <v>0.5698439928452913</v>
      </c>
      <c r="K126" s="66">
        <f t="shared" si="22"/>
        <v>5.0052980538481453</v>
      </c>
      <c r="M126" s="67">
        <f t="shared" si="27"/>
        <v>97477075.82552126</v>
      </c>
      <c r="N126" s="67">
        <f>IF(AND(MOD(C126,12)=1,D126&lt;15),Assumptions!$H$4*I125,0)</f>
        <v>0</v>
      </c>
      <c r="O126" s="67"/>
      <c r="P126" s="90">
        <f t="shared" si="23"/>
        <v>182673.16745989435</v>
      </c>
      <c r="Q126" s="90">
        <f>M126*VLOOKUP(MOD(C126,12)+(MOD(C126,12)=0)*12,Assumptions!$C$22:$D$33,2,FALSE)*(F126+G126)</f>
        <v>6279.3901314338691</v>
      </c>
      <c r="R126" s="67">
        <f>IF(AND(MOD(C126,12)=0,D126&lt;15),Assumptions!$C$7*M126,0)</f>
        <v>0</v>
      </c>
      <c r="S126" s="68">
        <f>IF(MOD(C126,12)=0,M126*Assumptions!$D$17,0)</f>
        <v>0</v>
      </c>
      <c r="T126" s="68">
        <f t="shared" si="24"/>
        <v>0</v>
      </c>
      <c r="U126" s="67">
        <f>T126+AE126*(1+Assumptions!$D$17)</f>
        <v>0</v>
      </c>
      <c r="V126" s="67">
        <f>(M126+N126-O126)*(1+Assumptions!$D$17)-(P126+Q126)*(1+Assumptions!$D$17)^0.5-R126-T126</f>
        <v>97684872.424100935</v>
      </c>
      <c r="W126" s="67"/>
      <c r="X126" s="67">
        <f>IF(AND(H126=1,D126&lt;15),Assumptions!$D$10*N126+Assumptions!$D$11*(1+Assumptions!$D$16)^(B126-1)*$I$7,0)</f>
        <v>0</v>
      </c>
      <c r="Y126" s="65">
        <f>Assumptions!$C$13*N126</f>
        <v>0</v>
      </c>
      <c r="Z126" s="65">
        <f>NPV(Assumptions!$D$19,N126:$N$259)*(1+Assumptions!$D$19)</f>
        <v>31829234.164923273</v>
      </c>
      <c r="AA126" s="68">
        <f t="shared" si="25"/>
        <v>292765.33990546223</v>
      </c>
      <c r="AC126" s="67">
        <f t="shared" si="26"/>
        <v>97684872.424100935</v>
      </c>
      <c r="AD126" s="67"/>
      <c r="AE126" s="67"/>
      <c r="AF126" s="67"/>
      <c r="AG126" s="67"/>
      <c r="AH126" s="67"/>
      <c r="AI126" s="67"/>
      <c r="AK126" s="67"/>
      <c r="AL126" s="70">
        <f t="shared" si="18"/>
        <v>0</v>
      </c>
    </row>
    <row r="127" spans="2:38" x14ac:dyDescent="0.2">
      <c r="B127" s="5">
        <f t="shared" si="14"/>
        <v>120</v>
      </c>
      <c r="C127" s="5">
        <f t="shared" si="15"/>
        <v>120</v>
      </c>
      <c r="D127" s="5">
        <f t="shared" si="16"/>
        <v>9</v>
      </c>
      <c r="E127" s="5">
        <f t="shared" si="17"/>
        <v>55</v>
      </c>
      <c r="F127" s="64">
        <f>1-(1-VLOOKUP($E127,'Annual Mortality Rates'!$B$5:$C$105,2,FALSE))^(1/12)</f>
        <v>1.9186901267576051E-4</v>
      </c>
      <c r="G127" s="75">
        <f>IF(C127&gt;=[1]Assumptions!$H$9*12,100%,1-(1-IF(D127&gt;=7,2%,VLOOKUP($D127,'[1]Annual Lapse Rates'!$B$4:$C$14,2,FALSE)))^(1/12))</f>
        <v>1.6821425527395739E-3</v>
      </c>
      <c r="H127" s="81">
        <f t="shared" si="19"/>
        <v>12</v>
      </c>
      <c r="I127" s="65">
        <f t="shared" si="20"/>
        <v>2964.3885060608354</v>
      </c>
      <c r="J127" s="66">
        <f t="shared" si="21"/>
        <v>0.56877429584526518</v>
      </c>
      <c r="K127" s="66">
        <f t="shared" si="22"/>
        <v>4.9959022325713356</v>
      </c>
      <c r="M127" s="67">
        <f t="shared" si="27"/>
        <v>97684872.424100935</v>
      </c>
      <c r="N127" s="67">
        <f>IF(AND(MOD(C127,12)=1,D127&lt;15),Assumptions!$H$4*I126,0)</f>
        <v>0</v>
      </c>
      <c r="O127" s="67"/>
      <c r="P127" s="90">
        <f t="shared" si="23"/>
        <v>183062.58068888664</v>
      </c>
      <c r="Q127" s="90">
        <f>M127*VLOOKUP(MOD(C127,12)+(MOD(C127,12)=0)*12,Assumptions!$C$22:$D$33,2,FALSE)*(F127+G127)</f>
        <v>6864.846775833249</v>
      </c>
      <c r="R127" s="67">
        <f>IF(AND(MOD(C127,12)=0,D127&lt;15),Assumptions!$C$7*M127,0)</f>
        <v>48842.436212050467</v>
      </c>
      <c r="S127" s="68">
        <f>IF(MOD(C127,12)=0,M127*Assumptions!$D$17,0)</f>
        <v>397980.26204568479</v>
      </c>
      <c r="T127" s="68">
        <f t="shared" si="24"/>
        <v>0</v>
      </c>
      <c r="U127" s="67">
        <f>T127+AE127*(1+Assumptions!$D$17)</f>
        <v>0</v>
      </c>
      <c r="V127" s="67">
        <f>(M127+N127-O127)*(1+Assumptions!$D$17)-(P127+Q127)*(1+Assumptions!$D$17)^0.5-R127-T127</f>
        <v>97843696.321807891</v>
      </c>
      <c r="W127" s="67"/>
      <c r="X127" s="67">
        <f>IF(AND(H127=1,D127&lt;15),Assumptions!$D$10*N127+Assumptions!$D$11*(1+Assumptions!$D$16)^(B127-1)*$I$7,0)</f>
        <v>0</v>
      </c>
      <c r="Y127" s="65">
        <f>Assumptions!$C$13*N127</f>
        <v>0</v>
      </c>
      <c r="Z127" s="65">
        <f>NPV(Assumptions!$D$19,N127:$N$259)*(1+Assumptions!$D$19)</f>
        <v>31965877.2048917</v>
      </c>
      <c r="AA127" s="68">
        <f t="shared" si="25"/>
        <v>294022.18277622655</v>
      </c>
      <c r="AC127" s="67">
        <f t="shared" si="26"/>
        <v>97843696.321807891</v>
      </c>
      <c r="AD127" s="67"/>
      <c r="AE127" s="67"/>
      <c r="AF127" s="67"/>
      <c r="AG127" s="67"/>
      <c r="AH127" s="67"/>
      <c r="AI127" s="67"/>
      <c r="AK127" s="67"/>
      <c r="AL127" s="70">
        <f t="shared" si="18"/>
        <v>0</v>
      </c>
    </row>
    <row r="128" spans="2:38" x14ac:dyDescent="0.2">
      <c r="B128" s="5">
        <f t="shared" si="14"/>
        <v>121</v>
      </c>
      <c r="C128" s="5">
        <f t="shared" si="15"/>
        <v>121</v>
      </c>
      <c r="D128" s="5">
        <f t="shared" si="16"/>
        <v>10</v>
      </c>
      <c r="E128" s="5">
        <f t="shared" si="17"/>
        <v>56</v>
      </c>
      <c r="F128" s="64">
        <f>1-(1-VLOOKUP($E128,'Annual Mortality Rates'!$B$5:$C$105,2,FALSE))^(1/12)</f>
        <v>2.1274876474763893E-4</v>
      </c>
      <c r="G128" s="75">
        <f>IF(C128&gt;=[1]Assumptions!$H$9*12,100%,1-(1-IF(D128&gt;=7,2%,VLOOKUP($D128,'[1]Annual Lapse Rates'!$B$4:$C$14,2,FALSE)))^(1/12))</f>
        <v>1.6821425527395739E-3</v>
      </c>
      <c r="H128" s="81">
        <f t="shared" si="19"/>
        <v>1</v>
      </c>
      <c r="I128" s="65">
        <f t="shared" si="20"/>
        <v>2958.8238295324186</v>
      </c>
      <c r="J128" s="66">
        <f t="shared" si="21"/>
        <v>0.6294861148389006</v>
      </c>
      <c r="K128" s="66">
        <f t="shared" si="22"/>
        <v>4.9865240488970253</v>
      </c>
      <c r="M128" s="67">
        <f t="shared" si="27"/>
        <v>97843696.321807891</v>
      </c>
      <c r="N128" s="67">
        <f>IF(AND(MOD(C128,12)=1,D128&lt;15),Assumptions!$H$4*I127,0)</f>
        <v>7410971.2651520884</v>
      </c>
      <c r="O128" s="67"/>
      <c r="P128" s="90">
        <f t="shared" si="23"/>
        <v>185403.17063104932</v>
      </c>
      <c r="Q128" s="90">
        <f>M128*VLOOKUP(MOD(C128,12)+(MOD(C128,12)=0)*12,Assumptions!$C$22:$D$33,2,FALSE)*(F128+G128)</f>
        <v>579.38490822202914</v>
      </c>
      <c r="R128" s="67">
        <f>IF(AND(MOD(C128,12)=0,D128&lt;15),Assumptions!$C$7*M128,0)</f>
        <v>0</v>
      </c>
      <c r="S128" s="68">
        <f>IF(MOD(C128,12)=0,M128*Assumptions!$D$17,0)</f>
        <v>0</v>
      </c>
      <c r="T128" s="68">
        <f t="shared" si="24"/>
        <v>0</v>
      </c>
      <c r="U128" s="67">
        <f>T128+AE128*(1+Assumptions!$D$17)</f>
        <v>0</v>
      </c>
      <c r="V128" s="67">
        <f>(M128+N128-O128)*(1+Assumptions!$D$17)-(P128+Q128)*(1+Assumptions!$D$17)^0.5-R128-T128</f>
        <v>105497127.10309482</v>
      </c>
      <c r="W128" s="67"/>
      <c r="X128" s="67">
        <f>IF(AND(H128=1,D128&lt;15),Assumptions!$D$10*N128+Assumptions!$D$11*(1+Assumptions!$D$16)^(B128-1)*$I$7,0)</f>
        <v>76672.174975590213</v>
      </c>
      <c r="Y128" s="65">
        <f>Assumptions!$C$13*N128</f>
        <v>37054.85632576044</v>
      </c>
      <c r="Z128" s="65">
        <f>NPV(Assumptions!$D$19,N128:$N$259)*(1+Assumptions!$D$19)</f>
        <v>32103106.854021847</v>
      </c>
      <c r="AA128" s="68">
        <f t="shared" si="25"/>
        <v>227118.29732409274</v>
      </c>
      <c r="AC128" s="67">
        <f t="shared" si="26"/>
        <v>105497127.10309482</v>
      </c>
      <c r="AD128" s="67"/>
      <c r="AE128" s="67"/>
      <c r="AF128" s="67"/>
      <c r="AG128" s="67"/>
      <c r="AH128" s="67"/>
      <c r="AI128" s="67"/>
      <c r="AK128" s="67"/>
      <c r="AL128" s="70">
        <f t="shared" si="18"/>
        <v>0</v>
      </c>
    </row>
    <row r="129" spans="2:38" x14ac:dyDescent="0.2">
      <c r="B129" s="5">
        <f t="shared" si="14"/>
        <v>122</v>
      </c>
      <c r="C129" s="5">
        <f t="shared" si="15"/>
        <v>122</v>
      </c>
      <c r="D129" s="5">
        <f t="shared" si="16"/>
        <v>10</v>
      </c>
      <c r="E129" s="5">
        <f t="shared" si="17"/>
        <v>56</v>
      </c>
      <c r="F129" s="64">
        <f>1-(1-VLOOKUP($E129,'Annual Mortality Rates'!$B$5:$C$105,2,FALSE))^(1/12)</f>
        <v>2.1274876474763893E-4</v>
      </c>
      <c r="G129" s="75">
        <f>IF(C129&gt;=[1]Assumptions!$H$9*12,100%,1-(1-IF(D129&gt;=7,2%,VLOOKUP($D129,'[1]Annual Lapse Rates'!$B$4:$C$14,2,FALSE)))^(1/12))</f>
        <v>1.6821425527395739E-3</v>
      </c>
      <c r="H129" s="81">
        <f t="shared" si="19"/>
        <v>2</v>
      </c>
      <c r="I129" s="65">
        <f t="shared" si="20"/>
        <v>2953.2078193686825</v>
      </c>
      <c r="J129" s="66">
        <f t="shared" si="21"/>
        <v>0.62829131561375562</v>
      </c>
      <c r="K129" s="66">
        <f t="shared" si="22"/>
        <v>4.9771634697163449</v>
      </c>
      <c r="M129" s="67">
        <f t="shared" si="27"/>
        <v>105497127.10309482</v>
      </c>
      <c r="N129" s="67">
        <f>IF(AND(MOD(C129,12)=1,D129&lt;15),Assumptions!$H$4*I128,0)</f>
        <v>0</v>
      </c>
      <c r="O129" s="67"/>
      <c r="P129" s="90">
        <f t="shared" si="23"/>
        <v>199905.59016749929</v>
      </c>
      <c r="Q129" s="90">
        <f>M129*VLOOKUP(MOD(C129,12)+(MOD(C129,12)=0)*12,Assumptions!$C$22:$D$33,2,FALSE)*(F129+G129)</f>
        <v>1249.4099385468708</v>
      </c>
      <c r="R129" s="67">
        <f>IF(AND(MOD(C129,12)=0,D129&lt;15),Assumptions!$C$7*M129,0)</f>
        <v>0</v>
      </c>
      <c r="S129" s="68">
        <f>IF(MOD(C129,12)=0,M129*Assumptions!$D$17,0)</f>
        <v>0</v>
      </c>
      <c r="T129" s="68">
        <f t="shared" si="24"/>
        <v>0</v>
      </c>
      <c r="U129" s="67">
        <f>T129+AE129*(1+Assumptions!$D$17)</f>
        <v>0</v>
      </c>
      <c r="V129" s="67">
        <f>(M129+N129-O129)*(1+Assumptions!$D$17)-(P129+Q129)*(1+Assumptions!$D$17)^0.5-R129-T129</f>
        <v>105725371.10895149</v>
      </c>
      <c r="W129" s="67"/>
      <c r="X129" s="67">
        <f>IF(AND(H129=1,D129&lt;15),Assumptions!$D$10*N129+Assumptions!$D$11*(1+Assumptions!$D$16)^(B129-1)*$I$7,0)</f>
        <v>0</v>
      </c>
      <c r="Y129" s="65">
        <f>Assumptions!$C$13*N129</f>
        <v>0</v>
      </c>
      <c r="Z129" s="65">
        <f>NPV(Assumptions!$D$19,N129:$N$259)*(1+Assumptions!$D$19)</f>
        <v>24798139.033774942</v>
      </c>
      <c r="AA129" s="68">
        <f t="shared" si="25"/>
        <v>228093.31715705551</v>
      </c>
      <c r="AC129" s="67">
        <f t="shared" si="26"/>
        <v>105725371.10895149</v>
      </c>
      <c r="AD129" s="67"/>
      <c r="AE129" s="67"/>
      <c r="AF129" s="67"/>
      <c r="AG129" s="67"/>
      <c r="AH129" s="67"/>
      <c r="AI129" s="67"/>
      <c r="AK129" s="67"/>
      <c r="AL129" s="70">
        <f t="shared" si="18"/>
        <v>0</v>
      </c>
    </row>
    <row r="130" spans="2:38" x14ac:dyDescent="0.2">
      <c r="B130" s="5">
        <f t="shared" si="14"/>
        <v>123</v>
      </c>
      <c r="C130" s="5">
        <f t="shared" si="15"/>
        <v>123</v>
      </c>
      <c r="D130" s="5">
        <f t="shared" si="16"/>
        <v>10</v>
      </c>
      <c r="E130" s="5">
        <f t="shared" si="17"/>
        <v>56</v>
      </c>
      <c r="F130" s="64">
        <f>1-(1-VLOOKUP($E130,'Annual Mortality Rates'!$B$5:$C$105,2,FALSE))^(1/12)</f>
        <v>2.1274876474763893E-4</v>
      </c>
      <c r="G130" s="75">
        <f>IF(C130&gt;=[1]Assumptions!$H$9*12,100%,1-(1-IF(D130&gt;=7,2%,VLOOKUP($D130,'[1]Annual Lapse Rates'!$B$4:$C$14,2,FALSE)))^(1/12))</f>
        <v>1.6821425527395739E-3</v>
      </c>
      <c r="H130" s="81">
        <f t="shared" si="19"/>
        <v>3</v>
      </c>
      <c r="I130" s="65">
        <f t="shared" si="20"/>
        <v>2947.6023645833525</v>
      </c>
      <c r="J130" s="66">
        <f t="shared" si="21"/>
        <v>0.62709876203232784</v>
      </c>
      <c r="K130" s="66">
        <f t="shared" si="22"/>
        <v>4.9677165400433063</v>
      </c>
      <c r="M130" s="67">
        <f t="shared" si="27"/>
        <v>105725371.10895149</v>
      </c>
      <c r="N130" s="67">
        <f>IF(AND(MOD(C130,12)=1,D130&lt;15),Assumptions!$H$4*I129,0)</f>
        <v>0</v>
      </c>
      <c r="O130" s="67"/>
      <c r="P130" s="90">
        <f t="shared" si="23"/>
        <v>200338.0877524656</v>
      </c>
      <c r="Q130" s="90">
        <f>M130*VLOOKUP(MOD(C130,12)+(MOD(C130,12)=0)*12,Assumptions!$C$22:$D$33,2,FALSE)*(F130+G130)</f>
        <v>1878.1695726793653</v>
      </c>
      <c r="R130" s="67">
        <f>IF(AND(MOD(C130,12)=0,D130&lt;15),Assumptions!$C$7*M130,0)</f>
        <v>0</v>
      </c>
      <c r="S130" s="68">
        <f>IF(MOD(C130,12)=0,M130*Assumptions!$D$17,0)</f>
        <v>0</v>
      </c>
      <c r="T130" s="68">
        <f t="shared" si="24"/>
        <v>0</v>
      </c>
      <c r="U130" s="67">
        <f>T130+AE130*(1+Assumptions!$D$17)</f>
        <v>0</v>
      </c>
      <c r="V130" s="67">
        <f>(M130+N130-O130)*(1+Assumptions!$D$17)-(P130+Q130)*(1+Assumptions!$D$17)^0.5-R130-T130</f>
        <v>105953481.59227261</v>
      </c>
      <c r="W130" s="67"/>
      <c r="X130" s="67">
        <f>IF(AND(H130=1,D130&lt;15),Assumptions!$D$10*N130+Assumptions!$D$11*(1+Assumptions!$D$16)^(B130-1)*$I$7,0)</f>
        <v>0</v>
      </c>
      <c r="Y130" s="65">
        <f>Assumptions!$C$13*N130</f>
        <v>0</v>
      </c>
      <c r="Z130" s="65">
        <f>NPV(Assumptions!$D$19,N130:$N$259)*(1+Assumptions!$D$19)</f>
        <v>24904597.551927693</v>
      </c>
      <c r="AA130" s="68">
        <f t="shared" si="25"/>
        <v>229072.52275437929</v>
      </c>
      <c r="AC130" s="67">
        <f t="shared" si="26"/>
        <v>105953481.59227261</v>
      </c>
      <c r="AD130" s="67"/>
      <c r="AE130" s="67"/>
      <c r="AF130" s="67"/>
      <c r="AG130" s="67"/>
      <c r="AH130" s="67"/>
      <c r="AI130" s="67"/>
      <c r="AK130" s="67"/>
      <c r="AL130" s="70">
        <f t="shared" si="18"/>
        <v>0</v>
      </c>
    </row>
    <row r="131" spans="2:38" x14ac:dyDescent="0.2">
      <c r="B131" s="5">
        <f t="shared" si="14"/>
        <v>124</v>
      </c>
      <c r="C131" s="5">
        <f t="shared" si="15"/>
        <v>124</v>
      </c>
      <c r="D131" s="5">
        <f t="shared" si="16"/>
        <v>10</v>
      </c>
      <c r="E131" s="5">
        <f t="shared" si="17"/>
        <v>56</v>
      </c>
      <c r="F131" s="64">
        <f>1-(1-VLOOKUP($E131,'Annual Mortality Rates'!$B$5:$C$105,2,FALSE))^(1/12)</f>
        <v>2.1274876474763893E-4</v>
      </c>
      <c r="G131" s="75">
        <f>IF(C131&gt;=[1]Assumptions!$H$9*12,100%,1-(1-IF(D131&gt;=7,2%,VLOOKUP($D131,'[1]Annual Lapse Rates'!$B$4:$C$14,2,FALSE)))^(1/12))</f>
        <v>1.6821425527395739E-3</v>
      </c>
      <c r="H131" s="81">
        <f t="shared" si="19"/>
        <v>4</v>
      </c>
      <c r="I131" s="65">
        <f t="shared" si="20"/>
        <v>2942.0075492812766</v>
      </c>
      <c r="J131" s="66">
        <f t="shared" si="21"/>
        <v>0.62590847198782007</v>
      </c>
      <c r="K131" s="66">
        <f t="shared" si="22"/>
        <v>4.9582873660214446</v>
      </c>
      <c r="M131" s="67">
        <f t="shared" si="27"/>
        <v>105953481.59227261</v>
      </c>
      <c r="N131" s="67">
        <f>IF(AND(MOD(C131,12)=1,D131&lt;15),Assumptions!$H$4*I130,0)</f>
        <v>0</v>
      </c>
      <c r="O131" s="67"/>
      <c r="P131" s="90">
        <f t="shared" si="23"/>
        <v>200770.3323267386</v>
      </c>
      <c r="Q131" s="90">
        <f>M131*VLOOKUP(MOD(C131,12)+(MOD(C131,12)=0)*12,Assumptions!$C$22:$D$33,2,FALSE)*(F131+G131)</f>
        <v>2509.6291540842326</v>
      </c>
      <c r="R131" s="67">
        <f>IF(AND(MOD(C131,12)=0,D131&lt;15),Assumptions!$C$7*M131,0)</f>
        <v>0</v>
      </c>
      <c r="S131" s="68">
        <f>IF(MOD(C131,12)=0,M131*Assumptions!$D$17,0)</f>
        <v>0</v>
      </c>
      <c r="T131" s="68">
        <f t="shared" si="24"/>
        <v>0</v>
      </c>
      <c r="U131" s="67">
        <f>T131+AE131*(1+Assumptions!$D$17)</f>
        <v>0</v>
      </c>
      <c r="V131" s="67">
        <f>(M131+N131-O131)*(1+Assumptions!$D$17)-(P131+Q131)*(1+Assumptions!$D$17)^0.5-R131-T131</f>
        <v>106181455.55715473</v>
      </c>
      <c r="W131" s="67"/>
      <c r="X131" s="67">
        <f>IF(AND(H131=1,D131&lt;15),Assumptions!$D$10*N131+Assumptions!$D$11*(1+Assumptions!$D$16)^(B131-1)*$I$7,0)</f>
        <v>0</v>
      </c>
      <c r="Y131" s="65">
        <f>Assumptions!$C$13*N131</f>
        <v>0</v>
      </c>
      <c r="Z131" s="65">
        <f>NPV(Assumptions!$D$19,N131:$N$259)*(1+Assumptions!$D$19)</f>
        <v>25011513.096959431</v>
      </c>
      <c r="AA131" s="68">
        <f t="shared" si="25"/>
        <v>230055.93208556858</v>
      </c>
      <c r="AC131" s="67">
        <f t="shared" si="26"/>
        <v>106181455.55715473</v>
      </c>
      <c r="AD131" s="67"/>
      <c r="AE131" s="67"/>
      <c r="AF131" s="67"/>
      <c r="AG131" s="67"/>
      <c r="AH131" s="67"/>
      <c r="AI131" s="67"/>
      <c r="AK131" s="67"/>
      <c r="AL131" s="70">
        <f t="shared" si="18"/>
        <v>0</v>
      </c>
    </row>
    <row r="132" spans="2:38" x14ac:dyDescent="0.2">
      <c r="B132" s="5">
        <f t="shared" si="14"/>
        <v>125</v>
      </c>
      <c r="C132" s="5">
        <f t="shared" si="15"/>
        <v>125</v>
      </c>
      <c r="D132" s="5">
        <f t="shared" si="16"/>
        <v>10</v>
      </c>
      <c r="E132" s="5">
        <f t="shared" si="17"/>
        <v>56</v>
      </c>
      <c r="F132" s="64">
        <f>1-(1-VLOOKUP($E132,'Annual Mortality Rates'!$B$5:$C$105,2,FALSE))^(1/12)</f>
        <v>2.1274876474763893E-4</v>
      </c>
      <c r="G132" s="75">
        <f>IF(C132&gt;=[1]Assumptions!$H$9*12,100%,1-(1-IF(D132&gt;=7,2%,VLOOKUP($D132,'[1]Annual Lapse Rates'!$B$4:$C$14,2,FALSE)))^(1/12))</f>
        <v>1.6821425527395739E-3</v>
      </c>
      <c r="H132" s="81">
        <f t="shared" si="19"/>
        <v>5</v>
      </c>
      <c r="I132" s="65">
        <f t="shared" si="20"/>
        <v>2936.4233534432674</v>
      </c>
      <c r="J132" s="66">
        <f t="shared" si="21"/>
        <v>0.62472044122117465</v>
      </c>
      <c r="K132" s="66">
        <f t="shared" si="22"/>
        <v>4.9488760891271042</v>
      </c>
      <c r="M132" s="67">
        <f t="shared" si="27"/>
        <v>106181455.55715473</v>
      </c>
      <c r="N132" s="67">
        <f>IF(AND(MOD(C132,12)=1,D132&lt;15),Assumptions!$H$4*I131,0)</f>
        <v>0</v>
      </c>
      <c r="O132" s="67"/>
      <c r="P132" s="90">
        <f t="shared" si="23"/>
        <v>201202.31821340686</v>
      </c>
      <c r="Q132" s="90">
        <f>M132*VLOOKUP(MOD(C132,12)+(MOD(C132,12)=0)*12,Assumptions!$C$22:$D$33,2,FALSE)*(F132+G132)</f>
        <v>3143.7862220844822</v>
      </c>
      <c r="R132" s="67">
        <f>IF(AND(MOD(C132,12)=0,D132&lt;15),Assumptions!$C$7*M132,0)</f>
        <v>0</v>
      </c>
      <c r="S132" s="68">
        <f>IF(MOD(C132,12)=0,M132*Assumptions!$D$17,0)</f>
        <v>0</v>
      </c>
      <c r="T132" s="68">
        <f t="shared" si="24"/>
        <v>0</v>
      </c>
      <c r="U132" s="67">
        <f>T132+AE132*(1+Assumptions!$D$17)</f>
        <v>0</v>
      </c>
      <c r="V132" s="67">
        <f>(M132+N132-O132)*(1+Assumptions!$D$17)-(P132+Q132)*(1+Assumptions!$D$17)^0.5-R132-T132</f>
        <v>106409290.00364293</v>
      </c>
      <c r="W132" s="67"/>
      <c r="X132" s="67">
        <f>IF(AND(H132=1,D132&lt;15),Assumptions!$D$10*N132+Assumptions!$D$11*(1+Assumptions!$D$16)^(B132-1)*$I$7,0)</f>
        <v>0</v>
      </c>
      <c r="Y132" s="65">
        <f>Assumptions!$C$13*N132</f>
        <v>0</v>
      </c>
      <c r="Z132" s="65">
        <f>NPV(Assumptions!$D$19,N132:$N$259)*(1+Assumptions!$D$19)</f>
        <v>25118887.630888522</v>
      </c>
      <c r="AA132" s="68">
        <f t="shared" si="25"/>
        <v>231043.56319727105</v>
      </c>
      <c r="AC132" s="67">
        <f t="shared" si="26"/>
        <v>106409290.00364293</v>
      </c>
      <c r="AD132" s="67"/>
      <c r="AE132" s="67"/>
      <c r="AF132" s="67"/>
      <c r="AG132" s="67"/>
      <c r="AH132" s="67"/>
      <c r="AI132" s="67"/>
      <c r="AK132" s="67"/>
      <c r="AL132" s="70">
        <f t="shared" si="18"/>
        <v>0</v>
      </c>
    </row>
    <row r="133" spans="2:38" x14ac:dyDescent="0.2">
      <c r="B133" s="5">
        <f t="shared" si="14"/>
        <v>126</v>
      </c>
      <c r="C133" s="5">
        <f t="shared" si="15"/>
        <v>126</v>
      </c>
      <c r="D133" s="5">
        <f t="shared" si="16"/>
        <v>10</v>
      </c>
      <c r="E133" s="5">
        <f t="shared" si="17"/>
        <v>56</v>
      </c>
      <c r="F133" s="64">
        <f>1-(1-VLOOKUP($E133,'Annual Mortality Rates'!$B$5:$C$105,2,FALSE))^(1/12)</f>
        <v>2.1274876474763893E-4</v>
      </c>
      <c r="G133" s="75">
        <f>IF(C133&gt;=[1]Assumptions!$H$9*12,100%,1-(1-IF(D133&gt;=7,2%,VLOOKUP($D133,'[1]Annual Lapse Rates'!$B$4:$C$14,2,FALSE)))^(1/12))</f>
        <v>1.6821425527395739E-3</v>
      </c>
      <c r="H133" s="81">
        <f t="shared" si="19"/>
        <v>6</v>
      </c>
      <c r="I133" s="65">
        <f t="shared" si="20"/>
        <v>2930.849756912919</v>
      </c>
      <c r="J133" s="66">
        <f t="shared" si="21"/>
        <v>0.62353466544414138</v>
      </c>
      <c r="K133" s="66">
        <f t="shared" si="22"/>
        <v>4.9394826756851575</v>
      </c>
      <c r="M133" s="67">
        <f t="shared" si="27"/>
        <v>106409290.00364293</v>
      </c>
      <c r="N133" s="67">
        <f>IF(AND(MOD(C133,12)=1,D133&lt;15),Assumptions!$H$4*I132,0)</f>
        <v>0</v>
      </c>
      <c r="O133" s="67"/>
      <c r="P133" s="90">
        <f t="shared" si="23"/>
        <v>201634.03972788187</v>
      </c>
      <c r="Q133" s="90">
        <f>M133*VLOOKUP(MOD(C133,12)+(MOD(C133,12)=0)*12,Assumptions!$C$22:$D$33,2,FALSE)*(F133+G133)</f>
        <v>3780.6382448977856</v>
      </c>
      <c r="R133" s="67">
        <f>IF(AND(MOD(C133,12)=0,D133&lt;15),Assumptions!$C$7*M133,0)</f>
        <v>0</v>
      </c>
      <c r="S133" s="68">
        <f>IF(MOD(C133,12)=0,M133*Assumptions!$D$17,0)</f>
        <v>0</v>
      </c>
      <c r="T133" s="68">
        <f t="shared" si="24"/>
        <v>0</v>
      </c>
      <c r="U133" s="67">
        <f>T133+AE133*(1+Assumptions!$D$17)</f>
        <v>0</v>
      </c>
      <c r="V133" s="67">
        <f>(M133+N133-O133)*(1+Assumptions!$D$17)-(P133+Q133)*(1+Assumptions!$D$17)^0.5-R133-T133</f>
        <v>106636981.92779317</v>
      </c>
      <c r="W133" s="67"/>
      <c r="X133" s="67">
        <f>IF(AND(H133=1,D133&lt;15),Assumptions!$D$10*N133+Assumptions!$D$11*(1+Assumptions!$D$16)^(B133-1)*$I$7,0)</f>
        <v>0</v>
      </c>
      <c r="Y133" s="65">
        <f>Assumptions!$C$13*N133</f>
        <v>0</v>
      </c>
      <c r="Z133" s="65">
        <f>NPV(Assumptions!$D$19,N133:$N$259)*(1+Assumptions!$D$19)</f>
        <v>25226723.124156293</v>
      </c>
      <c r="AA133" s="68">
        <f t="shared" si="25"/>
        <v>232035.43421360871</v>
      </c>
      <c r="AC133" s="67">
        <f t="shared" si="26"/>
        <v>106636981.92779317</v>
      </c>
      <c r="AD133" s="67"/>
      <c r="AE133" s="67"/>
      <c r="AF133" s="67"/>
      <c r="AG133" s="67"/>
      <c r="AH133" s="67"/>
      <c r="AI133" s="67"/>
      <c r="AK133" s="67"/>
      <c r="AL133" s="70">
        <f t="shared" si="18"/>
        <v>0</v>
      </c>
    </row>
    <row r="134" spans="2:38" x14ac:dyDescent="0.2">
      <c r="B134" s="5">
        <f t="shared" si="14"/>
        <v>127</v>
      </c>
      <c r="C134" s="5">
        <f t="shared" si="15"/>
        <v>127</v>
      </c>
      <c r="D134" s="5">
        <f t="shared" si="16"/>
        <v>10</v>
      </c>
      <c r="E134" s="5">
        <f t="shared" si="17"/>
        <v>56</v>
      </c>
      <c r="F134" s="64">
        <f>1-(1-VLOOKUP($E134,'Annual Mortality Rates'!$B$5:$C$105,2,FALSE))^(1/12)</f>
        <v>2.1274876474763893E-4</v>
      </c>
      <c r="G134" s="75">
        <f>IF(C134&gt;=[1]Assumptions!$H$9*12,100%,1-(1-IF(D134&gt;=7,2%,VLOOKUP($D134,'[1]Annual Lapse Rates'!$B$4:$C$14,2,FALSE)))^(1/12))</f>
        <v>1.6821425527395739E-3</v>
      </c>
      <c r="H134" s="81">
        <f t="shared" si="19"/>
        <v>7</v>
      </c>
      <c r="I134" s="65">
        <f t="shared" si="20"/>
        <v>2925.2867395717894</v>
      </c>
      <c r="J134" s="66">
        <f t="shared" si="21"/>
        <v>0.62235114037654637</v>
      </c>
      <c r="K134" s="66">
        <f t="shared" si="22"/>
        <v>4.9301070917896572</v>
      </c>
      <c r="M134" s="67">
        <f t="shared" si="27"/>
        <v>106636981.92779317</v>
      </c>
      <c r="N134" s="67">
        <f>IF(AND(MOD(C134,12)=1,D134&lt;15),Assumptions!$H$4*I133,0)</f>
        <v>0</v>
      </c>
      <c r="O134" s="67"/>
      <c r="P134" s="90">
        <f t="shared" si="23"/>
        <v>202065.49117801612</v>
      </c>
      <c r="Q134" s="90">
        <f>M134*VLOOKUP(MOD(C134,12)+(MOD(C134,12)=0)*12,Assumptions!$C$22:$D$33,2,FALSE)*(F134+G134)</f>
        <v>4420.1826195191024</v>
      </c>
      <c r="R134" s="67">
        <f>IF(AND(MOD(C134,12)=0,D134&lt;15),Assumptions!$C$7*M134,0)</f>
        <v>0</v>
      </c>
      <c r="S134" s="68">
        <f>IF(MOD(C134,12)=0,M134*Assumptions!$D$17,0)</f>
        <v>0</v>
      </c>
      <c r="T134" s="68">
        <f t="shared" si="24"/>
        <v>0</v>
      </c>
      <c r="U134" s="67">
        <f>T134+AE134*(1+Assumptions!$D$17)</f>
        <v>0</v>
      </c>
      <c r="V134" s="67">
        <f>(M134+N134-O134)*(1+Assumptions!$D$17)-(P134+Q134)*(1+Assumptions!$D$17)^0.5-R134-T134</f>
        <v>106864528.32173499</v>
      </c>
      <c r="W134" s="67"/>
      <c r="X134" s="67">
        <f>IF(AND(H134=1,D134&lt;15),Assumptions!$D$10*N134+Assumptions!$D$11*(1+Assumptions!$D$16)^(B134-1)*$I$7,0)</f>
        <v>0</v>
      </c>
      <c r="Y134" s="65">
        <f>Assumptions!$C$13*N134</f>
        <v>0</v>
      </c>
      <c r="Z134" s="65">
        <f>NPV(Assumptions!$D$19,N134:$N$259)*(1+Assumptions!$D$19)</f>
        <v>25335021.555663176</v>
      </c>
      <c r="AA134" s="68">
        <f t="shared" si="25"/>
        <v>233031.5633365105</v>
      </c>
      <c r="AC134" s="67">
        <f t="shared" si="26"/>
        <v>106864528.32173499</v>
      </c>
      <c r="AD134" s="67"/>
      <c r="AE134" s="67"/>
      <c r="AF134" s="67"/>
      <c r="AG134" s="67"/>
      <c r="AH134" s="67"/>
      <c r="AI134" s="67"/>
      <c r="AK134" s="67"/>
      <c r="AL134" s="70">
        <f t="shared" si="18"/>
        <v>0</v>
      </c>
    </row>
    <row r="135" spans="2:38" x14ac:dyDescent="0.2">
      <c r="B135" s="5">
        <f t="shared" si="14"/>
        <v>128</v>
      </c>
      <c r="C135" s="5">
        <f t="shared" si="15"/>
        <v>128</v>
      </c>
      <c r="D135" s="5">
        <f t="shared" si="16"/>
        <v>10</v>
      </c>
      <c r="E135" s="5">
        <f t="shared" si="17"/>
        <v>56</v>
      </c>
      <c r="F135" s="64">
        <f>1-(1-VLOOKUP($E135,'Annual Mortality Rates'!$B$5:$C$105,2,FALSE))^(1/12)</f>
        <v>2.1274876474763893E-4</v>
      </c>
      <c r="G135" s="75">
        <f>IF(C135&gt;=[1]Assumptions!$H$9*12,100%,1-(1-IF(D135&gt;=7,2%,VLOOKUP($D135,'[1]Annual Lapse Rates'!$B$4:$C$14,2,FALSE)))^(1/12))</f>
        <v>1.6821425527395739E-3</v>
      </c>
      <c r="H135" s="81">
        <f t="shared" si="19"/>
        <v>8</v>
      </c>
      <c r="I135" s="65">
        <f t="shared" si="20"/>
        <v>2919.7342813396235</v>
      </c>
      <c r="J135" s="66">
        <f t="shared" si="21"/>
        <v>0.62116986174634015</v>
      </c>
      <c r="K135" s="66">
        <f t="shared" si="22"/>
        <v>4.920749303598515</v>
      </c>
      <c r="M135" s="67">
        <f t="shared" si="27"/>
        <v>106864528.32173499</v>
      </c>
      <c r="N135" s="67">
        <f>IF(AND(MOD(C135,12)=1,D135&lt;15),Assumptions!$H$4*I134,0)</f>
        <v>0</v>
      </c>
      <c r="O135" s="67"/>
      <c r="P135" s="90">
        <f t="shared" si="23"/>
        <v>202496.666864222</v>
      </c>
      <c r="Q135" s="90">
        <f>M135*VLOOKUP(MOD(C135,12)+(MOD(C135,12)=0)*12,Assumptions!$C$22:$D$33,2,FALSE)*(F135+G135)</f>
        <v>5062.4166716055506</v>
      </c>
      <c r="R135" s="67">
        <f>IF(AND(MOD(C135,12)=0,D135&lt;15),Assumptions!$C$7*M135,0)</f>
        <v>0</v>
      </c>
      <c r="S135" s="68">
        <f>IF(MOD(C135,12)=0,M135*Assumptions!$D$17,0)</f>
        <v>0</v>
      </c>
      <c r="T135" s="68">
        <f t="shared" si="24"/>
        <v>0</v>
      </c>
      <c r="U135" s="67">
        <f>T135+AE135*(1+Assumptions!$D$17)</f>
        <v>0</v>
      </c>
      <c r="V135" s="67">
        <f>(M135+N135-O135)*(1+Assumptions!$D$17)-(P135+Q135)*(1+Assumptions!$D$17)^0.5-R135-T135</f>
        <v>107091926.1737345</v>
      </c>
      <c r="W135" s="67"/>
      <c r="X135" s="67">
        <f>IF(AND(H135=1,D135&lt;15),Assumptions!$D$10*N135+Assumptions!$D$11*(1+Assumptions!$D$16)^(B135-1)*$I$7,0)</f>
        <v>0</v>
      </c>
      <c r="Y135" s="65">
        <f>Assumptions!$C$13*N135</f>
        <v>0</v>
      </c>
      <c r="Z135" s="65">
        <f>NPV(Assumptions!$D$19,N135:$N$259)*(1+Assumptions!$D$19)</f>
        <v>25443784.912805032</v>
      </c>
      <c r="AA135" s="68">
        <f t="shared" si="25"/>
        <v>234031.96884604631</v>
      </c>
      <c r="AC135" s="67">
        <f t="shared" si="26"/>
        <v>107091926.1737345</v>
      </c>
      <c r="AD135" s="67"/>
      <c r="AE135" s="67"/>
      <c r="AF135" s="67"/>
      <c r="AG135" s="67"/>
      <c r="AH135" s="67"/>
      <c r="AI135" s="67"/>
      <c r="AK135" s="67"/>
      <c r="AL135" s="70">
        <f t="shared" si="18"/>
        <v>0</v>
      </c>
    </row>
    <row r="136" spans="2:38" x14ac:dyDescent="0.2">
      <c r="B136" s="5">
        <f t="shared" ref="B136:B199" si="28">B135+1</f>
        <v>129</v>
      </c>
      <c r="C136" s="5">
        <f t="shared" ref="C136:C199" si="29">$C$4+B136</f>
        <v>129</v>
      </c>
      <c r="D136" s="5">
        <f t="shared" ref="D136:D199" si="30">ROUNDDOWN((C136-1)/12,0)</f>
        <v>10</v>
      </c>
      <c r="E136" s="5">
        <f t="shared" ref="E136:E199" si="31">ROUNDDOWN(($E$4+B136)/12,0)</f>
        <v>56</v>
      </c>
      <c r="F136" s="64">
        <f>1-(1-VLOOKUP($E136,'Annual Mortality Rates'!$B$5:$C$105,2,FALSE))^(1/12)</f>
        <v>2.1274876474763893E-4</v>
      </c>
      <c r="G136" s="75">
        <f>IF(C136&gt;=[1]Assumptions!$H$9*12,100%,1-(1-IF(D136&gt;=7,2%,VLOOKUP($D136,'[1]Annual Lapse Rates'!$B$4:$C$14,2,FALSE)))^(1/12))</f>
        <v>1.6821425527395739E-3</v>
      </c>
      <c r="H136" s="81">
        <f t="shared" si="19"/>
        <v>9</v>
      </c>
      <c r="I136" s="65">
        <f t="shared" si="20"/>
        <v>2914.192362174279</v>
      </c>
      <c r="J136" s="66">
        <f t="shared" si="21"/>
        <v>0.61999082528958183</v>
      </c>
      <c r="K136" s="66">
        <f t="shared" si="22"/>
        <v>4.9114092773338793</v>
      </c>
      <c r="M136" s="67">
        <f t="shared" si="27"/>
        <v>107091926.1737345</v>
      </c>
      <c r="N136" s="67">
        <f>IF(AND(MOD(C136,12)=1,D136&lt;15),Assumptions!$H$4*I135,0)</f>
        <v>0</v>
      </c>
      <c r="O136" s="67"/>
      <c r="P136" s="90">
        <f t="shared" si="23"/>
        <v>202927.56107959111</v>
      </c>
      <c r="Q136" s="90">
        <f>M136*VLOOKUP(MOD(C136,12)+(MOD(C136,12)=0)*12,Assumptions!$C$22:$D$33,2,FALSE)*(F136+G136)</f>
        <v>5707.3376553634998</v>
      </c>
      <c r="R136" s="67">
        <f>IF(AND(MOD(C136,12)=0,D136&lt;15),Assumptions!$C$7*M136,0)</f>
        <v>0</v>
      </c>
      <c r="S136" s="68">
        <f>IF(MOD(C136,12)=0,M136*Assumptions!$D$17,0)</f>
        <v>0</v>
      </c>
      <c r="T136" s="68">
        <f t="shared" si="24"/>
        <v>0</v>
      </c>
      <c r="U136" s="67">
        <f>T136+AE136*(1+Assumptions!$D$17)</f>
        <v>0</v>
      </c>
      <c r="V136" s="67">
        <f>(M136+N136-O136)*(1+Assumptions!$D$17)-(P136+Q136)*(1+Assumptions!$D$17)^0.5-R136-T136</f>
        <v>107319172.46825749</v>
      </c>
      <c r="W136" s="67"/>
      <c r="X136" s="67">
        <f>IF(AND(H136=1,D136&lt;15),Assumptions!$D$10*N136+Assumptions!$D$11*(1+Assumptions!$D$16)^(B136-1)*$I$7,0)</f>
        <v>0</v>
      </c>
      <c r="Y136" s="65">
        <f>Assumptions!$C$13*N136</f>
        <v>0</v>
      </c>
      <c r="Z136" s="65">
        <f>NPV(Assumptions!$D$19,N136:$N$259)*(1+Assumptions!$D$19)</f>
        <v>25553015.191509627</v>
      </c>
      <c r="AA136" s="68">
        <f t="shared" si="25"/>
        <v>235036.66910076249</v>
      </c>
      <c r="AC136" s="67">
        <f t="shared" si="26"/>
        <v>107319172.46825749</v>
      </c>
      <c r="AD136" s="67"/>
      <c r="AE136" s="67"/>
      <c r="AF136" s="67"/>
      <c r="AG136" s="67"/>
      <c r="AH136" s="67"/>
      <c r="AI136" s="67"/>
      <c r="AK136" s="67"/>
      <c r="AL136" s="70">
        <f t="shared" ref="AL136:AL199" si="32">ROUND(AK136-AG136,3)</f>
        <v>0</v>
      </c>
    </row>
    <row r="137" spans="2:38" x14ac:dyDescent="0.2">
      <c r="B137" s="5">
        <f t="shared" si="28"/>
        <v>130</v>
      </c>
      <c r="C137" s="5">
        <f t="shared" si="29"/>
        <v>130</v>
      </c>
      <c r="D137" s="5">
        <f t="shared" si="30"/>
        <v>10</v>
      </c>
      <c r="E137" s="5">
        <f t="shared" si="31"/>
        <v>56</v>
      </c>
      <c r="F137" s="64">
        <f>1-(1-VLOOKUP($E137,'Annual Mortality Rates'!$B$5:$C$105,2,FALSE))^(1/12)</f>
        <v>2.1274876474763893E-4</v>
      </c>
      <c r="G137" s="75">
        <f>IF(C137&gt;=[1]Assumptions!$H$9*12,100%,1-(1-IF(D137&gt;=7,2%,VLOOKUP($D137,'[1]Annual Lapse Rates'!$B$4:$C$14,2,FALSE)))^(1/12))</f>
        <v>1.6821425527395739E-3</v>
      </c>
      <c r="H137" s="81">
        <f t="shared" ref="H137:H200" si="33">MOD(C137,12)+(MOD(C137,12)=0)*12</f>
        <v>10</v>
      </c>
      <c r="I137" s="65">
        <f t="shared" ref="I137:I200" si="34">I136-J136-K136</f>
        <v>2908.6609620716554</v>
      </c>
      <c r="J137" s="66">
        <f t="shared" ref="J137:J200" si="35">$I137*F137</f>
        <v>0.61881402675042374</v>
      </c>
      <c r="K137" s="66">
        <f t="shared" ref="K137:K200" si="36">IF(G137=100%,I137-J137,$I136*G137)</f>
        <v>4.9020869792820108</v>
      </c>
      <c r="M137" s="67">
        <f t="shared" si="27"/>
        <v>107319172.46825749</v>
      </c>
      <c r="N137" s="67">
        <f>IF(AND(MOD(C137,12)=1,D137&lt;15),Assumptions!$H$4*I136,0)</f>
        <v>0</v>
      </c>
      <c r="O137" s="67"/>
      <c r="P137" s="90">
        <f t="shared" ref="P137:P200" si="37">M137*(F137+G137)</f>
        <v>203358.16811001385</v>
      </c>
      <c r="Q137" s="90">
        <f>M137*VLOOKUP(MOD(C137,12)+(MOD(C137,12)=0)*12,Assumptions!$C$22:$D$33,2,FALSE)*(F137+G137)</f>
        <v>6354.9427534379329</v>
      </c>
      <c r="R137" s="67">
        <f>IF(AND(MOD(C137,12)=0,D137&lt;15),Assumptions!$C$7*M137,0)</f>
        <v>0</v>
      </c>
      <c r="S137" s="68">
        <f>IF(MOD(C137,12)=0,M137*Assumptions!$D$17,0)</f>
        <v>0</v>
      </c>
      <c r="T137" s="68">
        <f t="shared" ref="T137:T200" si="38">(M137+S137)*(G137=100%)</f>
        <v>0</v>
      </c>
      <c r="U137" s="67">
        <f>T137+AE137*(1+Assumptions!$D$17)</f>
        <v>0</v>
      </c>
      <c r="V137" s="67">
        <f>(M137+N137-O137)*(1+Assumptions!$D$17)-(P137+Q137)*(1+Assumptions!$D$17)^0.5-R137-T137</f>
        <v>107546264.18603295</v>
      </c>
      <c r="W137" s="67"/>
      <c r="X137" s="67">
        <f>IF(AND(H137=1,D137&lt;15),Assumptions!$D$10*N137+Assumptions!$D$11*(1+Assumptions!$D$16)^(B137-1)*$I$7,0)</f>
        <v>0</v>
      </c>
      <c r="Y137" s="65">
        <f>Assumptions!$C$13*N137</f>
        <v>0</v>
      </c>
      <c r="Z137" s="65">
        <f>NPV(Assumptions!$D$19,N137:$N$259)*(1+Assumptions!$D$19)</f>
        <v>25662714.396273248</v>
      </c>
      <c r="AA137" s="68">
        <f t="shared" ref="AA137:AA200" si="39">Z138*$AA$4</f>
        <v>236045.68253801868</v>
      </c>
      <c r="AC137" s="67">
        <f t="shared" ref="AC137:AC200" si="40">V137</f>
        <v>107546264.18603295</v>
      </c>
      <c r="AD137" s="67"/>
      <c r="AE137" s="67"/>
      <c r="AF137" s="67"/>
      <c r="AG137" s="67"/>
      <c r="AH137" s="67"/>
      <c r="AI137" s="67"/>
      <c r="AK137" s="67"/>
      <c r="AL137" s="70">
        <f t="shared" si="32"/>
        <v>0</v>
      </c>
    </row>
    <row r="138" spans="2:38" x14ac:dyDescent="0.2">
      <c r="B138" s="5">
        <f t="shared" si="28"/>
        <v>131</v>
      </c>
      <c r="C138" s="5">
        <f t="shared" si="29"/>
        <v>131</v>
      </c>
      <c r="D138" s="5">
        <f t="shared" si="30"/>
        <v>10</v>
      </c>
      <c r="E138" s="5">
        <f t="shared" si="31"/>
        <v>56</v>
      </c>
      <c r="F138" s="64">
        <f>1-(1-VLOOKUP($E138,'Annual Mortality Rates'!$B$5:$C$105,2,FALSE))^(1/12)</f>
        <v>2.1274876474763893E-4</v>
      </c>
      <c r="G138" s="75">
        <f>IF(C138&gt;=[1]Assumptions!$H$9*12,100%,1-(1-IF(D138&gt;=7,2%,VLOOKUP($D138,'[1]Annual Lapse Rates'!$B$4:$C$14,2,FALSE)))^(1/12))</f>
        <v>1.6821425527395739E-3</v>
      </c>
      <c r="H138" s="81">
        <f t="shared" si="33"/>
        <v>11</v>
      </c>
      <c r="I138" s="65">
        <f t="shared" si="34"/>
        <v>2903.1400610656228</v>
      </c>
      <c r="J138" s="66">
        <f t="shared" si="35"/>
        <v>0.61763946188109631</v>
      </c>
      <c r="K138" s="66">
        <f t="shared" si="36"/>
        <v>4.8927823757931597</v>
      </c>
      <c r="M138" s="67">
        <f t="shared" ref="M138:M201" si="41">V137</f>
        <v>107546264.18603295</v>
      </c>
      <c r="N138" s="67">
        <f>IF(AND(MOD(C138,12)=1,D138&lt;15),Assumptions!$H$4*I137,0)</f>
        <v>0</v>
      </c>
      <c r="O138" s="67"/>
      <c r="P138" s="90">
        <f t="shared" si="37"/>
        <v>203788.48223429982</v>
      </c>
      <c r="Q138" s="90">
        <f>M138*VLOOKUP(MOD(C138,12)+(MOD(C138,12)=0)*12,Assumptions!$C$22:$D$33,2,FALSE)*(F138+G138)</f>
        <v>7005.2290768040575</v>
      </c>
      <c r="R138" s="67">
        <f>IF(AND(MOD(C138,12)=0,D138&lt;15),Assumptions!$C$7*M138,0)</f>
        <v>0</v>
      </c>
      <c r="S138" s="68">
        <f>IF(MOD(C138,12)=0,M138*Assumptions!$D$17,0)</f>
        <v>0</v>
      </c>
      <c r="T138" s="68">
        <f t="shared" si="38"/>
        <v>0</v>
      </c>
      <c r="U138" s="67">
        <f>T138+AE138*(1+Assumptions!$D$17)</f>
        <v>0</v>
      </c>
      <c r="V138" s="67">
        <f>(M138+N138-O138)*(1+Assumptions!$D$17)-(P138+Q138)*(1+Assumptions!$D$17)^0.5-R138-T138</f>
        <v>107773198.30411671</v>
      </c>
      <c r="W138" s="67"/>
      <c r="X138" s="67">
        <f>IF(AND(H138=1,D138&lt;15),Assumptions!$D$10*N138+Assumptions!$D$11*(1+Assumptions!$D$16)^(B138-1)*$I$7,0)</f>
        <v>0</v>
      </c>
      <c r="Y138" s="65">
        <f>Assumptions!$C$13*N138</f>
        <v>0</v>
      </c>
      <c r="Z138" s="65">
        <f>NPV(Assumptions!$D$19,N138:$N$259)*(1+Assumptions!$D$19)</f>
        <v>25772884.540197499</v>
      </c>
      <c r="AA138" s="68">
        <f t="shared" si="39"/>
        <v>237059.02767432615</v>
      </c>
      <c r="AC138" s="67">
        <f t="shared" si="40"/>
        <v>107773198.30411671</v>
      </c>
      <c r="AD138" s="67"/>
      <c r="AE138" s="67"/>
      <c r="AF138" s="67"/>
      <c r="AG138" s="67"/>
      <c r="AH138" s="67"/>
      <c r="AI138" s="67"/>
      <c r="AK138" s="67"/>
      <c r="AL138" s="70">
        <f t="shared" si="32"/>
        <v>0</v>
      </c>
    </row>
    <row r="139" spans="2:38" x14ac:dyDescent="0.2">
      <c r="B139" s="5">
        <f t="shared" si="28"/>
        <v>132</v>
      </c>
      <c r="C139" s="5">
        <f t="shared" si="29"/>
        <v>132</v>
      </c>
      <c r="D139" s="5">
        <f t="shared" si="30"/>
        <v>10</v>
      </c>
      <c r="E139" s="5">
        <f t="shared" si="31"/>
        <v>56</v>
      </c>
      <c r="F139" s="64">
        <f>1-(1-VLOOKUP($E139,'Annual Mortality Rates'!$B$5:$C$105,2,FALSE))^(1/12)</f>
        <v>2.1274876474763893E-4</v>
      </c>
      <c r="G139" s="75">
        <f>IF(C139&gt;=[1]Assumptions!$H$9*12,100%,1-(1-IF(D139&gt;=7,2%,VLOOKUP($D139,'[1]Annual Lapse Rates'!$B$4:$C$14,2,FALSE)))^(1/12))</f>
        <v>1.6821425527395739E-3</v>
      </c>
      <c r="H139" s="81">
        <f t="shared" si="33"/>
        <v>12</v>
      </c>
      <c r="I139" s="65">
        <f t="shared" si="34"/>
        <v>2897.6296392279487</v>
      </c>
      <c r="J139" s="66">
        <f t="shared" si="35"/>
        <v>0.61646712644189272</v>
      </c>
      <c r="K139" s="66">
        <f t="shared" si="36"/>
        <v>4.8834954332814489</v>
      </c>
      <c r="M139" s="67">
        <f t="shared" si="41"/>
        <v>107773198.30411671</v>
      </c>
      <c r="N139" s="67">
        <f>IF(AND(MOD(C139,12)=1,D139&lt;15),Assumptions!$H$4*I138,0)</f>
        <v>0</v>
      </c>
      <c r="O139" s="67"/>
      <c r="P139" s="90">
        <f t="shared" si="37"/>
        <v>204218.49772429836</v>
      </c>
      <c r="Q139" s="90">
        <f>M139*VLOOKUP(MOD(C139,12)+(MOD(C139,12)=0)*12,Assumptions!$C$22:$D$33,2,FALSE)*(F139+G139)</f>
        <v>7658.1936646611903</v>
      </c>
      <c r="R139" s="67">
        <f>IF(AND(MOD(C139,12)=0,D139&lt;15),Assumptions!$C$7*M139,0)</f>
        <v>53886.599152058356</v>
      </c>
      <c r="S139" s="68">
        <f>IF(MOD(C139,12)=0,M139*Assumptions!$D$17,0)</f>
        <v>439081.3504506523</v>
      </c>
      <c r="T139" s="68">
        <f t="shared" si="38"/>
        <v>0</v>
      </c>
      <c r="U139" s="67">
        <f>T139+AE139*(1+Assumptions!$D$17)</f>
        <v>0</v>
      </c>
      <c r="V139" s="67">
        <f>(M139+N139-O139)*(1+Assumptions!$D$17)-(P139+Q139)*(1+Assumptions!$D$17)^0.5-R139-T139</f>
        <v>107946085.19680332</v>
      </c>
      <c r="W139" s="67"/>
      <c r="X139" s="67">
        <f>IF(AND(H139=1,D139&lt;15),Assumptions!$D$10*N139+Assumptions!$D$11*(1+Assumptions!$D$16)^(B139-1)*$I$7,0)</f>
        <v>0</v>
      </c>
      <c r="Y139" s="65">
        <f>Assumptions!$C$13*N139</f>
        <v>0</v>
      </c>
      <c r="Z139" s="65">
        <f>NPV(Assumptions!$D$19,N139:$N$259)*(1+Assumptions!$D$19)</f>
        <v>25883527.645026229</v>
      </c>
      <c r="AA139" s="68">
        <f t="shared" si="39"/>
        <v>238076.72310568768</v>
      </c>
      <c r="AC139" s="67">
        <f t="shared" si="40"/>
        <v>107946085.19680332</v>
      </c>
      <c r="AD139" s="67"/>
      <c r="AE139" s="67"/>
      <c r="AF139" s="67"/>
      <c r="AG139" s="67"/>
      <c r="AH139" s="67"/>
      <c r="AI139" s="67"/>
      <c r="AK139" s="67"/>
      <c r="AL139" s="70">
        <f t="shared" si="32"/>
        <v>0</v>
      </c>
    </row>
    <row r="140" spans="2:38" x14ac:dyDescent="0.2">
      <c r="B140" s="5">
        <f t="shared" si="28"/>
        <v>133</v>
      </c>
      <c r="C140" s="5">
        <f t="shared" si="29"/>
        <v>133</v>
      </c>
      <c r="D140" s="5">
        <f t="shared" si="30"/>
        <v>11</v>
      </c>
      <c r="E140" s="5">
        <f t="shared" si="31"/>
        <v>57</v>
      </c>
      <c r="F140" s="64">
        <f>1-(1-VLOOKUP($E140,'Annual Mortality Rates'!$B$5:$C$105,2,FALSE))^(1/12)</f>
        <v>2.3864632065639935E-4</v>
      </c>
      <c r="G140" s="75">
        <f>IF(C140&gt;=[1]Assumptions!$H$9*12,100%,1-(1-IF(D140&gt;=7,2%,VLOOKUP($D140,'[1]Annual Lapse Rates'!$B$4:$C$14,2,FALSE)))^(1/12))</f>
        <v>1.6821425527395739E-3</v>
      </c>
      <c r="H140" s="81">
        <f t="shared" si="33"/>
        <v>1</v>
      </c>
      <c r="I140" s="65">
        <f t="shared" si="34"/>
        <v>2892.1296766682253</v>
      </c>
      <c r="J140" s="66">
        <f t="shared" si="35"/>
        <v>0.69019610619805383</v>
      </c>
      <c r="K140" s="66">
        <f t="shared" si="36"/>
        <v>4.8742261182247519</v>
      </c>
      <c r="M140" s="67">
        <f t="shared" si="41"/>
        <v>107946085.19680332</v>
      </c>
      <c r="N140" s="67">
        <f>IF(AND(MOD(C140,12)=1,D140&lt;15),Assumptions!$H$4*I139,0)</f>
        <v>7244074.0980698718</v>
      </c>
      <c r="O140" s="67"/>
      <c r="P140" s="90">
        <f t="shared" si="37"/>
        <v>207341.63937267358</v>
      </c>
      <c r="Q140" s="90">
        <f>M140*VLOOKUP(MOD(C140,12)+(MOD(C140,12)=0)*12,Assumptions!$C$22:$D$33,2,FALSE)*(F140+G140)</f>
        <v>647.942623039605</v>
      </c>
      <c r="R140" s="67">
        <f>IF(AND(MOD(C140,12)=0,D140&lt;15),Assumptions!$C$7*M140,0)</f>
        <v>0</v>
      </c>
      <c r="S140" s="68">
        <f>IF(MOD(C140,12)=0,M140*Assumptions!$D$17,0)</f>
        <v>0</v>
      </c>
      <c r="T140" s="68">
        <f t="shared" si="38"/>
        <v>0</v>
      </c>
      <c r="U140" s="67">
        <f>T140+AE140*(1+Assumptions!$D$17)</f>
        <v>0</v>
      </c>
      <c r="V140" s="67">
        <f>(M140+N140-O140)*(1+Assumptions!$D$17)-(P140+Q140)*(1+Assumptions!$D$17)^0.5-R140-T140</f>
        <v>115451045.42351373</v>
      </c>
      <c r="W140" s="67"/>
      <c r="X140" s="67">
        <f>IF(AND(H140=1,D140&lt;15),Assumptions!$D$10*N140+Assumptions!$D$11*(1+Assumptions!$D$16)^(B140-1)*$I$7,0)</f>
        <v>76630.035513175724</v>
      </c>
      <c r="Y140" s="65">
        <f>Assumptions!$C$13*N140</f>
        <v>36220.370490349356</v>
      </c>
      <c r="Z140" s="65">
        <f>NPV(Assumptions!$D$19,N140:$N$259)*(1+Assumptions!$D$19)</f>
        <v>25994645.741182648</v>
      </c>
      <c r="AA140" s="68">
        <f t="shared" si="39"/>
        <v>172467.78392699244</v>
      </c>
      <c r="AC140" s="67">
        <f t="shared" si="40"/>
        <v>115451045.42351373</v>
      </c>
      <c r="AD140" s="67"/>
      <c r="AE140" s="67"/>
      <c r="AF140" s="67"/>
      <c r="AG140" s="67"/>
      <c r="AH140" s="67"/>
      <c r="AI140" s="67"/>
      <c r="AK140" s="67"/>
      <c r="AL140" s="70">
        <f t="shared" si="32"/>
        <v>0</v>
      </c>
    </row>
    <row r="141" spans="2:38" x14ac:dyDescent="0.2">
      <c r="B141" s="5">
        <f t="shared" si="28"/>
        <v>134</v>
      </c>
      <c r="C141" s="5">
        <f t="shared" si="29"/>
        <v>134</v>
      </c>
      <c r="D141" s="5">
        <f t="shared" si="30"/>
        <v>11</v>
      </c>
      <c r="E141" s="5">
        <f t="shared" si="31"/>
        <v>57</v>
      </c>
      <c r="F141" s="64">
        <f>1-(1-VLOOKUP($E141,'Annual Mortality Rates'!$B$5:$C$105,2,FALSE))^(1/12)</f>
        <v>2.3864632065639935E-4</v>
      </c>
      <c r="G141" s="75">
        <f>IF(C141&gt;=[1]Assumptions!$H$9*12,100%,1-(1-IF(D141&gt;=7,2%,VLOOKUP($D141,'[1]Annual Lapse Rates'!$B$4:$C$14,2,FALSE)))^(1/12))</f>
        <v>1.6821425527395739E-3</v>
      </c>
      <c r="H141" s="81">
        <f t="shared" si="33"/>
        <v>2</v>
      </c>
      <c r="I141" s="65">
        <f t="shared" si="34"/>
        <v>2886.5652544438026</v>
      </c>
      <c r="J141" s="66">
        <f t="shared" si="35"/>
        <v>0.68886817730761674</v>
      </c>
      <c r="K141" s="66">
        <f t="shared" si="36"/>
        <v>4.8649743971645671</v>
      </c>
      <c r="M141" s="67">
        <f t="shared" si="41"/>
        <v>115451045.42351373</v>
      </c>
      <c r="N141" s="67">
        <f>IF(AND(MOD(C141,12)=1,D141&lt;15),Assumptions!$H$4*I140,0)</f>
        <v>0</v>
      </c>
      <c r="O141" s="67"/>
      <c r="P141" s="90">
        <f t="shared" si="37"/>
        <v>221757.08347141827</v>
      </c>
      <c r="Q141" s="90">
        <f>M141*VLOOKUP(MOD(C141,12)+(MOD(C141,12)=0)*12,Assumptions!$C$22:$D$33,2,FALSE)*(F141+G141)</f>
        <v>1385.9817716963641</v>
      </c>
      <c r="R141" s="67">
        <f>IF(AND(MOD(C141,12)=0,D141&lt;15),Assumptions!$C$7*M141,0)</f>
        <v>0</v>
      </c>
      <c r="S141" s="68">
        <f>IF(MOD(C141,12)=0,M141*Assumptions!$D$17,0)</f>
        <v>0</v>
      </c>
      <c r="T141" s="68">
        <f t="shared" si="38"/>
        <v>0</v>
      </c>
      <c r="U141" s="67">
        <f>T141+AE141*(1+Assumptions!$D$17)</f>
        <v>0</v>
      </c>
      <c r="V141" s="67">
        <f>(M141+N141-O141)*(1+Assumptions!$D$17)-(P141+Q141)*(1+Assumptions!$D$17)^0.5-R141-T141</f>
        <v>115697810.11408184</v>
      </c>
      <c r="W141" s="67"/>
      <c r="X141" s="67">
        <f>IF(AND(H141=1,D141&lt;15),Assumptions!$D$10*N141+Assumptions!$D$11*(1+Assumptions!$D$16)^(B141-1)*$I$7,0)</f>
        <v>0</v>
      </c>
      <c r="Y141" s="65">
        <f>Assumptions!$C$13*N141</f>
        <v>0</v>
      </c>
      <c r="Z141" s="65">
        <f>NPV(Assumptions!$D$19,N141:$N$259)*(1+Assumptions!$D$19)</f>
        <v>18831067.928294659</v>
      </c>
      <c r="AA141" s="68">
        <f t="shared" si="39"/>
        <v>173208.1888695145</v>
      </c>
      <c r="AC141" s="67">
        <f t="shared" si="40"/>
        <v>115697810.11408184</v>
      </c>
      <c r="AD141" s="67"/>
      <c r="AE141" s="67"/>
      <c r="AF141" s="67"/>
      <c r="AG141" s="67"/>
      <c r="AH141" s="67"/>
      <c r="AI141" s="67"/>
      <c r="AK141" s="67"/>
      <c r="AL141" s="70">
        <f t="shared" si="32"/>
        <v>0</v>
      </c>
    </row>
    <row r="142" spans="2:38" x14ac:dyDescent="0.2">
      <c r="B142" s="5">
        <f t="shared" si="28"/>
        <v>135</v>
      </c>
      <c r="C142" s="5">
        <f t="shared" si="29"/>
        <v>135</v>
      </c>
      <c r="D142" s="5">
        <f t="shared" si="30"/>
        <v>11</v>
      </c>
      <c r="E142" s="5">
        <f t="shared" si="31"/>
        <v>57</v>
      </c>
      <c r="F142" s="64">
        <f>1-(1-VLOOKUP($E142,'Annual Mortality Rates'!$B$5:$C$105,2,FALSE))^(1/12)</f>
        <v>2.3864632065639935E-4</v>
      </c>
      <c r="G142" s="75">
        <f>IF(C142&gt;=[1]Assumptions!$H$9*12,100%,1-(1-IF(D142&gt;=7,2%,VLOOKUP($D142,'[1]Annual Lapse Rates'!$B$4:$C$14,2,FALSE)))^(1/12))</f>
        <v>1.6821425527395739E-3</v>
      </c>
      <c r="H142" s="81">
        <f t="shared" si="33"/>
        <v>3</v>
      </c>
      <c r="I142" s="65">
        <f t="shared" si="34"/>
        <v>2881.0114118693305</v>
      </c>
      <c r="J142" s="66">
        <f t="shared" si="35"/>
        <v>0.68754277321171409</v>
      </c>
      <c r="K142" s="66">
        <f t="shared" si="36"/>
        <v>4.8556142457594555</v>
      </c>
      <c r="M142" s="67">
        <f t="shared" si="41"/>
        <v>115697810.11408184</v>
      </c>
      <c r="N142" s="67">
        <f>IF(AND(MOD(C142,12)=1,D142&lt;15),Assumptions!$H$4*I141,0)</f>
        <v>0</v>
      </c>
      <c r="O142" s="67"/>
      <c r="P142" s="90">
        <f t="shared" si="37"/>
        <v>222231.06634340851</v>
      </c>
      <c r="Q142" s="90">
        <f>M142*VLOOKUP(MOD(C142,12)+(MOD(C142,12)=0)*12,Assumptions!$C$22:$D$33,2,FALSE)*(F142+G142)</f>
        <v>2083.4162469694547</v>
      </c>
      <c r="R142" s="67">
        <f>IF(AND(MOD(C142,12)=0,D142&lt;15),Assumptions!$C$7*M142,0)</f>
        <v>0</v>
      </c>
      <c r="S142" s="68">
        <f>IF(MOD(C142,12)=0,M142*Assumptions!$D$17,0)</f>
        <v>0</v>
      </c>
      <c r="T142" s="68">
        <f t="shared" si="38"/>
        <v>0</v>
      </c>
      <c r="U142" s="67">
        <f>T142+AE142*(1+Assumptions!$D$17)</f>
        <v>0</v>
      </c>
      <c r="V142" s="67">
        <f>(M142+N142-O142)*(1+Assumptions!$D$17)-(P142+Q142)*(1+Assumptions!$D$17)^0.5-R142-T142</f>
        <v>115944406.35337341</v>
      </c>
      <c r="W142" s="67"/>
      <c r="X142" s="67">
        <f>IF(AND(H142=1,D142&lt;15),Assumptions!$D$10*N142+Assumptions!$D$11*(1+Assumptions!$D$16)^(B142-1)*$I$7,0)</f>
        <v>0</v>
      </c>
      <c r="Y142" s="65">
        <f>Assumptions!$C$13*N142</f>
        <v>0</v>
      </c>
      <c r="Z142" s="65">
        <f>NPV(Assumptions!$D$19,N142:$N$259)*(1+Assumptions!$D$19)</f>
        <v>18911909.784377068</v>
      </c>
      <c r="AA142" s="68">
        <f t="shared" si="39"/>
        <v>173951.77237365794</v>
      </c>
      <c r="AC142" s="67">
        <f t="shared" si="40"/>
        <v>115944406.35337341</v>
      </c>
      <c r="AD142" s="67"/>
      <c r="AE142" s="67"/>
      <c r="AF142" s="67"/>
      <c r="AG142" s="67"/>
      <c r="AH142" s="67"/>
      <c r="AI142" s="67"/>
      <c r="AK142" s="67"/>
      <c r="AL142" s="70">
        <f t="shared" si="32"/>
        <v>0</v>
      </c>
    </row>
    <row r="143" spans="2:38" x14ac:dyDescent="0.2">
      <c r="B143" s="5">
        <f t="shared" si="28"/>
        <v>136</v>
      </c>
      <c r="C143" s="5">
        <f t="shared" si="29"/>
        <v>136</v>
      </c>
      <c r="D143" s="5">
        <f t="shared" si="30"/>
        <v>11</v>
      </c>
      <c r="E143" s="5">
        <f t="shared" si="31"/>
        <v>57</v>
      </c>
      <c r="F143" s="64">
        <f>1-(1-VLOOKUP($E143,'Annual Mortality Rates'!$B$5:$C$105,2,FALSE))^(1/12)</f>
        <v>2.3864632065639935E-4</v>
      </c>
      <c r="G143" s="75">
        <f>IF(C143&gt;=[1]Assumptions!$H$9*12,100%,1-(1-IF(D143&gt;=7,2%,VLOOKUP($D143,'[1]Annual Lapse Rates'!$B$4:$C$14,2,FALSE)))^(1/12))</f>
        <v>1.6821425527395739E-3</v>
      </c>
      <c r="H143" s="81">
        <f t="shared" si="33"/>
        <v>4</v>
      </c>
      <c r="I143" s="65">
        <f t="shared" si="34"/>
        <v>2875.4682548503592</v>
      </c>
      <c r="J143" s="66">
        <f t="shared" si="35"/>
        <v>0.68621991918431591</v>
      </c>
      <c r="K143" s="66">
        <f t="shared" si="36"/>
        <v>4.8462718908337195</v>
      </c>
      <c r="M143" s="67">
        <f t="shared" si="41"/>
        <v>115944406.35337341</v>
      </c>
      <c r="N143" s="67">
        <f>IF(AND(MOD(C143,12)=1,D143&lt;15),Assumptions!$H$4*I142,0)</f>
        <v>0</v>
      </c>
      <c r="O143" s="67"/>
      <c r="P143" s="90">
        <f t="shared" si="37"/>
        <v>222704.72565606103</v>
      </c>
      <c r="Q143" s="90">
        <f>M143*VLOOKUP(MOD(C143,12)+(MOD(C143,12)=0)*12,Assumptions!$C$22:$D$33,2,FALSE)*(F143+G143)</f>
        <v>2783.8090707007632</v>
      </c>
      <c r="R143" s="67">
        <f>IF(AND(MOD(C143,12)=0,D143&lt;15),Assumptions!$C$7*M143,0)</f>
        <v>0</v>
      </c>
      <c r="S143" s="68">
        <f>IF(MOD(C143,12)=0,M143*Assumptions!$D$17,0)</f>
        <v>0</v>
      </c>
      <c r="T143" s="68">
        <f t="shared" si="38"/>
        <v>0</v>
      </c>
      <c r="U143" s="67">
        <f>T143+AE143*(1+Assumptions!$D$17)</f>
        <v>0</v>
      </c>
      <c r="V143" s="67">
        <f>(M143+N143-O143)*(1+Assumptions!$D$17)-(P143+Q143)*(1+Assumptions!$D$17)^0.5-R143-T143</f>
        <v>116190830.81494617</v>
      </c>
      <c r="W143" s="67"/>
      <c r="X143" s="67">
        <f>IF(AND(H143=1,D143&lt;15),Assumptions!$D$10*N143+Assumptions!$D$11*(1+Assumptions!$D$16)^(B143-1)*$I$7,0)</f>
        <v>0</v>
      </c>
      <c r="Y143" s="65">
        <f>Assumptions!$C$13*N143</f>
        <v>0</v>
      </c>
      <c r="Z143" s="65">
        <f>NPV(Assumptions!$D$19,N143:$N$259)*(1+Assumptions!$D$19)</f>
        <v>18993098.694897376</v>
      </c>
      <c r="AA143" s="68">
        <f t="shared" si="39"/>
        <v>174698.54808500147</v>
      </c>
      <c r="AC143" s="67">
        <f t="shared" si="40"/>
        <v>116190830.81494617</v>
      </c>
      <c r="AD143" s="67"/>
      <c r="AE143" s="67"/>
      <c r="AF143" s="67"/>
      <c r="AG143" s="67"/>
      <c r="AH143" s="67"/>
      <c r="AI143" s="67"/>
      <c r="AK143" s="67"/>
      <c r="AL143" s="70">
        <f t="shared" si="32"/>
        <v>0</v>
      </c>
    </row>
    <row r="144" spans="2:38" x14ac:dyDescent="0.2">
      <c r="B144" s="5">
        <f t="shared" si="28"/>
        <v>137</v>
      </c>
      <c r="C144" s="5">
        <f t="shared" si="29"/>
        <v>137</v>
      </c>
      <c r="D144" s="5">
        <f t="shared" si="30"/>
        <v>11</v>
      </c>
      <c r="E144" s="5">
        <f t="shared" si="31"/>
        <v>57</v>
      </c>
      <c r="F144" s="64">
        <f>1-(1-VLOOKUP($E144,'Annual Mortality Rates'!$B$5:$C$105,2,FALSE))^(1/12)</f>
        <v>2.3864632065639935E-4</v>
      </c>
      <c r="G144" s="75">
        <f>IF(C144&gt;=[1]Assumptions!$H$9*12,100%,1-(1-IF(D144&gt;=7,2%,VLOOKUP($D144,'[1]Annual Lapse Rates'!$B$4:$C$14,2,FALSE)))^(1/12))</f>
        <v>1.6821425527395739E-3</v>
      </c>
      <c r="H144" s="81">
        <f t="shared" si="33"/>
        <v>5</v>
      </c>
      <c r="I144" s="65">
        <f t="shared" si="34"/>
        <v>2869.9357630403415</v>
      </c>
      <c r="J144" s="66">
        <f t="shared" si="35"/>
        <v>0.68489961036979352</v>
      </c>
      <c r="K144" s="66">
        <f t="shared" si="36"/>
        <v>4.836947510535591</v>
      </c>
      <c r="M144" s="67">
        <f t="shared" si="41"/>
        <v>116190830.81494617</v>
      </c>
      <c r="N144" s="67">
        <f>IF(AND(MOD(C144,12)=1,D144&lt;15),Assumptions!$H$4*I143,0)</f>
        <v>0</v>
      </c>
      <c r="O144" s="67"/>
      <c r="P144" s="90">
        <f t="shared" si="37"/>
        <v>223178.0550199826</v>
      </c>
      <c r="Q144" s="90">
        <f>M144*VLOOKUP(MOD(C144,12)+(MOD(C144,12)=0)*12,Assumptions!$C$22:$D$33,2,FALSE)*(F144+G144)</f>
        <v>3487.1571096872281</v>
      </c>
      <c r="R144" s="67">
        <f>IF(AND(MOD(C144,12)=0,D144&lt;15),Assumptions!$C$7*M144,0)</f>
        <v>0</v>
      </c>
      <c r="S144" s="68">
        <f>IF(MOD(C144,12)=0,M144*Assumptions!$D$17,0)</f>
        <v>0</v>
      </c>
      <c r="T144" s="68">
        <f t="shared" si="38"/>
        <v>0</v>
      </c>
      <c r="U144" s="67">
        <f>T144+AE144*(1+Assumptions!$D$17)</f>
        <v>0</v>
      </c>
      <c r="V144" s="67">
        <f>(M144+N144-O144)*(1+Assumptions!$D$17)-(P144+Q144)*(1+Assumptions!$D$17)^0.5-R144-T144</f>
        <v>116437080.16834752</v>
      </c>
      <c r="W144" s="67"/>
      <c r="X144" s="67">
        <f>IF(AND(H144=1,D144&lt;15),Assumptions!$D$10*N144+Assumptions!$D$11*(1+Assumptions!$D$16)^(B144-1)*$I$7,0)</f>
        <v>0</v>
      </c>
      <c r="Y144" s="65">
        <f>Assumptions!$C$13*N144</f>
        <v>0</v>
      </c>
      <c r="Z144" s="65">
        <f>NPV(Assumptions!$D$19,N144:$N$259)*(1+Assumptions!$D$19)</f>
        <v>19074636.149761781</v>
      </c>
      <c r="AA144" s="68">
        <f t="shared" si="39"/>
        <v>175448.52970770453</v>
      </c>
      <c r="AC144" s="67">
        <f t="shared" si="40"/>
        <v>116437080.16834752</v>
      </c>
      <c r="AD144" s="67"/>
      <c r="AE144" s="67"/>
      <c r="AF144" s="67"/>
      <c r="AG144" s="67"/>
      <c r="AH144" s="67"/>
      <c r="AI144" s="67"/>
      <c r="AK144" s="67"/>
      <c r="AL144" s="70">
        <f t="shared" si="32"/>
        <v>0</v>
      </c>
    </row>
    <row r="145" spans="2:38" x14ac:dyDescent="0.2">
      <c r="B145" s="5">
        <f t="shared" si="28"/>
        <v>138</v>
      </c>
      <c r="C145" s="5">
        <f t="shared" si="29"/>
        <v>138</v>
      </c>
      <c r="D145" s="5">
        <f t="shared" si="30"/>
        <v>11</v>
      </c>
      <c r="E145" s="5">
        <f t="shared" si="31"/>
        <v>57</v>
      </c>
      <c r="F145" s="64">
        <f>1-(1-VLOOKUP($E145,'Annual Mortality Rates'!$B$5:$C$105,2,FALSE))^(1/12)</f>
        <v>2.3864632065639935E-4</v>
      </c>
      <c r="G145" s="75">
        <f>IF(C145&gt;=[1]Assumptions!$H$9*12,100%,1-(1-IF(D145&gt;=7,2%,VLOOKUP($D145,'[1]Annual Lapse Rates'!$B$4:$C$14,2,FALSE)))^(1/12))</f>
        <v>1.6821425527395739E-3</v>
      </c>
      <c r="H145" s="81">
        <f t="shared" si="33"/>
        <v>6</v>
      </c>
      <c r="I145" s="65">
        <f t="shared" si="34"/>
        <v>2864.413915919436</v>
      </c>
      <c r="J145" s="66">
        <f t="shared" si="35"/>
        <v>0.68358184187116222</v>
      </c>
      <c r="K145" s="66">
        <f t="shared" si="36"/>
        <v>4.8276410706392774</v>
      </c>
      <c r="M145" s="67">
        <f t="shared" si="41"/>
        <v>116437080.16834752</v>
      </c>
      <c r="N145" s="67">
        <f>IF(AND(MOD(C145,12)=1,D145&lt;15),Assumptions!$H$4*I144,0)</f>
        <v>0</v>
      </c>
      <c r="O145" s="67"/>
      <c r="P145" s="90">
        <f t="shared" si="37"/>
        <v>223651.04803807687</v>
      </c>
      <c r="Q145" s="90">
        <f>M145*VLOOKUP(MOD(C145,12)+(MOD(C145,12)=0)*12,Assumptions!$C$22:$D$33,2,FALSE)*(F145+G145)</f>
        <v>4193.4571507139417</v>
      </c>
      <c r="R145" s="67">
        <f>IF(AND(MOD(C145,12)=0,D145&lt;15),Assumptions!$C$7*M145,0)</f>
        <v>0</v>
      </c>
      <c r="S145" s="68">
        <f>IF(MOD(C145,12)=0,M145*Assumptions!$D$17,0)</f>
        <v>0</v>
      </c>
      <c r="T145" s="68">
        <f t="shared" si="38"/>
        <v>0</v>
      </c>
      <c r="U145" s="67">
        <f>T145+AE145*(1+Assumptions!$D$17)</f>
        <v>0</v>
      </c>
      <c r="V145" s="67">
        <f>(M145+N145-O145)*(1+Assumptions!$D$17)-(P145+Q145)*(1+Assumptions!$D$17)^0.5-R145-T145</f>
        <v>116683151.07918602</v>
      </c>
      <c r="W145" s="67"/>
      <c r="X145" s="67">
        <f>IF(AND(H145=1,D145&lt;15),Assumptions!$D$10*N145+Assumptions!$D$11*(1+Assumptions!$D$16)^(B145-1)*$I$7,0)</f>
        <v>0</v>
      </c>
      <c r="Y145" s="65">
        <f>Assumptions!$C$13*N145</f>
        <v>0</v>
      </c>
      <c r="Z145" s="65">
        <f>NPV(Assumptions!$D$19,N145:$N$259)*(1+Assumptions!$D$19)</f>
        <v>19156523.645272665</v>
      </c>
      <c r="AA145" s="68">
        <f t="shared" si="39"/>
        <v>176201.73100475839</v>
      </c>
      <c r="AC145" s="67">
        <f t="shared" si="40"/>
        <v>116683151.07918602</v>
      </c>
      <c r="AD145" s="67"/>
      <c r="AE145" s="67"/>
      <c r="AF145" s="67"/>
      <c r="AG145" s="67"/>
      <c r="AH145" s="67"/>
      <c r="AI145" s="67"/>
      <c r="AK145" s="67"/>
      <c r="AL145" s="70">
        <f t="shared" si="32"/>
        <v>0</v>
      </c>
    </row>
    <row r="146" spans="2:38" x14ac:dyDescent="0.2">
      <c r="B146" s="5">
        <f t="shared" si="28"/>
        <v>139</v>
      </c>
      <c r="C146" s="5">
        <f t="shared" si="29"/>
        <v>139</v>
      </c>
      <c r="D146" s="5">
        <f t="shared" si="30"/>
        <v>11</v>
      </c>
      <c r="E146" s="5">
        <f t="shared" si="31"/>
        <v>57</v>
      </c>
      <c r="F146" s="64">
        <f>1-(1-VLOOKUP($E146,'Annual Mortality Rates'!$B$5:$C$105,2,FALSE))^(1/12)</f>
        <v>2.3864632065639935E-4</v>
      </c>
      <c r="G146" s="75">
        <f>IF(C146&gt;=[1]Assumptions!$H$9*12,100%,1-(1-IF(D146&gt;=7,2%,VLOOKUP($D146,'[1]Annual Lapse Rates'!$B$4:$C$14,2,FALSE)))^(1/12))</f>
        <v>1.6821425527395739E-3</v>
      </c>
      <c r="H146" s="81">
        <f t="shared" si="33"/>
        <v>7</v>
      </c>
      <c r="I146" s="65">
        <f t="shared" si="34"/>
        <v>2858.9026930069253</v>
      </c>
      <c r="J146" s="66">
        <f t="shared" si="35"/>
        <v>0.68226660880077428</v>
      </c>
      <c r="K146" s="66">
        <f t="shared" si="36"/>
        <v>4.8183525366274793</v>
      </c>
      <c r="M146" s="67">
        <f t="shared" si="41"/>
        <v>116683151.07918602</v>
      </c>
      <c r="N146" s="67">
        <f>IF(AND(MOD(C146,12)=1,D146&lt;15),Assumptions!$H$4*I145,0)</f>
        <v>0</v>
      </c>
      <c r="O146" s="67"/>
      <c r="P146" s="90">
        <f t="shared" si="37"/>
        <v>224123.69830568187</v>
      </c>
      <c r="Q146" s="90">
        <f>M146*VLOOKUP(MOD(C146,12)+(MOD(C146,12)=0)*12,Assumptions!$C$22:$D$33,2,FALSE)*(F146+G146)</f>
        <v>4902.7059004367911</v>
      </c>
      <c r="R146" s="67">
        <f>IF(AND(MOD(C146,12)=0,D146&lt;15),Assumptions!$C$7*M146,0)</f>
        <v>0</v>
      </c>
      <c r="S146" s="68">
        <f>IF(MOD(C146,12)=0,M146*Assumptions!$D$17,0)</f>
        <v>0</v>
      </c>
      <c r="T146" s="68">
        <f t="shared" si="38"/>
        <v>0</v>
      </c>
      <c r="U146" s="67">
        <f>T146+AE146*(1+Assumptions!$D$17)</f>
        <v>0</v>
      </c>
      <c r="V146" s="67">
        <f>(M146+N146-O146)*(1+Assumptions!$D$17)-(P146+Q146)*(1+Assumptions!$D$17)^0.5-R146-T146</f>
        <v>116929040.2092033</v>
      </c>
      <c r="W146" s="67"/>
      <c r="X146" s="67">
        <f>IF(AND(H146=1,D146&lt;15),Assumptions!$D$10*N146+Assumptions!$D$11*(1+Assumptions!$D$16)^(B146-1)*$I$7,0)</f>
        <v>0</v>
      </c>
      <c r="Y146" s="65">
        <f>Assumptions!$C$13*N146</f>
        <v>0</v>
      </c>
      <c r="Z146" s="65">
        <f>NPV(Assumptions!$D$19,N146:$N$259)*(1+Assumptions!$D$19)</f>
        <v>19238762.684156038</v>
      </c>
      <c r="AA146" s="68">
        <f t="shared" si="39"/>
        <v>176958.165798239</v>
      </c>
      <c r="AC146" s="67">
        <f t="shared" si="40"/>
        <v>116929040.2092033</v>
      </c>
      <c r="AD146" s="67"/>
      <c r="AE146" s="67"/>
      <c r="AF146" s="67"/>
      <c r="AG146" s="67"/>
      <c r="AH146" s="67"/>
      <c r="AI146" s="67"/>
      <c r="AK146" s="67"/>
      <c r="AL146" s="70">
        <f t="shared" si="32"/>
        <v>0</v>
      </c>
    </row>
    <row r="147" spans="2:38" x14ac:dyDescent="0.2">
      <c r="B147" s="5">
        <f t="shared" si="28"/>
        <v>140</v>
      </c>
      <c r="C147" s="5">
        <f t="shared" si="29"/>
        <v>140</v>
      </c>
      <c r="D147" s="5">
        <f t="shared" si="30"/>
        <v>11</v>
      </c>
      <c r="E147" s="5">
        <f t="shared" si="31"/>
        <v>57</v>
      </c>
      <c r="F147" s="64">
        <f>1-(1-VLOOKUP($E147,'Annual Mortality Rates'!$B$5:$C$105,2,FALSE))^(1/12)</f>
        <v>2.3864632065639935E-4</v>
      </c>
      <c r="G147" s="75">
        <f>IF(C147&gt;=[1]Assumptions!$H$9*12,100%,1-(1-IF(D147&gt;=7,2%,VLOOKUP($D147,'[1]Annual Lapse Rates'!$B$4:$C$14,2,FALSE)))^(1/12))</f>
        <v>1.6821425527395739E-3</v>
      </c>
      <c r="H147" s="81">
        <f t="shared" si="33"/>
        <v>8</v>
      </c>
      <c r="I147" s="65">
        <f t="shared" si="34"/>
        <v>2853.4020738614968</v>
      </c>
      <c r="J147" s="66">
        <f t="shared" si="35"/>
        <v>0.68095390628038566</v>
      </c>
      <c r="K147" s="66">
        <f t="shared" si="36"/>
        <v>4.8090818740487116</v>
      </c>
      <c r="M147" s="67">
        <f t="shared" si="41"/>
        <v>116929040.2092033</v>
      </c>
      <c r="N147" s="67">
        <f>IF(AND(MOD(C147,12)=1,D147&lt;15),Assumptions!$H$4*I146,0)</f>
        <v>0</v>
      </c>
      <c r="O147" s="67"/>
      <c r="P147" s="90">
        <f t="shared" si="37"/>
        <v>224595.99941070806</v>
      </c>
      <c r="Q147" s="90">
        <f>M147*VLOOKUP(MOD(C147,12)+(MOD(C147,12)=0)*12,Assumptions!$C$22:$D$33,2,FALSE)*(F147+G147)</f>
        <v>5614.8999852677016</v>
      </c>
      <c r="R147" s="67">
        <f>IF(AND(MOD(C147,12)=0,D147&lt;15),Assumptions!$C$7*M147,0)</f>
        <v>0</v>
      </c>
      <c r="S147" s="68">
        <f>IF(MOD(C147,12)=0,M147*Assumptions!$D$17,0)</f>
        <v>0</v>
      </c>
      <c r="T147" s="68">
        <f t="shared" si="38"/>
        <v>0</v>
      </c>
      <c r="U147" s="67">
        <f>T147+AE147*(1+Assumptions!$D$17)</f>
        <v>0</v>
      </c>
      <c r="V147" s="67">
        <f>(M147+N147-O147)*(1+Assumptions!$D$17)-(P147+Q147)*(1+Assumptions!$D$17)^0.5-R147-T147</f>
        <v>117174744.21634607</v>
      </c>
      <c r="W147" s="67"/>
      <c r="X147" s="67">
        <f>IF(AND(H147=1,D147&lt;15),Assumptions!$D$10*N147+Assumptions!$D$11*(1+Assumptions!$D$16)^(B147-1)*$I$7,0)</f>
        <v>0</v>
      </c>
      <c r="Y147" s="65">
        <f>Assumptions!$C$13*N147</f>
        <v>0</v>
      </c>
      <c r="Z147" s="65">
        <f>NPV(Assumptions!$D$19,N147:$N$259)*(1+Assumptions!$D$19)</f>
        <v>19321354.775589116</v>
      </c>
      <c r="AA147" s="68">
        <f t="shared" si="39"/>
        <v>177717.84796956042</v>
      </c>
      <c r="AC147" s="67">
        <f t="shared" si="40"/>
        <v>117174744.21634607</v>
      </c>
      <c r="AD147" s="67"/>
      <c r="AE147" s="67"/>
      <c r="AF147" s="67"/>
      <c r="AG147" s="67"/>
      <c r="AH147" s="67"/>
      <c r="AI147" s="67"/>
      <c r="AK147" s="67"/>
      <c r="AL147" s="70">
        <f t="shared" si="32"/>
        <v>0</v>
      </c>
    </row>
    <row r="148" spans="2:38" x14ac:dyDescent="0.2">
      <c r="B148" s="5">
        <f t="shared" si="28"/>
        <v>141</v>
      </c>
      <c r="C148" s="5">
        <f t="shared" si="29"/>
        <v>141</v>
      </c>
      <c r="D148" s="5">
        <f t="shared" si="30"/>
        <v>11</v>
      </c>
      <c r="E148" s="5">
        <f t="shared" si="31"/>
        <v>57</v>
      </c>
      <c r="F148" s="64">
        <f>1-(1-VLOOKUP($E148,'Annual Mortality Rates'!$B$5:$C$105,2,FALSE))^(1/12)</f>
        <v>2.3864632065639935E-4</v>
      </c>
      <c r="G148" s="75">
        <f>IF(C148&gt;=[1]Assumptions!$H$9*12,100%,1-(1-IF(D148&gt;=7,2%,VLOOKUP($D148,'[1]Annual Lapse Rates'!$B$4:$C$14,2,FALSE)))^(1/12))</f>
        <v>1.6821425527395739E-3</v>
      </c>
      <c r="H148" s="81">
        <f t="shared" si="33"/>
        <v>9</v>
      </c>
      <c r="I148" s="65">
        <f t="shared" si="34"/>
        <v>2847.9120380811673</v>
      </c>
      <c r="J148" s="66">
        <f t="shared" si="35"/>
        <v>0.67964372944113804</v>
      </c>
      <c r="K148" s="66">
        <f t="shared" si="36"/>
        <v>4.7998290485177728</v>
      </c>
      <c r="M148" s="67">
        <f t="shared" si="41"/>
        <v>117174744.21634607</v>
      </c>
      <c r="N148" s="67">
        <f>IF(AND(MOD(C148,12)=1,D148&lt;15),Assumptions!$H$4*I147,0)</f>
        <v>0</v>
      </c>
      <c r="O148" s="67"/>
      <c r="P148" s="90">
        <f t="shared" si="37"/>
        <v>225067.94493377671</v>
      </c>
      <c r="Q148" s="90">
        <f>M148*VLOOKUP(MOD(C148,12)+(MOD(C148,12)=0)*12,Assumptions!$C$22:$D$33,2,FALSE)*(F148+G148)</f>
        <v>6330.03595126247</v>
      </c>
      <c r="R148" s="67">
        <f>IF(AND(MOD(C148,12)=0,D148&lt;15),Assumptions!$C$7*M148,0)</f>
        <v>0</v>
      </c>
      <c r="S148" s="68">
        <f>IF(MOD(C148,12)=0,M148*Assumptions!$D$17,0)</f>
        <v>0</v>
      </c>
      <c r="T148" s="68">
        <f t="shared" si="38"/>
        <v>0</v>
      </c>
      <c r="U148" s="67">
        <f>T148+AE148*(1+Assumptions!$D$17)</f>
        <v>0</v>
      </c>
      <c r="V148" s="67">
        <f>(M148+N148-O148)*(1+Assumptions!$D$17)-(P148+Q148)*(1+Assumptions!$D$17)^0.5-R148-T148</f>
        <v>117420259.7548385</v>
      </c>
      <c r="W148" s="67"/>
      <c r="X148" s="67">
        <f>IF(AND(H148=1,D148&lt;15),Assumptions!$D$10*N148+Assumptions!$D$11*(1+Assumptions!$D$16)^(B148-1)*$I$7,0)</f>
        <v>0</v>
      </c>
      <c r="Y148" s="65">
        <f>Assumptions!$C$13*N148</f>
        <v>0</v>
      </c>
      <c r="Z148" s="65">
        <f>NPV(Assumptions!$D$19,N148:$N$259)*(1+Assumptions!$D$19)</f>
        <v>19404301.43522802</v>
      </c>
      <c r="AA148" s="68">
        <f t="shared" si="39"/>
        <v>178480.79145972987</v>
      </c>
      <c r="AC148" s="67">
        <f t="shared" si="40"/>
        <v>117420259.7548385</v>
      </c>
      <c r="AD148" s="67"/>
      <c r="AE148" s="67"/>
      <c r="AF148" s="67"/>
      <c r="AG148" s="67"/>
      <c r="AH148" s="67"/>
      <c r="AI148" s="67"/>
      <c r="AK148" s="67"/>
      <c r="AL148" s="70">
        <f t="shared" si="32"/>
        <v>0</v>
      </c>
    </row>
    <row r="149" spans="2:38" x14ac:dyDescent="0.2">
      <c r="B149" s="5">
        <f t="shared" si="28"/>
        <v>142</v>
      </c>
      <c r="C149" s="5">
        <f t="shared" si="29"/>
        <v>142</v>
      </c>
      <c r="D149" s="5">
        <f t="shared" si="30"/>
        <v>11</v>
      </c>
      <c r="E149" s="5">
        <f t="shared" si="31"/>
        <v>57</v>
      </c>
      <c r="F149" s="64">
        <f>1-(1-VLOOKUP($E149,'Annual Mortality Rates'!$B$5:$C$105,2,FALSE))^(1/12)</f>
        <v>2.3864632065639935E-4</v>
      </c>
      <c r="G149" s="75">
        <f>IF(C149&gt;=[1]Assumptions!$H$9*12,100%,1-(1-IF(D149&gt;=7,2%,VLOOKUP($D149,'[1]Annual Lapse Rates'!$B$4:$C$14,2,FALSE)))^(1/12))</f>
        <v>1.6821425527395739E-3</v>
      </c>
      <c r="H149" s="81">
        <f t="shared" si="33"/>
        <v>10</v>
      </c>
      <c r="I149" s="65">
        <f t="shared" si="34"/>
        <v>2842.4325653032083</v>
      </c>
      <c r="J149" s="66">
        <f t="shared" si="35"/>
        <v>0.67833607342354119</v>
      </c>
      <c r="K149" s="66">
        <f t="shared" si="36"/>
        <v>4.7905940257156177</v>
      </c>
      <c r="M149" s="67">
        <f t="shared" si="41"/>
        <v>117420259.7548385</v>
      </c>
      <c r="N149" s="67">
        <f>IF(AND(MOD(C149,12)=1,D149&lt;15),Assumptions!$H$4*I148,0)</f>
        <v>0</v>
      </c>
      <c r="O149" s="67"/>
      <c r="P149" s="90">
        <f t="shared" si="37"/>
        <v>225539.52844835879</v>
      </c>
      <c r="Q149" s="90">
        <f>M149*VLOOKUP(MOD(C149,12)+(MOD(C149,12)=0)*12,Assumptions!$C$22:$D$33,2,FALSE)*(F149+G149)</f>
        <v>7048.1102640112122</v>
      </c>
      <c r="R149" s="67">
        <f>IF(AND(MOD(C149,12)=0,D149&lt;15),Assumptions!$C$7*M149,0)</f>
        <v>0</v>
      </c>
      <c r="S149" s="68">
        <f>IF(MOD(C149,12)=0,M149*Assumptions!$D$17,0)</f>
        <v>0</v>
      </c>
      <c r="T149" s="68">
        <f t="shared" si="38"/>
        <v>0</v>
      </c>
      <c r="U149" s="67">
        <f>T149+AE149*(1+Assumptions!$D$17)</f>
        <v>0</v>
      </c>
      <c r="V149" s="67">
        <f>(M149+N149-O149)*(1+Assumptions!$D$17)-(P149+Q149)*(1+Assumptions!$D$17)^0.5-R149-T149</f>
        <v>117665583.47525491</v>
      </c>
      <c r="W149" s="67"/>
      <c r="X149" s="67">
        <f>IF(AND(H149=1,D149&lt;15),Assumptions!$D$10*N149+Assumptions!$D$11*(1+Assumptions!$D$16)^(B149-1)*$I$7,0)</f>
        <v>0</v>
      </c>
      <c r="Y149" s="65">
        <f>Assumptions!$C$13*N149</f>
        <v>0</v>
      </c>
      <c r="Z149" s="65">
        <f>NPV(Assumptions!$D$19,N149:$N$259)*(1+Assumptions!$D$19)</f>
        <v>19487604.185235597</v>
      </c>
      <c r="AA149" s="68">
        <f t="shared" si="39"/>
        <v>179247.01026960323</v>
      </c>
      <c r="AC149" s="67">
        <f t="shared" si="40"/>
        <v>117665583.47525491</v>
      </c>
      <c r="AD149" s="67"/>
      <c r="AE149" s="67"/>
      <c r="AF149" s="67"/>
      <c r="AG149" s="67"/>
      <c r="AH149" s="67"/>
      <c r="AI149" s="67"/>
      <c r="AK149" s="67"/>
      <c r="AL149" s="70">
        <f t="shared" si="32"/>
        <v>0</v>
      </c>
    </row>
    <row r="150" spans="2:38" x14ac:dyDescent="0.2">
      <c r="B150" s="5">
        <f t="shared" si="28"/>
        <v>143</v>
      </c>
      <c r="C150" s="5">
        <f t="shared" si="29"/>
        <v>143</v>
      </c>
      <c r="D150" s="5">
        <f t="shared" si="30"/>
        <v>11</v>
      </c>
      <c r="E150" s="5">
        <f t="shared" si="31"/>
        <v>57</v>
      </c>
      <c r="F150" s="64">
        <f>1-(1-VLOOKUP($E150,'Annual Mortality Rates'!$B$5:$C$105,2,FALSE))^(1/12)</f>
        <v>2.3864632065639935E-4</v>
      </c>
      <c r="G150" s="75">
        <f>IF(C150&gt;=[1]Assumptions!$H$9*12,100%,1-(1-IF(D150&gt;=7,2%,VLOOKUP($D150,'[1]Annual Lapse Rates'!$B$4:$C$14,2,FALSE)))^(1/12))</f>
        <v>1.6821425527395739E-3</v>
      </c>
      <c r="H150" s="81">
        <f t="shared" si="33"/>
        <v>11</v>
      </c>
      <c r="I150" s="65">
        <f t="shared" si="34"/>
        <v>2836.9636352040693</v>
      </c>
      <c r="J150" s="66">
        <f t="shared" si="35"/>
        <v>0.67703093337745468</v>
      </c>
      <c r="K150" s="66">
        <f t="shared" si="36"/>
        <v>4.7813767713892341</v>
      </c>
      <c r="M150" s="67">
        <f t="shared" si="41"/>
        <v>117665583.47525491</v>
      </c>
      <c r="N150" s="67">
        <f>IF(AND(MOD(C150,12)=1,D150&lt;15),Assumptions!$H$4*I149,0)</f>
        <v>0</v>
      </c>
      <c r="O150" s="67"/>
      <c r="P150" s="90">
        <f t="shared" si="37"/>
        <v>226010.74352091472</v>
      </c>
      <c r="Q150" s="90">
        <f>M150*VLOOKUP(MOD(C150,12)+(MOD(C150,12)=0)*12,Assumptions!$C$22:$D$33,2,FALSE)*(F150+G150)</f>
        <v>7769.1193085314444</v>
      </c>
      <c r="R150" s="67">
        <f>IF(AND(MOD(C150,12)=0,D150&lt;15),Assumptions!$C$7*M150,0)</f>
        <v>0</v>
      </c>
      <c r="S150" s="68">
        <f>IF(MOD(C150,12)=0,M150*Assumptions!$D$17,0)</f>
        <v>0</v>
      </c>
      <c r="T150" s="68">
        <f t="shared" si="38"/>
        <v>0</v>
      </c>
      <c r="U150" s="67">
        <f>T150+AE150*(1+Assumptions!$D$17)</f>
        <v>0</v>
      </c>
      <c r="V150" s="67">
        <f>(M150+N150-O150)*(1+Assumptions!$D$17)-(P150+Q150)*(1+Assumptions!$D$17)^0.5-R150-T150</f>
        <v>117910712.02459258</v>
      </c>
      <c r="W150" s="67"/>
      <c r="X150" s="67">
        <f>IF(AND(H150=1,D150&lt;15),Assumptions!$D$10*N150+Assumptions!$D$11*(1+Assumptions!$D$16)^(B150-1)*$I$7,0)</f>
        <v>0</v>
      </c>
      <c r="Y150" s="65">
        <f>Assumptions!$C$13*N150</f>
        <v>0</v>
      </c>
      <c r="Z150" s="65">
        <f>NPV(Assumptions!$D$19,N150:$N$259)*(1+Assumptions!$D$19)</f>
        <v>19571264.554309338</v>
      </c>
      <c r="AA150" s="68">
        <f t="shared" si="39"/>
        <v>180016.51846014214</v>
      </c>
      <c r="AC150" s="67">
        <f t="shared" si="40"/>
        <v>117910712.02459258</v>
      </c>
      <c r="AD150" s="67"/>
      <c r="AE150" s="67"/>
      <c r="AF150" s="67"/>
      <c r="AG150" s="67"/>
      <c r="AH150" s="67"/>
      <c r="AI150" s="67"/>
      <c r="AK150" s="67"/>
      <c r="AL150" s="70">
        <f t="shared" si="32"/>
        <v>0</v>
      </c>
    </row>
    <row r="151" spans="2:38" x14ac:dyDescent="0.2">
      <c r="B151" s="5">
        <f t="shared" si="28"/>
        <v>144</v>
      </c>
      <c r="C151" s="5">
        <f t="shared" si="29"/>
        <v>144</v>
      </c>
      <c r="D151" s="5">
        <f t="shared" si="30"/>
        <v>11</v>
      </c>
      <c r="E151" s="5">
        <f t="shared" si="31"/>
        <v>57</v>
      </c>
      <c r="F151" s="64">
        <f>1-(1-VLOOKUP($E151,'Annual Mortality Rates'!$B$5:$C$105,2,FALSE))^(1/12)</f>
        <v>2.3864632065639935E-4</v>
      </c>
      <c r="G151" s="75">
        <f>IF(C151&gt;=[1]Assumptions!$H$9*12,100%,1-(1-IF(D151&gt;=7,2%,VLOOKUP($D151,'[1]Annual Lapse Rates'!$B$4:$C$14,2,FALSE)))^(1/12))</f>
        <v>1.6821425527395739E-3</v>
      </c>
      <c r="H151" s="81">
        <f t="shared" si="33"/>
        <v>12</v>
      </c>
      <c r="I151" s="65">
        <f t="shared" si="34"/>
        <v>2831.5052274993027</v>
      </c>
      <c r="J151" s="66">
        <f t="shared" si="35"/>
        <v>0.67572830446206955</v>
      </c>
      <c r="K151" s="66">
        <f t="shared" si="36"/>
        <v>4.7721772513515148</v>
      </c>
      <c r="M151" s="67">
        <f t="shared" si="41"/>
        <v>117910712.02459258</v>
      </c>
      <c r="N151" s="67">
        <f>IF(AND(MOD(C151,12)=1,D151&lt;15),Assumptions!$H$4*I150,0)</f>
        <v>0</v>
      </c>
      <c r="O151" s="67"/>
      <c r="P151" s="90">
        <f t="shared" si="37"/>
        <v>226481.58371103421</v>
      </c>
      <c r="Q151" s="90">
        <f>M151*VLOOKUP(MOD(C151,12)+(MOD(C151,12)=0)*12,Assumptions!$C$22:$D$33,2,FALSE)*(F151+G151)</f>
        <v>8493.0593891637855</v>
      </c>
      <c r="R151" s="67">
        <f>IF(AND(MOD(C151,12)=0,D151&lt;15),Assumptions!$C$7*M151,0)</f>
        <v>58955.356012296288</v>
      </c>
      <c r="S151" s="68">
        <f>IF(MOD(C151,12)=0,M151*Assumptions!$D$17,0)</f>
        <v>480382.83620630455</v>
      </c>
      <c r="T151" s="68">
        <f t="shared" si="38"/>
        <v>0</v>
      </c>
      <c r="U151" s="67">
        <f>T151+AE151*(1+Assumptions!$D$17)</f>
        <v>0</v>
      </c>
      <c r="V151" s="67">
        <f>(M151+N151-O151)*(1+Assumptions!$D$17)-(P151+Q151)*(1+Assumptions!$D$17)^0.5-R151-T151</f>
        <v>118096686.69033265</v>
      </c>
      <c r="W151" s="67"/>
      <c r="X151" s="67">
        <f>IF(AND(H151=1,D151&lt;15),Assumptions!$D$10*N151+Assumptions!$D$11*(1+Assumptions!$D$16)^(B151-1)*$I$7,0)</f>
        <v>0</v>
      </c>
      <c r="Y151" s="65">
        <f>Assumptions!$C$13*N151</f>
        <v>0</v>
      </c>
      <c r="Z151" s="65">
        <f>NPV(Assumptions!$D$19,N151:$N$259)*(1+Assumptions!$D$19)</f>
        <v>19655284.077709436</v>
      </c>
      <c r="AA151" s="68">
        <f t="shared" si="39"/>
        <v>180789.33015267208</v>
      </c>
      <c r="AC151" s="67">
        <f t="shared" si="40"/>
        <v>118096686.69033265</v>
      </c>
      <c r="AD151" s="67"/>
      <c r="AE151" s="67"/>
      <c r="AF151" s="67"/>
      <c r="AG151" s="67"/>
      <c r="AH151" s="67"/>
      <c r="AI151" s="67"/>
      <c r="AK151" s="67"/>
      <c r="AL151" s="70">
        <f t="shared" si="32"/>
        <v>0</v>
      </c>
    </row>
    <row r="152" spans="2:38" x14ac:dyDescent="0.2">
      <c r="B152" s="5">
        <f t="shared" si="28"/>
        <v>145</v>
      </c>
      <c r="C152" s="5">
        <f t="shared" si="29"/>
        <v>145</v>
      </c>
      <c r="D152" s="5">
        <f t="shared" si="30"/>
        <v>12</v>
      </c>
      <c r="E152" s="5">
        <f t="shared" si="31"/>
        <v>58</v>
      </c>
      <c r="F152" s="64">
        <f>1-(1-VLOOKUP($E152,'Annual Mortality Rates'!$B$5:$C$105,2,FALSE))^(1/12)</f>
        <v>2.6705857925313214E-4</v>
      </c>
      <c r="G152" s="75">
        <f>IF(C152&gt;=[1]Assumptions!$H$9*12,100%,1-(1-IF(D152&gt;=7,2%,VLOOKUP($D152,'[1]Annual Lapse Rates'!$B$4:$C$14,2,FALSE)))^(1/12))</f>
        <v>1.6821425527395739E-3</v>
      </c>
      <c r="H152" s="81">
        <f t="shared" si="33"/>
        <v>1</v>
      </c>
      <c r="I152" s="65">
        <f t="shared" si="34"/>
        <v>2826.0573219434891</v>
      </c>
      <c r="J152" s="66">
        <f t="shared" si="35"/>
        <v>0.75472285328613964</v>
      </c>
      <c r="K152" s="66">
        <f t="shared" si="36"/>
        <v>4.7629954314811247</v>
      </c>
      <c r="M152" s="67">
        <f t="shared" si="41"/>
        <v>118096686.69033265</v>
      </c>
      <c r="N152" s="67">
        <f>IF(AND(MOD(C152,12)=1,D152&lt;15),Assumptions!$H$4*I151,0)</f>
        <v>7078763.0687482571</v>
      </c>
      <c r="O152" s="67"/>
      <c r="P152" s="90">
        <f t="shared" si="37"/>
        <v>230194.19538138434</v>
      </c>
      <c r="Q152" s="90">
        <f>M152*VLOOKUP(MOD(C152,12)+(MOD(C152,12)=0)*12,Assumptions!$C$22:$D$33,2,FALSE)*(F152+G152)</f>
        <v>719.35686056682619</v>
      </c>
      <c r="R152" s="67">
        <f>IF(AND(MOD(C152,12)=0,D152&lt;15),Assumptions!$C$7*M152,0)</f>
        <v>0</v>
      </c>
      <c r="S152" s="68">
        <f>IF(MOD(C152,12)=0,M152*Assumptions!$D$17,0)</f>
        <v>0</v>
      </c>
      <c r="T152" s="68">
        <f t="shared" si="38"/>
        <v>0</v>
      </c>
      <c r="U152" s="67">
        <f>T152+AE152*(1+Assumptions!$D$17)</f>
        <v>0</v>
      </c>
      <c r="V152" s="67">
        <f>(M152+N152-O152)*(1+Assumptions!$D$17)-(P152+Q152)*(1+Assumptions!$D$17)^0.5-R152-T152</f>
        <v>125454046.57676212</v>
      </c>
      <c r="W152" s="67"/>
      <c r="X152" s="67">
        <f>IF(AND(H152=1,D152&lt;15),Assumptions!$D$10*N152+Assumptions!$D$11*(1+Assumptions!$D$16)^(B152-1)*$I$7,0)</f>
        <v>76611.67366702421</v>
      </c>
      <c r="Y152" s="65">
        <f>Assumptions!$C$13*N152</f>
        <v>35393.815343741284</v>
      </c>
      <c r="Z152" s="65">
        <f>NPV(Assumptions!$D$19,N152:$N$259)*(1+Assumptions!$D$19)</f>
        <v>19739664.29728698</v>
      </c>
      <c r="AA152" s="68">
        <f t="shared" si="39"/>
        <v>116454.98702471086</v>
      </c>
      <c r="AC152" s="67">
        <f t="shared" si="40"/>
        <v>125454046.57676212</v>
      </c>
      <c r="AD152" s="67"/>
      <c r="AE152" s="67"/>
      <c r="AF152" s="67"/>
      <c r="AG152" s="67"/>
      <c r="AH152" s="67"/>
      <c r="AI152" s="67"/>
      <c r="AK152" s="67"/>
      <c r="AL152" s="70">
        <f t="shared" si="32"/>
        <v>0</v>
      </c>
    </row>
    <row r="153" spans="2:38" x14ac:dyDescent="0.2">
      <c r="B153" s="5">
        <f t="shared" si="28"/>
        <v>146</v>
      </c>
      <c r="C153" s="5">
        <f t="shared" si="29"/>
        <v>146</v>
      </c>
      <c r="D153" s="5">
        <f t="shared" si="30"/>
        <v>12</v>
      </c>
      <c r="E153" s="5">
        <f t="shared" si="31"/>
        <v>58</v>
      </c>
      <c r="F153" s="64">
        <f>1-(1-VLOOKUP($E153,'Annual Mortality Rates'!$B$5:$C$105,2,FALSE))^(1/12)</f>
        <v>2.6705857925313214E-4</v>
      </c>
      <c r="G153" s="75">
        <f>IF(C153&gt;=[1]Assumptions!$H$9*12,100%,1-(1-IF(D153&gt;=7,2%,VLOOKUP($D153,'[1]Annual Lapse Rates'!$B$4:$C$14,2,FALSE)))^(1/12))</f>
        <v>1.6821425527395739E-3</v>
      </c>
      <c r="H153" s="81">
        <f t="shared" si="33"/>
        <v>2</v>
      </c>
      <c r="I153" s="65">
        <f t="shared" si="34"/>
        <v>2820.5396036587217</v>
      </c>
      <c r="J153" s="66">
        <f t="shared" si="35"/>
        <v>0.75324929928029061</v>
      </c>
      <c r="K153" s="66">
        <f t="shared" si="36"/>
        <v>4.7538312777223846</v>
      </c>
      <c r="M153" s="67">
        <f t="shared" si="41"/>
        <v>125454046.57676212</v>
      </c>
      <c r="N153" s="67">
        <f>IF(AND(MOD(C153,12)=1,D153&lt;15),Assumptions!$H$4*I152,0)</f>
        <v>0</v>
      </c>
      <c r="O153" s="67"/>
      <c r="P153" s="90">
        <f t="shared" si="37"/>
        <v>244535.16960049039</v>
      </c>
      <c r="Q153" s="90">
        <f>M153*VLOOKUP(MOD(C153,12)+(MOD(C153,12)=0)*12,Assumptions!$C$22:$D$33,2,FALSE)*(F153+G153)</f>
        <v>1528.344810003065</v>
      </c>
      <c r="R153" s="67">
        <f>IF(AND(MOD(C153,12)=0,D153&lt;15),Assumptions!$C$7*M153,0)</f>
        <v>0</v>
      </c>
      <c r="S153" s="68">
        <f>IF(MOD(C153,12)=0,M153*Assumptions!$D$17,0)</f>
        <v>0</v>
      </c>
      <c r="T153" s="68">
        <f t="shared" si="38"/>
        <v>0</v>
      </c>
      <c r="U153" s="67">
        <f>T153+AE153*(1+Assumptions!$D$17)</f>
        <v>0</v>
      </c>
      <c r="V153" s="67">
        <f>(M153+N153-O153)*(1+Assumptions!$D$17)-(P153+Q153)*(1+Assumptions!$D$17)^0.5-R153-T153</f>
        <v>125718597.6401546</v>
      </c>
      <c r="W153" s="67"/>
      <c r="X153" s="67">
        <f>IF(AND(H153=1,D153&lt;15),Assumptions!$D$10*N153+Assumptions!$D$11*(1+Assumptions!$D$16)^(B153-1)*$I$7,0)</f>
        <v>0</v>
      </c>
      <c r="Y153" s="65">
        <f>Assumptions!$C$13*N153</f>
        <v>0</v>
      </c>
      <c r="Z153" s="65">
        <f>NPV(Assumptions!$D$19,N153:$N$259)*(1+Assumptions!$D$19)</f>
        <v>12715254.532285944</v>
      </c>
      <c r="AA153" s="68">
        <f t="shared" si="39"/>
        <v>116954.928787811</v>
      </c>
      <c r="AC153" s="67">
        <f t="shared" si="40"/>
        <v>125718597.6401546</v>
      </c>
      <c r="AD153" s="67"/>
      <c r="AE153" s="67"/>
      <c r="AF153" s="67"/>
      <c r="AG153" s="67"/>
      <c r="AH153" s="67"/>
      <c r="AI153" s="67"/>
      <c r="AK153" s="67"/>
      <c r="AL153" s="70">
        <f t="shared" si="32"/>
        <v>0</v>
      </c>
    </row>
    <row r="154" spans="2:38" x14ac:dyDescent="0.2">
      <c r="B154" s="5">
        <f t="shared" si="28"/>
        <v>147</v>
      </c>
      <c r="C154" s="5">
        <f t="shared" si="29"/>
        <v>147</v>
      </c>
      <c r="D154" s="5">
        <f t="shared" si="30"/>
        <v>12</v>
      </c>
      <c r="E154" s="5">
        <f t="shared" si="31"/>
        <v>58</v>
      </c>
      <c r="F154" s="64">
        <f>1-(1-VLOOKUP($E154,'Annual Mortality Rates'!$B$5:$C$105,2,FALSE))^(1/12)</f>
        <v>2.6705857925313214E-4</v>
      </c>
      <c r="G154" s="75">
        <f>IF(C154&gt;=[1]Assumptions!$H$9*12,100%,1-(1-IF(D154&gt;=7,2%,VLOOKUP($D154,'[1]Annual Lapse Rates'!$B$4:$C$14,2,FALSE)))^(1/12))</f>
        <v>1.6821425527395739E-3</v>
      </c>
      <c r="H154" s="81">
        <f t="shared" si="33"/>
        <v>3</v>
      </c>
      <c r="I154" s="65">
        <f t="shared" si="34"/>
        <v>2815.0325230817189</v>
      </c>
      <c r="J154" s="66">
        <f t="shared" si="35"/>
        <v>0.75177858616556381</v>
      </c>
      <c r="K154" s="66">
        <f t="shared" si="36"/>
        <v>4.7445496890015484</v>
      </c>
      <c r="M154" s="67">
        <f t="shared" si="41"/>
        <v>125718597.6401546</v>
      </c>
      <c r="N154" s="67">
        <f>IF(AND(MOD(C154,12)=1,D154&lt;15),Assumptions!$H$4*I153,0)</f>
        <v>0</v>
      </c>
      <c r="O154" s="67"/>
      <c r="P154" s="90">
        <f t="shared" si="37"/>
        <v>245050.8328327249</v>
      </c>
      <c r="Q154" s="90">
        <f>M154*VLOOKUP(MOD(C154,12)+(MOD(C154,12)=0)*12,Assumptions!$C$22:$D$33,2,FALSE)*(F154+G154)</f>
        <v>2297.3515578067959</v>
      </c>
      <c r="R154" s="67">
        <f>IF(AND(MOD(C154,12)=0,D154&lt;15),Assumptions!$C$7*M154,0)</f>
        <v>0</v>
      </c>
      <c r="S154" s="68">
        <f>IF(MOD(C154,12)=0,M154*Assumptions!$D$17,0)</f>
        <v>0</v>
      </c>
      <c r="T154" s="68">
        <f t="shared" si="38"/>
        <v>0</v>
      </c>
      <c r="U154" s="67">
        <f>T154+AE154*(1+Assumptions!$D$17)</f>
        <v>0</v>
      </c>
      <c r="V154" s="67">
        <f>(M154+N154-O154)*(1+Assumptions!$D$17)-(P154+Q154)*(1+Assumptions!$D$17)^0.5-R154-T154</f>
        <v>125982939.23305416</v>
      </c>
      <c r="W154" s="67"/>
      <c r="X154" s="67">
        <f>IF(AND(H154=1,D154&lt;15),Assumptions!$D$10*N154+Assumptions!$D$11*(1+Assumptions!$D$16)^(B154-1)*$I$7,0)</f>
        <v>0</v>
      </c>
      <c r="Y154" s="65">
        <f>Assumptions!$C$13*N154</f>
        <v>0</v>
      </c>
      <c r="Z154" s="65">
        <f>NPV(Assumptions!$D$19,N154:$N$259)*(1+Assumptions!$D$19)</f>
        <v>12769841.17500129</v>
      </c>
      <c r="AA154" s="68">
        <f t="shared" si="39"/>
        <v>117457.016803063</v>
      </c>
      <c r="AC154" s="67">
        <f t="shared" si="40"/>
        <v>125982939.23305416</v>
      </c>
      <c r="AD154" s="67"/>
      <c r="AE154" s="67"/>
      <c r="AF154" s="67"/>
      <c r="AG154" s="67"/>
      <c r="AH154" s="67"/>
      <c r="AI154" s="67"/>
      <c r="AK154" s="67"/>
      <c r="AL154" s="70">
        <f t="shared" si="32"/>
        <v>0</v>
      </c>
    </row>
    <row r="155" spans="2:38" x14ac:dyDescent="0.2">
      <c r="B155" s="5">
        <f t="shared" si="28"/>
        <v>148</v>
      </c>
      <c r="C155" s="5">
        <f t="shared" si="29"/>
        <v>148</v>
      </c>
      <c r="D155" s="5">
        <f t="shared" si="30"/>
        <v>12</v>
      </c>
      <c r="E155" s="5">
        <f t="shared" si="31"/>
        <v>58</v>
      </c>
      <c r="F155" s="64">
        <f>1-(1-VLOOKUP($E155,'Annual Mortality Rates'!$B$5:$C$105,2,FALSE))^(1/12)</f>
        <v>2.6705857925313214E-4</v>
      </c>
      <c r="G155" s="75">
        <f>IF(C155&gt;=[1]Assumptions!$H$9*12,100%,1-(1-IF(D155&gt;=7,2%,VLOOKUP($D155,'[1]Annual Lapse Rates'!$B$4:$C$14,2,FALSE)))^(1/12))</f>
        <v>1.6821425527395739E-3</v>
      </c>
      <c r="H155" s="81">
        <f t="shared" si="33"/>
        <v>4</v>
      </c>
      <c r="I155" s="65">
        <f t="shared" si="34"/>
        <v>2809.536194806552</v>
      </c>
      <c r="J155" s="66">
        <f t="shared" si="35"/>
        <v>0.7503107445452889</v>
      </c>
      <c r="K155" s="66">
        <f t="shared" si="36"/>
        <v>4.7352859944216057</v>
      </c>
      <c r="M155" s="67">
        <f t="shared" si="41"/>
        <v>125982939.23305416</v>
      </c>
      <c r="N155" s="67">
        <f>IF(AND(MOD(C155,12)=1,D155&lt;15),Assumptions!$H$4*I154,0)</f>
        <v>0</v>
      </c>
      <c r="O155" s="67"/>
      <c r="P155" s="90">
        <f t="shared" si="37"/>
        <v>245566.08776483746</v>
      </c>
      <c r="Q155" s="90">
        <f>M155*VLOOKUP(MOD(C155,12)+(MOD(C155,12)=0)*12,Assumptions!$C$22:$D$33,2,FALSE)*(F155+G155)</f>
        <v>3069.5760970604683</v>
      </c>
      <c r="R155" s="67">
        <f>IF(AND(MOD(C155,12)=0,D155&lt;15),Assumptions!$C$7*M155,0)</f>
        <v>0</v>
      </c>
      <c r="S155" s="68">
        <f>IF(MOD(C155,12)=0,M155*Assumptions!$D$17,0)</f>
        <v>0</v>
      </c>
      <c r="T155" s="68">
        <f t="shared" si="38"/>
        <v>0</v>
      </c>
      <c r="U155" s="67">
        <f>T155+AE155*(1+Assumptions!$D$17)</f>
        <v>0</v>
      </c>
      <c r="V155" s="67">
        <f>(M155+N155-O155)*(1+Assumptions!$D$17)-(P155+Q155)*(1+Assumptions!$D$17)^0.5-R155-T155</f>
        <v>126247067.68684348</v>
      </c>
      <c r="W155" s="67"/>
      <c r="X155" s="67">
        <f>IF(AND(H155=1,D155&lt;15),Assumptions!$D$10*N155+Assumptions!$D$11*(1+Assumptions!$D$16)^(B155-1)*$I$7,0)</f>
        <v>0</v>
      </c>
      <c r="Y155" s="65">
        <f>Assumptions!$C$13*N155</f>
        <v>0</v>
      </c>
      <c r="Z155" s="65">
        <f>NPV(Assumptions!$D$19,N155:$N$259)*(1+Assumptions!$D$19)</f>
        <v>12824662.158409966</v>
      </c>
      <c r="AA155" s="68">
        <f t="shared" si="39"/>
        <v>117961.26028433657</v>
      </c>
      <c r="AC155" s="67">
        <f t="shared" si="40"/>
        <v>126247067.68684348</v>
      </c>
      <c r="AD155" s="67"/>
      <c r="AE155" s="67"/>
      <c r="AF155" s="67"/>
      <c r="AG155" s="67"/>
      <c r="AH155" s="67"/>
      <c r="AI155" s="67"/>
      <c r="AK155" s="67"/>
      <c r="AL155" s="70">
        <f t="shared" si="32"/>
        <v>0</v>
      </c>
    </row>
    <row r="156" spans="2:38" x14ac:dyDescent="0.2">
      <c r="B156" s="5">
        <f t="shared" si="28"/>
        <v>149</v>
      </c>
      <c r="C156" s="5">
        <f t="shared" si="29"/>
        <v>149</v>
      </c>
      <c r="D156" s="5">
        <f t="shared" si="30"/>
        <v>12</v>
      </c>
      <c r="E156" s="5">
        <f t="shared" si="31"/>
        <v>58</v>
      </c>
      <c r="F156" s="64">
        <f>1-(1-VLOOKUP($E156,'Annual Mortality Rates'!$B$5:$C$105,2,FALSE))^(1/12)</f>
        <v>2.6705857925313214E-4</v>
      </c>
      <c r="G156" s="75">
        <f>IF(C156&gt;=[1]Assumptions!$H$9*12,100%,1-(1-IF(D156&gt;=7,2%,VLOOKUP($D156,'[1]Annual Lapse Rates'!$B$4:$C$14,2,FALSE)))^(1/12))</f>
        <v>1.6821425527395739E-3</v>
      </c>
      <c r="H156" s="81">
        <f t="shared" si="33"/>
        <v>5</v>
      </c>
      <c r="I156" s="65">
        <f t="shared" si="34"/>
        <v>2804.0505980675848</v>
      </c>
      <c r="J156" s="66">
        <f t="shared" si="35"/>
        <v>0.7488457688738247</v>
      </c>
      <c r="K156" s="66">
        <f t="shared" si="36"/>
        <v>4.7260403867461225</v>
      </c>
      <c r="M156" s="67">
        <f t="shared" si="41"/>
        <v>126247067.68684348</v>
      </c>
      <c r="N156" s="67">
        <f>IF(AND(MOD(C156,12)=1,D156&lt;15),Assumptions!$H$4*I155,0)</f>
        <v>0</v>
      </c>
      <c r="O156" s="67"/>
      <c r="P156" s="90">
        <f t="shared" si="37"/>
        <v>246080.9272459551</v>
      </c>
      <c r="Q156" s="90">
        <f>M156*VLOOKUP(MOD(C156,12)+(MOD(C156,12)=0)*12,Assumptions!$C$22:$D$33,2,FALSE)*(F156+G156)</f>
        <v>3845.0144882180484</v>
      </c>
      <c r="R156" s="67">
        <f>IF(AND(MOD(C156,12)=0,D156&lt;15),Assumptions!$C$7*M156,0)</f>
        <v>0</v>
      </c>
      <c r="S156" s="68">
        <f>IF(MOD(C156,12)=0,M156*Assumptions!$D$17,0)</f>
        <v>0</v>
      </c>
      <c r="T156" s="68">
        <f t="shared" si="38"/>
        <v>0</v>
      </c>
      <c r="U156" s="67">
        <f>T156+AE156*(1+Assumptions!$D$17)</f>
        <v>0</v>
      </c>
      <c r="V156" s="67">
        <f>(M156+N156-O156)*(1+Assumptions!$D$17)-(P156+Q156)*(1+Assumptions!$D$17)^0.5-R156-T156</f>
        <v>126510979.32907182</v>
      </c>
      <c r="W156" s="67"/>
      <c r="X156" s="67">
        <f>IF(AND(H156=1,D156&lt;15),Assumptions!$D$10*N156+Assumptions!$D$11*(1+Assumptions!$D$16)^(B156-1)*$I$7,0)</f>
        <v>0</v>
      </c>
      <c r="Y156" s="65">
        <f>Assumptions!$C$13*N156</f>
        <v>0</v>
      </c>
      <c r="Z156" s="65">
        <f>NPV(Assumptions!$D$19,N156:$N$259)*(1+Assumptions!$D$19)</f>
        <v>12879718.48853758</v>
      </c>
      <c r="AA156" s="68">
        <f t="shared" si="39"/>
        <v>118467.66848505671</v>
      </c>
      <c r="AC156" s="67">
        <f t="shared" si="40"/>
        <v>126510979.32907182</v>
      </c>
      <c r="AD156" s="67"/>
      <c r="AE156" s="67"/>
      <c r="AF156" s="67"/>
      <c r="AG156" s="67"/>
      <c r="AH156" s="67"/>
      <c r="AI156" s="67"/>
      <c r="AK156" s="67"/>
      <c r="AL156" s="70">
        <f t="shared" si="32"/>
        <v>0</v>
      </c>
    </row>
    <row r="157" spans="2:38" x14ac:dyDescent="0.2">
      <c r="B157" s="5">
        <f t="shared" si="28"/>
        <v>150</v>
      </c>
      <c r="C157" s="5">
        <f t="shared" si="29"/>
        <v>150</v>
      </c>
      <c r="D157" s="5">
        <f t="shared" si="30"/>
        <v>12</v>
      </c>
      <c r="E157" s="5">
        <f t="shared" si="31"/>
        <v>58</v>
      </c>
      <c r="F157" s="64">
        <f>1-(1-VLOOKUP($E157,'Annual Mortality Rates'!$B$5:$C$105,2,FALSE))^(1/12)</f>
        <v>2.6705857925313214E-4</v>
      </c>
      <c r="G157" s="75">
        <f>IF(C157&gt;=[1]Assumptions!$H$9*12,100%,1-(1-IF(D157&gt;=7,2%,VLOOKUP($D157,'[1]Annual Lapse Rates'!$B$4:$C$14,2,FALSE)))^(1/12))</f>
        <v>1.6821425527395739E-3</v>
      </c>
      <c r="H157" s="81">
        <f t="shared" si="33"/>
        <v>6</v>
      </c>
      <c r="I157" s="65">
        <f t="shared" si="34"/>
        <v>2798.5757119119648</v>
      </c>
      <c r="J157" s="66">
        <f t="shared" si="35"/>
        <v>0.74738365355553216</v>
      </c>
      <c r="K157" s="66">
        <f t="shared" si="36"/>
        <v>4.7168128310443365</v>
      </c>
      <c r="M157" s="67">
        <f t="shared" si="41"/>
        <v>126510979.32907182</v>
      </c>
      <c r="N157" s="67">
        <f>IF(AND(MOD(C157,12)=1,D157&lt;15),Assumptions!$H$4*I156,0)</f>
        <v>0</v>
      </c>
      <c r="O157" s="67"/>
      <c r="P157" s="90">
        <f t="shared" si="37"/>
        <v>246595.34411773263</v>
      </c>
      <c r="Q157" s="90">
        <f>M157*VLOOKUP(MOD(C157,12)+(MOD(C157,12)=0)*12,Assumptions!$C$22:$D$33,2,FALSE)*(F157+G157)</f>
        <v>4623.6627022074872</v>
      </c>
      <c r="R157" s="67">
        <f>IF(AND(MOD(C157,12)=0,D157&lt;15),Assumptions!$C$7*M157,0)</f>
        <v>0</v>
      </c>
      <c r="S157" s="68">
        <f>IF(MOD(C157,12)=0,M157*Assumptions!$D$17,0)</f>
        <v>0</v>
      </c>
      <c r="T157" s="68">
        <f t="shared" si="38"/>
        <v>0</v>
      </c>
      <c r="U157" s="67">
        <f>T157+AE157*(1+Assumptions!$D$17)</f>
        <v>0</v>
      </c>
      <c r="V157" s="67">
        <f>(M157+N157-O157)*(1+Assumptions!$D$17)-(P157+Q157)*(1+Assumptions!$D$17)^0.5-R157-T157</f>
        <v>126774670.48353657</v>
      </c>
      <c r="W157" s="67"/>
      <c r="X157" s="67">
        <f>IF(AND(H157=1,D157&lt;15),Assumptions!$D$10*N157+Assumptions!$D$11*(1+Assumptions!$D$16)^(B157-1)*$I$7,0)</f>
        <v>0</v>
      </c>
      <c r="Y157" s="65">
        <f>Assumptions!$C$13*N157</f>
        <v>0</v>
      </c>
      <c r="Z157" s="65">
        <f>NPV(Assumptions!$D$19,N157:$N$259)*(1+Assumptions!$D$19)</f>
        <v>12935011.175728615</v>
      </c>
      <c r="AA157" s="68">
        <f t="shared" si="39"/>
        <v>118976.25069837332</v>
      </c>
      <c r="AC157" s="67">
        <f t="shared" si="40"/>
        <v>126774670.48353657</v>
      </c>
      <c r="AD157" s="67"/>
      <c r="AE157" s="67"/>
      <c r="AF157" s="67"/>
      <c r="AG157" s="67"/>
      <c r="AH157" s="67"/>
      <c r="AI157" s="67"/>
      <c r="AK157" s="67"/>
      <c r="AL157" s="70">
        <f t="shared" si="32"/>
        <v>0</v>
      </c>
    </row>
    <row r="158" spans="2:38" x14ac:dyDescent="0.2">
      <c r="B158" s="5">
        <f t="shared" si="28"/>
        <v>151</v>
      </c>
      <c r="C158" s="5">
        <f t="shared" si="29"/>
        <v>151</v>
      </c>
      <c r="D158" s="5">
        <f t="shared" si="30"/>
        <v>12</v>
      </c>
      <c r="E158" s="5">
        <f t="shared" si="31"/>
        <v>58</v>
      </c>
      <c r="F158" s="64">
        <f>1-(1-VLOOKUP($E158,'Annual Mortality Rates'!$B$5:$C$105,2,FALSE))^(1/12)</f>
        <v>2.6705857925313214E-4</v>
      </c>
      <c r="G158" s="75">
        <f>IF(C158&gt;=[1]Assumptions!$H$9*12,100%,1-(1-IF(D158&gt;=7,2%,VLOOKUP($D158,'[1]Annual Lapse Rates'!$B$4:$C$14,2,FALSE)))^(1/12))</f>
        <v>1.6821425527395739E-3</v>
      </c>
      <c r="H158" s="81">
        <f t="shared" si="33"/>
        <v>7</v>
      </c>
      <c r="I158" s="65">
        <f t="shared" si="34"/>
        <v>2793.1115154273648</v>
      </c>
      <c r="J158" s="66">
        <f t="shared" si="35"/>
        <v>0.74592439300559488</v>
      </c>
      <c r="K158" s="66">
        <f t="shared" si="36"/>
        <v>4.7076032920705631</v>
      </c>
      <c r="M158" s="67">
        <f t="shared" si="41"/>
        <v>126774670.48353657</v>
      </c>
      <c r="N158" s="67">
        <f>IF(AND(MOD(C158,12)=1,D158&lt;15),Assumptions!$H$4*I157,0)</f>
        <v>0</v>
      </c>
      <c r="O158" s="67"/>
      <c r="P158" s="90">
        <f t="shared" si="37"/>
        <v>247109.3312145118</v>
      </c>
      <c r="Q158" s="90">
        <f>M158*VLOOKUP(MOD(C158,12)+(MOD(C158,12)=0)*12,Assumptions!$C$22:$D$33,2,FALSE)*(F158+G158)</f>
        <v>5405.5166203174458</v>
      </c>
      <c r="R158" s="67">
        <f>IF(AND(MOD(C158,12)=0,D158&lt;15),Assumptions!$C$7*M158,0)</f>
        <v>0</v>
      </c>
      <c r="S158" s="68">
        <f>IF(MOD(C158,12)=0,M158*Assumptions!$D$17,0)</f>
        <v>0</v>
      </c>
      <c r="T158" s="68">
        <f t="shared" si="38"/>
        <v>0</v>
      </c>
      <c r="U158" s="67">
        <f>T158+AE158*(1+Assumptions!$D$17)</f>
        <v>0</v>
      </c>
      <c r="V158" s="67">
        <f>(M158+N158-O158)*(1+Assumptions!$D$17)-(P158+Q158)*(1+Assumptions!$D$17)^0.5-R158-T158</f>
        <v>127038137.47036518</v>
      </c>
      <c r="W158" s="67"/>
      <c r="X158" s="67">
        <f>IF(AND(H158=1,D158&lt;15),Assumptions!$D$10*N158+Assumptions!$D$11*(1+Assumptions!$D$16)^(B158-1)*$I$7,0)</f>
        <v>0</v>
      </c>
      <c r="Y158" s="65">
        <f>Assumptions!$C$13*N158</f>
        <v>0</v>
      </c>
      <c r="Z158" s="65">
        <f>NPV(Assumptions!$D$19,N158:$N$259)*(1+Assumptions!$D$19)</f>
        <v>12990541.234664965</v>
      </c>
      <c r="AA158" s="68">
        <f t="shared" si="39"/>
        <v>119487.01625733191</v>
      </c>
      <c r="AC158" s="67">
        <f t="shared" si="40"/>
        <v>127038137.47036518</v>
      </c>
      <c r="AD158" s="67"/>
      <c r="AE158" s="67"/>
      <c r="AF158" s="67"/>
      <c r="AG158" s="67"/>
      <c r="AH158" s="67"/>
      <c r="AI158" s="67"/>
      <c r="AK158" s="67"/>
      <c r="AL158" s="70">
        <f t="shared" si="32"/>
        <v>0</v>
      </c>
    </row>
    <row r="159" spans="2:38" x14ac:dyDescent="0.2">
      <c r="B159" s="5">
        <f t="shared" si="28"/>
        <v>152</v>
      </c>
      <c r="C159" s="5">
        <f t="shared" si="29"/>
        <v>152</v>
      </c>
      <c r="D159" s="5">
        <f t="shared" si="30"/>
        <v>12</v>
      </c>
      <c r="E159" s="5">
        <f t="shared" si="31"/>
        <v>58</v>
      </c>
      <c r="F159" s="64">
        <f>1-(1-VLOOKUP($E159,'Annual Mortality Rates'!$B$5:$C$105,2,FALSE))^(1/12)</f>
        <v>2.6705857925313214E-4</v>
      </c>
      <c r="G159" s="75">
        <f>IF(C159&gt;=[1]Assumptions!$H$9*12,100%,1-(1-IF(D159&gt;=7,2%,VLOOKUP($D159,'[1]Annual Lapse Rates'!$B$4:$C$14,2,FALSE)))^(1/12))</f>
        <v>1.6821425527395739E-3</v>
      </c>
      <c r="H159" s="81">
        <f t="shared" si="33"/>
        <v>8</v>
      </c>
      <c r="I159" s="65">
        <f t="shared" si="34"/>
        <v>2787.6579877422887</v>
      </c>
      <c r="J159" s="66">
        <f t="shared" si="35"/>
        <v>0.74446798165010086</v>
      </c>
      <c r="K159" s="66">
        <f t="shared" si="36"/>
        <v>4.6984117346472871</v>
      </c>
      <c r="M159" s="67">
        <f t="shared" si="41"/>
        <v>127038137.47036518</v>
      </c>
      <c r="N159" s="67">
        <f>IF(AND(MOD(C159,12)=1,D159&lt;15),Assumptions!$H$4*I158,0)</f>
        <v>0</v>
      </c>
      <c r="O159" s="67"/>
      <c r="P159" s="90">
        <f t="shared" si="37"/>
        <v>247622.88136348082</v>
      </c>
      <c r="Q159" s="90">
        <f>M159*VLOOKUP(MOD(C159,12)+(MOD(C159,12)=0)*12,Assumptions!$C$22:$D$33,2,FALSE)*(F159+G159)</f>
        <v>6190.5720340870203</v>
      </c>
      <c r="R159" s="67">
        <f>IF(AND(MOD(C159,12)=0,D159&lt;15),Assumptions!$C$7*M159,0)</f>
        <v>0</v>
      </c>
      <c r="S159" s="68">
        <f>IF(MOD(C159,12)=0,M159*Assumptions!$D$17,0)</f>
        <v>0</v>
      </c>
      <c r="T159" s="68">
        <f t="shared" si="38"/>
        <v>0</v>
      </c>
      <c r="U159" s="67">
        <f>T159+AE159*(1+Assumptions!$D$17)</f>
        <v>0</v>
      </c>
      <c r="V159" s="67">
        <f>(M159+N159-O159)*(1+Assumptions!$D$17)-(P159+Q159)*(1+Assumptions!$D$17)^0.5-R159-T159</f>
        <v>127301376.60609728</v>
      </c>
      <c r="W159" s="67"/>
      <c r="X159" s="67">
        <f>IF(AND(H159=1,D159&lt;15),Assumptions!$D$10*N159+Assumptions!$D$11*(1+Assumptions!$D$16)^(B159-1)*$I$7,0)</f>
        <v>0</v>
      </c>
      <c r="Y159" s="65">
        <f>Assumptions!$C$13*N159</f>
        <v>0</v>
      </c>
      <c r="Z159" s="65">
        <f>NPV(Assumptions!$D$19,N159:$N$259)*(1+Assumptions!$D$19)</f>
        <v>13046309.684384562</v>
      </c>
      <c r="AA159" s="68">
        <f t="shared" si="39"/>
        <v>119999.97453504478</v>
      </c>
      <c r="AC159" s="67">
        <f t="shared" si="40"/>
        <v>127301376.60609728</v>
      </c>
      <c r="AD159" s="67"/>
      <c r="AE159" s="67"/>
      <c r="AF159" s="67"/>
      <c r="AG159" s="67"/>
      <c r="AH159" s="67"/>
      <c r="AI159" s="67"/>
      <c r="AK159" s="67"/>
      <c r="AL159" s="70">
        <f t="shared" si="32"/>
        <v>0</v>
      </c>
    </row>
    <row r="160" spans="2:38" x14ac:dyDescent="0.2">
      <c r="B160" s="5">
        <f t="shared" si="28"/>
        <v>153</v>
      </c>
      <c r="C160" s="5">
        <f t="shared" si="29"/>
        <v>153</v>
      </c>
      <c r="D160" s="5">
        <f t="shared" si="30"/>
        <v>12</v>
      </c>
      <c r="E160" s="5">
        <f t="shared" si="31"/>
        <v>58</v>
      </c>
      <c r="F160" s="64">
        <f>1-(1-VLOOKUP($E160,'Annual Mortality Rates'!$B$5:$C$105,2,FALSE))^(1/12)</f>
        <v>2.6705857925313214E-4</v>
      </c>
      <c r="G160" s="75">
        <f>IF(C160&gt;=[1]Assumptions!$H$9*12,100%,1-(1-IF(D160&gt;=7,2%,VLOOKUP($D160,'[1]Annual Lapse Rates'!$B$4:$C$14,2,FALSE)))^(1/12))</f>
        <v>1.6821425527395739E-3</v>
      </c>
      <c r="H160" s="81">
        <f t="shared" si="33"/>
        <v>9</v>
      </c>
      <c r="I160" s="65">
        <f t="shared" si="34"/>
        <v>2782.2151080259914</v>
      </c>
      <c r="J160" s="66">
        <f t="shared" si="35"/>
        <v>0.74301441392602086</v>
      </c>
      <c r="K160" s="66">
        <f t="shared" si="36"/>
        <v>4.6892381236656773</v>
      </c>
      <c r="M160" s="67">
        <f t="shared" si="41"/>
        <v>127301376.60609728</v>
      </c>
      <c r="N160" s="67">
        <f>IF(AND(MOD(C160,12)=1,D160&lt;15),Assumptions!$H$4*I159,0)</f>
        <v>0</v>
      </c>
      <c r="O160" s="67"/>
      <c r="P160" s="90">
        <f t="shared" si="37"/>
        <v>248135.98738483462</v>
      </c>
      <c r="Q160" s="90">
        <f>M160*VLOOKUP(MOD(C160,12)+(MOD(C160,12)=0)*12,Assumptions!$C$22:$D$33,2,FALSE)*(F160+G160)</f>
        <v>6978.8246451984742</v>
      </c>
      <c r="R160" s="67">
        <f>IF(AND(MOD(C160,12)=0,D160&lt;15),Assumptions!$C$7*M160,0)</f>
        <v>0</v>
      </c>
      <c r="S160" s="68">
        <f>IF(MOD(C160,12)=0,M160*Assumptions!$D$17,0)</f>
        <v>0</v>
      </c>
      <c r="T160" s="68">
        <f t="shared" si="38"/>
        <v>0</v>
      </c>
      <c r="U160" s="67">
        <f>T160+AE160*(1+Assumptions!$D$17)</f>
        <v>0</v>
      </c>
      <c r="V160" s="67">
        <f>(M160+N160-O160)*(1+Assumptions!$D$17)-(P160+Q160)*(1+Assumptions!$D$17)^0.5-R160-T160</f>
        <v>127564384.20376709</v>
      </c>
      <c r="W160" s="67"/>
      <c r="X160" s="67">
        <f>IF(AND(H160=1,D160&lt;15),Assumptions!$D$10*N160+Assumptions!$D$11*(1+Assumptions!$D$16)^(B160-1)*$I$7,0)</f>
        <v>0</v>
      </c>
      <c r="Y160" s="65">
        <f>Assumptions!$C$13*N160</f>
        <v>0</v>
      </c>
      <c r="Z160" s="65">
        <f>NPV(Assumptions!$D$19,N160:$N$259)*(1+Assumptions!$D$19)</f>
        <v>13102317.548300069</v>
      </c>
      <c r="AA160" s="68">
        <f t="shared" si="39"/>
        <v>120515.13494486299</v>
      </c>
      <c r="AC160" s="67">
        <f t="shared" si="40"/>
        <v>127564384.20376709</v>
      </c>
      <c r="AD160" s="67"/>
      <c r="AE160" s="67"/>
      <c r="AF160" s="67"/>
      <c r="AG160" s="67"/>
      <c r="AH160" s="67"/>
      <c r="AI160" s="67"/>
      <c r="AK160" s="67"/>
      <c r="AL160" s="70">
        <f t="shared" si="32"/>
        <v>0</v>
      </c>
    </row>
    <row r="161" spans="2:38" x14ac:dyDescent="0.2">
      <c r="B161" s="5">
        <f t="shared" si="28"/>
        <v>154</v>
      </c>
      <c r="C161" s="5">
        <f t="shared" si="29"/>
        <v>154</v>
      </c>
      <c r="D161" s="5">
        <f t="shared" si="30"/>
        <v>12</v>
      </c>
      <c r="E161" s="5">
        <f t="shared" si="31"/>
        <v>58</v>
      </c>
      <c r="F161" s="64">
        <f>1-(1-VLOOKUP($E161,'Annual Mortality Rates'!$B$5:$C$105,2,FALSE))^(1/12)</f>
        <v>2.6705857925313214E-4</v>
      </c>
      <c r="G161" s="75">
        <f>IF(C161&gt;=[1]Assumptions!$H$9*12,100%,1-(1-IF(D161&gt;=7,2%,VLOOKUP($D161,'[1]Annual Lapse Rates'!$B$4:$C$14,2,FALSE)))^(1/12))</f>
        <v>1.6821425527395739E-3</v>
      </c>
      <c r="H161" s="81">
        <f t="shared" si="33"/>
        <v>10</v>
      </c>
      <c r="I161" s="65">
        <f t="shared" si="34"/>
        <v>2776.7828554883995</v>
      </c>
      <c r="J161" s="66">
        <f t="shared" si="35"/>
        <v>0.74156368428118735</v>
      </c>
      <c r="K161" s="66">
        <f t="shared" si="36"/>
        <v>4.6800824240854508</v>
      </c>
      <c r="M161" s="67">
        <f t="shared" si="41"/>
        <v>127564384.20376709</v>
      </c>
      <c r="N161" s="67">
        <f>IF(AND(MOD(C161,12)=1,D161&lt;15),Assumptions!$H$4*I160,0)</f>
        <v>0</v>
      </c>
      <c r="O161" s="67"/>
      <c r="P161" s="90">
        <f t="shared" si="37"/>
        <v>248648.6420919353</v>
      </c>
      <c r="Q161" s="90">
        <f>M161*VLOOKUP(MOD(C161,12)+(MOD(C161,12)=0)*12,Assumptions!$C$22:$D$33,2,FALSE)*(F161+G161)</f>
        <v>7770.270065372978</v>
      </c>
      <c r="R161" s="67">
        <f>IF(AND(MOD(C161,12)=0,D161&lt;15),Assumptions!$C$7*M161,0)</f>
        <v>0</v>
      </c>
      <c r="S161" s="68">
        <f>IF(MOD(C161,12)=0,M161*Assumptions!$D$17,0)</f>
        <v>0</v>
      </c>
      <c r="T161" s="68">
        <f t="shared" si="38"/>
        <v>0</v>
      </c>
      <c r="U161" s="67">
        <f>T161+AE161*(1+Assumptions!$D$17)</f>
        <v>0</v>
      </c>
      <c r="V161" s="67">
        <f>(M161+N161-O161)*(1+Assumptions!$D$17)-(P161+Q161)*(1+Assumptions!$D$17)^0.5-R161-T161</f>
        <v>127827156.57298617</v>
      </c>
      <c r="W161" s="67"/>
      <c r="X161" s="67">
        <f>IF(AND(H161=1,D161&lt;15),Assumptions!$D$10*N161+Assumptions!$D$11*(1+Assumptions!$D$16)^(B161-1)*$I$7,0)</f>
        <v>0</v>
      </c>
      <c r="Y161" s="65">
        <f>Assumptions!$C$13*N161</f>
        <v>0</v>
      </c>
      <c r="Z161" s="65">
        <f>NPV(Assumptions!$D$19,N161:$N$259)*(1+Assumptions!$D$19)</f>
        <v>13158565.854217662</v>
      </c>
      <c r="AA161" s="68">
        <f t="shared" si="39"/>
        <v>121032.50694054922</v>
      </c>
      <c r="AC161" s="67">
        <f t="shared" si="40"/>
        <v>127827156.57298617</v>
      </c>
      <c r="AD161" s="67"/>
      <c r="AE161" s="67"/>
      <c r="AF161" s="67"/>
      <c r="AG161" s="67"/>
      <c r="AH161" s="67"/>
      <c r="AI161" s="67"/>
      <c r="AK161" s="67"/>
      <c r="AL161" s="70">
        <f t="shared" si="32"/>
        <v>0</v>
      </c>
    </row>
    <row r="162" spans="2:38" x14ac:dyDescent="0.2">
      <c r="B162" s="5">
        <f t="shared" si="28"/>
        <v>155</v>
      </c>
      <c r="C162" s="5">
        <f t="shared" si="29"/>
        <v>155</v>
      </c>
      <c r="D162" s="5">
        <f t="shared" si="30"/>
        <v>12</v>
      </c>
      <c r="E162" s="5">
        <f t="shared" si="31"/>
        <v>58</v>
      </c>
      <c r="F162" s="64">
        <f>1-(1-VLOOKUP($E162,'Annual Mortality Rates'!$B$5:$C$105,2,FALSE))^(1/12)</f>
        <v>2.6705857925313214E-4</v>
      </c>
      <c r="G162" s="75">
        <f>IF(C162&gt;=[1]Assumptions!$H$9*12,100%,1-(1-IF(D162&gt;=7,2%,VLOOKUP($D162,'[1]Annual Lapse Rates'!$B$4:$C$14,2,FALSE)))^(1/12))</f>
        <v>1.6821425527395739E-3</v>
      </c>
      <c r="H162" s="81">
        <f t="shared" si="33"/>
        <v>11</v>
      </c>
      <c r="I162" s="65">
        <f t="shared" si="34"/>
        <v>2771.361209380033</v>
      </c>
      <c r="J162" s="66">
        <f t="shared" si="35"/>
        <v>0.74011578717427373</v>
      </c>
      <c r="K162" s="66">
        <f t="shared" si="36"/>
        <v>4.6709446009347397</v>
      </c>
      <c r="M162" s="67">
        <f t="shared" si="41"/>
        <v>127827156.57298617</v>
      </c>
      <c r="N162" s="67">
        <f>IF(AND(MOD(C162,12)=1,D162&lt;15),Assumptions!$H$4*I161,0)</f>
        <v>0</v>
      </c>
      <c r="O162" s="67"/>
      <c r="P162" s="90">
        <f t="shared" si="37"/>
        <v>249160.83829147351</v>
      </c>
      <c r="Q162" s="90">
        <f>M162*VLOOKUP(MOD(C162,12)+(MOD(C162,12)=0)*12,Assumptions!$C$22:$D$33,2,FALSE)*(F162+G162)</f>
        <v>8564.9038162694033</v>
      </c>
      <c r="R162" s="67">
        <f>IF(AND(MOD(C162,12)=0,D162&lt;15),Assumptions!$C$7*M162,0)</f>
        <v>0</v>
      </c>
      <c r="S162" s="68">
        <f>IF(MOD(C162,12)=0,M162*Assumptions!$D$17,0)</f>
        <v>0</v>
      </c>
      <c r="T162" s="68">
        <f t="shared" si="38"/>
        <v>0</v>
      </c>
      <c r="U162" s="67">
        <f>T162+AE162*(1+Assumptions!$D$17)</f>
        <v>0</v>
      </c>
      <c r="V162" s="67">
        <f>(M162+N162-O162)*(1+Assumptions!$D$17)-(P162+Q162)*(1+Assumptions!$D$17)^0.5-R162-T162</f>
        <v>128089690.02002636</v>
      </c>
      <c r="W162" s="67"/>
      <c r="X162" s="67">
        <f>IF(AND(H162=1,D162&lt;15),Assumptions!$D$10*N162+Assumptions!$D$11*(1+Assumptions!$D$16)^(B162-1)*$I$7,0)</f>
        <v>0</v>
      </c>
      <c r="Y162" s="65">
        <f>Assumptions!$C$13*N162</f>
        <v>0</v>
      </c>
      <c r="Z162" s="65">
        <f>NPV(Assumptions!$D$19,N162:$N$259)*(1+Assumptions!$D$19)</f>
        <v>13215055.634355899</v>
      </c>
      <c r="AA162" s="68">
        <f t="shared" si="39"/>
        <v>121552.10001645118</v>
      </c>
      <c r="AC162" s="67">
        <f t="shared" si="40"/>
        <v>128089690.02002636</v>
      </c>
      <c r="AD162" s="67"/>
      <c r="AE162" s="67"/>
      <c r="AF162" s="67"/>
      <c r="AG162" s="67"/>
      <c r="AH162" s="67"/>
      <c r="AI162" s="67"/>
      <c r="AK162" s="67"/>
      <c r="AL162" s="70">
        <f t="shared" si="32"/>
        <v>0</v>
      </c>
    </row>
    <row r="163" spans="2:38" x14ac:dyDescent="0.2">
      <c r="B163" s="5">
        <f t="shared" si="28"/>
        <v>156</v>
      </c>
      <c r="C163" s="5">
        <f t="shared" si="29"/>
        <v>156</v>
      </c>
      <c r="D163" s="5">
        <f t="shared" si="30"/>
        <v>12</v>
      </c>
      <c r="E163" s="5">
        <f t="shared" si="31"/>
        <v>58</v>
      </c>
      <c r="F163" s="64">
        <f>1-(1-VLOOKUP($E163,'Annual Mortality Rates'!$B$5:$C$105,2,FALSE))^(1/12)</f>
        <v>2.6705857925313214E-4</v>
      </c>
      <c r="G163" s="75">
        <f>IF(C163&gt;=[1]Assumptions!$H$9*12,100%,1-(1-IF(D163&gt;=7,2%,VLOOKUP($D163,'[1]Annual Lapse Rates'!$B$4:$C$14,2,FALSE)))^(1/12))</f>
        <v>1.6821425527395739E-3</v>
      </c>
      <c r="H163" s="81">
        <f t="shared" si="33"/>
        <v>12</v>
      </c>
      <c r="I163" s="65">
        <f t="shared" si="34"/>
        <v>2765.9501489919239</v>
      </c>
      <c r="J163" s="66">
        <f t="shared" si="35"/>
        <v>0.73867071707477239</v>
      </c>
      <c r="K163" s="66">
        <f t="shared" si="36"/>
        <v>4.6618246193099617</v>
      </c>
      <c r="M163" s="67">
        <f t="shared" si="41"/>
        <v>128089690.02002636</v>
      </c>
      <c r="N163" s="67">
        <f>IF(AND(MOD(C163,12)=1,D163&lt;15),Assumptions!$H$4*I162,0)</f>
        <v>0</v>
      </c>
      <c r="O163" s="67"/>
      <c r="P163" s="90">
        <f t="shared" si="37"/>
        <v>249672.56878363021</v>
      </c>
      <c r="Q163" s="90">
        <f>M163*VLOOKUP(MOD(C163,12)+(MOD(C163,12)=0)*12,Assumptions!$C$22:$D$33,2,FALSE)*(F163+G163)</f>
        <v>9362.7213293861332</v>
      </c>
      <c r="R163" s="67">
        <f>IF(AND(MOD(C163,12)=0,D163&lt;15),Assumptions!$C$7*M163,0)</f>
        <v>64044.845010013181</v>
      </c>
      <c r="S163" s="68">
        <f>IF(MOD(C163,12)=0,M163*Assumptions!$D$17,0)</f>
        <v>521853.2525507345</v>
      </c>
      <c r="T163" s="68">
        <f t="shared" si="38"/>
        <v>0</v>
      </c>
      <c r="U163" s="67">
        <f>T163+AE163*(1+Assumptions!$D$17)</f>
        <v>0</v>
      </c>
      <c r="V163" s="67">
        <f>(M163+N163-O163)*(1+Assumptions!$D$17)-(P163+Q163)*(1+Assumptions!$D$17)^0.5-R163-T163</f>
        <v>128287936.00289306</v>
      </c>
      <c r="W163" s="67"/>
      <c r="X163" s="67">
        <f>IF(AND(H163=1,D163&lt;15),Assumptions!$D$10*N163+Assumptions!$D$11*(1+Assumptions!$D$16)^(B163-1)*$I$7,0)</f>
        <v>0</v>
      </c>
      <c r="Y163" s="65">
        <f>Assumptions!$C$13*N163</f>
        <v>0</v>
      </c>
      <c r="Z163" s="65">
        <f>NPV(Assumptions!$D$19,N163:$N$259)*(1+Assumptions!$D$19)</f>
        <v>13271787.925364655</v>
      </c>
      <c r="AA163" s="68">
        <f t="shared" si="39"/>
        <v>122073.9237076758</v>
      </c>
      <c r="AC163" s="67">
        <f t="shared" si="40"/>
        <v>128287936.00289306</v>
      </c>
      <c r="AD163" s="67"/>
      <c r="AE163" s="67"/>
      <c r="AF163" s="67"/>
      <c r="AG163" s="67"/>
      <c r="AH163" s="67"/>
      <c r="AI163" s="67"/>
      <c r="AK163" s="67"/>
      <c r="AL163" s="70">
        <f t="shared" si="32"/>
        <v>0</v>
      </c>
    </row>
    <row r="164" spans="2:38" x14ac:dyDescent="0.2">
      <c r="B164" s="5">
        <f t="shared" si="28"/>
        <v>157</v>
      </c>
      <c r="C164" s="5">
        <f t="shared" si="29"/>
        <v>157</v>
      </c>
      <c r="D164" s="5">
        <f t="shared" si="30"/>
        <v>13</v>
      </c>
      <c r="E164" s="5">
        <f t="shared" si="31"/>
        <v>59</v>
      </c>
      <c r="F164" s="64">
        <f>1-(1-VLOOKUP($E164,'Annual Mortality Rates'!$B$5:$C$105,2,FALSE))^(1/12)</f>
        <v>2.9882397117220183E-4</v>
      </c>
      <c r="G164" s="75">
        <f>IF(C164&gt;=[1]Assumptions!$H$9*12,100%,1-(1-IF(D164&gt;=7,2%,VLOOKUP($D164,'[1]Annual Lapse Rates'!$B$4:$C$14,2,FALSE)))^(1/12))</f>
        <v>1.6821425527395739E-3</v>
      </c>
      <c r="H164" s="81">
        <f t="shared" si="33"/>
        <v>1</v>
      </c>
      <c r="I164" s="65">
        <f t="shared" si="34"/>
        <v>2760.5496536555393</v>
      </c>
      <c r="J164" s="66">
        <f t="shared" si="35"/>
        <v>0.82491841012339462</v>
      </c>
      <c r="K164" s="66">
        <f t="shared" si="36"/>
        <v>4.6527224443756801</v>
      </c>
      <c r="M164" s="67">
        <f t="shared" si="41"/>
        <v>128287936.00289306</v>
      </c>
      <c r="N164" s="67">
        <f>IF(AND(MOD(C164,12)=1,D164&lt;15),Assumptions!$H$4*I163,0)</f>
        <v>6914875.3724798094</v>
      </c>
      <c r="O164" s="67"/>
      <c r="P164" s="90">
        <f t="shared" si="37"/>
        <v>254134.10664346741</v>
      </c>
      <c r="Q164" s="90">
        <f>M164*VLOOKUP(MOD(C164,12)+(MOD(C164,12)=0)*12,Assumptions!$C$22:$D$33,2,FALSE)*(F164+G164)</f>
        <v>794.16908326083581</v>
      </c>
      <c r="R164" s="67">
        <f>IF(AND(MOD(C164,12)=0,D164&lt;15),Assumptions!$C$7*M164,0)</f>
        <v>0</v>
      </c>
      <c r="S164" s="68">
        <f>IF(MOD(C164,12)=0,M164*Assumptions!$D$17,0)</f>
        <v>0</v>
      </c>
      <c r="T164" s="68">
        <f t="shared" si="38"/>
        <v>0</v>
      </c>
      <c r="U164" s="67">
        <f>T164+AE164*(1+Assumptions!$D$17)</f>
        <v>0</v>
      </c>
      <c r="V164" s="67">
        <f>(M164+N164-O164)*(1+Assumptions!$D$17)-(P164+Q164)*(1+Assumptions!$D$17)^0.5-R164-T164</f>
        <v>135498197.31226417</v>
      </c>
      <c r="W164" s="67"/>
      <c r="X164" s="67">
        <f>IF(AND(H164=1,D164&lt;15),Assumptions!$D$10*N164+Assumptions!$D$11*(1+Assumptions!$D$16)^(B164-1)*$I$7,0)</f>
        <v>76616.592352147636</v>
      </c>
      <c r="Y164" s="65">
        <f>Assumptions!$C$13*N164</f>
        <v>34574.376862399047</v>
      </c>
      <c r="Z164" s="65">
        <f>NPV(Assumptions!$D$19,N164:$N$259)*(1+Assumptions!$D$19)</f>
        <v>13328763.768344142</v>
      </c>
      <c r="AA164" s="68">
        <f t="shared" si="39"/>
        <v>58994.954342956546</v>
      </c>
      <c r="AC164" s="67">
        <f t="shared" si="40"/>
        <v>135498197.31226417</v>
      </c>
      <c r="AD164" s="67"/>
      <c r="AE164" s="67"/>
      <c r="AF164" s="67"/>
      <c r="AG164" s="67"/>
      <c r="AH164" s="67"/>
      <c r="AI164" s="67"/>
      <c r="AK164" s="67"/>
      <c r="AL164" s="70">
        <f t="shared" si="32"/>
        <v>0</v>
      </c>
    </row>
    <row r="165" spans="2:38" x14ac:dyDescent="0.2">
      <c r="B165" s="5">
        <f t="shared" si="28"/>
        <v>158</v>
      </c>
      <c r="C165" s="5">
        <f t="shared" si="29"/>
        <v>158</v>
      </c>
      <c r="D165" s="5">
        <f t="shared" si="30"/>
        <v>13</v>
      </c>
      <c r="E165" s="5">
        <f t="shared" si="31"/>
        <v>59</v>
      </c>
      <c r="F165" s="64">
        <f>1-(1-VLOOKUP($E165,'Annual Mortality Rates'!$B$5:$C$105,2,FALSE))^(1/12)</f>
        <v>2.9882397117220183E-4</v>
      </c>
      <c r="G165" s="75">
        <f>IF(C165&gt;=[1]Assumptions!$H$9*12,100%,1-(1-IF(D165&gt;=7,2%,VLOOKUP($D165,'[1]Annual Lapse Rates'!$B$4:$C$14,2,FALSE)))^(1/12))</f>
        <v>1.6821425527395739E-3</v>
      </c>
      <c r="H165" s="81">
        <f t="shared" si="33"/>
        <v>2</v>
      </c>
      <c r="I165" s="65">
        <f t="shared" si="34"/>
        <v>2755.0720128010403</v>
      </c>
      <c r="J165" s="66">
        <f t="shared" si="35"/>
        <v>0.82328155973059813</v>
      </c>
      <c r="K165" s="66">
        <f t="shared" si="36"/>
        <v>4.6436380413644756</v>
      </c>
      <c r="M165" s="67">
        <f t="shared" si="41"/>
        <v>135498197.31226417</v>
      </c>
      <c r="N165" s="67">
        <f>IF(AND(MOD(C165,12)=1,D165&lt;15),Assumptions!$H$4*I164,0)</f>
        <v>0</v>
      </c>
      <c r="O165" s="67"/>
      <c r="P165" s="90">
        <f t="shared" si="37"/>
        <v>268417.39292598789</v>
      </c>
      <c r="Q165" s="90">
        <f>M165*VLOOKUP(MOD(C165,12)+(MOD(C165,12)=0)*12,Assumptions!$C$22:$D$33,2,FALSE)*(F165+G165)</f>
        <v>1677.6087057874242</v>
      </c>
      <c r="R165" s="67">
        <f>IF(AND(MOD(C165,12)=0,D165&lt;15),Assumptions!$C$7*M165,0)</f>
        <v>0</v>
      </c>
      <c r="S165" s="68">
        <f>IF(MOD(C165,12)=0,M165*Assumptions!$D$17,0)</f>
        <v>0</v>
      </c>
      <c r="T165" s="68">
        <f t="shared" si="38"/>
        <v>0</v>
      </c>
      <c r="U165" s="67">
        <f>T165+AE165*(1+Assumptions!$D$17)</f>
        <v>0</v>
      </c>
      <c r="V165" s="67">
        <f>(M165+N165-O165)*(1+Assumptions!$D$17)-(P165+Q165)*(1+Assumptions!$D$17)^0.5-R165-T165</f>
        <v>135779589.09796607</v>
      </c>
      <c r="W165" s="67"/>
      <c r="X165" s="67">
        <f>IF(AND(H165=1,D165&lt;15),Assumptions!$D$10*N165+Assumptions!$D$11*(1+Assumptions!$D$16)^(B165-1)*$I$7,0)</f>
        <v>0</v>
      </c>
      <c r="Y165" s="65">
        <f>Assumptions!$C$13*N165</f>
        <v>0</v>
      </c>
      <c r="Z165" s="65">
        <f>NPV(Assumptions!$D$19,N165:$N$259)*(1+Assumptions!$D$19)</f>
        <v>6441423.2464952953</v>
      </c>
      <c r="AA165" s="68">
        <f t="shared" si="39"/>
        <v>59248.219937172551</v>
      </c>
      <c r="AC165" s="67">
        <f t="shared" si="40"/>
        <v>135779589.09796607</v>
      </c>
      <c r="AD165" s="67"/>
      <c r="AE165" s="67"/>
      <c r="AF165" s="67"/>
      <c r="AG165" s="67"/>
      <c r="AH165" s="67"/>
      <c r="AI165" s="67"/>
      <c r="AK165" s="67"/>
      <c r="AL165" s="70">
        <f t="shared" si="32"/>
        <v>0</v>
      </c>
    </row>
    <row r="166" spans="2:38" x14ac:dyDescent="0.2">
      <c r="B166" s="5">
        <f t="shared" si="28"/>
        <v>159</v>
      </c>
      <c r="C166" s="5">
        <f t="shared" si="29"/>
        <v>159</v>
      </c>
      <c r="D166" s="5">
        <f t="shared" si="30"/>
        <v>13</v>
      </c>
      <c r="E166" s="5">
        <f t="shared" si="31"/>
        <v>59</v>
      </c>
      <c r="F166" s="64">
        <f>1-(1-VLOOKUP($E166,'Annual Mortality Rates'!$B$5:$C$105,2,FALSE))^(1/12)</f>
        <v>2.9882397117220183E-4</v>
      </c>
      <c r="G166" s="75">
        <f>IF(C166&gt;=[1]Assumptions!$H$9*12,100%,1-(1-IF(D166&gt;=7,2%,VLOOKUP($D166,'[1]Annual Lapse Rates'!$B$4:$C$14,2,FALSE)))^(1/12))</f>
        <v>1.6821425527395739E-3</v>
      </c>
      <c r="H166" s="81">
        <f t="shared" si="33"/>
        <v>3</v>
      </c>
      <c r="I166" s="65">
        <f t="shared" si="34"/>
        <v>2749.6050931999453</v>
      </c>
      <c r="J166" s="66">
        <f t="shared" si="35"/>
        <v>0.82164791310531982</v>
      </c>
      <c r="K166" s="66">
        <f t="shared" si="36"/>
        <v>4.6344238685944976</v>
      </c>
      <c r="M166" s="67">
        <f t="shared" si="41"/>
        <v>135779589.09796607</v>
      </c>
      <c r="N166" s="67">
        <f>IF(AND(MOD(C166,12)=1,D166&lt;15),Assumptions!$H$4*I165,0)</f>
        <v>0</v>
      </c>
      <c r="O166" s="67"/>
      <c r="P166" s="90">
        <f t="shared" si="37"/>
        <v>268974.82063356711</v>
      </c>
      <c r="Q166" s="90">
        <f>M166*VLOOKUP(MOD(C166,12)+(MOD(C166,12)=0)*12,Assumptions!$C$22:$D$33,2,FALSE)*(F166+G166)</f>
        <v>2521.638943439692</v>
      </c>
      <c r="R166" s="67">
        <f>IF(AND(MOD(C166,12)=0,D166&lt;15),Assumptions!$C$7*M166,0)</f>
        <v>0</v>
      </c>
      <c r="S166" s="68">
        <f>IF(MOD(C166,12)=0,M166*Assumptions!$D$17,0)</f>
        <v>0</v>
      </c>
      <c r="T166" s="68">
        <f t="shared" si="38"/>
        <v>0</v>
      </c>
      <c r="U166" s="67">
        <f>T166+AE166*(1+Assumptions!$D$17)</f>
        <v>0</v>
      </c>
      <c r="V166" s="67">
        <f>(M166+N166-O166)*(1+Assumptions!$D$17)-(P166+Q166)*(1+Assumptions!$D$17)^0.5-R166-T166</f>
        <v>136060722.99873465</v>
      </c>
      <c r="W166" s="67"/>
      <c r="X166" s="67">
        <f>IF(AND(H166=1,D166&lt;15),Assumptions!$D$10*N166+Assumptions!$D$11*(1+Assumptions!$D$16)^(B166-1)*$I$7,0)</f>
        <v>0</v>
      </c>
      <c r="Y166" s="65">
        <f>Assumptions!$C$13*N166</f>
        <v>0</v>
      </c>
      <c r="Z166" s="65">
        <f>NPV(Assumptions!$D$19,N166:$N$259)*(1+Assumptions!$D$19)</f>
        <v>6469076.3043591361</v>
      </c>
      <c r="AA166" s="68">
        <f t="shared" si="39"/>
        <v>59502.57280168021</v>
      </c>
      <c r="AC166" s="67">
        <f t="shared" si="40"/>
        <v>136060722.99873465</v>
      </c>
      <c r="AD166" s="67"/>
      <c r="AE166" s="67"/>
      <c r="AF166" s="67"/>
      <c r="AG166" s="67"/>
      <c r="AH166" s="67"/>
      <c r="AI166" s="67"/>
      <c r="AK166" s="67"/>
      <c r="AL166" s="70">
        <f t="shared" si="32"/>
        <v>0</v>
      </c>
    </row>
    <row r="167" spans="2:38" x14ac:dyDescent="0.2">
      <c r="B167" s="5">
        <f t="shared" si="28"/>
        <v>160</v>
      </c>
      <c r="C167" s="5">
        <f t="shared" si="29"/>
        <v>160</v>
      </c>
      <c r="D167" s="5">
        <f t="shared" si="30"/>
        <v>13</v>
      </c>
      <c r="E167" s="5">
        <f t="shared" si="31"/>
        <v>59</v>
      </c>
      <c r="F167" s="64">
        <f>1-(1-VLOOKUP($E167,'Annual Mortality Rates'!$B$5:$C$105,2,FALSE))^(1/12)</f>
        <v>2.9882397117220183E-4</v>
      </c>
      <c r="G167" s="75">
        <f>IF(C167&gt;=[1]Assumptions!$H$9*12,100%,1-(1-IF(D167&gt;=7,2%,VLOOKUP($D167,'[1]Annual Lapse Rates'!$B$4:$C$14,2,FALSE)))^(1/12))</f>
        <v>1.6821425527395739E-3</v>
      </c>
      <c r="H167" s="81">
        <f t="shared" si="33"/>
        <v>4</v>
      </c>
      <c r="I167" s="65">
        <f t="shared" si="34"/>
        <v>2744.1490214182454</v>
      </c>
      <c r="J167" s="66">
        <f t="shared" si="35"/>
        <v>0.82001750806851159</v>
      </c>
      <c r="K167" s="66">
        <f t="shared" si="36"/>
        <v>4.6252277305010896</v>
      </c>
      <c r="M167" s="67">
        <f t="shared" si="41"/>
        <v>136060722.99873465</v>
      </c>
      <c r="N167" s="67">
        <f>IF(AND(MOD(C167,12)=1,D167&lt;15),Assumptions!$H$4*I166,0)</f>
        <v>0</v>
      </c>
      <c r="O167" s="67"/>
      <c r="P167" s="90">
        <f t="shared" si="37"/>
        <v>269531.73747972638</v>
      </c>
      <c r="Q167" s="90">
        <f>M167*VLOOKUP(MOD(C167,12)+(MOD(C167,12)=0)*12,Assumptions!$C$22:$D$33,2,FALSE)*(F167+G167)</f>
        <v>3369.14671849658</v>
      </c>
      <c r="R167" s="67">
        <f>IF(AND(MOD(C167,12)=0,D167&lt;15),Assumptions!$C$7*M167,0)</f>
        <v>0</v>
      </c>
      <c r="S167" s="68">
        <f>IF(MOD(C167,12)=0,M167*Assumptions!$D$17,0)</f>
        <v>0</v>
      </c>
      <c r="T167" s="68">
        <f t="shared" si="38"/>
        <v>0</v>
      </c>
      <c r="U167" s="67">
        <f>T167+AE167*(1+Assumptions!$D$17)</f>
        <v>0</v>
      </c>
      <c r="V167" s="67">
        <f>(M167+N167-O167)*(1+Assumptions!$D$17)-(P167+Q167)*(1+Assumptions!$D$17)^0.5-R167-T167</f>
        <v>136341594.99120167</v>
      </c>
      <c r="W167" s="67"/>
      <c r="X167" s="67">
        <f>IF(AND(H167=1,D167&lt;15),Assumptions!$D$10*N167+Assumptions!$D$11*(1+Assumptions!$D$16)^(B167-1)*$I$7,0)</f>
        <v>0</v>
      </c>
      <c r="Y167" s="65">
        <f>Assumptions!$C$13*N167</f>
        <v>0</v>
      </c>
      <c r="Z167" s="65">
        <f>NPV(Assumptions!$D$19,N167:$N$259)*(1+Assumptions!$D$19)</f>
        <v>6496848.0769200195</v>
      </c>
      <c r="AA167" s="68">
        <f t="shared" si="39"/>
        <v>59758.017604135566</v>
      </c>
      <c r="AC167" s="67">
        <f t="shared" si="40"/>
        <v>136341594.99120167</v>
      </c>
      <c r="AD167" s="67"/>
      <c r="AE167" s="67"/>
      <c r="AF167" s="67"/>
      <c r="AG167" s="67"/>
      <c r="AH167" s="67"/>
      <c r="AI167" s="67"/>
      <c r="AK167" s="67"/>
      <c r="AL167" s="70">
        <f t="shared" si="32"/>
        <v>0</v>
      </c>
    </row>
    <row r="168" spans="2:38" x14ac:dyDescent="0.2">
      <c r="B168" s="5">
        <f t="shared" si="28"/>
        <v>161</v>
      </c>
      <c r="C168" s="5">
        <f t="shared" si="29"/>
        <v>161</v>
      </c>
      <c r="D168" s="5">
        <f t="shared" si="30"/>
        <v>13</v>
      </c>
      <c r="E168" s="5">
        <f t="shared" si="31"/>
        <v>59</v>
      </c>
      <c r="F168" s="64">
        <f>1-(1-VLOOKUP($E168,'Annual Mortality Rates'!$B$5:$C$105,2,FALSE))^(1/12)</f>
        <v>2.9882397117220183E-4</v>
      </c>
      <c r="G168" s="75">
        <f>IF(C168&gt;=[1]Assumptions!$H$9*12,100%,1-(1-IF(D168&gt;=7,2%,VLOOKUP($D168,'[1]Annual Lapse Rates'!$B$4:$C$14,2,FALSE)))^(1/12))</f>
        <v>1.6821425527395739E-3</v>
      </c>
      <c r="H168" s="81">
        <f t="shared" si="33"/>
        <v>5</v>
      </c>
      <c r="I168" s="65">
        <f t="shared" si="34"/>
        <v>2738.703776179676</v>
      </c>
      <c r="J168" s="66">
        <f t="shared" si="35"/>
        <v>0.81839033826231578</v>
      </c>
      <c r="K168" s="66">
        <f t="shared" si="36"/>
        <v>4.6160498399862906</v>
      </c>
      <c r="M168" s="67">
        <f t="shared" si="41"/>
        <v>136341594.99120167</v>
      </c>
      <c r="N168" s="67">
        <f>IF(AND(MOD(C168,12)=1,D168&lt;15),Assumptions!$H$4*I167,0)</f>
        <v>0</v>
      </c>
      <c r="O168" s="67"/>
      <c r="P168" s="90">
        <f t="shared" si="37"/>
        <v>270088.13549430796</v>
      </c>
      <c r="Q168" s="90">
        <f>M168*VLOOKUP(MOD(C168,12)+(MOD(C168,12)=0)*12,Assumptions!$C$22:$D$33,2,FALSE)*(F168+G168)</f>
        <v>4220.1271170985619</v>
      </c>
      <c r="R168" s="67">
        <f>IF(AND(MOD(C168,12)=0,D168&lt;15),Assumptions!$C$7*M168,0)</f>
        <v>0</v>
      </c>
      <c r="S168" s="68">
        <f>IF(MOD(C168,12)=0,M168*Assumptions!$D$17,0)</f>
        <v>0</v>
      </c>
      <c r="T168" s="68">
        <f t="shared" si="38"/>
        <v>0</v>
      </c>
      <c r="U168" s="67">
        <f>T168+AE168*(1+Assumptions!$D$17)</f>
        <v>0</v>
      </c>
      <c r="V168" s="67">
        <f>(M168+N168-O168)*(1+Assumptions!$D$17)-(P168+Q168)*(1+Assumptions!$D$17)^0.5-R168-T168</f>
        <v>136622201.04851735</v>
      </c>
      <c r="W168" s="67"/>
      <c r="X168" s="67">
        <f>IF(AND(H168=1,D168&lt;15),Assumptions!$D$10*N168+Assumptions!$D$11*(1+Assumptions!$D$16)^(B168-1)*$I$7,0)</f>
        <v>0</v>
      </c>
      <c r="Y168" s="65">
        <f>Assumptions!$C$13*N168</f>
        <v>0</v>
      </c>
      <c r="Z168" s="65">
        <f>NPV(Assumptions!$D$19,N168:$N$259)*(1+Assumptions!$D$19)</f>
        <v>6524739.0738206515</v>
      </c>
      <c r="AA168" s="68">
        <f t="shared" si="39"/>
        <v>60014.559032232959</v>
      </c>
      <c r="AC168" s="67">
        <f t="shared" si="40"/>
        <v>136622201.04851735</v>
      </c>
      <c r="AD168" s="67"/>
      <c r="AE168" s="67"/>
      <c r="AF168" s="67"/>
      <c r="AG168" s="67"/>
      <c r="AH168" s="67"/>
      <c r="AI168" s="67"/>
      <c r="AK168" s="67"/>
      <c r="AL168" s="70">
        <f t="shared" si="32"/>
        <v>0</v>
      </c>
    </row>
    <row r="169" spans="2:38" x14ac:dyDescent="0.2">
      <c r="B169" s="5">
        <f t="shared" si="28"/>
        <v>162</v>
      </c>
      <c r="C169" s="5">
        <f t="shared" si="29"/>
        <v>162</v>
      </c>
      <c r="D169" s="5">
        <f t="shared" si="30"/>
        <v>13</v>
      </c>
      <c r="E169" s="5">
        <f t="shared" si="31"/>
        <v>59</v>
      </c>
      <c r="F169" s="64">
        <f>1-(1-VLOOKUP($E169,'Annual Mortality Rates'!$B$5:$C$105,2,FALSE))^(1/12)</f>
        <v>2.9882397117220183E-4</v>
      </c>
      <c r="G169" s="75">
        <f>IF(C169&gt;=[1]Assumptions!$H$9*12,100%,1-(1-IF(D169&gt;=7,2%,VLOOKUP($D169,'[1]Annual Lapse Rates'!$B$4:$C$14,2,FALSE)))^(1/12))</f>
        <v>1.6821425527395739E-3</v>
      </c>
      <c r="H169" s="81">
        <f t="shared" si="33"/>
        <v>6</v>
      </c>
      <c r="I169" s="65">
        <f t="shared" si="34"/>
        <v>2733.2693360014273</v>
      </c>
      <c r="J169" s="66">
        <f t="shared" si="35"/>
        <v>0.81676639726715372</v>
      </c>
      <c r="K169" s="66">
        <f t="shared" si="36"/>
        <v>4.6068901612603907</v>
      </c>
      <c r="M169" s="67">
        <f t="shared" si="41"/>
        <v>136622201.04851735</v>
      </c>
      <c r="N169" s="67">
        <f>IF(AND(MOD(C169,12)=1,D169&lt;15),Assumptions!$H$4*I168,0)</f>
        <v>0</v>
      </c>
      <c r="O169" s="67"/>
      <c r="P169" s="90">
        <f t="shared" si="37"/>
        <v>270644.00670025719</v>
      </c>
      <c r="Q169" s="90">
        <f>M169*VLOOKUP(MOD(C169,12)+(MOD(C169,12)=0)*12,Assumptions!$C$22:$D$33,2,FALSE)*(F169+G169)</f>
        <v>5074.5751256298227</v>
      </c>
      <c r="R169" s="67">
        <f>IF(AND(MOD(C169,12)=0,D169&lt;15),Assumptions!$C$7*M169,0)</f>
        <v>0</v>
      </c>
      <c r="S169" s="68">
        <f>IF(MOD(C169,12)=0,M169*Assumptions!$D$17,0)</f>
        <v>0</v>
      </c>
      <c r="T169" s="68">
        <f t="shared" si="38"/>
        <v>0</v>
      </c>
      <c r="U169" s="67">
        <f>T169+AE169*(1+Assumptions!$D$17)</f>
        <v>0</v>
      </c>
      <c r="V169" s="67">
        <f>(M169+N169-O169)*(1+Assumptions!$D$17)-(P169+Q169)*(1+Assumptions!$D$17)^0.5-R169-T169</f>
        <v>136902537.14044318</v>
      </c>
      <c r="W169" s="67"/>
      <c r="X169" s="67">
        <f>IF(AND(H169=1,D169&lt;15),Assumptions!$D$10*N169+Assumptions!$D$11*(1+Assumptions!$D$16)^(B169-1)*$I$7,0)</f>
        <v>0</v>
      </c>
      <c r="Y169" s="65">
        <f>Assumptions!$C$13*N169</f>
        <v>0</v>
      </c>
      <c r="Z169" s="65">
        <f>NPV(Assumptions!$D$19,N169:$N$259)*(1+Assumptions!$D$19)</f>
        <v>6552749.8068916388</v>
      </c>
      <c r="AA169" s="68">
        <f t="shared" si="39"/>
        <v>60272.201793791006</v>
      </c>
      <c r="AC169" s="67">
        <f t="shared" si="40"/>
        <v>136902537.14044318</v>
      </c>
      <c r="AD169" s="67"/>
      <c r="AE169" s="67"/>
      <c r="AF169" s="67"/>
      <c r="AG169" s="67"/>
      <c r="AH169" s="67"/>
      <c r="AI169" s="67"/>
      <c r="AK169" s="67"/>
      <c r="AL169" s="70">
        <f t="shared" si="32"/>
        <v>0</v>
      </c>
    </row>
    <row r="170" spans="2:38" x14ac:dyDescent="0.2">
      <c r="B170" s="5">
        <f t="shared" si="28"/>
        <v>163</v>
      </c>
      <c r="C170" s="5">
        <f t="shared" si="29"/>
        <v>163</v>
      </c>
      <c r="D170" s="5">
        <f t="shared" si="30"/>
        <v>13</v>
      </c>
      <c r="E170" s="5">
        <f t="shared" si="31"/>
        <v>59</v>
      </c>
      <c r="F170" s="64">
        <f>1-(1-VLOOKUP($E170,'Annual Mortality Rates'!$B$5:$C$105,2,FALSE))^(1/12)</f>
        <v>2.9882397117220183E-4</v>
      </c>
      <c r="G170" s="75">
        <f>IF(C170&gt;=[1]Assumptions!$H$9*12,100%,1-(1-IF(D170&gt;=7,2%,VLOOKUP($D170,'[1]Annual Lapse Rates'!$B$4:$C$14,2,FALSE)))^(1/12))</f>
        <v>1.6821425527395739E-3</v>
      </c>
      <c r="H170" s="81">
        <f t="shared" si="33"/>
        <v>7</v>
      </c>
      <c r="I170" s="65">
        <f t="shared" si="34"/>
        <v>2727.8456794428998</v>
      </c>
      <c r="J170" s="66">
        <f t="shared" si="35"/>
        <v>0.81514567867606047</v>
      </c>
      <c r="K170" s="66">
        <f t="shared" si="36"/>
        <v>4.5977486581862408</v>
      </c>
      <c r="M170" s="67">
        <f t="shared" si="41"/>
        <v>136902537.14044318</v>
      </c>
      <c r="N170" s="67">
        <f>IF(AND(MOD(C170,12)=1,D170&lt;15),Assumptions!$H$4*I169,0)</f>
        <v>0</v>
      </c>
      <c r="O170" s="67"/>
      <c r="P170" s="90">
        <f t="shared" si="37"/>
        <v>271199.34311380651</v>
      </c>
      <c r="Q170" s="90">
        <f>M170*VLOOKUP(MOD(C170,12)+(MOD(C170,12)=0)*12,Assumptions!$C$22:$D$33,2,FALSE)*(F170+G170)</f>
        <v>5932.4856306145184</v>
      </c>
      <c r="R170" s="67">
        <f>IF(AND(MOD(C170,12)=0,D170&lt;15),Assumptions!$C$7*M170,0)</f>
        <v>0</v>
      </c>
      <c r="S170" s="68">
        <f>IF(MOD(C170,12)=0,M170*Assumptions!$D$17,0)</f>
        <v>0</v>
      </c>
      <c r="T170" s="68">
        <f t="shared" si="38"/>
        <v>0</v>
      </c>
      <c r="U170" s="67">
        <f>T170+AE170*(1+Assumptions!$D$17)</f>
        <v>0</v>
      </c>
      <c r="V170" s="67">
        <f>(M170+N170-O170)*(1+Assumptions!$D$17)-(P170+Q170)*(1+Assumptions!$D$17)^0.5-R170-T170</f>
        <v>137182599.23344481</v>
      </c>
      <c r="W170" s="67"/>
      <c r="X170" s="67">
        <f>IF(AND(H170=1,D170&lt;15),Assumptions!$D$10*N170+Assumptions!$D$11*(1+Assumptions!$D$16)^(B170-1)*$I$7,0)</f>
        <v>0</v>
      </c>
      <c r="Y170" s="65">
        <f>Assumptions!$C$13*N170</f>
        <v>0</v>
      </c>
      <c r="Z170" s="65">
        <f>NPV(Assumptions!$D$19,N170:$N$259)*(1+Assumptions!$D$19)</f>
        <v>6580880.7901608786</v>
      </c>
      <c r="AA170" s="68">
        <f t="shared" si="39"/>
        <v>60530.950616839029</v>
      </c>
      <c r="AC170" s="67">
        <f t="shared" si="40"/>
        <v>137182599.23344481</v>
      </c>
      <c r="AD170" s="67"/>
      <c r="AE170" s="67"/>
      <c r="AF170" s="67"/>
      <c r="AG170" s="67"/>
      <c r="AH170" s="67"/>
      <c r="AI170" s="67"/>
      <c r="AK170" s="67"/>
      <c r="AL170" s="70">
        <f t="shared" si="32"/>
        <v>0</v>
      </c>
    </row>
    <row r="171" spans="2:38" x14ac:dyDescent="0.2">
      <c r="B171" s="5">
        <f t="shared" si="28"/>
        <v>164</v>
      </c>
      <c r="C171" s="5">
        <f t="shared" si="29"/>
        <v>164</v>
      </c>
      <c r="D171" s="5">
        <f t="shared" si="30"/>
        <v>13</v>
      </c>
      <c r="E171" s="5">
        <f t="shared" si="31"/>
        <v>59</v>
      </c>
      <c r="F171" s="64">
        <f>1-(1-VLOOKUP($E171,'Annual Mortality Rates'!$B$5:$C$105,2,FALSE))^(1/12)</f>
        <v>2.9882397117220183E-4</v>
      </c>
      <c r="G171" s="75">
        <f>IF(C171&gt;=[1]Assumptions!$H$9*12,100%,1-(1-IF(D171&gt;=7,2%,VLOOKUP($D171,'[1]Annual Lapse Rates'!$B$4:$C$14,2,FALSE)))^(1/12))</f>
        <v>1.6821425527395739E-3</v>
      </c>
      <c r="H171" s="81">
        <f t="shared" si="33"/>
        <v>8</v>
      </c>
      <c r="I171" s="65">
        <f t="shared" si="34"/>
        <v>2722.4327851060375</v>
      </c>
      <c r="J171" s="66">
        <f t="shared" si="35"/>
        <v>0.81352817609478367</v>
      </c>
      <c r="K171" s="66">
        <f t="shared" si="36"/>
        <v>4.5886252946976969</v>
      </c>
      <c r="M171" s="67">
        <f t="shared" si="41"/>
        <v>137182599.23344481</v>
      </c>
      <c r="N171" s="67">
        <f>IF(AND(MOD(C171,12)=1,D171&lt;15),Assumptions!$H$4*I170,0)</f>
        <v>0</v>
      </c>
      <c r="O171" s="67"/>
      <c r="P171" s="90">
        <f t="shared" si="37"/>
        <v>271754.13674465939</v>
      </c>
      <c r="Q171" s="90">
        <f>M171*VLOOKUP(MOD(C171,12)+(MOD(C171,12)=0)*12,Assumptions!$C$22:$D$33,2,FALSE)*(F171+G171)</f>
        <v>6793.8534186164852</v>
      </c>
      <c r="R171" s="67">
        <f>IF(AND(MOD(C171,12)=0,D171&lt;15),Assumptions!$C$7*M171,0)</f>
        <v>0</v>
      </c>
      <c r="S171" s="68">
        <f>IF(MOD(C171,12)=0,M171*Assumptions!$D$17,0)</f>
        <v>0</v>
      </c>
      <c r="T171" s="68">
        <f t="shared" si="38"/>
        <v>0</v>
      </c>
      <c r="U171" s="67">
        <f>T171+AE171*(1+Assumptions!$D$17)</f>
        <v>0</v>
      </c>
      <c r="V171" s="67">
        <f>(M171+N171-O171)*(1+Assumptions!$D$17)-(P171+Q171)*(1+Assumptions!$D$17)^0.5-R171-T171</f>
        <v>137462383.29078543</v>
      </c>
      <c r="W171" s="67"/>
      <c r="X171" s="67">
        <f>IF(AND(H171=1,D171&lt;15),Assumptions!$D$10*N171+Assumptions!$D$11*(1+Assumptions!$D$16)^(B171-1)*$I$7,0)</f>
        <v>0</v>
      </c>
      <c r="Y171" s="65">
        <f>Assumptions!$C$13*N171</f>
        <v>0</v>
      </c>
      <c r="Z171" s="65">
        <f>NPV(Assumptions!$D$19,N171:$N$259)*(1+Assumptions!$D$19)</f>
        <v>6609132.5398629922</v>
      </c>
      <c r="AA171" s="68">
        <f t="shared" si="39"/>
        <v>60790.810249703791</v>
      </c>
      <c r="AC171" s="67">
        <f t="shared" si="40"/>
        <v>137462383.29078543</v>
      </c>
      <c r="AD171" s="67"/>
      <c r="AE171" s="67"/>
      <c r="AF171" s="67"/>
      <c r="AG171" s="67"/>
      <c r="AH171" s="67"/>
      <c r="AI171" s="67"/>
      <c r="AK171" s="67"/>
      <c r="AL171" s="70">
        <f t="shared" si="32"/>
        <v>0</v>
      </c>
    </row>
    <row r="172" spans="2:38" x14ac:dyDescent="0.2">
      <c r="B172" s="5">
        <f t="shared" si="28"/>
        <v>165</v>
      </c>
      <c r="C172" s="5">
        <f t="shared" si="29"/>
        <v>165</v>
      </c>
      <c r="D172" s="5">
        <f t="shared" si="30"/>
        <v>13</v>
      </c>
      <c r="E172" s="5">
        <f t="shared" si="31"/>
        <v>59</v>
      </c>
      <c r="F172" s="64">
        <f>1-(1-VLOOKUP($E172,'Annual Mortality Rates'!$B$5:$C$105,2,FALSE))^(1/12)</f>
        <v>2.9882397117220183E-4</v>
      </c>
      <c r="G172" s="75">
        <f>IF(C172&gt;=[1]Assumptions!$H$9*12,100%,1-(1-IF(D172&gt;=7,2%,VLOOKUP($D172,'[1]Annual Lapse Rates'!$B$4:$C$14,2,FALSE)))^(1/12))</f>
        <v>1.6821425527395739E-3</v>
      </c>
      <c r="H172" s="81">
        <f t="shared" si="33"/>
        <v>9</v>
      </c>
      <c r="I172" s="65">
        <f t="shared" si="34"/>
        <v>2717.0306316352453</v>
      </c>
      <c r="J172" s="66">
        <f t="shared" si="35"/>
        <v>0.81191388314175983</v>
      </c>
      <c r="K172" s="66">
        <f t="shared" si="36"/>
        <v>4.5795200348001774</v>
      </c>
      <c r="M172" s="67">
        <f t="shared" si="41"/>
        <v>137462383.29078543</v>
      </c>
      <c r="N172" s="67">
        <f>IF(AND(MOD(C172,12)=1,D172&lt;15),Assumptions!$H$4*I171,0)</f>
        <v>0</v>
      </c>
      <c r="O172" s="67"/>
      <c r="P172" s="90">
        <f t="shared" si="37"/>
        <v>272308.37959617539</v>
      </c>
      <c r="Q172" s="90">
        <f>M172*VLOOKUP(MOD(C172,12)+(MOD(C172,12)=0)*12,Assumptions!$C$22:$D$33,2,FALSE)*(F172+G172)</f>
        <v>7658.6731761424326</v>
      </c>
      <c r="R172" s="67">
        <f>IF(AND(MOD(C172,12)=0,D172&lt;15),Assumptions!$C$7*M172,0)</f>
        <v>0</v>
      </c>
      <c r="S172" s="68">
        <f>IF(MOD(C172,12)=0,M172*Assumptions!$D$17,0)</f>
        <v>0</v>
      </c>
      <c r="T172" s="68">
        <f t="shared" si="38"/>
        <v>0</v>
      </c>
      <c r="U172" s="67">
        <f>T172+AE172*(1+Assumptions!$D$17)</f>
        <v>0</v>
      </c>
      <c r="V172" s="67">
        <f>(M172+N172-O172)*(1+Assumptions!$D$17)-(P172+Q172)*(1+Assumptions!$D$17)^0.5-R172-T172</f>
        <v>137741885.27261922</v>
      </c>
      <c r="W172" s="67"/>
      <c r="X172" s="67">
        <f>IF(AND(H172=1,D172&lt;15),Assumptions!$D$10*N172+Assumptions!$D$11*(1+Assumptions!$D$16)^(B172-1)*$I$7,0)</f>
        <v>0</v>
      </c>
      <c r="Y172" s="65">
        <f>Assumptions!$C$13*N172</f>
        <v>0</v>
      </c>
      <c r="Z172" s="65">
        <f>NPV(Assumptions!$D$19,N172:$N$259)*(1+Assumptions!$D$19)</f>
        <v>6637505.5744487988</v>
      </c>
      <c r="AA172" s="68">
        <f t="shared" si="39"/>
        <v>61051.785461096624</v>
      </c>
      <c r="AC172" s="67">
        <f t="shared" si="40"/>
        <v>137741885.27261922</v>
      </c>
      <c r="AD172" s="67"/>
      <c r="AE172" s="67"/>
      <c r="AF172" s="67"/>
      <c r="AG172" s="67"/>
      <c r="AH172" s="67"/>
      <c r="AI172" s="67"/>
      <c r="AK172" s="67"/>
      <c r="AL172" s="70">
        <f t="shared" si="32"/>
        <v>0</v>
      </c>
    </row>
    <row r="173" spans="2:38" x14ac:dyDescent="0.2">
      <c r="B173" s="5">
        <f t="shared" si="28"/>
        <v>166</v>
      </c>
      <c r="C173" s="5">
        <f t="shared" si="29"/>
        <v>166</v>
      </c>
      <c r="D173" s="5">
        <f t="shared" si="30"/>
        <v>13</v>
      </c>
      <c r="E173" s="5">
        <f t="shared" si="31"/>
        <v>59</v>
      </c>
      <c r="F173" s="64">
        <f>1-(1-VLOOKUP($E173,'Annual Mortality Rates'!$B$5:$C$105,2,FALSE))^(1/12)</f>
        <v>2.9882397117220183E-4</v>
      </c>
      <c r="G173" s="75">
        <f>IF(C173&gt;=[1]Assumptions!$H$9*12,100%,1-(1-IF(D173&gt;=7,2%,VLOOKUP($D173,'[1]Annual Lapse Rates'!$B$4:$C$14,2,FALSE)))^(1/12))</f>
        <v>1.6821425527395739E-3</v>
      </c>
      <c r="H173" s="81">
        <f t="shared" si="33"/>
        <v>10</v>
      </c>
      <c r="I173" s="65">
        <f t="shared" si="34"/>
        <v>2711.6391977173034</v>
      </c>
      <c r="J173" s="66">
        <f t="shared" si="35"/>
        <v>0.81030279344808798</v>
      </c>
      <c r="K173" s="66">
        <f t="shared" si="36"/>
        <v>4.5704328425705283</v>
      </c>
      <c r="M173" s="67">
        <f t="shared" si="41"/>
        <v>137741885.27261922</v>
      </c>
      <c r="N173" s="67">
        <f>IF(AND(MOD(C173,12)=1,D173&lt;15),Assumptions!$H$4*I172,0)</f>
        <v>0</v>
      </c>
      <c r="O173" s="67"/>
      <c r="P173" s="90">
        <f t="shared" si="37"/>
        <v>272862.06366555509</v>
      </c>
      <c r="Q173" s="90">
        <f>M173*VLOOKUP(MOD(C173,12)+(MOD(C173,12)=0)*12,Assumptions!$C$22:$D$33,2,FALSE)*(F173+G173)</f>
        <v>8526.9394895485966</v>
      </c>
      <c r="R173" s="67">
        <f>IF(AND(MOD(C173,12)=0,D173&lt;15),Assumptions!$C$7*M173,0)</f>
        <v>0</v>
      </c>
      <c r="S173" s="68">
        <f>IF(MOD(C173,12)=0,M173*Assumptions!$D$17,0)</f>
        <v>0</v>
      </c>
      <c r="T173" s="68">
        <f t="shared" si="38"/>
        <v>0</v>
      </c>
      <c r="U173" s="67">
        <f>T173+AE173*(1+Assumptions!$D$17)</f>
        <v>0</v>
      </c>
      <c r="V173" s="67">
        <f>(M173+N173-O173)*(1+Assumptions!$D$17)-(P173+Q173)*(1+Assumptions!$D$17)^0.5-R173-T173</f>
        <v>138021101.13608536</v>
      </c>
      <c r="W173" s="67"/>
      <c r="X173" s="67">
        <f>IF(AND(H173=1,D173&lt;15),Assumptions!$D$10*N173+Assumptions!$D$11*(1+Assumptions!$D$16)^(B173-1)*$I$7,0)</f>
        <v>0</v>
      </c>
      <c r="Y173" s="65">
        <f>Assumptions!$C$13*N173</f>
        <v>0</v>
      </c>
      <c r="Z173" s="65">
        <f>NPV(Assumptions!$D$19,N173:$N$259)*(1+Assumptions!$D$19)</f>
        <v>6666000.4145948282</v>
      </c>
      <c r="AA173" s="68">
        <f t="shared" si="39"/>
        <v>61313.881040200991</v>
      </c>
      <c r="AC173" s="67">
        <f t="shared" si="40"/>
        <v>138021101.13608536</v>
      </c>
      <c r="AD173" s="67"/>
      <c r="AE173" s="67"/>
      <c r="AF173" s="67"/>
      <c r="AG173" s="67"/>
      <c r="AH173" s="67"/>
      <c r="AI173" s="67"/>
      <c r="AK173" s="67"/>
      <c r="AL173" s="70">
        <f t="shared" si="32"/>
        <v>0</v>
      </c>
    </row>
    <row r="174" spans="2:38" x14ac:dyDescent="0.2">
      <c r="B174" s="5">
        <f t="shared" si="28"/>
        <v>167</v>
      </c>
      <c r="C174" s="5">
        <f t="shared" si="29"/>
        <v>167</v>
      </c>
      <c r="D174" s="5">
        <f t="shared" si="30"/>
        <v>13</v>
      </c>
      <c r="E174" s="5">
        <f t="shared" si="31"/>
        <v>59</v>
      </c>
      <c r="F174" s="64">
        <f>1-(1-VLOOKUP($E174,'Annual Mortality Rates'!$B$5:$C$105,2,FALSE))^(1/12)</f>
        <v>2.9882397117220183E-4</v>
      </c>
      <c r="G174" s="75">
        <f>IF(C174&gt;=[1]Assumptions!$H$9*12,100%,1-(1-IF(D174&gt;=7,2%,VLOOKUP($D174,'[1]Annual Lapse Rates'!$B$4:$C$14,2,FALSE)))^(1/12))</f>
        <v>1.6821425527395739E-3</v>
      </c>
      <c r="H174" s="81">
        <f t="shared" si="33"/>
        <v>11</v>
      </c>
      <c r="I174" s="65">
        <f t="shared" si="34"/>
        <v>2706.258462081285</v>
      </c>
      <c r="J174" s="66">
        <f t="shared" si="35"/>
        <v>0.80869490065750516</v>
      </c>
      <c r="K174" s="66">
        <f t="shared" si="36"/>
        <v>4.561363682156875</v>
      </c>
      <c r="M174" s="67">
        <f t="shared" si="41"/>
        <v>138021101.13608536</v>
      </c>
      <c r="N174" s="67">
        <f>IF(AND(MOD(C174,12)=1,D174&lt;15),Assumptions!$H$4*I173,0)</f>
        <v>0</v>
      </c>
      <c r="O174" s="67"/>
      <c r="P174" s="90">
        <f t="shared" si="37"/>
        <v>273415.18094402668</v>
      </c>
      <c r="Q174" s="90">
        <f>M174*VLOOKUP(MOD(C174,12)+(MOD(C174,12)=0)*12,Assumptions!$C$22:$D$33,2,FALSE)*(F174+G174)</f>
        <v>9398.6468449509175</v>
      </c>
      <c r="R174" s="67">
        <f>IF(AND(MOD(C174,12)=0,D174&lt;15),Assumptions!$C$7*M174,0)</f>
        <v>0</v>
      </c>
      <c r="S174" s="68">
        <f>IF(MOD(C174,12)=0,M174*Assumptions!$D$17,0)</f>
        <v>0</v>
      </c>
      <c r="T174" s="68">
        <f t="shared" si="38"/>
        <v>0</v>
      </c>
      <c r="U174" s="67">
        <f>T174+AE174*(1+Assumptions!$D$17)</f>
        <v>0</v>
      </c>
      <c r="V174" s="67">
        <f>(M174+N174-O174)*(1+Assumptions!$D$17)-(P174+Q174)*(1+Assumptions!$D$17)^0.5-R174-T174</f>
        <v>138300026.83540201</v>
      </c>
      <c r="W174" s="67"/>
      <c r="X174" s="67">
        <f>IF(AND(H174=1,D174&lt;15),Assumptions!$D$10*N174+Assumptions!$D$11*(1+Assumptions!$D$16)^(B174-1)*$I$7,0)</f>
        <v>0</v>
      </c>
      <c r="Y174" s="65">
        <f>Assumptions!$C$13*N174</f>
        <v>0</v>
      </c>
      <c r="Z174" s="65">
        <f>NPV(Assumptions!$D$19,N174:$N$259)*(1+Assumptions!$D$19)</f>
        <v>6694617.5832128776</v>
      </c>
      <c r="AA174" s="68">
        <f t="shared" si="39"/>
        <v>61577.101796760333</v>
      </c>
      <c r="AC174" s="67">
        <f t="shared" si="40"/>
        <v>138300026.83540201</v>
      </c>
      <c r="AD174" s="67"/>
      <c r="AE174" s="67"/>
      <c r="AF174" s="67"/>
      <c r="AG174" s="67"/>
      <c r="AH174" s="67"/>
      <c r="AI174" s="67"/>
      <c r="AK174" s="67"/>
      <c r="AL174" s="70">
        <f t="shared" si="32"/>
        <v>0</v>
      </c>
    </row>
    <row r="175" spans="2:38" x14ac:dyDescent="0.2">
      <c r="B175" s="5">
        <f t="shared" si="28"/>
        <v>168</v>
      </c>
      <c r="C175" s="5">
        <f t="shared" si="29"/>
        <v>168</v>
      </c>
      <c r="D175" s="5">
        <f t="shared" si="30"/>
        <v>13</v>
      </c>
      <c r="E175" s="5">
        <f t="shared" si="31"/>
        <v>59</v>
      </c>
      <c r="F175" s="64">
        <f>1-(1-VLOOKUP($E175,'Annual Mortality Rates'!$B$5:$C$105,2,FALSE))^(1/12)</f>
        <v>2.9882397117220183E-4</v>
      </c>
      <c r="G175" s="75">
        <f>IF(C175&gt;=[1]Assumptions!$H$9*12,100%,1-(1-IF(D175&gt;=7,2%,VLOOKUP($D175,'[1]Annual Lapse Rates'!$B$4:$C$14,2,FALSE)))^(1/12))</f>
        <v>1.6821425527395739E-3</v>
      </c>
      <c r="H175" s="81">
        <f t="shared" si="33"/>
        <v>12</v>
      </c>
      <c r="I175" s="65">
        <f t="shared" si="34"/>
        <v>2700.8884034984708</v>
      </c>
      <c r="J175" s="66">
        <f t="shared" si="35"/>
        <v>0.80709019842636121</v>
      </c>
      <c r="K175" s="66">
        <f t="shared" si="36"/>
        <v>4.5523125177784864</v>
      </c>
      <c r="M175" s="67">
        <f t="shared" si="41"/>
        <v>138300026.83540201</v>
      </c>
      <c r="N175" s="67">
        <f>IF(AND(MOD(C175,12)=1,D175&lt;15),Assumptions!$H$4*I174,0)</f>
        <v>0</v>
      </c>
      <c r="O175" s="67"/>
      <c r="P175" s="90">
        <f t="shared" si="37"/>
        <v>273967.72341703164</v>
      </c>
      <c r="Q175" s="90">
        <f>M175*VLOOKUP(MOD(C175,12)+(MOD(C175,12)=0)*12,Assumptions!$C$22:$D$33,2,FALSE)*(F175+G175)</f>
        <v>10273.789628138687</v>
      </c>
      <c r="R175" s="67">
        <f>IF(AND(MOD(C175,12)=0,D175&lt;15),Assumptions!$C$7*M175,0)</f>
        <v>69150.013417701004</v>
      </c>
      <c r="S175" s="68">
        <f>IF(MOD(C175,12)=0,M175*Assumptions!$D$17,0)</f>
        <v>563451.42860931682</v>
      </c>
      <c r="T175" s="68">
        <f t="shared" si="38"/>
        <v>0</v>
      </c>
      <c r="U175" s="67">
        <f>T175+AE175*(1+Assumptions!$D$17)</f>
        <v>0</v>
      </c>
      <c r="V175" s="67">
        <f>(M175+N175-O175)*(1+Assumptions!$D$17)-(P175+Q175)*(1+Assumptions!$D$17)^0.5-R175-T175</f>
        <v>138509508.30854315</v>
      </c>
      <c r="W175" s="67"/>
      <c r="X175" s="67">
        <f>IF(AND(H175=1,D175&lt;15),Assumptions!$D$10*N175+Assumptions!$D$11*(1+Assumptions!$D$16)^(B175-1)*$I$7,0)</f>
        <v>0</v>
      </c>
      <c r="Y175" s="65">
        <f>Assumptions!$C$13*N175</f>
        <v>0</v>
      </c>
      <c r="Z175" s="65">
        <f>NPV(Assumptions!$D$19,N175:$N$259)*(1+Assumptions!$D$19)</f>
        <v>6723357.6054596081</v>
      </c>
      <c r="AA175" s="68">
        <f t="shared" si="39"/>
        <v>61841.452561166312</v>
      </c>
      <c r="AC175" s="67">
        <f t="shared" si="40"/>
        <v>138509508.30854315</v>
      </c>
      <c r="AD175" s="67"/>
      <c r="AE175" s="67"/>
      <c r="AF175" s="67"/>
      <c r="AG175" s="67"/>
      <c r="AH175" s="67"/>
      <c r="AI175" s="67"/>
      <c r="AK175" s="67"/>
      <c r="AL175" s="70">
        <f t="shared" si="32"/>
        <v>0</v>
      </c>
    </row>
    <row r="176" spans="2:38" x14ac:dyDescent="0.2">
      <c r="B176" s="5">
        <f t="shared" si="28"/>
        <v>169</v>
      </c>
      <c r="C176" s="5">
        <f t="shared" si="29"/>
        <v>169</v>
      </c>
      <c r="D176" s="5">
        <f t="shared" si="30"/>
        <v>14</v>
      </c>
      <c r="E176" s="5">
        <f t="shared" si="31"/>
        <v>60</v>
      </c>
      <c r="F176" s="64">
        <f>1-(1-VLOOKUP($E176,'Annual Mortality Rates'!$B$5:$C$105,2,FALSE))^(1/12)</f>
        <v>3.3143684343883706E-4</v>
      </c>
      <c r="G176" s="75">
        <f>IF(C176&gt;=[1]Assumptions!$H$9*12,100%,1-(1-IF(D176&gt;=7,2%,VLOOKUP($D176,'[1]Annual Lapse Rates'!$B$4:$C$14,2,FALSE)))^(1/12))</f>
        <v>1.6821425527395739E-3</v>
      </c>
      <c r="H176" s="81">
        <f t="shared" si="33"/>
        <v>1</v>
      </c>
      <c r="I176" s="65">
        <f t="shared" si="34"/>
        <v>2695.5290007822659</v>
      </c>
      <c r="J176" s="66">
        <f t="shared" si="35"/>
        <v>0.89339762341711682</v>
      </c>
      <c r="K176" s="66">
        <f t="shared" si="36"/>
        <v>4.5432793137256295</v>
      </c>
      <c r="M176" s="67">
        <f t="shared" si="41"/>
        <v>138509508.30854315</v>
      </c>
      <c r="N176" s="67">
        <f>IF(AND(MOD(C176,12)=1,D176&lt;15),Assumptions!$H$4*I175,0)</f>
        <v>6752221.008746177</v>
      </c>
      <c r="O176" s="67"/>
      <c r="P176" s="90">
        <f t="shared" si="37"/>
        <v>278899.8921048849</v>
      </c>
      <c r="Q176" s="90">
        <f>M176*VLOOKUP(MOD(C176,12)+(MOD(C176,12)=0)*12,Assumptions!$C$22:$D$33,2,FALSE)*(F176+G176)</f>
        <v>871.56216282776541</v>
      </c>
      <c r="R176" s="67">
        <f>IF(AND(MOD(C176,12)=0,D176&lt;15),Assumptions!$C$7*M176,0)</f>
        <v>0</v>
      </c>
      <c r="S176" s="68">
        <f>IF(MOD(C176,12)=0,M176*Assumptions!$D$17,0)</f>
        <v>0</v>
      </c>
      <c r="T176" s="68">
        <f t="shared" si="38"/>
        <v>0</v>
      </c>
      <c r="U176" s="67">
        <f>T176+AE176*(1+Assumptions!$D$17)</f>
        <v>0</v>
      </c>
      <c r="V176" s="67">
        <f>(M176+N176-O176)*(1+Assumptions!$D$17)-(P176+Q176)*(1+Assumptions!$D$17)^0.5-R176-T176</f>
        <v>145573202.79681247</v>
      </c>
      <c r="W176" s="67"/>
      <c r="X176" s="67">
        <f>IF(AND(H176=1,D176&lt;15),Assumptions!$D$10*N176+Assumptions!$D$11*(1+Assumptions!$D$16)^(B176-1)*$I$7,0)</f>
        <v>76644.16484327447</v>
      </c>
      <c r="Y176" s="65">
        <f>Assumptions!$C$13*N176</f>
        <v>33761.105043730888</v>
      </c>
      <c r="Z176" s="65">
        <f>NPV(Assumptions!$D$19,N176:$N$259)*(1+Assumptions!$D$19)</f>
        <v>6752221.008746177</v>
      </c>
      <c r="AA176" s="68">
        <f t="shared" si="39"/>
        <v>0</v>
      </c>
      <c r="AC176" s="67">
        <f t="shared" si="40"/>
        <v>145573202.79681247</v>
      </c>
      <c r="AD176" s="67"/>
      <c r="AE176" s="67"/>
      <c r="AF176" s="67"/>
      <c r="AG176" s="67"/>
      <c r="AH176" s="67"/>
      <c r="AI176" s="67"/>
      <c r="AK176" s="67"/>
      <c r="AL176" s="70">
        <f t="shared" si="32"/>
        <v>0</v>
      </c>
    </row>
    <row r="177" spans="2:38" x14ac:dyDescent="0.2">
      <c r="B177" s="5">
        <f t="shared" si="28"/>
        <v>170</v>
      </c>
      <c r="C177" s="5">
        <f t="shared" si="29"/>
        <v>170</v>
      </c>
      <c r="D177" s="5">
        <f t="shared" si="30"/>
        <v>14</v>
      </c>
      <c r="E177" s="5">
        <f t="shared" si="31"/>
        <v>60</v>
      </c>
      <c r="F177" s="64">
        <f>1-(1-VLOOKUP($E177,'Annual Mortality Rates'!$B$5:$C$105,2,FALSE))^(1/12)</f>
        <v>3.3143684343883706E-4</v>
      </c>
      <c r="G177" s="75">
        <f>IF(C177&gt;=[1]Assumptions!$H$9*12,100%,1-(1-IF(D177&gt;=7,2%,VLOOKUP($D177,'[1]Annual Lapse Rates'!$B$4:$C$14,2,FALSE)))^(1/12))</f>
        <v>1.6821425527395739E-3</v>
      </c>
      <c r="H177" s="81">
        <f t="shared" si="33"/>
        <v>2</v>
      </c>
      <c r="I177" s="65">
        <f t="shared" si="34"/>
        <v>2690.0923238451232</v>
      </c>
      <c r="J177" s="66">
        <f t="shared" si="35"/>
        <v>0.89159570837427349</v>
      </c>
      <c r="K177" s="66">
        <f t="shared" si="36"/>
        <v>4.5342640343594338</v>
      </c>
      <c r="M177" s="67">
        <f t="shared" si="41"/>
        <v>145573202.79681247</v>
      </c>
      <c r="N177" s="67">
        <f>IF(AND(MOD(C177,12)=1,D177&lt;15),Assumptions!$H$4*I176,0)</f>
        <v>0</v>
      </c>
      <c r="O177" s="67"/>
      <c r="P177" s="90">
        <f t="shared" si="37"/>
        <v>293123.20178736304</v>
      </c>
      <c r="Q177" s="90">
        <f>M177*VLOOKUP(MOD(C177,12)+(MOD(C177,12)=0)*12,Assumptions!$C$22:$D$33,2,FALSE)*(F177+G177)</f>
        <v>1832.0200111710192</v>
      </c>
      <c r="R177" s="67">
        <f>IF(AND(MOD(C177,12)=0,D177&lt;15),Assumptions!$C$7*M177,0)</f>
        <v>0</v>
      </c>
      <c r="S177" s="68">
        <f>IF(MOD(C177,12)=0,M177*Assumptions!$D$17,0)</f>
        <v>0</v>
      </c>
      <c r="T177" s="68">
        <f t="shared" si="38"/>
        <v>0</v>
      </c>
      <c r="U177" s="67">
        <f>T177+AE177*(1+Assumptions!$D$17)</f>
        <v>0</v>
      </c>
      <c r="V177" s="67">
        <f>(M177+N177-O177)*(1+Assumptions!$D$17)-(P177+Q177)*(1+Assumptions!$D$17)^0.5-R177-T177</f>
        <v>145870730.59148091</v>
      </c>
      <c r="W177" s="67"/>
      <c r="X177" s="67">
        <f>IF(AND(H177=1,D177&lt;15),Assumptions!$D$10*N177+Assumptions!$D$11*(1+Assumptions!$D$16)^(B177-1)*$I$7,0)</f>
        <v>0</v>
      </c>
      <c r="Y177" s="65">
        <f>Assumptions!$C$13*N177</f>
        <v>0</v>
      </c>
      <c r="Z177" s="65">
        <f>NPV(Assumptions!$D$19,N177:$N$259)*(1+Assumptions!$D$19)</f>
        <v>0</v>
      </c>
      <c r="AA177" s="68">
        <f t="shared" si="39"/>
        <v>0</v>
      </c>
      <c r="AC177" s="67">
        <f t="shared" si="40"/>
        <v>145870730.59148091</v>
      </c>
      <c r="AD177" s="67"/>
      <c r="AE177" s="67"/>
      <c r="AF177" s="67"/>
      <c r="AG177" s="67"/>
      <c r="AH177" s="67"/>
      <c r="AI177" s="67"/>
      <c r="AK177" s="67"/>
      <c r="AL177" s="70">
        <f t="shared" si="32"/>
        <v>0</v>
      </c>
    </row>
    <row r="178" spans="2:38" x14ac:dyDescent="0.2">
      <c r="B178" s="5">
        <f t="shared" si="28"/>
        <v>171</v>
      </c>
      <c r="C178" s="5">
        <f t="shared" si="29"/>
        <v>171</v>
      </c>
      <c r="D178" s="5">
        <f t="shared" si="30"/>
        <v>14</v>
      </c>
      <c r="E178" s="5">
        <f t="shared" si="31"/>
        <v>60</v>
      </c>
      <c r="F178" s="64">
        <f>1-(1-VLOOKUP($E178,'Annual Mortality Rates'!$B$5:$C$105,2,FALSE))^(1/12)</f>
        <v>3.3143684343883706E-4</v>
      </c>
      <c r="G178" s="75">
        <f>IF(C178&gt;=[1]Assumptions!$H$9*12,100%,1-(1-IF(D178&gt;=7,2%,VLOOKUP($D178,'[1]Annual Lapse Rates'!$B$4:$C$14,2,FALSE)))^(1/12))</f>
        <v>1.6821425527395739E-3</v>
      </c>
      <c r="H178" s="81">
        <f t="shared" si="33"/>
        <v>3</v>
      </c>
      <c r="I178" s="65">
        <f t="shared" si="34"/>
        <v>2684.6664641023899</v>
      </c>
      <c r="J178" s="66">
        <f t="shared" si="35"/>
        <v>0.88979737854820007</v>
      </c>
      <c r="K178" s="66">
        <f t="shared" si="36"/>
        <v>4.5251187687379684</v>
      </c>
      <c r="M178" s="67">
        <f t="shared" si="41"/>
        <v>145870730.59148091</v>
      </c>
      <c r="N178" s="67">
        <f>IF(AND(MOD(C178,12)=1,D178&lt;15),Assumptions!$H$4*I177,0)</f>
        <v>0</v>
      </c>
      <c r="O178" s="67"/>
      <c r="P178" s="90">
        <f t="shared" si="37"/>
        <v>293722.29762449779</v>
      </c>
      <c r="Q178" s="90">
        <f>M178*VLOOKUP(MOD(C178,12)+(MOD(C178,12)=0)*12,Assumptions!$C$22:$D$33,2,FALSE)*(F178+G178)</f>
        <v>2753.6465402296672</v>
      </c>
      <c r="R178" s="67">
        <f>IF(AND(MOD(C178,12)=0,D178&lt;15),Assumptions!$C$7*M178,0)</f>
        <v>0</v>
      </c>
      <c r="S178" s="68">
        <f>IF(MOD(C178,12)=0,M178*Assumptions!$D$17,0)</f>
        <v>0</v>
      </c>
      <c r="T178" s="68">
        <f t="shared" si="38"/>
        <v>0</v>
      </c>
      <c r="U178" s="67">
        <f>T178+AE178*(1+Assumptions!$D$17)</f>
        <v>0</v>
      </c>
      <c r="V178" s="67">
        <f>(M178+N178-O178)*(1+Assumptions!$D$17)-(P178+Q178)*(1+Assumptions!$D$17)^0.5-R178-T178</f>
        <v>146167946.73419094</v>
      </c>
      <c r="W178" s="67"/>
      <c r="X178" s="67">
        <f>IF(AND(H178=1,D178&lt;15),Assumptions!$D$10*N178+Assumptions!$D$11*(1+Assumptions!$D$16)^(B178-1)*$I$7,0)</f>
        <v>0</v>
      </c>
      <c r="Y178" s="65">
        <f>Assumptions!$C$13*N178</f>
        <v>0</v>
      </c>
      <c r="Z178" s="65">
        <f>NPV(Assumptions!$D$19,N178:$N$259)*(1+Assumptions!$D$19)</f>
        <v>0</v>
      </c>
      <c r="AA178" s="68">
        <f t="shared" si="39"/>
        <v>0</v>
      </c>
      <c r="AC178" s="67">
        <f t="shared" si="40"/>
        <v>146167946.73419094</v>
      </c>
      <c r="AD178" s="67"/>
      <c r="AE178" s="67"/>
      <c r="AF178" s="67"/>
      <c r="AG178" s="67"/>
      <c r="AH178" s="67"/>
      <c r="AI178" s="67"/>
      <c r="AK178" s="67"/>
      <c r="AL178" s="70">
        <f t="shared" si="32"/>
        <v>0</v>
      </c>
    </row>
    <row r="179" spans="2:38" x14ac:dyDescent="0.2">
      <c r="B179" s="5">
        <f t="shared" si="28"/>
        <v>172</v>
      </c>
      <c r="C179" s="5">
        <f t="shared" si="29"/>
        <v>172</v>
      </c>
      <c r="D179" s="5">
        <f t="shared" si="30"/>
        <v>14</v>
      </c>
      <c r="E179" s="5">
        <f t="shared" si="31"/>
        <v>60</v>
      </c>
      <c r="F179" s="64">
        <f>1-(1-VLOOKUP($E179,'Annual Mortality Rates'!$B$5:$C$105,2,FALSE))^(1/12)</f>
        <v>3.3143684343883706E-4</v>
      </c>
      <c r="G179" s="75">
        <f>IF(C179&gt;=[1]Assumptions!$H$9*12,100%,1-(1-IF(D179&gt;=7,2%,VLOOKUP($D179,'[1]Annual Lapse Rates'!$B$4:$C$14,2,FALSE)))^(1/12))</f>
        <v>1.6821425527395739E-3</v>
      </c>
      <c r="H179" s="81">
        <f t="shared" si="33"/>
        <v>4</v>
      </c>
      <c r="I179" s="65">
        <f t="shared" si="34"/>
        <v>2679.2515479551034</v>
      </c>
      <c r="J179" s="66">
        <f t="shared" si="35"/>
        <v>0.88800267583285741</v>
      </c>
      <c r="K179" s="66">
        <f t="shared" si="36"/>
        <v>4.5159916991795201</v>
      </c>
      <c r="M179" s="67">
        <f t="shared" si="41"/>
        <v>146167946.73419094</v>
      </c>
      <c r="N179" s="67">
        <f>IF(AND(MOD(C179,12)=1,D179&lt;15),Assumptions!$H$4*I178,0)</f>
        <v>0</v>
      </c>
      <c r="O179" s="67"/>
      <c r="P179" s="90">
        <f t="shared" si="37"/>
        <v>294320.76592567033</v>
      </c>
      <c r="Q179" s="90">
        <f>M179*VLOOKUP(MOD(C179,12)+(MOD(C179,12)=0)*12,Assumptions!$C$22:$D$33,2,FALSE)*(F179+G179)</f>
        <v>3679.0095740708794</v>
      </c>
      <c r="R179" s="67">
        <f>IF(AND(MOD(C179,12)=0,D179&lt;15),Assumptions!$C$7*M179,0)</f>
        <v>0</v>
      </c>
      <c r="S179" s="68">
        <f>IF(MOD(C179,12)=0,M179*Assumptions!$D$17,0)</f>
        <v>0</v>
      </c>
      <c r="T179" s="68">
        <f t="shared" si="38"/>
        <v>0</v>
      </c>
      <c r="U179" s="67">
        <f>T179+AE179*(1+Assumptions!$D$17)</f>
        <v>0</v>
      </c>
      <c r="V179" s="67">
        <f>(M179+N179-O179)*(1+Assumptions!$D$17)-(P179+Q179)*(1+Assumptions!$D$17)^0.5-R179-T179</f>
        <v>146464846.83993834</v>
      </c>
      <c r="W179" s="67"/>
      <c r="X179" s="67">
        <f>IF(AND(H179=1,D179&lt;15),Assumptions!$D$10*N179+Assumptions!$D$11*(1+Assumptions!$D$16)^(B179-1)*$I$7,0)</f>
        <v>0</v>
      </c>
      <c r="Y179" s="65">
        <f>Assumptions!$C$13*N179</f>
        <v>0</v>
      </c>
      <c r="Z179" s="65">
        <f>NPV(Assumptions!$D$19,N179:$N$259)*(1+Assumptions!$D$19)</f>
        <v>0</v>
      </c>
      <c r="AA179" s="68">
        <f t="shared" si="39"/>
        <v>0</v>
      </c>
      <c r="AC179" s="67">
        <f t="shared" si="40"/>
        <v>146464846.83993834</v>
      </c>
      <c r="AD179" s="67"/>
      <c r="AE179" s="67"/>
      <c r="AF179" s="67"/>
      <c r="AG179" s="67"/>
      <c r="AH179" s="67"/>
      <c r="AI179" s="67"/>
      <c r="AK179" s="67"/>
      <c r="AL179" s="70">
        <f t="shared" si="32"/>
        <v>0</v>
      </c>
    </row>
    <row r="180" spans="2:38" x14ac:dyDescent="0.2">
      <c r="B180" s="5">
        <f t="shared" si="28"/>
        <v>173</v>
      </c>
      <c r="C180" s="5">
        <f t="shared" si="29"/>
        <v>173</v>
      </c>
      <c r="D180" s="5">
        <f t="shared" si="30"/>
        <v>14</v>
      </c>
      <c r="E180" s="5">
        <f t="shared" si="31"/>
        <v>60</v>
      </c>
      <c r="F180" s="64">
        <f>1-(1-VLOOKUP($E180,'Annual Mortality Rates'!$B$5:$C$105,2,FALSE))^(1/12)</f>
        <v>3.3143684343883706E-4</v>
      </c>
      <c r="G180" s="75">
        <f>IF(C180&gt;=[1]Assumptions!$H$9*12,100%,1-(1-IF(D180&gt;=7,2%,VLOOKUP($D180,'[1]Annual Lapse Rates'!$B$4:$C$14,2,FALSE)))^(1/12))</f>
        <v>1.6821425527395739E-3</v>
      </c>
      <c r="H180" s="81">
        <f t="shared" si="33"/>
        <v>5</v>
      </c>
      <c r="I180" s="65">
        <f t="shared" si="34"/>
        <v>2673.8475535800908</v>
      </c>
      <c r="J180" s="66">
        <f t="shared" si="35"/>
        <v>0.88621159299524199</v>
      </c>
      <c r="K180" s="66">
        <f t="shared" si="36"/>
        <v>4.5068830383086524</v>
      </c>
      <c r="M180" s="67">
        <f t="shared" si="41"/>
        <v>146464846.83993834</v>
      </c>
      <c r="N180" s="67">
        <f>IF(AND(MOD(C180,12)=1,D180&lt;15),Assumptions!$H$4*I179,0)</f>
        <v>0</v>
      </c>
      <c r="O180" s="67"/>
      <c r="P180" s="90">
        <f t="shared" si="37"/>
        <v>294918.59786132647</v>
      </c>
      <c r="Q180" s="90">
        <f>M180*VLOOKUP(MOD(C180,12)+(MOD(C180,12)=0)*12,Assumptions!$C$22:$D$33,2,FALSE)*(F180+G180)</f>
        <v>4608.1030915832262</v>
      </c>
      <c r="R180" s="67">
        <f>IF(AND(MOD(C180,12)=0,D180&lt;15),Assumptions!$C$7*M180,0)</f>
        <v>0</v>
      </c>
      <c r="S180" s="68">
        <f>IF(MOD(C180,12)=0,M180*Assumptions!$D$17,0)</f>
        <v>0</v>
      </c>
      <c r="T180" s="68">
        <f t="shared" si="38"/>
        <v>0</v>
      </c>
      <c r="U180" s="67">
        <f>T180+AE180*(1+Assumptions!$D$17)</f>
        <v>0</v>
      </c>
      <c r="V180" s="67">
        <f>(M180+N180-O180)*(1+Assumptions!$D$17)-(P180+Q180)*(1+Assumptions!$D$17)^0.5-R180-T180</f>
        <v>146761426.52073476</v>
      </c>
      <c r="W180" s="67"/>
      <c r="X180" s="67">
        <f>IF(AND(H180=1,D180&lt;15),Assumptions!$D$10*N180+Assumptions!$D$11*(1+Assumptions!$D$16)^(B180-1)*$I$7,0)</f>
        <v>0</v>
      </c>
      <c r="Y180" s="65">
        <f>Assumptions!$C$13*N180</f>
        <v>0</v>
      </c>
      <c r="Z180" s="65">
        <f>NPV(Assumptions!$D$19,N180:$N$259)*(1+Assumptions!$D$19)</f>
        <v>0</v>
      </c>
      <c r="AA180" s="68">
        <f t="shared" si="39"/>
        <v>0</v>
      </c>
      <c r="AC180" s="67">
        <f t="shared" si="40"/>
        <v>146761426.52073476</v>
      </c>
      <c r="AD180" s="67"/>
      <c r="AE180" s="67"/>
      <c r="AF180" s="67"/>
      <c r="AG180" s="67"/>
      <c r="AH180" s="67"/>
      <c r="AI180" s="67"/>
      <c r="AK180" s="67"/>
      <c r="AL180" s="70">
        <f t="shared" si="32"/>
        <v>0</v>
      </c>
    </row>
    <row r="181" spans="2:38" x14ac:dyDescent="0.2">
      <c r="B181" s="5">
        <f t="shared" si="28"/>
        <v>174</v>
      </c>
      <c r="C181" s="5">
        <f t="shared" si="29"/>
        <v>174</v>
      </c>
      <c r="D181" s="5">
        <f t="shared" si="30"/>
        <v>14</v>
      </c>
      <c r="E181" s="5">
        <f t="shared" si="31"/>
        <v>60</v>
      </c>
      <c r="F181" s="64">
        <f>1-(1-VLOOKUP($E181,'Annual Mortality Rates'!$B$5:$C$105,2,FALSE))^(1/12)</f>
        <v>3.3143684343883706E-4</v>
      </c>
      <c r="G181" s="75">
        <f>IF(C181&gt;=[1]Assumptions!$H$9*12,100%,1-(1-IF(D181&gt;=7,2%,VLOOKUP($D181,'[1]Annual Lapse Rates'!$B$4:$C$14,2,FALSE)))^(1/12))</f>
        <v>1.6821425527395739E-3</v>
      </c>
      <c r="H181" s="81">
        <f t="shared" si="33"/>
        <v>6</v>
      </c>
      <c r="I181" s="65">
        <f t="shared" si="34"/>
        <v>2668.4544589487869</v>
      </c>
      <c r="J181" s="66">
        <f t="shared" si="35"/>
        <v>0.88442412273427573</v>
      </c>
      <c r="K181" s="66">
        <f t="shared" si="36"/>
        <v>4.4977927494156784</v>
      </c>
      <c r="M181" s="67">
        <f t="shared" si="41"/>
        <v>146761426.52073476</v>
      </c>
      <c r="N181" s="67">
        <f>IF(AND(MOD(C181,12)=1,D181&lt;15),Assumptions!$H$4*I180,0)</f>
        <v>0</v>
      </c>
      <c r="O181" s="67"/>
      <c r="P181" s="90">
        <f t="shared" si="37"/>
        <v>295515.7845959033</v>
      </c>
      <c r="Q181" s="90">
        <f>M181*VLOOKUP(MOD(C181,12)+(MOD(C181,12)=0)*12,Assumptions!$C$22:$D$33,2,FALSE)*(F181+G181)</f>
        <v>5540.9209611731876</v>
      </c>
      <c r="R181" s="67">
        <f>IF(AND(MOD(C181,12)=0,D181&lt;15),Assumptions!$C$7*M181,0)</f>
        <v>0</v>
      </c>
      <c r="S181" s="68">
        <f>IF(MOD(C181,12)=0,M181*Assumptions!$D$17,0)</f>
        <v>0</v>
      </c>
      <c r="T181" s="68">
        <f t="shared" si="38"/>
        <v>0</v>
      </c>
      <c r="U181" s="67">
        <f>T181+AE181*(1+Assumptions!$D$17)</f>
        <v>0</v>
      </c>
      <c r="V181" s="67">
        <f>(M181+N181-O181)*(1+Assumptions!$D$17)-(P181+Q181)*(1+Assumptions!$D$17)^0.5-R181-T181</f>
        <v>147057681.38571227</v>
      </c>
      <c r="W181" s="67"/>
      <c r="X181" s="67">
        <f>IF(AND(H181=1,D181&lt;15),Assumptions!$D$10*N181+Assumptions!$D$11*(1+Assumptions!$D$16)^(B181-1)*$I$7,0)</f>
        <v>0</v>
      </c>
      <c r="Y181" s="65">
        <f>Assumptions!$C$13*N181</f>
        <v>0</v>
      </c>
      <c r="Z181" s="65">
        <f>NPV(Assumptions!$D$19,N181:$N$259)*(1+Assumptions!$D$19)</f>
        <v>0</v>
      </c>
      <c r="AA181" s="68">
        <f t="shared" si="39"/>
        <v>0</v>
      </c>
      <c r="AC181" s="67">
        <f t="shared" si="40"/>
        <v>147057681.38571227</v>
      </c>
      <c r="AD181" s="67"/>
      <c r="AE181" s="67"/>
      <c r="AF181" s="67"/>
      <c r="AG181" s="67"/>
      <c r="AH181" s="67"/>
      <c r="AI181" s="67"/>
      <c r="AK181" s="67"/>
      <c r="AL181" s="70">
        <f t="shared" si="32"/>
        <v>0</v>
      </c>
    </row>
    <row r="182" spans="2:38" x14ac:dyDescent="0.2">
      <c r="B182" s="5">
        <f t="shared" si="28"/>
        <v>175</v>
      </c>
      <c r="C182" s="5">
        <f t="shared" si="29"/>
        <v>175</v>
      </c>
      <c r="D182" s="5">
        <f t="shared" si="30"/>
        <v>14</v>
      </c>
      <c r="E182" s="5">
        <f t="shared" si="31"/>
        <v>60</v>
      </c>
      <c r="F182" s="64">
        <f>1-(1-VLOOKUP($E182,'Annual Mortality Rates'!$B$5:$C$105,2,FALSE))^(1/12)</f>
        <v>3.3143684343883706E-4</v>
      </c>
      <c r="G182" s="75">
        <f>IF(C182&gt;=[1]Assumptions!$H$9*12,100%,1-(1-IF(D182&gt;=7,2%,VLOOKUP($D182,'[1]Annual Lapse Rates'!$B$4:$C$14,2,FALSE)))^(1/12))</f>
        <v>1.6821425527395739E-3</v>
      </c>
      <c r="H182" s="81">
        <f t="shared" si="33"/>
        <v>7</v>
      </c>
      <c r="I182" s="65">
        <f t="shared" si="34"/>
        <v>2663.0722420766369</v>
      </c>
      <c r="J182" s="66">
        <f t="shared" si="35"/>
        <v>0.88264025776346711</v>
      </c>
      <c r="K182" s="66">
        <f t="shared" si="36"/>
        <v>4.4887207954454107</v>
      </c>
      <c r="M182" s="67">
        <f t="shared" si="41"/>
        <v>147057681.38571227</v>
      </c>
      <c r="N182" s="67">
        <f>IF(AND(MOD(C182,12)=1,D182&lt;15),Assumptions!$H$4*I181,0)</f>
        <v>0</v>
      </c>
      <c r="O182" s="67"/>
      <c r="P182" s="90">
        <f t="shared" si="37"/>
        <v>296112.31728803966</v>
      </c>
      <c r="Q182" s="90">
        <f>M182*VLOOKUP(MOD(C182,12)+(MOD(C182,12)=0)*12,Assumptions!$C$22:$D$33,2,FALSE)*(F182+G182)</f>
        <v>6477.4569406758683</v>
      </c>
      <c r="R182" s="67">
        <f>IF(AND(MOD(C182,12)=0,D182&lt;15),Assumptions!$C$7*M182,0)</f>
        <v>0</v>
      </c>
      <c r="S182" s="68">
        <f>IF(MOD(C182,12)=0,M182*Assumptions!$D$17,0)</f>
        <v>0</v>
      </c>
      <c r="T182" s="68">
        <f t="shared" si="38"/>
        <v>0</v>
      </c>
      <c r="U182" s="67">
        <f>T182+AE182*(1+Assumptions!$D$17)</f>
        <v>0</v>
      </c>
      <c r="V182" s="67">
        <f>(M182+N182-O182)*(1+Assumptions!$D$17)-(P182+Q182)*(1+Assumptions!$D$17)^0.5-R182-T182</f>
        <v>147353607.04122815</v>
      </c>
      <c r="W182" s="67"/>
      <c r="X182" s="67">
        <f>IF(AND(H182=1,D182&lt;15),Assumptions!$D$10*N182+Assumptions!$D$11*(1+Assumptions!$D$16)^(B182-1)*$I$7,0)</f>
        <v>0</v>
      </c>
      <c r="Y182" s="65">
        <f>Assumptions!$C$13*N182</f>
        <v>0</v>
      </c>
      <c r="Z182" s="65">
        <f>NPV(Assumptions!$D$19,N182:$N$259)*(1+Assumptions!$D$19)</f>
        <v>0</v>
      </c>
      <c r="AA182" s="68">
        <f t="shared" si="39"/>
        <v>0</v>
      </c>
      <c r="AC182" s="67">
        <f t="shared" si="40"/>
        <v>147353607.04122815</v>
      </c>
      <c r="AD182" s="67"/>
      <c r="AE182" s="67"/>
      <c r="AF182" s="67"/>
      <c r="AG182" s="67"/>
      <c r="AH182" s="67"/>
      <c r="AI182" s="67"/>
      <c r="AK182" s="67"/>
      <c r="AL182" s="70">
        <f t="shared" si="32"/>
        <v>0</v>
      </c>
    </row>
    <row r="183" spans="2:38" x14ac:dyDescent="0.2">
      <c r="B183" s="5">
        <f t="shared" si="28"/>
        <v>176</v>
      </c>
      <c r="C183" s="5">
        <f t="shared" si="29"/>
        <v>176</v>
      </c>
      <c r="D183" s="5">
        <f t="shared" si="30"/>
        <v>14</v>
      </c>
      <c r="E183" s="5">
        <f t="shared" si="31"/>
        <v>60</v>
      </c>
      <c r="F183" s="64">
        <f>1-(1-VLOOKUP($E183,'Annual Mortality Rates'!$B$5:$C$105,2,FALSE))^(1/12)</f>
        <v>3.3143684343883706E-4</v>
      </c>
      <c r="G183" s="75">
        <f>IF(C183&gt;=[1]Assumptions!$H$9*12,100%,1-(1-IF(D183&gt;=7,2%,VLOOKUP($D183,'[1]Annual Lapse Rates'!$B$4:$C$14,2,FALSE)))^(1/12))</f>
        <v>1.6821425527395739E-3</v>
      </c>
      <c r="H183" s="81">
        <f t="shared" si="33"/>
        <v>8</v>
      </c>
      <c r="I183" s="65">
        <f t="shared" si="34"/>
        <v>2657.7008810234283</v>
      </c>
      <c r="J183" s="66">
        <f t="shared" si="35"/>
        <v>0.88085999081102129</v>
      </c>
      <c r="K183" s="66">
        <f t="shared" si="36"/>
        <v>4.4796671394166943</v>
      </c>
      <c r="M183" s="67">
        <f t="shared" si="41"/>
        <v>147353607.04122815</v>
      </c>
      <c r="N183" s="67">
        <f>IF(AND(MOD(C183,12)=1,D183&lt;15),Assumptions!$H$4*I182,0)</f>
        <v>0</v>
      </c>
      <c r="O183" s="67"/>
      <c r="P183" s="90">
        <f t="shared" si="37"/>
        <v>296708.18709078699</v>
      </c>
      <c r="Q183" s="90">
        <f>M183*VLOOKUP(MOD(C183,12)+(MOD(C183,12)=0)*12,Assumptions!$C$22:$D$33,2,FALSE)*(F183+G183)</f>
        <v>7417.7046772696758</v>
      </c>
      <c r="R183" s="67">
        <f>IF(AND(MOD(C183,12)=0,D183&lt;15),Assumptions!$C$7*M183,0)</f>
        <v>0</v>
      </c>
      <c r="S183" s="68">
        <f>IF(MOD(C183,12)=0,M183*Assumptions!$D$17,0)</f>
        <v>0</v>
      </c>
      <c r="T183" s="68">
        <f t="shared" si="38"/>
        <v>0</v>
      </c>
      <c r="U183" s="67">
        <f>T183+AE183*(1+Assumptions!$D$17)</f>
        <v>0</v>
      </c>
      <c r="V183" s="67">
        <f>(M183+N183-O183)*(1+Assumptions!$D$17)-(P183+Q183)*(1+Assumptions!$D$17)^0.5-R183-T183</f>
        <v>147649199.09097016</v>
      </c>
      <c r="W183" s="67"/>
      <c r="X183" s="67">
        <f>IF(AND(H183=1,D183&lt;15),Assumptions!$D$10*N183+Assumptions!$D$11*(1+Assumptions!$D$16)^(B183-1)*$I$7,0)</f>
        <v>0</v>
      </c>
      <c r="Y183" s="65">
        <f>Assumptions!$C$13*N183</f>
        <v>0</v>
      </c>
      <c r="Z183" s="65">
        <f>NPV(Assumptions!$D$19,N183:$N$259)*(1+Assumptions!$D$19)</f>
        <v>0</v>
      </c>
      <c r="AA183" s="68">
        <f t="shared" si="39"/>
        <v>0</v>
      </c>
      <c r="AC183" s="67">
        <f t="shared" si="40"/>
        <v>147649199.09097016</v>
      </c>
      <c r="AD183" s="67"/>
      <c r="AE183" s="67"/>
      <c r="AF183" s="67"/>
      <c r="AG183" s="67"/>
      <c r="AH183" s="67"/>
      <c r="AI183" s="67"/>
      <c r="AK183" s="67"/>
      <c r="AL183" s="70">
        <f t="shared" si="32"/>
        <v>0</v>
      </c>
    </row>
    <row r="184" spans="2:38" x14ac:dyDescent="0.2">
      <c r="B184" s="5">
        <f t="shared" si="28"/>
        <v>177</v>
      </c>
      <c r="C184" s="5">
        <f t="shared" si="29"/>
        <v>177</v>
      </c>
      <c r="D184" s="5">
        <f t="shared" si="30"/>
        <v>14</v>
      </c>
      <c r="E184" s="5">
        <f t="shared" si="31"/>
        <v>60</v>
      </c>
      <c r="F184" s="64">
        <f>1-(1-VLOOKUP($E184,'Annual Mortality Rates'!$B$5:$C$105,2,FALSE))^(1/12)</f>
        <v>3.3143684343883706E-4</v>
      </c>
      <c r="G184" s="75">
        <f>IF(C184&gt;=[1]Assumptions!$H$9*12,100%,1-(1-IF(D184&gt;=7,2%,VLOOKUP($D184,'[1]Annual Lapse Rates'!$B$4:$C$14,2,FALSE)))^(1/12))</f>
        <v>1.6821425527395739E-3</v>
      </c>
      <c r="H184" s="81">
        <f t="shared" si="33"/>
        <v>9</v>
      </c>
      <c r="I184" s="65">
        <f t="shared" si="34"/>
        <v>2652.3403538932007</v>
      </c>
      <c r="J184" s="66">
        <f t="shared" si="35"/>
        <v>0.87908331461981049</v>
      </c>
      <c r="K184" s="66">
        <f t="shared" si="36"/>
        <v>4.4706317444229642</v>
      </c>
      <c r="M184" s="67">
        <f t="shared" si="41"/>
        <v>147649199.09097016</v>
      </c>
      <c r="N184" s="67">
        <f>IF(AND(MOD(C184,12)=1,D184&lt;15),Assumptions!$H$4*I183,0)</f>
        <v>0</v>
      </c>
      <c r="O184" s="67"/>
      <c r="P184" s="90">
        <f t="shared" si="37"/>
        <v>297303.38515182165</v>
      </c>
      <c r="Q184" s="90">
        <f>M184*VLOOKUP(MOD(C184,12)+(MOD(C184,12)=0)*12,Assumptions!$C$22:$D$33,2,FALSE)*(F184+G184)</f>
        <v>8361.6577073949848</v>
      </c>
      <c r="R184" s="67">
        <f>IF(AND(MOD(C184,12)=0,D184&lt;15),Assumptions!$C$7*M184,0)</f>
        <v>0</v>
      </c>
      <c r="S184" s="68">
        <f>IF(MOD(C184,12)=0,M184*Assumptions!$D$17,0)</f>
        <v>0</v>
      </c>
      <c r="T184" s="68">
        <f t="shared" si="38"/>
        <v>0</v>
      </c>
      <c r="U184" s="67">
        <f>T184+AE184*(1+Assumptions!$D$17)</f>
        <v>0</v>
      </c>
      <c r="V184" s="67">
        <f>(M184+N184-O184)*(1+Assumptions!$D$17)-(P184+Q184)*(1+Assumptions!$D$17)^0.5-R184-T184</f>
        <v>147944453.13606206</v>
      </c>
      <c r="W184" s="67"/>
      <c r="X184" s="67">
        <f>IF(AND(H184=1,D184&lt;15),Assumptions!$D$10*N184+Assumptions!$D$11*(1+Assumptions!$D$16)^(B184-1)*$I$7,0)</f>
        <v>0</v>
      </c>
      <c r="Y184" s="65">
        <f>Assumptions!$C$13*N184</f>
        <v>0</v>
      </c>
      <c r="Z184" s="65">
        <f>NPV(Assumptions!$D$19,N184:$N$259)*(1+Assumptions!$D$19)</f>
        <v>0</v>
      </c>
      <c r="AA184" s="68">
        <f t="shared" si="39"/>
        <v>0</v>
      </c>
      <c r="AC184" s="67">
        <f t="shared" si="40"/>
        <v>147944453.13606206</v>
      </c>
      <c r="AD184" s="67"/>
      <c r="AE184" s="67"/>
      <c r="AF184" s="67"/>
      <c r="AG184" s="67"/>
      <c r="AH184" s="67"/>
      <c r="AI184" s="67"/>
      <c r="AK184" s="67"/>
      <c r="AL184" s="70">
        <f t="shared" si="32"/>
        <v>0</v>
      </c>
    </row>
    <row r="185" spans="2:38" x14ac:dyDescent="0.2">
      <c r="B185" s="5">
        <f t="shared" si="28"/>
        <v>178</v>
      </c>
      <c r="C185" s="5">
        <f t="shared" si="29"/>
        <v>178</v>
      </c>
      <c r="D185" s="5">
        <f t="shared" si="30"/>
        <v>14</v>
      </c>
      <c r="E185" s="5">
        <f t="shared" si="31"/>
        <v>60</v>
      </c>
      <c r="F185" s="64">
        <f>1-(1-VLOOKUP($E185,'Annual Mortality Rates'!$B$5:$C$105,2,FALSE))^(1/12)</f>
        <v>3.3143684343883706E-4</v>
      </c>
      <c r="G185" s="75">
        <f>IF(C185&gt;=[1]Assumptions!$H$9*12,100%,1-(1-IF(D185&gt;=7,2%,VLOOKUP($D185,'[1]Annual Lapse Rates'!$B$4:$C$14,2,FALSE)))^(1/12))</f>
        <v>1.6821425527395739E-3</v>
      </c>
      <c r="H185" s="81">
        <f t="shared" si="33"/>
        <v>10</v>
      </c>
      <c r="I185" s="65">
        <f t="shared" si="34"/>
        <v>2646.9906388341578</v>
      </c>
      <c r="J185" s="66">
        <f t="shared" si="35"/>
        <v>0.87731022194734409</v>
      </c>
      <c r="K185" s="66">
        <f t="shared" si="36"/>
        <v>4.4616145736320938</v>
      </c>
      <c r="M185" s="67">
        <f t="shared" si="41"/>
        <v>147944453.13606206</v>
      </c>
      <c r="N185" s="67">
        <f>IF(AND(MOD(C185,12)=1,D185&lt;15),Assumptions!$H$4*I184,0)</f>
        <v>0</v>
      </c>
      <c r="O185" s="67"/>
      <c r="P185" s="90">
        <f t="shared" si="37"/>
        <v>297897.90261365706</v>
      </c>
      <c r="Q185" s="90">
        <f>M185*VLOOKUP(MOD(C185,12)+(MOD(C185,12)=0)*12,Assumptions!$C$22:$D$33,2,FALSE)*(F185+G185)</f>
        <v>9309.3094566767832</v>
      </c>
      <c r="R185" s="67">
        <f>IF(AND(MOD(C185,12)=0,D185&lt;15),Assumptions!$C$7*M185,0)</f>
        <v>0</v>
      </c>
      <c r="S185" s="68">
        <f>IF(MOD(C185,12)=0,M185*Assumptions!$D$17,0)</f>
        <v>0</v>
      </c>
      <c r="T185" s="68">
        <f t="shared" si="38"/>
        <v>0</v>
      </c>
      <c r="U185" s="67">
        <f>T185+AE185*(1+Assumptions!$D$17)</f>
        <v>0</v>
      </c>
      <c r="V185" s="67">
        <f>(M185+N185-O185)*(1+Assumptions!$D$17)-(P185+Q185)*(1+Assumptions!$D$17)^0.5-R185-T185</f>
        <v>148239364.77516925</v>
      </c>
      <c r="W185" s="67"/>
      <c r="X185" s="67">
        <f>IF(AND(H185=1,D185&lt;15),Assumptions!$D$10*N185+Assumptions!$D$11*(1+Assumptions!$D$16)^(B185-1)*$I$7,0)</f>
        <v>0</v>
      </c>
      <c r="Y185" s="65">
        <f>Assumptions!$C$13*N185</f>
        <v>0</v>
      </c>
      <c r="Z185" s="65">
        <f>NPV(Assumptions!$D$19,N185:$N$259)*(1+Assumptions!$D$19)</f>
        <v>0</v>
      </c>
      <c r="AA185" s="68">
        <f t="shared" si="39"/>
        <v>0</v>
      </c>
      <c r="AC185" s="67">
        <f t="shared" si="40"/>
        <v>148239364.77516925</v>
      </c>
      <c r="AD185" s="67"/>
      <c r="AE185" s="67"/>
      <c r="AF185" s="67"/>
      <c r="AG185" s="67"/>
      <c r="AH185" s="67"/>
      <c r="AI185" s="67"/>
      <c r="AK185" s="67"/>
      <c r="AL185" s="70">
        <f t="shared" si="32"/>
        <v>0</v>
      </c>
    </row>
    <row r="186" spans="2:38" x14ac:dyDescent="0.2">
      <c r="B186" s="5">
        <f t="shared" si="28"/>
        <v>179</v>
      </c>
      <c r="C186" s="5">
        <f t="shared" si="29"/>
        <v>179</v>
      </c>
      <c r="D186" s="5">
        <f t="shared" si="30"/>
        <v>14</v>
      </c>
      <c r="E186" s="5">
        <f t="shared" si="31"/>
        <v>60</v>
      </c>
      <c r="F186" s="64">
        <f>1-(1-VLOOKUP($E186,'Annual Mortality Rates'!$B$5:$C$105,2,FALSE))^(1/12)</f>
        <v>3.3143684343883706E-4</v>
      </c>
      <c r="G186" s="75">
        <f>IF(C186&gt;=[1]Assumptions!$H$9*12,100%,1-(1-IF(D186&gt;=7,2%,VLOOKUP($D186,'[1]Annual Lapse Rates'!$B$4:$C$14,2,FALSE)))^(1/12))</f>
        <v>1.6821425527395739E-3</v>
      </c>
      <c r="H186" s="81">
        <f t="shared" si="33"/>
        <v>11</v>
      </c>
      <c r="I186" s="65">
        <f t="shared" si="34"/>
        <v>2641.6517140385781</v>
      </c>
      <c r="J186" s="66">
        <f t="shared" si="35"/>
        <v>0.87554070556573982</v>
      </c>
      <c r="K186" s="66">
        <f t="shared" si="36"/>
        <v>4.4526155902862454</v>
      </c>
      <c r="M186" s="67">
        <f t="shared" si="41"/>
        <v>148239364.77516925</v>
      </c>
      <c r="N186" s="67">
        <f>IF(AND(MOD(C186,12)=1,D186&lt;15),Assumptions!$H$4*I185,0)</f>
        <v>0</v>
      </c>
      <c r="O186" s="67"/>
      <c r="P186" s="90">
        <f t="shared" si="37"/>
        <v>298491.73061385652</v>
      </c>
      <c r="Q186" s="90">
        <f>M186*VLOOKUP(MOD(C186,12)+(MOD(C186,12)=0)*12,Assumptions!$C$22:$D$33,2,FALSE)*(F186+G186)</f>
        <v>10260.653239851319</v>
      </c>
      <c r="R186" s="67">
        <f>IF(AND(MOD(C186,12)=0,D186&lt;15),Assumptions!$C$7*M186,0)</f>
        <v>0</v>
      </c>
      <c r="S186" s="68">
        <f>IF(MOD(C186,12)=0,M186*Assumptions!$D$17,0)</f>
        <v>0</v>
      </c>
      <c r="T186" s="68">
        <f t="shared" si="38"/>
        <v>0</v>
      </c>
      <c r="U186" s="67">
        <f>T186+AE186*(1+Assumptions!$D$17)</f>
        <v>0</v>
      </c>
      <c r="V186" s="67">
        <f>(M186+N186-O186)*(1+Assumptions!$D$17)-(P186+Q186)*(1+Assumptions!$D$17)^0.5-R186-T186</f>
        <v>148533929.60460493</v>
      </c>
      <c r="W186" s="67"/>
      <c r="X186" s="67">
        <f>IF(AND(H186=1,D186&lt;15),Assumptions!$D$10*N186+Assumptions!$D$11*(1+Assumptions!$D$16)^(B186-1)*$I$7,0)</f>
        <v>0</v>
      </c>
      <c r="Y186" s="65">
        <f>Assumptions!$C$13*N186</f>
        <v>0</v>
      </c>
      <c r="Z186" s="65">
        <f>NPV(Assumptions!$D$19,N186:$N$259)*(1+Assumptions!$D$19)</f>
        <v>0</v>
      </c>
      <c r="AA186" s="68">
        <f t="shared" si="39"/>
        <v>0</v>
      </c>
      <c r="AC186" s="67">
        <f t="shared" si="40"/>
        <v>148533929.60460493</v>
      </c>
      <c r="AD186" s="67"/>
      <c r="AE186" s="67"/>
      <c r="AF186" s="67"/>
      <c r="AG186" s="67"/>
      <c r="AH186" s="67"/>
      <c r="AI186" s="67"/>
      <c r="AK186" s="67"/>
      <c r="AL186" s="70">
        <f t="shared" si="32"/>
        <v>0</v>
      </c>
    </row>
    <row r="187" spans="2:38" x14ac:dyDescent="0.2">
      <c r="B187" s="5">
        <f t="shared" si="28"/>
        <v>180</v>
      </c>
      <c r="C187" s="5">
        <f t="shared" si="29"/>
        <v>180</v>
      </c>
      <c r="D187" s="5">
        <f t="shared" si="30"/>
        <v>14</v>
      </c>
      <c r="E187" s="5">
        <f t="shared" si="31"/>
        <v>60</v>
      </c>
      <c r="F187" s="64">
        <f>1-(1-VLOOKUP($E187,'Annual Mortality Rates'!$B$5:$C$105,2,FALSE))^(1/12)</f>
        <v>3.3143684343883706E-4</v>
      </c>
      <c r="G187" s="75">
        <f>IF(C187&gt;=[1]Assumptions!$H$9*12,100%,1-(1-IF(D187&gt;=7,2%,VLOOKUP($D187,'[1]Annual Lapse Rates'!$B$4:$C$14,2,FALSE)))^(1/12))</f>
        <v>1</v>
      </c>
      <c r="H187" s="81">
        <f t="shared" si="33"/>
        <v>12</v>
      </c>
      <c r="I187" s="65">
        <f t="shared" si="34"/>
        <v>2636.3235577427263</v>
      </c>
      <c r="J187" s="66">
        <f t="shared" si="35"/>
        <v>0.87377475826169393</v>
      </c>
      <c r="K187" s="66">
        <f t="shared" si="36"/>
        <v>2635.4497829844645</v>
      </c>
      <c r="M187" s="67">
        <f t="shared" si="41"/>
        <v>148533929.60460493</v>
      </c>
      <c r="N187" s="67">
        <f>IF(AND(MOD(C187,12)=1,D187&lt;15),Assumptions!$H$4*I186,0)</f>
        <v>0</v>
      </c>
      <c r="O187" s="67"/>
      <c r="P187" s="90">
        <f t="shared" si="37"/>
        <v>148583159.22137666</v>
      </c>
      <c r="Q187" s="90">
        <f>M187*VLOOKUP(MOD(C187,12)+(MOD(C187,12)=0)*12,Assumptions!$C$22:$D$33,2,FALSE)*(F187+G187)</f>
        <v>5571868.4708016245</v>
      </c>
      <c r="R187" s="67">
        <f>IF(AND(MOD(C187,12)=0,D187&lt;15),Assumptions!$C$7*M187,0)</f>
        <v>74266.964802302464</v>
      </c>
      <c r="S187" s="68">
        <f>IF(MOD(C187,12)=0,M187*Assumptions!$D$17,0)</f>
        <v>605145.61528087116</v>
      </c>
      <c r="T187" s="68">
        <f t="shared" si="38"/>
        <v>149139075.2198858</v>
      </c>
      <c r="U187" s="67">
        <f>T187+AE187*(1+Assumptions!$D$17)</f>
        <v>149139075.2198858</v>
      </c>
      <c r="V187" s="67">
        <f>(M187+N187-O187)*(1+Assumptions!$D$17)-(P187+Q187)*(1+Assumptions!$D$17)^0.5-R187-T187</f>
        <v>-154542998.79672831</v>
      </c>
      <c r="W187" s="67"/>
      <c r="X187" s="67">
        <f>IF(AND(H187=1,D187&lt;15),Assumptions!$D$10*N187+Assumptions!$D$11*(1+Assumptions!$D$16)^(B187-1)*$I$7,0)</f>
        <v>0</v>
      </c>
      <c r="Y187" s="65">
        <f>Assumptions!$C$13*N187</f>
        <v>0</v>
      </c>
      <c r="Z187" s="65">
        <f>NPV(Assumptions!$D$19,N187:$N$259)*(1+Assumptions!$D$19)</f>
        <v>0</v>
      </c>
      <c r="AA187" s="68">
        <f t="shared" si="39"/>
        <v>0</v>
      </c>
      <c r="AB187" s="71"/>
      <c r="AC187" s="67">
        <f t="shared" si="40"/>
        <v>-154542998.79672831</v>
      </c>
      <c r="AD187" s="67"/>
      <c r="AE187" s="67"/>
      <c r="AF187" s="67"/>
      <c r="AG187" s="67"/>
      <c r="AH187" s="67"/>
      <c r="AI187" s="67"/>
      <c r="AK187" s="67"/>
      <c r="AL187" s="70">
        <f t="shared" si="32"/>
        <v>0</v>
      </c>
    </row>
    <row r="188" spans="2:38" x14ac:dyDescent="0.2">
      <c r="B188" s="5">
        <f t="shared" si="28"/>
        <v>181</v>
      </c>
      <c r="C188" s="5">
        <f t="shared" si="29"/>
        <v>181</v>
      </c>
      <c r="D188" s="5">
        <f t="shared" si="30"/>
        <v>15</v>
      </c>
      <c r="E188" s="5">
        <f t="shared" si="31"/>
        <v>61</v>
      </c>
      <c r="F188" s="64">
        <f>1-(1-VLOOKUP($E188,'Annual Mortality Rates'!$B$5:$C$105,2,FALSE))^(1/12)</f>
        <v>3.6573479451496027E-4</v>
      </c>
      <c r="G188" s="75">
        <f>IF(C188&gt;=[1]Assumptions!$H$9*12,100%,1-(1-IF(D188&gt;=7,2%,VLOOKUP($D188,'[1]Annual Lapse Rates'!$B$4:$C$14,2,FALSE)))^(1/12))</f>
        <v>1</v>
      </c>
      <c r="H188" s="81">
        <f t="shared" si="33"/>
        <v>1</v>
      </c>
      <c r="I188" s="65">
        <f t="shared" si="34"/>
        <v>0</v>
      </c>
      <c r="J188" s="66">
        <f t="shared" si="35"/>
        <v>0</v>
      </c>
      <c r="K188" s="66">
        <f t="shared" si="36"/>
        <v>0</v>
      </c>
      <c r="M188" s="67">
        <f t="shared" si="41"/>
        <v>-154542998.79672831</v>
      </c>
      <c r="N188" s="67">
        <f>IF(AND(MOD(C188,12)=1,D188&lt;15),Assumptions!$H$4*I187,0)</f>
        <v>0</v>
      </c>
      <c r="O188" s="67"/>
      <c r="P188" s="90">
        <f t="shared" si="37"/>
        <v>-154599520.54863697</v>
      </c>
      <c r="Q188" s="90">
        <f>M188*VLOOKUP(MOD(C188,12)+(MOD(C188,12)=0)*12,Assumptions!$C$22:$D$33,2,FALSE)*(F188+G188)</f>
        <v>-483123.50171449053</v>
      </c>
      <c r="R188" s="67">
        <f>IF(AND(MOD(C188,12)=0,D188&lt;15),Assumptions!$C$7*M188,0)</f>
        <v>0</v>
      </c>
      <c r="S188" s="68">
        <f>IF(MOD(C188,12)=0,M188*Assumptions!$D$17,0)</f>
        <v>0</v>
      </c>
      <c r="T188" s="68">
        <f t="shared" si="38"/>
        <v>-154542998.79672831</v>
      </c>
      <c r="U188" s="67">
        <f>T188+AE188*(1+Assumptions!$D$17)</f>
        <v>-154542998.79672831</v>
      </c>
      <c r="V188" s="67">
        <f>(M188+N188-O188)*(1+Assumptions!$D$17)-(P188+Q188)*(1+Assumptions!$D$17)^0.5-R188-T188</f>
        <v>154768608.574321</v>
      </c>
      <c r="W188" s="67"/>
      <c r="X188" s="67">
        <f>IF(AND(H188=1,D188&lt;15),Assumptions!$D$10*N188+Assumptions!$D$11*(1+Assumptions!$D$16)^(B188-1)*$I$7,0)</f>
        <v>0</v>
      </c>
      <c r="Y188" s="65">
        <f>Assumptions!$C$13*N188</f>
        <v>0</v>
      </c>
      <c r="Z188" s="65">
        <f>NPV(Assumptions!$D$19,N188:$N$259)*(1+Assumptions!$D$19)</f>
        <v>0</v>
      </c>
      <c r="AA188" s="68">
        <f t="shared" si="39"/>
        <v>0</v>
      </c>
      <c r="AC188" s="67">
        <f t="shared" si="40"/>
        <v>154768608.574321</v>
      </c>
      <c r="AD188" s="67"/>
      <c r="AE188" s="67"/>
      <c r="AF188" s="67"/>
      <c r="AG188" s="67"/>
      <c r="AH188" s="67"/>
      <c r="AI188" s="67"/>
      <c r="AK188" s="67"/>
      <c r="AL188" s="70">
        <f t="shared" si="32"/>
        <v>0</v>
      </c>
    </row>
    <row r="189" spans="2:38" x14ac:dyDescent="0.2">
      <c r="B189" s="5">
        <f t="shared" si="28"/>
        <v>182</v>
      </c>
      <c r="C189" s="5">
        <f t="shared" si="29"/>
        <v>182</v>
      </c>
      <c r="D189" s="5">
        <f t="shared" si="30"/>
        <v>15</v>
      </c>
      <c r="E189" s="5">
        <f t="shared" si="31"/>
        <v>61</v>
      </c>
      <c r="F189" s="64">
        <f>1-(1-VLOOKUP($E189,'Annual Mortality Rates'!$B$5:$C$105,2,FALSE))^(1/12)</f>
        <v>3.6573479451496027E-4</v>
      </c>
      <c r="G189" s="75">
        <f>IF(C189&gt;=[1]Assumptions!$H$9*12,100%,1-(1-IF(D189&gt;=7,2%,VLOOKUP($D189,'[1]Annual Lapse Rates'!$B$4:$C$14,2,FALSE)))^(1/12))</f>
        <v>1</v>
      </c>
      <c r="H189" s="81">
        <f t="shared" si="33"/>
        <v>2</v>
      </c>
      <c r="I189" s="65">
        <f t="shared" si="34"/>
        <v>0</v>
      </c>
      <c r="J189" s="66">
        <f t="shared" si="35"/>
        <v>0</v>
      </c>
      <c r="K189" s="66">
        <f t="shared" si="36"/>
        <v>0</v>
      </c>
      <c r="M189" s="67">
        <f t="shared" si="41"/>
        <v>154768608.574321</v>
      </c>
      <c r="N189" s="67">
        <f>IF(AND(MOD(C189,12)=1,D189&lt;15),Assumptions!$H$4*I188,0)</f>
        <v>0</v>
      </c>
      <c r="O189" s="67"/>
      <c r="P189" s="90">
        <f t="shared" si="37"/>
        <v>154825212.83957529</v>
      </c>
      <c r="Q189" s="90">
        <f>M189*VLOOKUP(MOD(C189,12)+(MOD(C189,12)=0)*12,Assumptions!$C$22:$D$33,2,FALSE)*(F189+G189)</f>
        <v>967657.58024734561</v>
      </c>
      <c r="R189" s="67">
        <f>IF(AND(MOD(C189,12)=0,D189&lt;15),Assumptions!$C$7*M189,0)</f>
        <v>0</v>
      </c>
      <c r="S189" s="68">
        <f>IF(MOD(C189,12)=0,M189*Assumptions!$D$17,0)</f>
        <v>0</v>
      </c>
      <c r="T189" s="68">
        <f t="shared" si="38"/>
        <v>154768608.574321</v>
      </c>
      <c r="U189" s="67">
        <f>T189+AE189*(1+Assumptions!$D$17)</f>
        <v>154768608.574321</v>
      </c>
      <c r="V189" s="67">
        <f>(M189+N189-O189)*(1+Assumptions!$D$17)-(P189+Q189)*(1+Assumptions!$D$17)^0.5-R189-T189</f>
        <v>-155479361.08611223</v>
      </c>
      <c r="W189" s="67"/>
      <c r="X189" s="67">
        <f>IF(AND(H189=1,D189&lt;15),Assumptions!$D$10*N189+Assumptions!$D$11*(1+Assumptions!$D$16)^(B189-1)*$I$7,0)</f>
        <v>0</v>
      </c>
      <c r="Y189" s="65">
        <f>Assumptions!$C$13*N189</f>
        <v>0</v>
      </c>
      <c r="Z189" s="65">
        <f>NPV(Assumptions!$D$19,N189:$N$259)*(1+Assumptions!$D$19)</f>
        <v>0</v>
      </c>
      <c r="AA189" s="68">
        <f t="shared" si="39"/>
        <v>0</v>
      </c>
      <c r="AC189" s="67">
        <f t="shared" si="40"/>
        <v>-155479361.08611223</v>
      </c>
      <c r="AD189" s="67"/>
      <c r="AE189" s="67"/>
      <c r="AF189" s="67"/>
      <c r="AG189" s="67"/>
      <c r="AH189" s="67"/>
      <c r="AI189" s="67"/>
      <c r="AK189" s="67"/>
      <c r="AL189" s="70">
        <f t="shared" si="32"/>
        <v>0</v>
      </c>
    </row>
    <row r="190" spans="2:38" x14ac:dyDescent="0.2">
      <c r="B190" s="5">
        <f t="shared" si="28"/>
        <v>183</v>
      </c>
      <c r="C190" s="5">
        <f t="shared" si="29"/>
        <v>183</v>
      </c>
      <c r="D190" s="5">
        <f t="shared" si="30"/>
        <v>15</v>
      </c>
      <c r="E190" s="5">
        <f t="shared" si="31"/>
        <v>61</v>
      </c>
      <c r="F190" s="64">
        <f>1-(1-VLOOKUP($E190,'Annual Mortality Rates'!$B$5:$C$105,2,FALSE))^(1/12)</f>
        <v>3.6573479451496027E-4</v>
      </c>
      <c r="G190" s="75">
        <f>IF(C190&gt;=[1]Assumptions!$H$9*12,100%,1-(1-IF(D190&gt;=7,2%,VLOOKUP($D190,'[1]Annual Lapse Rates'!$B$4:$C$14,2,FALSE)))^(1/12))</f>
        <v>1</v>
      </c>
      <c r="H190" s="81">
        <f t="shared" si="33"/>
        <v>3</v>
      </c>
      <c r="I190" s="65">
        <f t="shared" si="34"/>
        <v>0</v>
      </c>
      <c r="J190" s="66">
        <f t="shared" si="35"/>
        <v>0</v>
      </c>
      <c r="K190" s="66">
        <f t="shared" si="36"/>
        <v>0</v>
      </c>
      <c r="M190" s="67">
        <f t="shared" si="41"/>
        <v>-155479361.08611223</v>
      </c>
      <c r="N190" s="67">
        <f>IF(AND(MOD(C190,12)=1,D190&lt;15),Assumptions!$H$4*I189,0)</f>
        <v>0</v>
      </c>
      <c r="O190" s="67"/>
      <c r="P190" s="90">
        <f t="shared" si="37"/>
        <v>-155536225.29829037</v>
      </c>
      <c r="Q190" s="90">
        <f>M190*VLOOKUP(MOD(C190,12)+(MOD(C190,12)=0)*12,Assumptions!$C$22:$D$33,2,FALSE)*(F190+G190)</f>
        <v>-1458152.1121714725</v>
      </c>
      <c r="R190" s="67">
        <f>IF(AND(MOD(C190,12)=0,D190&lt;15),Assumptions!$C$7*M190,0)</f>
        <v>0</v>
      </c>
      <c r="S190" s="68">
        <f>IF(MOD(C190,12)=0,M190*Assumptions!$D$17,0)</f>
        <v>0</v>
      </c>
      <c r="T190" s="68">
        <f t="shared" si="38"/>
        <v>-155479361.08611223</v>
      </c>
      <c r="U190" s="67">
        <f>T190+AE190*(1+Assumptions!$D$17)</f>
        <v>-155479361.08611223</v>
      </c>
      <c r="V190" s="67">
        <f>(M190+N190-O190)*(1+Assumptions!$D$17)-(P190+Q190)*(1+Assumptions!$D$17)^0.5-R190-T190</f>
        <v>156680417.43930817</v>
      </c>
      <c r="W190" s="67"/>
      <c r="X190" s="67">
        <f>IF(AND(H190=1,D190&lt;15),Assumptions!$D$10*N190+Assumptions!$D$11*(1+Assumptions!$D$16)^(B190-1)*$I$7,0)</f>
        <v>0</v>
      </c>
      <c r="Y190" s="65">
        <f>Assumptions!$C$13*N190</f>
        <v>0</v>
      </c>
      <c r="Z190" s="65">
        <f>NPV(Assumptions!$D$19,N190:$N$259)*(1+Assumptions!$D$19)</f>
        <v>0</v>
      </c>
      <c r="AA190" s="68">
        <f t="shared" si="39"/>
        <v>0</v>
      </c>
      <c r="AC190" s="67">
        <f t="shared" si="40"/>
        <v>156680417.43930817</v>
      </c>
      <c r="AD190" s="67"/>
      <c r="AE190" s="67"/>
      <c r="AF190" s="67"/>
      <c r="AG190" s="67"/>
      <c r="AH190" s="67"/>
      <c r="AI190" s="67"/>
      <c r="AK190" s="67"/>
      <c r="AL190" s="70">
        <f t="shared" si="32"/>
        <v>0</v>
      </c>
    </row>
    <row r="191" spans="2:38" x14ac:dyDescent="0.2">
      <c r="B191" s="5">
        <f t="shared" si="28"/>
        <v>184</v>
      </c>
      <c r="C191" s="5">
        <f t="shared" si="29"/>
        <v>184</v>
      </c>
      <c r="D191" s="5">
        <f t="shared" si="30"/>
        <v>15</v>
      </c>
      <c r="E191" s="5">
        <f t="shared" si="31"/>
        <v>61</v>
      </c>
      <c r="F191" s="64">
        <f>1-(1-VLOOKUP($E191,'Annual Mortality Rates'!$B$5:$C$105,2,FALSE))^(1/12)</f>
        <v>3.6573479451496027E-4</v>
      </c>
      <c r="G191" s="75">
        <f>IF(C191&gt;=[1]Assumptions!$H$9*12,100%,1-(1-IF(D191&gt;=7,2%,VLOOKUP($D191,'[1]Annual Lapse Rates'!$B$4:$C$14,2,FALSE)))^(1/12))</f>
        <v>1</v>
      </c>
      <c r="H191" s="81">
        <f t="shared" si="33"/>
        <v>4</v>
      </c>
      <c r="I191" s="65">
        <f t="shared" si="34"/>
        <v>0</v>
      </c>
      <c r="J191" s="66">
        <f t="shared" si="35"/>
        <v>0</v>
      </c>
      <c r="K191" s="66">
        <f t="shared" si="36"/>
        <v>0</v>
      </c>
      <c r="M191" s="67">
        <f t="shared" si="41"/>
        <v>156680417.43930817</v>
      </c>
      <c r="N191" s="67">
        <f>IF(AND(MOD(C191,12)=1,D191&lt;15),Assumptions!$H$4*I190,0)</f>
        <v>0</v>
      </c>
      <c r="O191" s="67"/>
      <c r="P191" s="90">
        <f t="shared" si="37"/>
        <v>156737720.91958484</v>
      </c>
      <c r="Q191" s="90">
        <f>M191*VLOOKUP(MOD(C191,12)+(MOD(C191,12)=0)*12,Assumptions!$C$22:$D$33,2,FALSE)*(F191+G191)</f>
        <v>1959221.5114948107</v>
      </c>
      <c r="R191" s="67">
        <f>IF(AND(MOD(C191,12)=0,D191&lt;15),Assumptions!$C$7*M191,0)</f>
        <v>0</v>
      </c>
      <c r="S191" s="68">
        <f>IF(MOD(C191,12)=0,M191*Assumptions!$D$17,0)</f>
        <v>0</v>
      </c>
      <c r="T191" s="68">
        <f t="shared" si="38"/>
        <v>156680417.43930817</v>
      </c>
      <c r="U191" s="67">
        <f>T191+AE191*(1+Assumptions!$D$17)</f>
        <v>156680417.43930817</v>
      </c>
      <c r="V191" s="67">
        <f>(M191+N191-O191)*(1+Assumptions!$D$17)-(P191+Q191)*(1+Assumptions!$D$17)^0.5-R191-T191</f>
        <v>-158381553.91267151</v>
      </c>
      <c r="W191" s="67"/>
      <c r="X191" s="67">
        <f>IF(AND(H191=1,D191&lt;15),Assumptions!$D$10*N191+Assumptions!$D$11*(1+Assumptions!$D$16)^(B191-1)*$I$7,0)</f>
        <v>0</v>
      </c>
      <c r="Y191" s="65">
        <f>Assumptions!$C$13*N191</f>
        <v>0</v>
      </c>
      <c r="Z191" s="65">
        <f>NPV(Assumptions!$D$19,N191:$N$259)*(1+Assumptions!$D$19)</f>
        <v>0</v>
      </c>
      <c r="AA191" s="68">
        <f t="shared" si="39"/>
        <v>0</v>
      </c>
      <c r="AC191" s="67">
        <f t="shared" si="40"/>
        <v>-158381553.91267151</v>
      </c>
      <c r="AD191" s="67"/>
      <c r="AE191" s="67"/>
      <c r="AF191" s="67"/>
      <c r="AG191" s="67"/>
      <c r="AH191" s="67"/>
      <c r="AI191" s="67"/>
      <c r="AK191" s="67"/>
      <c r="AL191" s="70">
        <f t="shared" si="32"/>
        <v>0</v>
      </c>
    </row>
    <row r="192" spans="2:38" x14ac:dyDescent="0.2">
      <c r="B192" s="5">
        <f t="shared" si="28"/>
        <v>185</v>
      </c>
      <c r="C192" s="5">
        <f t="shared" si="29"/>
        <v>185</v>
      </c>
      <c r="D192" s="5">
        <f t="shared" si="30"/>
        <v>15</v>
      </c>
      <c r="E192" s="5">
        <f t="shared" si="31"/>
        <v>61</v>
      </c>
      <c r="F192" s="64">
        <f>1-(1-VLOOKUP($E192,'Annual Mortality Rates'!$B$5:$C$105,2,FALSE))^(1/12)</f>
        <v>3.6573479451496027E-4</v>
      </c>
      <c r="G192" s="75">
        <f>IF(C192&gt;=[1]Assumptions!$H$9*12,100%,1-(1-IF(D192&gt;=7,2%,VLOOKUP($D192,'[1]Annual Lapse Rates'!$B$4:$C$14,2,FALSE)))^(1/12))</f>
        <v>1</v>
      </c>
      <c r="H192" s="81">
        <f t="shared" si="33"/>
        <v>5</v>
      </c>
      <c r="I192" s="65">
        <f t="shared" si="34"/>
        <v>0</v>
      </c>
      <c r="J192" s="66">
        <f t="shared" si="35"/>
        <v>0</v>
      </c>
      <c r="K192" s="66">
        <f t="shared" si="36"/>
        <v>0</v>
      </c>
      <c r="M192" s="67">
        <f t="shared" si="41"/>
        <v>-158381553.91267151</v>
      </c>
      <c r="N192" s="67">
        <f>IF(AND(MOD(C192,12)=1,D192&lt;15),Assumptions!$H$4*I191,0)</f>
        <v>0</v>
      </c>
      <c r="O192" s="67"/>
      <c r="P192" s="90">
        <f t="shared" si="37"/>
        <v>-158439479.55774671</v>
      </c>
      <c r="Q192" s="90">
        <f>M192*VLOOKUP(MOD(C192,12)+(MOD(C192,12)=0)*12,Assumptions!$C$22:$D$33,2,FALSE)*(F192+G192)</f>
        <v>-2475616.8680897923</v>
      </c>
      <c r="R192" s="67">
        <f>IF(AND(MOD(C192,12)=0,D192&lt;15),Assumptions!$C$7*M192,0)</f>
        <v>0</v>
      </c>
      <c r="S192" s="68">
        <f>IF(MOD(C192,12)=0,M192*Assumptions!$D$17,0)</f>
        <v>0</v>
      </c>
      <c r="T192" s="68">
        <f t="shared" si="38"/>
        <v>-158381553.91267151</v>
      </c>
      <c r="U192" s="67">
        <f>T192+AE192*(1+Assumptions!$D$17)</f>
        <v>-158381553.91267151</v>
      </c>
      <c r="V192" s="67">
        <f>(M192+N192-O192)*(1+Assumptions!$D$17)-(P192+Q192)*(1+Assumptions!$D$17)^0.5-R192-T192</f>
        <v>160597291.19093779</v>
      </c>
      <c r="W192" s="67"/>
      <c r="X192" s="67">
        <f>IF(AND(H192=1,D192&lt;15),Assumptions!$D$10*N192+Assumptions!$D$11*(1+Assumptions!$D$16)^(B192-1)*$I$7,0)</f>
        <v>0</v>
      </c>
      <c r="Y192" s="65">
        <f>Assumptions!$C$13*N192</f>
        <v>0</v>
      </c>
      <c r="Z192" s="65">
        <f>NPV(Assumptions!$D$19,N192:$N$259)*(1+Assumptions!$D$19)</f>
        <v>0</v>
      </c>
      <c r="AA192" s="68">
        <f t="shared" si="39"/>
        <v>0</v>
      </c>
      <c r="AC192" s="67">
        <f t="shared" si="40"/>
        <v>160597291.19093779</v>
      </c>
      <c r="AD192" s="67"/>
      <c r="AE192" s="67"/>
      <c r="AF192" s="67"/>
      <c r="AG192" s="67"/>
      <c r="AH192" s="67"/>
      <c r="AI192" s="67"/>
      <c r="AK192" s="67"/>
      <c r="AL192" s="70">
        <f t="shared" si="32"/>
        <v>0</v>
      </c>
    </row>
    <row r="193" spans="2:38" x14ac:dyDescent="0.2">
      <c r="B193" s="5">
        <f t="shared" si="28"/>
        <v>186</v>
      </c>
      <c r="C193" s="5">
        <f t="shared" si="29"/>
        <v>186</v>
      </c>
      <c r="D193" s="5">
        <f t="shared" si="30"/>
        <v>15</v>
      </c>
      <c r="E193" s="5">
        <f t="shared" si="31"/>
        <v>61</v>
      </c>
      <c r="F193" s="64">
        <f>1-(1-VLOOKUP($E193,'Annual Mortality Rates'!$B$5:$C$105,2,FALSE))^(1/12)</f>
        <v>3.6573479451496027E-4</v>
      </c>
      <c r="G193" s="75">
        <f>IF(C193&gt;=[1]Assumptions!$H$9*12,100%,1-(1-IF(D193&gt;=7,2%,VLOOKUP($D193,'[1]Annual Lapse Rates'!$B$4:$C$14,2,FALSE)))^(1/12))</f>
        <v>1</v>
      </c>
      <c r="H193" s="81">
        <f t="shared" si="33"/>
        <v>6</v>
      </c>
      <c r="I193" s="65">
        <f t="shared" si="34"/>
        <v>0</v>
      </c>
      <c r="J193" s="66">
        <f t="shared" si="35"/>
        <v>0</v>
      </c>
      <c r="K193" s="66">
        <f t="shared" si="36"/>
        <v>0</v>
      </c>
      <c r="M193" s="67">
        <f t="shared" si="41"/>
        <v>160597291.19093779</v>
      </c>
      <c r="N193" s="67">
        <f>IF(AND(MOD(C193,12)=1,D193&lt;15),Assumptions!$H$4*I192,0)</f>
        <v>0</v>
      </c>
      <c r="O193" s="67"/>
      <c r="P193" s="90">
        <f t="shared" si="37"/>
        <v>160656027.20823115</v>
      </c>
      <c r="Q193" s="90">
        <f>M193*VLOOKUP(MOD(C193,12)+(MOD(C193,12)=0)*12,Assumptions!$C$22:$D$33,2,FALSE)*(F193+G193)</f>
        <v>3012300.5101543348</v>
      </c>
      <c r="R193" s="67">
        <f>IF(AND(MOD(C193,12)=0,D193&lt;15),Assumptions!$C$7*M193,0)</f>
        <v>0</v>
      </c>
      <c r="S193" s="68">
        <f>IF(MOD(C193,12)=0,M193*Assumptions!$D$17,0)</f>
        <v>0</v>
      </c>
      <c r="T193" s="68">
        <f t="shared" si="38"/>
        <v>160597291.19093779</v>
      </c>
      <c r="U193" s="67">
        <f>T193+AE193*(1+Assumptions!$D$17)</f>
        <v>160597291.19093779</v>
      </c>
      <c r="V193" s="67">
        <f>(M193+N193-O193)*(1+Assumptions!$D$17)-(P193+Q193)*(1+Assumptions!$D$17)^0.5-R193-T193</f>
        <v>-163347098.09726214</v>
      </c>
      <c r="W193" s="67"/>
      <c r="X193" s="67">
        <f>IF(AND(H193=1,D193&lt;15),Assumptions!$D$10*N193+Assumptions!$D$11*(1+Assumptions!$D$16)^(B193-1)*$I$7,0)</f>
        <v>0</v>
      </c>
      <c r="Y193" s="65">
        <f>Assumptions!$C$13*N193</f>
        <v>0</v>
      </c>
      <c r="Z193" s="65">
        <f>NPV(Assumptions!$D$19,N193:$N$259)*(1+Assumptions!$D$19)</f>
        <v>0</v>
      </c>
      <c r="AA193" s="68">
        <f t="shared" si="39"/>
        <v>0</v>
      </c>
      <c r="AC193" s="67">
        <f t="shared" si="40"/>
        <v>-163347098.09726214</v>
      </c>
      <c r="AD193" s="67"/>
      <c r="AE193" s="67"/>
      <c r="AF193" s="67"/>
      <c r="AG193" s="67"/>
      <c r="AH193" s="67"/>
      <c r="AI193" s="67"/>
      <c r="AK193" s="67"/>
      <c r="AL193" s="70">
        <f t="shared" si="32"/>
        <v>0</v>
      </c>
    </row>
    <row r="194" spans="2:38" x14ac:dyDescent="0.2">
      <c r="B194" s="5">
        <f t="shared" si="28"/>
        <v>187</v>
      </c>
      <c r="C194" s="5">
        <f t="shared" si="29"/>
        <v>187</v>
      </c>
      <c r="D194" s="5">
        <f t="shared" si="30"/>
        <v>15</v>
      </c>
      <c r="E194" s="5">
        <f t="shared" si="31"/>
        <v>61</v>
      </c>
      <c r="F194" s="64">
        <f>1-(1-VLOOKUP($E194,'Annual Mortality Rates'!$B$5:$C$105,2,FALSE))^(1/12)</f>
        <v>3.6573479451496027E-4</v>
      </c>
      <c r="G194" s="75">
        <f>IF(C194&gt;=[1]Assumptions!$H$9*12,100%,1-(1-IF(D194&gt;=7,2%,VLOOKUP($D194,'[1]Annual Lapse Rates'!$B$4:$C$14,2,FALSE)))^(1/12))</f>
        <v>1</v>
      </c>
      <c r="H194" s="81">
        <f t="shared" si="33"/>
        <v>7</v>
      </c>
      <c r="I194" s="65">
        <f t="shared" si="34"/>
        <v>0</v>
      </c>
      <c r="J194" s="66">
        <f t="shared" si="35"/>
        <v>0</v>
      </c>
      <c r="K194" s="66">
        <f t="shared" si="36"/>
        <v>0</v>
      </c>
      <c r="M194" s="67">
        <f t="shared" si="41"/>
        <v>-163347098.09726214</v>
      </c>
      <c r="N194" s="67">
        <f>IF(AND(MOD(C194,12)=1,D194&lt;15),Assumptions!$H$4*I193,0)</f>
        <v>0</v>
      </c>
      <c r="O194" s="67"/>
      <c r="P194" s="90">
        <f t="shared" si="37"/>
        <v>-163406839.81461936</v>
      </c>
      <c r="Q194" s="90">
        <f>M194*VLOOKUP(MOD(C194,12)+(MOD(C194,12)=0)*12,Assumptions!$C$22:$D$33,2,FALSE)*(F194+G194)</f>
        <v>-3574524.6209447989</v>
      </c>
      <c r="R194" s="67">
        <f>IF(AND(MOD(C194,12)=0,D194&lt;15),Assumptions!$C$7*M194,0)</f>
        <v>0</v>
      </c>
      <c r="S194" s="68">
        <f>IF(MOD(C194,12)=0,M194*Assumptions!$D$17,0)</f>
        <v>0</v>
      </c>
      <c r="T194" s="68">
        <f t="shared" si="38"/>
        <v>-163347098.09726214</v>
      </c>
      <c r="U194" s="67">
        <f>T194+AE194*(1+Assumptions!$D$17)</f>
        <v>-163347098.09726214</v>
      </c>
      <c r="V194" s="67">
        <f>(M194+N194-O194)*(1+Assumptions!$D$17)-(P194+Q194)*(1+Assumptions!$D$17)^0.5-R194-T194</f>
        <v>166655673.76160952</v>
      </c>
      <c r="W194" s="67"/>
      <c r="X194" s="67">
        <f>IF(AND(H194=1,D194&lt;15),Assumptions!$D$10*N194+Assumptions!$D$11*(1+Assumptions!$D$16)^(B194-1)*$I$7,0)</f>
        <v>0</v>
      </c>
      <c r="Y194" s="65">
        <f>Assumptions!$C$13*N194</f>
        <v>0</v>
      </c>
      <c r="Z194" s="65">
        <f>NPV(Assumptions!$D$19,N194:$N$259)*(1+Assumptions!$D$19)</f>
        <v>0</v>
      </c>
      <c r="AA194" s="68">
        <f t="shared" si="39"/>
        <v>0</v>
      </c>
      <c r="AC194" s="67">
        <f t="shared" si="40"/>
        <v>166655673.76160952</v>
      </c>
      <c r="AD194" s="67"/>
      <c r="AE194" s="67"/>
      <c r="AF194" s="67"/>
      <c r="AG194" s="67"/>
      <c r="AH194" s="67"/>
      <c r="AI194" s="67"/>
      <c r="AK194" s="67"/>
      <c r="AL194" s="70">
        <f t="shared" si="32"/>
        <v>0</v>
      </c>
    </row>
    <row r="195" spans="2:38" x14ac:dyDescent="0.2">
      <c r="B195" s="5">
        <f t="shared" si="28"/>
        <v>188</v>
      </c>
      <c r="C195" s="5">
        <f t="shared" si="29"/>
        <v>188</v>
      </c>
      <c r="D195" s="5">
        <f t="shared" si="30"/>
        <v>15</v>
      </c>
      <c r="E195" s="5">
        <f t="shared" si="31"/>
        <v>61</v>
      </c>
      <c r="F195" s="64">
        <f>1-(1-VLOOKUP($E195,'Annual Mortality Rates'!$B$5:$C$105,2,FALSE))^(1/12)</f>
        <v>3.6573479451496027E-4</v>
      </c>
      <c r="G195" s="75">
        <f>IF(C195&gt;=[1]Assumptions!$H$9*12,100%,1-(1-IF(D195&gt;=7,2%,VLOOKUP($D195,'[1]Annual Lapse Rates'!$B$4:$C$14,2,FALSE)))^(1/12))</f>
        <v>1</v>
      </c>
      <c r="H195" s="81">
        <f t="shared" si="33"/>
        <v>8</v>
      </c>
      <c r="I195" s="65">
        <f t="shared" si="34"/>
        <v>0</v>
      </c>
      <c r="J195" s="66">
        <f t="shared" si="35"/>
        <v>0</v>
      </c>
      <c r="K195" s="66">
        <f t="shared" si="36"/>
        <v>0</v>
      </c>
      <c r="M195" s="67">
        <f t="shared" si="41"/>
        <v>166655673.76160952</v>
      </c>
      <c r="N195" s="67">
        <f>IF(AND(MOD(C195,12)=1,D195&lt;15),Assumptions!$H$4*I194,0)</f>
        <v>0</v>
      </c>
      <c r="O195" s="67"/>
      <c r="P195" s="90">
        <f t="shared" si="37"/>
        <v>166716625.54020748</v>
      </c>
      <c r="Q195" s="90">
        <f>M195*VLOOKUP(MOD(C195,12)+(MOD(C195,12)=0)*12,Assumptions!$C$22:$D$33,2,FALSE)*(F195+G195)</f>
        <v>4167915.6385051874</v>
      </c>
      <c r="R195" s="67">
        <f>IF(AND(MOD(C195,12)=0,D195&lt;15),Assumptions!$C$7*M195,0)</f>
        <v>0</v>
      </c>
      <c r="S195" s="68">
        <f>IF(MOD(C195,12)=0,M195*Assumptions!$D$17,0)</f>
        <v>0</v>
      </c>
      <c r="T195" s="68">
        <f t="shared" si="38"/>
        <v>166655673.76160952</v>
      </c>
      <c r="U195" s="67">
        <f>T195+AE195*(1+Assumptions!$D$17)</f>
        <v>166655673.76160952</v>
      </c>
      <c r="V195" s="67">
        <f>(M195+N195-O195)*(1+Assumptions!$D$17)-(P195+Q195)*(1+Assumptions!$D$17)^0.5-R195-T195</f>
        <v>-170553313.888657</v>
      </c>
      <c r="W195" s="67"/>
      <c r="X195" s="67">
        <f>IF(AND(H195=1,D195&lt;15),Assumptions!$D$10*N195+Assumptions!$D$11*(1+Assumptions!$D$16)^(B195-1)*$I$7,0)</f>
        <v>0</v>
      </c>
      <c r="Y195" s="65">
        <f>Assumptions!$C$13*N195</f>
        <v>0</v>
      </c>
      <c r="Z195" s="65">
        <f>NPV(Assumptions!$D$19,N195:$N$259)*(1+Assumptions!$D$19)</f>
        <v>0</v>
      </c>
      <c r="AA195" s="68">
        <f t="shared" si="39"/>
        <v>0</v>
      </c>
      <c r="AC195" s="67">
        <f t="shared" si="40"/>
        <v>-170553313.888657</v>
      </c>
      <c r="AD195" s="67"/>
      <c r="AE195" s="67"/>
      <c r="AF195" s="67"/>
      <c r="AG195" s="67"/>
      <c r="AH195" s="67"/>
      <c r="AI195" s="67"/>
      <c r="AK195" s="67"/>
      <c r="AL195" s="70">
        <f t="shared" si="32"/>
        <v>0</v>
      </c>
    </row>
    <row r="196" spans="2:38" x14ac:dyDescent="0.2">
      <c r="B196" s="5">
        <f t="shared" si="28"/>
        <v>189</v>
      </c>
      <c r="C196" s="5">
        <f t="shared" si="29"/>
        <v>189</v>
      </c>
      <c r="D196" s="5">
        <f t="shared" si="30"/>
        <v>15</v>
      </c>
      <c r="E196" s="5">
        <f t="shared" si="31"/>
        <v>61</v>
      </c>
      <c r="F196" s="64">
        <f>1-(1-VLOOKUP($E196,'Annual Mortality Rates'!$B$5:$C$105,2,FALSE))^(1/12)</f>
        <v>3.6573479451496027E-4</v>
      </c>
      <c r="G196" s="75">
        <f>IF(C196&gt;=[1]Assumptions!$H$9*12,100%,1-(1-IF(D196&gt;=7,2%,VLOOKUP($D196,'[1]Annual Lapse Rates'!$B$4:$C$14,2,FALSE)))^(1/12))</f>
        <v>1</v>
      </c>
      <c r="H196" s="81">
        <f t="shared" si="33"/>
        <v>9</v>
      </c>
      <c r="I196" s="65">
        <f t="shared" si="34"/>
        <v>0</v>
      </c>
      <c r="J196" s="66">
        <f t="shared" si="35"/>
        <v>0</v>
      </c>
      <c r="K196" s="66">
        <f t="shared" si="36"/>
        <v>0</v>
      </c>
      <c r="M196" s="67">
        <f t="shared" si="41"/>
        <v>-170553313.888657</v>
      </c>
      <c r="N196" s="67">
        <f>IF(AND(MOD(C196,12)=1,D196&lt;15),Assumptions!$H$4*I195,0)</f>
        <v>0</v>
      </c>
      <c r="O196" s="67"/>
      <c r="P196" s="90">
        <f t="shared" si="37"/>
        <v>-170615691.16986591</v>
      </c>
      <c r="Q196" s="90">
        <f>M196*VLOOKUP(MOD(C196,12)+(MOD(C196,12)=0)*12,Assumptions!$C$22:$D$33,2,FALSE)*(F196+G196)</f>
        <v>-4798566.3141524782</v>
      </c>
      <c r="R196" s="67">
        <f>IF(AND(MOD(C196,12)=0,D196&lt;15),Assumptions!$C$7*M196,0)</f>
        <v>0</v>
      </c>
      <c r="S196" s="68">
        <f>IF(MOD(C196,12)=0,M196*Assumptions!$D$17,0)</f>
        <v>0</v>
      </c>
      <c r="T196" s="68">
        <f t="shared" si="38"/>
        <v>-170553313.888657</v>
      </c>
      <c r="U196" s="67">
        <f>T196+AE196*(1+Assumptions!$D$17)</f>
        <v>-170553313.888657</v>
      </c>
      <c r="V196" s="67">
        <f>(M196+N196-O196)*(1+Assumptions!$D$17)-(P196+Q196)*(1+Assumptions!$D$17)^0.5-R196-T196</f>
        <v>175076368.65888035</v>
      </c>
      <c r="W196" s="67"/>
      <c r="X196" s="67">
        <f>IF(AND(H196=1,D196&lt;15),Assumptions!$D$10*N196+Assumptions!$D$11*(1+Assumptions!$D$16)^(B196-1)*$I$7,0)</f>
        <v>0</v>
      </c>
      <c r="Y196" s="65">
        <f>Assumptions!$C$13*N196</f>
        <v>0</v>
      </c>
      <c r="Z196" s="65">
        <f>NPV(Assumptions!$D$19,N196:$N$259)*(1+Assumptions!$D$19)</f>
        <v>0</v>
      </c>
      <c r="AA196" s="68">
        <f t="shared" si="39"/>
        <v>0</v>
      </c>
      <c r="AC196" s="67">
        <f t="shared" si="40"/>
        <v>175076368.65888035</v>
      </c>
      <c r="AD196" s="67"/>
      <c r="AE196" s="67"/>
      <c r="AF196" s="67"/>
      <c r="AG196" s="67"/>
      <c r="AH196" s="67"/>
      <c r="AI196" s="67"/>
      <c r="AK196" s="67"/>
      <c r="AL196" s="70">
        <f t="shared" si="32"/>
        <v>0</v>
      </c>
    </row>
    <row r="197" spans="2:38" x14ac:dyDescent="0.2">
      <c r="B197" s="5">
        <f t="shared" si="28"/>
        <v>190</v>
      </c>
      <c r="C197" s="5">
        <f t="shared" si="29"/>
        <v>190</v>
      </c>
      <c r="D197" s="5">
        <f t="shared" si="30"/>
        <v>15</v>
      </c>
      <c r="E197" s="5">
        <f t="shared" si="31"/>
        <v>61</v>
      </c>
      <c r="F197" s="64">
        <f>1-(1-VLOOKUP($E197,'Annual Mortality Rates'!$B$5:$C$105,2,FALSE))^(1/12)</f>
        <v>3.6573479451496027E-4</v>
      </c>
      <c r="G197" s="75">
        <f>IF(C197&gt;=[1]Assumptions!$H$9*12,100%,1-(1-IF(D197&gt;=7,2%,VLOOKUP($D197,'[1]Annual Lapse Rates'!$B$4:$C$14,2,FALSE)))^(1/12))</f>
        <v>1</v>
      </c>
      <c r="H197" s="81">
        <f t="shared" si="33"/>
        <v>10</v>
      </c>
      <c r="I197" s="65">
        <f t="shared" si="34"/>
        <v>0</v>
      </c>
      <c r="J197" s="66">
        <f t="shared" si="35"/>
        <v>0</v>
      </c>
      <c r="K197" s="66">
        <f t="shared" si="36"/>
        <v>0</v>
      </c>
      <c r="M197" s="67">
        <f t="shared" si="41"/>
        <v>175076368.65888035</v>
      </c>
      <c r="N197" s="67">
        <f>IF(AND(MOD(C197,12)=1,D197&lt;15),Assumptions!$H$4*I196,0)</f>
        <v>0</v>
      </c>
      <c r="O197" s="67"/>
      <c r="P197" s="90">
        <f t="shared" si="37"/>
        <v>175140400.17859623</v>
      </c>
      <c r="Q197" s="90">
        <f>M197*VLOOKUP(MOD(C197,12)+(MOD(C197,12)=0)*12,Assumptions!$C$22:$D$33,2,FALSE)*(F197+G197)</f>
        <v>5473137.5055811321</v>
      </c>
      <c r="R197" s="67">
        <f>IF(AND(MOD(C197,12)=0,D197&lt;15),Assumptions!$C$7*M197,0)</f>
        <v>0</v>
      </c>
      <c r="S197" s="68">
        <f>IF(MOD(C197,12)=0,M197*Assumptions!$D$17,0)</f>
        <v>0</v>
      </c>
      <c r="T197" s="68">
        <f t="shared" si="38"/>
        <v>175076368.65888035</v>
      </c>
      <c r="U197" s="67">
        <f>T197+AE197*(1+Assumptions!$D$17)</f>
        <v>175076368.65888035</v>
      </c>
      <c r="V197" s="67">
        <f>(M197+N197-O197)*(1+Assumptions!$D$17)-(P197+Q197)*(1+Assumptions!$D$17)^0.5-R197-T197</f>
        <v>-180267801.86398339</v>
      </c>
      <c r="W197" s="67"/>
      <c r="X197" s="67">
        <f>IF(AND(H197=1,D197&lt;15),Assumptions!$D$10*N197+Assumptions!$D$11*(1+Assumptions!$D$16)^(B197-1)*$I$7,0)</f>
        <v>0</v>
      </c>
      <c r="Y197" s="65">
        <f>Assumptions!$C$13*N197</f>
        <v>0</v>
      </c>
      <c r="Z197" s="65">
        <f>NPV(Assumptions!$D$19,N197:$N$259)*(1+Assumptions!$D$19)</f>
        <v>0</v>
      </c>
      <c r="AA197" s="68">
        <f t="shared" si="39"/>
        <v>0</v>
      </c>
      <c r="AC197" s="67">
        <f t="shared" si="40"/>
        <v>-180267801.86398339</v>
      </c>
      <c r="AD197" s="67"/>
      <c r="AE197" s="67"/>
      <c r="AF197" s="67"/>
      <c r="AG197" s="67"/>
      <c r="AH197" s="67"/>
      <c r="AI197" s="67"/>
      <c r="AK197" s="67"/>
      <c r="AL197" s="70">
        <f t="shared" si="32"/>
        <v>0</v>
      </c>
    </row>
    <row r="198" spans="2:38" x14ac:dyDescent="0.2">
      <c r="B198" s="5">
        <f t="shared" si="28"/>
        <v>191</v>
      </c>
      <c r="C198" s="5">
        <f t="shared" si="29"/>
        <v>191</v>
      </c>
      <c r="D198" s="5">
        <f t="shared" si="30"/>
        <v>15</v>
      </c>
      <c r="E198" s="5">
        <f t="shared" si="31"/>
        <v>61</v>
      </c>
      <c r="F198" s="64">
        <f>1-(1-VLOOKUP($E198,'Annual Mortality Rates'!$B$5:$C$105,2,FALSE))^(1/12)</f>
        <v>3.6573479451496027E-4</v>
      </c>
      <c r="G198" s="75">
        <f>IF(C198&gt;=[1]Assumptions!$H$9*12,100%,1-(1-IF(D198&gt;=7,2%,VLOOKUP($D198,'[1]Annual Lapse Rates'!$B$4:$C$14,2,FALSE)))^(1/12))</f>
        <v>1</v>
      </c>
      <c r="H198" s="81">
        <f t="shared" si="33"/>
        <v>11</v>
      </c>
      <c r="I198" s="65">
        <f t="shared" si="34"/>
        <v>0</v>
      </c>
      <c r="J198" s="66">
        <f t="shared" si="35"/>
        <v>0</v>
      </c>
      <c r="K198" s="66">
        <f t="shared" si="36"/>
        <v>0</v>
      </c>
      <c r="M198" s="67">
        <f t="shared" si="41"/>
        <v>-180267801.86398339</v>
      </c>
      <c r="N198" s="67">
        <f>IF(AND(MOD(C198,12)=1,D198&lt;15),Assumptions!$H$4*I197,0)</f>
        <v>0</v>
      </c>
      <c r="O198" s="67"/>
      <c r="P198" s="90">
        <f t="shared" si="37"/>
        <v>-180333732.07145578</v>
      </c>
      <c r="Q198" s="90">
        <f>M198*VLOOKUP(MOD(C198,12)+(MOD(C198,12)=0)*12,Assumptions!$C$22:$D$33,2,FALSE)*(F198+G198)</f>
        <v>-6198972.0399562931</v>
      </c>
      <c r="R198" s="67">
        <f>IF(AND(MOD(C198,12)=0,D198&lt;15),Assumptions!$C$7*M198,0)</f>
        <v>0</v>
      </c>
      <c r="S198" s="68">
        <f>IF(MOD(C198,12)=0,M198*Assumptions!$D$17,0)</f>
        <v>0</v>
      </c>
      <c r="T198" s="68">
        <f t="shared" si="38"/>
        <v>-180267801.86398339</v>
      </c>
      <c r="U198" s="67">
        <f>T198+AE198*(1+Assumptions!$D$17)</f>
        <v>-180267801.86398339</v>
      </c>
      <c r="V198" s="67">
        <f>(M198+N198-O198)*(1+Assumptions!$D$17)-(P198+Q198)*(1+Assumptions!$D$17)^0.5-R198-T198</f>
        <v>186177863.20189109</v>
      </c>
      <c r="W198" s="67"/>
      <c r="X198" s="67">
        <f>IF(AND(H198=1,D198&lt;15),Assumptions!$D$10*N198+Assumptions!$D$11*(1+Assumptions!$D$16)^(B198-1)*$I$7,0)</f>
        <v>0</v>
      </c>
      <c r="Y198" s="65">
        <f>Assumptions!$C$13*N198</f>
        <v>0</v>
      </c>
      <c r="Z198" s="65">
        <f>NPV(Assumptions!$D$19,N198:$N$259)*(1+Assumptions!$D$19)</f>
        <v>0</v>
      </c>
      <c r="AA198" s="68">
        <f t="shared" si="39"/>
        <v>0</v>
      </c>
      <c r="AC198" s="67">
        <f t="shared" si="40"/>
        <v>186177863.20189109</v>
      </c>
      <c r="AD198" s="67"/>
      <c r="AE198" s="67"/>
      <c r="AF198" s="67"/>
      <c r="AG198" s="67"/>
      <c r="AH198" s="67"/>
      <c r="AI198" s="67"/>
      <c r="AK198" s="67"/>
      <c r="AL198" s="70">
        <f t="shared" si="32"/>
        <v>0</v>
      </c>
    </row>
    <row r="199" spans="2:38" x14ac:dyDescent="0.2">
      <c r="B199" s="5">
        <f t="shared" si="28"/>
        <v>192</v>
      </c>
      <c r="C199" s="5">
        <f t="shared" si="29"/>
        <v>192</v>
      </c>
      <c r="D199" s="5">
        <f t="shared" si="30"/>
        <v>15</v>
      </c>
      <c r="E199" s="5">
        <f t="shared" si="31"/>
        <v>61</v>
      </c>
      <c r="F199" s="64">
        <f>1-(1-VLOOKUP($E199,'Annual Mortality Rates'!$B$5:$C$105,2,FALSE))^(1/12)</f>
        <v>3.6573479451496027E-4</v>
      </c>
      <c r="G199" s="75">
        <f>IF(C199&gt;=[1]Assumptions!$H$9*12,100%,1-(1-IF(D199&gt;=7,2%,VLOOKUP($D199,'[1]Annual Lapse Rates'!$B$4:$C$14,2,FALSE)))^(1/12))</f>
        <v>1</v>
      </c>
      <c r="H199" s="81">
        <f t="shared" si="33"/>
        <v>12</v>
      </c>
      <c r="I199" s="65">
        <f t="shared" si="34"/>
        <v>0</v>
      </c>
      <c r="J199" s="66">
        <f t="shared" si="35"/>
        <v>0</v>
      </c>
      <c r="K199" s="66">
        <f t="shared" si="36"/>
        <v>0</v>
      </c>
      <c r="M199" s="67">
        <f t="shared" si="41"/>
        <v>186177863.20189109</v>
      </c>
      <c r="N199" s="67">
        <f>IF(AND(MOD(C199,12)=1,D199&lt;15),Assumptions!$H$4*I198,0)</f>
        <v>0</v>
      </c>
      <c r="O199" s="67"/>
      <c r="P199" s="90">
        <f t="shared" si="37"/>
        <v>186245954.92443249</v>
      </c>
      <c r="Q199" s="90">
        <f>M199*VLOOKUP(MOD(C199,12)+(MOD(C199,12)=0)*12,Assumptions!$C$22:$D$33,2,FALSE)*(F199+G199)</f>
        <v>6984223.3096662192</v>
      </c>
      <c r="R199" s="67">
        <f>IF(AND(MOD(C199,12)=0,D199&lt;15),Assumptions!$C$7*M199,0)</f>
        <v>0</v>
      </c>
      <c r="S199" s="68">
        <f>IF(MOD(C199,12)=0,M199*Assumptions!$D$17,0)</f>
        <v>758511.66045965406</v>
      </c>
      <c r="T199" s="68">
        <f t="shared" si="38"/>
        <v>186936374.86235076</v>
      </c>
      <c r="U199" s="67">
        <f>T199+AE199*(1+Assumptions!$D$17)</f>
        <v>186936374.86235076</v>
      </c>
      <c r="V199" s="67">
        <f>(M199+N199-O199)*(1+Assumptions!$D$17)-(P199+Q199)*(1+Assumptions!$D$17)^0.5-R199-T199</f>
        <v>-193623399.96512958</v>
      </c>
      <c r="W199" s="67"/>
      <c r="X199" s="67">
        <f>IF(AND(H199=1,D199&lt;15),Assumptions!$D$10*N199+Assumptions!$D$11*(1+Assumptions!$D$16)^(B199-1)*$I$7,0)</f>
        <v>0</v>
      </c>
      <c r="Y199" s="65">
        <f>Assumptions!$C$13*N199</f>
        <v>0</v>
      </c>
      <c r="Z199" s="65">
        <f>NPV(Assumptions!$D$19,N199:$N$259)*(1+Assumptions!$D$19)</f>
        <v>0</v>
      </c>
      <c r="AA199" s="68">
        <f t="shared" si="39"/>
        <v>0</v>
      </c>
      <c r="AC199" s="67">
        <f t="shared" si="40"/>
        <v>-193623399.96512958</v>
      </c>
      <c r="AD199" s="67"/>
      <c r="AE199" s="67"/>
      <c r="AF199" s="67"/>
      <c r="AG199" s="67"/>
      <c r="AH199" s="67"/>
      <c r="AI199" s="67"/>
      <c r="AK199" s="67"/>
      <c r="AL199" s="70">
        <f t="shared" si="32"/>
        <v>0</v>
      </c>
    </row>
    <row r="200" spans="2:38" x14ac:dyDescent="0.2">
      <c r="B200" s="5">
        <f t="shared" ref="B200:B259" si="42">B199+1</f>
        <v>193</v>
      </c>
      <c r="C200" s="5">
        <f t="shared" ref="C200:C259" si="43">$C$4+B200</f>
        <v>193</v>
      </c>
      <c r="D200" s="5">
        <f t="shared" ref="D200:D259" si="44">ROUNDDOWN((C200-1)/12,0)</f>
        <v>16</v>
      </c>
      <c r="E200" s="5">
        <f t="shared" ref="E200:E259" si="45">ROUNDDOWN(($E$4+B200)/12,0)</f>
        <v>62</v>
      </c>
      <c r="F200" s="64">
        <f>1-(1-VLOOKUP($E200,'Annual Mortality Rates'!$B$5:$C$105,2,FALSE))^(1/12)</f>
        <v>4.0004569505669441E-4</v>
      </c>
      <c r="G200" s="75">
        <f>IF(C200&gt;=[1]Assumptions!$H$9*12,100%,1-(1-IF(D200&gt;=7,2%,VLOOKUP($D200,'[1]Annual Lapse Rates'!$B$4:$C$14,2,FALSE)))^(1/12))</f>
        <v>1</v>
      </c>
      <c r="H200" s="81">
        <f t="shared" si="33"/>
        <v>1</v>
      </c>
      <c r="I200" s="65">
        <f t="shared" si="34"/>
        <v>0</v>
      </c>
      <c r="J200" s="66">
        <f t="shared" si="35"/>
        <v>0</v>
      </c>
      <c r="K200" s="66">
        <f t="shared" si="36"/>
        <v>0</v>
      </c>
      <c r="M200" s="67">
        <f t="shared" si="41"/>
        <v>-193623399.96512958</v>
      </c>
      <c r="N200" s="67">
        <f>IF(AND(MOD(C200,12)=1,D200&lt;15),Assumptions!$H$4*I199,0)</f>
        <v>0</v>
      </c>
      <c r="O200" s="67"/>
      <c r="P200" s="90">
        <f t="shared" si="37"/>
        <v>-193700858.17274785</v>
      </c>
      <c r="Q200" s="90">
        <f>M200*VLOOKUP(MOD(C200,12)+(MOD(C200,12)=0)*12,Assumptions!$C$22:$D$33,2,FALSE)*(F200+G200)</f>
        <v>-605315.18178983708</v>
      </c>
      <c r="R200" s="67">
        <f>IF(AND(MOD(C200,12)=0,D200&lt;15),Assumptions!$C$7*M200,0)</f>
        <v>0</v>
      </c>
      <c r="S200" s="68">
        <f>IF(MOD(C200,12)=0,M200*Assumptions!$D$17,0)</f>
        <v>0</v>
      </c>
      <c r="T200" s="68">
        <f t="shared" si="38"/>
        <v>-193623399.96512958</v>
      </c>
      <c r="U200" s="67">
        <f>T200+AE200*(1+Assumptions!$D$17)</f>
        <v>-193623399.96512958</v>
      </c>
      <c r="V200" s="67">
        <f>(M200+N200-O200)*(1+Assumptions!$D$17)-(P200+Q200)*(1+Assumptions!$D$17)^0.5-R200-T200</f>
        <v>193912739.02740553</v>
      </c>
      <c r="W200" s="67"/>
      <c r="X200" s="67">
        <f>IF(AND(H200=1,D200&lt;15),Assumptions!$D$10*N200+Assumptions!$D$11*(1+Assumptions!$D$16)^(B200-1)*$I$7,0)</f>
        <v>0</v>
      </c>
      <c r="Y200" s="65">
        <f>Assumptions!$C$13*N200</f>
        <v>0</v>
      </c>
      <c r="Z200" s="65">
        <f>NPV(Assumptions!$D$19,N200:$N$259)*(1+Assumptions!$D$19)</f>
        <v>0</v>
      </c>
      <c r="AA200" s="68">
        <f t="shared" si="39"/>
        <v>0</v>
      </c>
      <c r="AC200" s="67">
        <f t="shared" si="40"/>
        <v>193912739.02740553</v>
      </c>
      <c r="AD200" s="67"/>
      <c r="AE200" s="67"/>
      <c r="AF200" s="67"/>
      <c r="AG200" s="67"/>
      <c r="AH200" s="67"/>
      <c r="AI200" s="67"/>
      <c r="AK200" s="67"/>
      <c r="AL200" s="70">
        <f t="shared" ref="AL200:AL259" si="46">ROUND(AK200-AG200,3)</f>
        <v>0</v>
      </c>
    </row>
    <row r="201" spans="2:38" x14ac:dyDescent="0.2">
      <c r="B201" s="5">
        <f t="shared" si="42"/>
        <v>194</v>
      </c>
      <c r="C201" s="5">
        <f t="shared" si="43"/>
        <v>194</v>
      </c>
      <c r="D201" s="5">
        <f t="shared" si="44"/>
        <v>16</v>
      </c>
      <c r="E201" s="5">
        <f t="shared" si="45"/>
        <v>62</v>
      </c>
      <c r="F201" s="64">
        <f>1-(1-VLOOKUP($E201,'Annual Mortality Rates'!$B$5:$C$105,2,FALSE))^(1/12)</f>
        <v>4.0004569505669441E-4</v>
      </c>
      <c r="G201" s="75">
        <f>IF(C201&gt;=[1]Assumptions!$H$9*12,100%,1-(1-IF(D201&gt;=7,2%,VLOOKUP($D201,'[1]Annual Lapse Rates'!$B$4:$C$14,2,FALSE)))^(1/12))</f>
        <v>1</v>
      </c>
      <c r="H201" s="81">
        <f t="shared" ref="H201:H259" si="47">MOD(C201,12)+(MOD(C201,12)=0)*12</f>
        <v>2</v>
      </c>
      <c r="I201" s="65">
        <f t="shared" ref="I201:I259" si="48">I200-J200-K200</f>
        <v>0</v>
      </c>
      <c r="J201" s="66">
        <f t="shared" ref="J201:J259" si="49">$I201*F201</f>
        <v>0</v>
      </c>
      <c r="K201" s="66">
        <f t="shared" ref="K201:K259" si="50">IF(G201=100%,I201-J201,$I200*G201)</f>
        <v>0</v>
      </c>
      <c r="M201" s="67">
        <f t="shared" si="41"/>
        <v>193912739.02740553</v>
      </c>
      <c r="N201" s="67">
        <f>IF(AND(MOD(C201,12)=1,D201&lt;15),Assumptions!$H$4*I200,0)</f>
        <v>0</v>
      </c>
      <c r="O201" s="67"/>
      <c r="P201" s="90">
        <f t="shared" ref="P201:P259" si="51">M201*(F201+G201)</f>
        <v>193990312.98387009</v>
      </c>
      <c r="Q201" s="90">
        <f>M201*VLOOKUP(MOD(C201,12)+(MOD(C201,12)=0)*12,Assumptions!$C$22:$D$33,2,FALSE)*(F201+G201)</f>
        <v>1212439.4561491879</v>
      </c>
      <c r="R201" s="67">
        <f>IF(AND(MOD(C201,12)=0,D201&lt;15),Assumptions!$C$7*M201,0)</f>
        <v>0</v>
      </c>
      <c r="S201" s="68">
        <f>IF(MOD(C201,12)=0,M201*Assumptions!$D$17,0)</f>
        <v>0</v>
      </c>
      <c r="T201" s="68">
        <f t="shared" ref="T201:T259" si="52">(M201+S201)*(G201=100%)</f>
        <v>193912739.02740553</v>
      </c>
      <c r="U201" s="67">
        <f>T201+AE201*(1+Assumptions!$D$17)</f>
        <v>193912739.02740553</v>
      </c>
      <c r="V201" s="67">
        <f>(M201+N201-O201)*(1+Assumptions!$D$17)-(P201+Q201)*(1+Assumptions!$D$17)^0.5-R201-T201</f>
        <v>-194809963.840368</v>
      </c>
      <c r="W201" s="67"/>
      <c r="X201" s="67">
        <f>IF(AND(H201=1,D201&lt;15),Assumptions!$D$10*N201+Assumptions!$D$11*(1+Assumptions!$D$16)^(B201-1)*$I$7,0)</f>
        <v>0</v>
      </c>
      <c r="Y201" s="65">
        <f>Assumptions!$C$13*N201</f>
        <v>0</v>
      </c>
      <c r="Z201" s="65">
        <f>NPV(Assumptions!$D$19,N201:$N$259)*(1+Assumptions!$D$19)</f>
        <v>0</v>
      </c>
      <c r="AA201" s="68">
        <f t="shared" ref="AA201:AA259" si="53">Z202*$AA$4</f>
        <v>0</v>
      </c>
      <c r="AC201" s="67">
        <f t="shared" ref="AC201:AC259" si="54">V201</f>
        <v>-194809963.840368</v>
      </c>
      <c r="AD201" s="67"/>
      <c r="AE201" s="67"/>
      <c r="AF201" s="67"/>
      <c r="AG201" s="67"/>
      <c r="AH201" s="67"/>
      <c r="AI201" s="67"/>
      <c r="AK201" s="67"/>
      <c r="AL201" s="70">
        <f t="shared" si="46"/>
        <v>0</v>
      </c>
    </row>
    <row r="202" spans="2:38" x14ac:dyDescent="0.2">
      <c r="B202" s="5">
        <f t="shared" si="42"/>
        <v>195</v>
      </c>
      <c r="C202" s="5">
        <f t="shared" si="43"/>
        <v>195</v>
      </c>
      <c r="D202" s="5">
        <f t="shared" si="44"/>
        <v>16</v>
      </c>
      <c r="E202" s="5">
        <f t="shared" si="45"/>
        <v>62</v>
      </c>
      <c r="F202" s="64">
        <f>1-(1-VLOOKUP($E202,'Annual Mortality Rates'!$B$5:$C$105,2,FALSE))^(1/12)</f>
        <v>4.0004569505669441E-4</v>
      </c>
      <c r="G202" s="75">
        <f>IF(C202&gt;=[1]Assumptions!$H$9*12,100%,1-(1-IF(D202&gt;=7,2%,VLOOKUP($D202,'[1]Annual Lapse Rates'!$B$4:$C$14,2,FALSE)))^(1/12))</f>
        <v>1</v>
      </c>
      <c r="H202" s="81">
        <f t="shared" si="47"/>
        <v>3</v>
      </c>
      <c r="I202" s="65">
        <f t="shared" si="48"/>
        <v>0</v>
      </c>
      <c r="J202" s="66">
        <f t="shared" si="49"/>
        <v>0</v>
      </c>
      <c r="K202" s="66">
        <f t="shared" si="50"/>
        <v>0</v>
      </c>
      <c r="M202" s="67">
        <f t="shared" ref="M202:M259" si="55">V201</f>
        <v>-194809963.840368</v>
      </c>
      <c r="N202" s="67">
        <f>IF(AND(MOD(C202,12)=1,D202&lt;15),Assumptions!$H$4*I201,0)</f>
        <v>0</v>
      </c>
      <c r="O202" s="67"/>
      <c r="P202" s="90">
        <f t="shared" si="51"/>
        <v>-194887896.72775647</v>
      </c>
      <c r="Q202" s="90">
        <f>M202*VLOOKUP(MOD(C202,12)+(MOD(C202,12)=0)*12,Assumptions!$C$22:$D$33,2,FALSE)*(F202+G202)</f>
        <v>-1827074.0318227173</v>
      </c>
      <c r="R202" s="67">
        <f>IF(AND(MOD(C202,12)=0,D202&lt;15),Assumptions!$C$7*M202,0)</f>
        <v>0</v>
      </c>
      <c r="S202" s="68">
        <f>IF(MOD(C202,12)=0,M202*Assumptions!$D$17,0)</f>
        <v>0</v>
      </c>
      <c r="T202" s="68">
        <f t="shared" si="52"/>
        <v>-194809963.840368</v>
      </c>
      <c r="U202" s="67">
        <f>T202+AE202*(1+Assumptions!$D$17)</f>
        <v>-194809963.840368</v>
      </c>
      <c r="V202" s="67">
        <f>(M202+N202-O202)*(1+Assumptions!$D$17)-(P202+Q202)*(1+Assumptions!$D$17)^0.5-R202-T202</f>
        <v>196321604.10609767</v>
      </c>
      <c r="W202" s="67"/>
      <c r="X202" s="67">
        <f>IF(AND(H202=1,D202&lt;15),Assumptions!$D$10*N202+Assumptions!$D$11*(1+Assumptions!$D$16)^(B202-1)*$I$7,0)</f>
        <v>0</v>
      </c>
      <c r="Y202" s="65">
        <f>Assumptions!$C$13*N202</f>
        <v>0</v>
      </c>
      <c r="Z202" s="65">
        <f>NPV(Assumptions!$D$19,N202:$N$259)*(1+Assumptions!$D$19)</f>
        <v>0</v>
      </c>
      <c r="AA202" s="68">
        <f t="shared" si="53"/>
        <v>0</v>
      </c>
      <c r="AC202" s="67">
        <f t="shared" si="54"/>
        <v>196321604.10609767</v>
      </c>
      <c r="AD202" s="67"/>
      <c r="AE202" s="67"/>
      <c r="AF202" s="67"/>
      <c r="AG202" s="67"/>
      <c r="AH202" s="67"/>
      <c r="AI202" s="67"/>
      <c r="AK202" s="67"/>
      <c r="AL202" s="70">
        <f t="shared" si="46"/>
        <v>0</v>
      </c>
    </row>
    <row r="203" spans="2:38" x14ac:dyDescent="0.2">
      <c r="B203" s="5">
        <f t="shared" si="42"/>
        <v>196</v>
      </c>
      <c r="C203" s="5">
        <f t="shared" si="43"/>
        <v>196</v>
      </c>
      <c r="D203" s="5">
        <f t="shared" si="44"/>
        <v>16</v>
      </c>
      <c r="E203" s="5">
        <f t="shared" si="45"/>
        <v>62</v>
      </c>
      <c r="F203" s="64">
        <f>1-(1-VLOOKUP($E203,'Annual Mortality Rates'!$B$5:$C$105,2,FALSE))^(1/12)</f>
        <v>4.0004569505669441E-4</v>
      </c>
      <c r="G203" s="75">
        <f>IF(C203&gt;=[1]Assumptions!$H$9*12,100%,1-(1-IF(D203&gt;=7,2%,VLOOKUP($D203,'[1]Annual Lapse Rates'!$B$4:$C$14,2,FALSE)))^(1/12))</f>
        <v>1</v>
      </c>
      <c r="H203" s="81">
        <f t="shared" si="47"/>
        <v>4</v>
      </c>
      <c r="I203" s="65">
        <f t="shared" si="48"/>
        <v>0</v>
      </c>
      <c r="J203" s="66">
        <f t="shared" si="49"/>
        <v>0</v>
      </c>
      <c r="K203" s="66">
        <f t="shared" si="50"/>
        <v>0</v>
      </c>
      <c r="M203" s="67">
        <f t="shared" si="55"/>
        <v>196321604.10609767</v>
      </c>
      <c r="N203" s="67">
        <f>IF(AND(MOD(C203,12)=1,D203&lt;15),Assumptions!$H$4*I202,0)</f>
        <v>0</v>
      </c>
      <c r="O203" s="67"/>
      <c r="P203" s="90">
        <f t="shared" si="51"/>
        <v>196400141.71866691</v>
      </c>
      <c r="Q203" s="90">
        <f>M203*VLOOKUP(MOD(C203,12)+(MOD(C203,12)=0)*12,Assumptions!$C$22:$D$33,2,FALSE)*(F203+G203)</f>
        <v>2455001.7714833366</v>
      </c>
      <c r="R203" s="67">
        <f>IF(AND(MOD(C203,12)=0,D203&lt;15),Assumptions!$C$7*M203,0)</f>
        <v>0</v>
      </c>
      <c r="S203" s="68">
        <f>IF(MOD(C203,12)=0,M203*Assumptions!$D$17,0)</f>
        <v>0</v>
      </c>
      <c r="T203" s="68">
        <f t="shared" si="52"/>
        <v>196321604.10609767</v>
      </c>
      <c r="U203" s="67">
        <f>T203+AE203*(1+Assumptions!$D$17)</f>
        <v>196321604.10609767</v>
      </c>
      <c r="V203" s="67">
        <f>(M203+N203-O203)*(1+Assumptions!$D$17)-(P203+Q203)*(1+Assumptions!$D$17)^0.5-R203-T203</f>
        <v>-198459973.45999065</v>
      </c>
      <c r="W203" s="67"/>
      <c r="X203" s="67">
        <f>IF(AND(H203=1,D203&lt;15),Assumptions!$D$10*N203+Assumptions!$D$11*(1+Assumptions!$D$16)^(B203-1)*$I$7,0)</f>
        <v>0</v>
      </c>
      <c r="Y203" s="65">
        <f>Assumptions!$C$13*N203</f>
        <v>0</v>
      </c>
      <c r="Z203" s="65">
        <f>NPV(Assumptions!$D$19,N203:$N$259)*(1+Assumptions!$D$19)</f>
        <v>0</v>
      </c>
      <c r="AA203" s="68">
        <f t="shared" si="53"/>
        <v>0</v>
      </c>
      <c r="AC203" s="67">
        <f t="shared" si="54"/>
        <v>-198459973.45999065</v>
      </c>
      <c r="AD203" s="67"/>
      <c r="AE203" s="67"/>
      <c r="AF203" s="67"/>
      <c r="AG203" s="67"/>
      <c r="AH203" s="67"/>
      <c r="AI203" s="67"/>
      <c r="AK203" s="67"/>
      <c r="AL203" s="70">
        <f t="shared" si="46"/>
        <v>0</v>
      </c>
    </row>
    <row r="204" spans="2:38" x14ac:dyDescent="0.2">
      <c r="B204" s="5">
        <f t="shared" si="42"/>
        <v>197</v>
      </c>
      <c r="C204" s="5">
        <f t="shared" si="43"/>
        <v>197</v>
      </c>
      <c r="D204" s="5">
        <f t="shared" si="44"/>
        <v>16</v>
      </c>
      <c r="E204" s="5">
        <f t="shared" si="45"/>
        <v>62</v>
      </c>
      <c r="F204" s="64">
        <f>1-(1-VLOOKUP($E204,'Annual Mortality Rates'!$B$5:$C$105,2,FALSE))^(1/12)</f>
        <v>4.0004569505669441E-4</v>
      </c>
      <c r="G204" s="75">
        <f>IF(C204&gt;=[1]Assumptions!$H$9*12,100%,1-(1-IF(D204&gt;=7,2%,VLOOKUP($D204,'[1]Annual Lapse Rates'!$B$4:$C$14,2,FALSE)))^(1/12))</f>
        <v>1</v>
      </c>
      <c r="H204" s="81">
        <f t="shared" si="47"/>
        <v>5</v>
      </c>
      <c r="I204" s="65">
        <f t="shared" si="48"/>
        <v>0</v>
      </c>
      <c r="J204" s="66">
        <f t="shared" si="49"/>
        <v>0</v>
      </c>
      <c r="K204" s="66">
        <f t="shared" si="50"/>
        <v>0</v>
      </c>
      <c r="M204" s="67">
        <f t="shared" si="55"/>
        <v>-198459973.45999065</v>
      </c>
      <c r="N204" s="67">
        <f>IF(AND(MOD(C204,12)=1,D204&lt;15),Assumptions!$H$4*I203,0)</f>
        <v>0</v>
      </c>
      <c r="O204" s="67"/>
      <c r="P204" s="90">
        <f t="shared" si="51"/>
        <v>-198539366.51801437</v>
      </c>
      <c r="Q204" s="90">
        <f>M204*VLOOKUP(MOD(C204,12)+(MOD(C204,12)=0)*12,Assumptions!$C$22:$D$33,2,FALSE)*(F204+G204)</f>
        <v>-3102177.6018439746</v>
      </c>
      <c r="R204" s="67">
        <f>IF(AND(MOD(C204,12)=0,D204&lt;15),Assumptions!$C$7*M204,0)</f>
        <v>0</v>
      </c>
      <c r="S204" s="68">
        <f>IF(MOD(C204,12)=0,M204*Assumptions!$D$17,0)</f>
        <v>0</v>
      </c>
      <c r="T204" s="68">
        <f t="shared" si="52"/>
        <v>-198459973.45999065</v>
      </c>
      <c r="U204" s="67">
        <f>T204+AE204*(1+Assumptions!$D$17)</f>
        <v>-198459973.45999065</v>
      </c>
      <c r="V204" s="67">
        <f>(M204+N204-O204)*(1+Assumptions!$D$17)-(P204+Q204)*(1+Assumptions!$D$17)^0.5-R204-T204</f>
        <v>201243332.40928736</v>
      </c>
      <c r="W204" s="67"/>
      <c r="X204" s="67">
        <f>IF(AND(H204=1,D204&lt;15),Assumptions!$D$10*N204+Assumptions!$D$11*(1+Assumptions!$D$16)^(B204-1)*$I$7,0)</f>
        <v>0</v>
      </c>
      <c r="Y204" s="65">
        <f>Assumptions!$C$13*N204</f>
        <v>0</v>
      </c>
      <c r="Z204" s="65">
        <f>NPV(Assumptions!$D$19,N204:$N$259)*(1+Assumptions!$D$19)</f>
        <v>0</v>
      </c>
      <c r="AA204" s="68">
        <f t="shared" si="53"/>
        <v>0</v>
      </c>
      <c r="AC204" s="67">
        <f t="shared" si="54"/>
        <v>201243332.40928736</v>
      </c>
      <c r="AD204" s="67"/>
      <c r="AE204" s="67"/>
      <c r="AF204" s="67"/>
      <c r="AG204" s="67"/>
      <c r="AH204" s="67"/>
      <c r="AI204" s="67"/>
      <c r="AK204" s="67"/>
      <c r="AL204" s="70">
        <f t="shared" si="46"/>
        <v>0</v>
      </c>
    </row>
    <row r="205" spans="2:38" x14ac:dyDescent="0.2">
      <c r="B205" s="5">
        <f t="shared" si="42"/>
        <v>198</v>
      </c>
      <c r="C205" s="5">
        <f t="shared" si="43"/>
        <v>198</v>
      </c>
      <c r="D205" s="5">
        <f t="shared" si="44"/>
        <v>16</v>
      </c>
      <c r="E205" s="5">
        <f t="shared" si="45"/>
        <v>62</v>
      </c>
      <c r="F205" s="64">
        <f>1-(1-VLOOKUP($E205,'Annual Mortality Rates'!$B$5:$C$105,2,FALSE))^(1/12)</f>
        <v>4.0004569505669441E-4</v>
      </c>
      <c r="G205" s="75">
        <f>IF(C205&gt;=[1]Assumptions!$H$9*12,100%,1-(1-IF(D205&gt;=7,2%,VLOOKUP($D205,'[1]Annual Lapse Rates'!$B$4:$C$14,2,FALSE)))^(1/12))</f>
        <v>1</v>
      </c>
      <c r="H205" s="81">
        <f t="shared" si="47"/>
        <v>6</v>
      </c>
      <c r="I205" s="65">
        <f t="shared" si="48"/>
        <v>0</v>
      </c>
      <c r="J205" s="66">
        <f t="shared" si="49"/>
        <v>0</v>
      </c>
      <c r="K205" s="66">
        <f t="shared" si="50"/>
        <v>0</v>
      </c>
      <c r="M205" s="67">
        <f t="shared" si="55"/>
        <v>201243332.40928736</v>
      </c>
      <c r="N205" s="67">
        <f>IF(AND(MOD(C205,12)=1,D205&lt;15),Assumptions!$H$4*I204,0)</f>
        <v>0</v>
      </c>
      <c r="O205" s="67"/>
      <c r="P205" s="90">
        <f t="shared" si="51"/>
        <v>201323838.93807653</v>
      </c>
      <c r="Q205" s="90">
        <f>M205*VLOOKUP(MOD(C205,12)+(MOD(C205,12)=0)*12,Assumptions!$C$22:$D$33,2,FALSE)*(F205+G205)</f>
        <v>3774821.9800889357</v>
      </c>
      <c r="R205" s="67">
        <f>IF(AND(MOD(C205,12)=0,D205&lt;15),Assumptions!$C$7*M205,0)</f>
        <v>0</v>
      </c>
      <c r="S205" s="68">
        <f>IF(MOD(C205,12)=0,M205*Assumptions!$D$17,0)</f>
        <v>0</v>
      </c>
      <c r="T205" s="68">
        <f t="shared" si="52"/>
        <v>201243332.40928736</v>
      </c>
      <c r="U205" s="67">
        <f>T205+AE205*(1+Assumptions!$D$17)</f>
        <v>201243332.40928736</v>
      </c>
      <c r="V205" s="67">
        <f>(M205+N205-O205)*(1+Assumptions!$D$17)-(P205+Q205)*(1+Assumptions!$D$17)^0.5-R205-T205</f>
        <v>-204696144.6612981</v>
      </c>
      <c r="W205" s="67"/>
      <c r="X205" s="67">
        <f>IF(AND(H205=1,D205&lt;15),Assumptions!$D$10*N205+Assumptions!$D$11*(1+Assumptions!$D$16)^(B205-1)*$I$7,0)</f>
        <v>0</v>
      </c>
      <c r="Y205" s="65">
        <f>Assumptions!$C$13*N205</f>
        <v>0</v>
      </c>
      <c r="Z205" s="65">
        <f>NPV(Assumptions!$D$19,N205:$N$259)*(1+Assumptions!$D$19)</f>
        <v>0</v>
      </c>
      <c r="AA205" s="68">
        <f t="shared" si="53"/>
        <v>0</v>
      </c>
      <c r="AC205" s="67">
        <f t="shared" si="54"/>
        <v>-204696144.6612981</v>
      </c>
      <c r="AD205" s="67"/>
      <c r="AE205" s="67"/>
      <c r="AF205" s="67"/>
      <c r="AG205" s="67"/>
      <c r="AH205" s="67"/>
      <c r="AI205" s="67"/>
      <c r="AK205" s="67"/>
      <c r="AL205" s="70">
        <f t="shared" si="46"/>
        <v>0</v>
      </c>
    </row>
    <row r="206" spans="2:38" x14ac:dyDescent="0.2">
      <c r="B206" s="5">
        <f t="shared" si="42"/>
        <v>199</v>
      </c>
      <c r="C206" s="5">
        <f t="shared" si="43"/>
        <v>199</v>
      </c>
      <c r="D206" s="5">
        <f t="shared" si="44"/>
        <v>16</v>
      </c>
      <c r="E206" s="5">
        <f t="shared" si="45"/>
        <v>62</v>
      </c>
      <c r="F206" s="64">
        <f>1-(1-VLOOKUP($E206,'Annual Mortality Rates'!$B$5:$C$105,2,FALSE))^(1/12)</f>
        <v>4.0004569505669441E-4</v>
      </c>
      <c r="G206" s="75">
        <f>IF(C206&gt;=[1]Assumptions!$H$9*12,100%,1-(1-IF(D206&gt;=7,2%,VLOOKUP($D206,'[1]Annual Lapse Rates'!$B$4:$C$14,2,FALSE)))^(1/12))</f>
        <v>1</v>
      </c>
      <c r="H206" s="81">
        <f t="shared" si="47"/>
        <v>7</v>
      </c>
      <c r="I206" s="65">
        <f t="shared" si="48"/>
        <v>0</v>
      </c>
      <c r="J206" s="66">
        <f t="shared" si="49"/>
        <v>0</v>
      </c>
      <c r="K206" s="66">
        <f t="shared" si="50"/>
        <v>0</v>
      </c>
      <c r="M206" s="67">
        <f t="shared" si="55"/>
        <v>-204696144.6612981</v>
      </c>
      <c r="N206" s="67">
        <f>IF(AND(MOD(C206,12)=1,D206&lt;15),Assumptions!$H$4*I205,0)</f>
        <v>0</v>
      </c>
      <c r="O206" s="67"/>
      <c r="P206" s="90">
        <f t="shared" si="51"/>
        <v>-204778032.47276452</v>
      </c>
      <c r="Q206" s="90">
        <f>M206*VLOOKUP(MOD(C206,12)+(MOD(C206,12)=0)*12,Assumptions!$C$22:$D$33,2,FALSE)*(F206+G206)</f>
        <v>-4479519.4603417236</v>
      </c>
      <c r="R206" s="67">
        <f>IF(AND(MOD(C206,12)=0,D206&lt;15),Assumptions!$C$7*M206,0)</f>
        <v>0</v>
      </c>
      <c r="S206" s="68">
        <f>IF(MOD(C206,12)=0,M206*Assumptions!$D$17,0)</f>
        <v>0</v>
      </c>
      <c r="T206" s="68">
        <f t="shared" si="52"/>
        <v>-204696144.6612981</v>
      </c>
      <c r="U206" s="67">
        <f>T206+AE206*(1+Assumptions!$D$17)</f>
        <v>-204696144.6612981</v>
      </c>
      <c r="V206" s="67">
        <f>(M206+N206-O206)*(1+Assumptions!$D$17)-(P206+Q206)*(1+Assumptions!$D$17)^0.5-R206-T206</f>
        <v>208849431.79874319</v>
      </c>
      <c r="W206" s="67"/>
      <c r="X206" s="67">
        <f>IF(AND(H206=1,D206&lt;15),Assumptions!$D$10*N206+Assumptions!$D$11*(1+Assumptions!$D$16)^(B206-1)*$I$7,0)</f>
        <v>0</v>
      </c>
      <c r="Y206" s="65">
        <f>Assumptions!$C$13*N206</f>
        <v>0</v>
      </c>
      <c r="Z206" s="65">
        <f>NPV(Assumptions!$D$19,N206:$N$259)*(1+Assumptions!$D$19)</f>
        <v>0</v>
      </c>
      <c r="AA206" s="68">
        <f t="shared" si="53"/>
        <v>0</v>
      </c>
      <c r="AC206" s="67">
        <f t="shared" si="54"/>
        <v>208849431.79874319</v>
      </c>
      <c r="AD206" s="67"/>
      <c r="AE206" s="67"/>
      <c r="AF206" s="67"/>
      <c r="AG206" s="67"/>
      <c r="AH206" s="67"/>
      <c r="AI206" s="67"/>
      <c r="AK206" s="67"/>
      <c r="AL206" s="70">
        <f t="shared" si="46"/>
        <v>0</v>
      </c>
    </row>
    <row r="207" spans="2:38" x14ac:dyDescent="0.2">
      <c r="B207" s="5">
        <f t="shared" si="42"/>
        <v>200</v>
      </c>
      <c r="C207" s="5">
        <f t="shared" si="43"/>
        <v>200</v>
      </c>
      <c r="D207" s="5">
        <f t="shared" si="44"/>
        <v>16</v>
      </c>
      <c r="E207" s="5">
        <f t="shared" si="45"/>
        <v>62</v>
      </c>
      <c r="F207" s="64">
        <f>1-(1-VLOOKUP($E207,'Annual Mortality Rates'!$B$5:$C$105,2,FALSE))^(1/12)</f>
        <v>4.0004569505669441E-4</v>
      </c>
      <c r="G207" s="75">
        <f>IF(C207&gt;=[1]Assumptions!$H$9*12,100%,1-(1-IF(D207&gt;=7,2%,VLOOKUP($D207,'[1]Annual Lapse Rates'!$B$4:$C$14,2,FALSE)))^(1/12))</f>
        <v>1</v>
      </c>
      <c r="H207" s="81">
        <f t="shared" si="47"/>
        <v>8</v>
      </c>
      <c r="I207" s="65">
        <f t="shared" si="48"/>
        <v>0</v>
      </c>
      <c r="J207" s="66">
        <f t="shared" si="49"/>
        <v>0</v>
      </c>
      <c r="K207" s="66">
        <f t="shared" si="50"/>
        <v>0</v>
      </c>
      <c r="M207" s="67">
        <f t="shared" si="55"/>
        <v>208849431.79874319</v>
      </c>
      <c r="N207" s="67">
        <f>IF(AND(MOD(C207,12)=1,D207&lt;15),Assumptions!$H$4*I206,0)</f>
        <v>0</v>
      </c>
      <c r="O207" s="67"/>
      <c r="P207" s="90">
        <f t="shared" si="51"/>
        <v>208932981.1148493</v>
      </c>
      <c r="Q207" s="90">
        <f>M207*VLOOKUP(MOD(C207,12)+(MOD(C207,12)=0)*12,Assumptions!$C$22:$D$33,2,FALSE)*(F207+G207)</f>
        <v>5223324.5278712325</v>
      </c>
      <c r="R207" s="67">
        <f>IF(AND(MOD(C207,12)=0,D207&lt;15),Assumptions!$C$7*M207,0)</f>
        <v>0</v>
      </c>
      <c r="S207" s="68">
        <f>IF(MOD(C207,12)=0,M207*Assumptions!$D$17,0)</f>
        <v>0</v>
      </c>
      <c r="T207" s="68">
        <f t="shared" si="52"/>
        <v>208849431.79874319</v>
      </c>
      <c r="U207" s="67">
        <f>T207+AE207*(1+Assumptions!$D$17)</f>
        <v>208849431.79874319</v>
      </c>
      <c r="V207" s="67">
        <f>(M207+N207-O207)*(1+Assumptions!$D$17)-(P207+Q207)*(1+Assumptions!$D$17)^0.5-R207-T207</f>
        <v>-213741233.42361587</v>
      </c>
      <c r="W207" s="67"/>
      <c r="X207" s="67">
        <f>IF(AND(H207=1,D207&lt;15),Assumptions!$D$10*N207+Assumptions!$D$11*(1+Assumptions!$D$16)^(B207-1)*$I$7,0)</f>
        <v>0</v>
      </c>
      <c r="Y207" s="65">
        <f>Assumptions!$C$13*N207</f>
        <v>0</v>
      </c>
      <c r="Z207" s="65">
        <f>NPV(Assumptions!$D$19,N207:$N$259)*(1+Assumptions!$D$19)</f>
        <v>0</v>
      </c>
      <c r="AA207" s="68">
        <f t="shared" si="53"/>
        <v>0</v>
      </c>
      <c r="AC207" s="67">
        <f t="shared" si="54"/>
        <v>-213741233.42361587</v>
      </c>
      <c r="AD207" s="67"/>
      <c r="AE207" s="67"/>
      <c r="AF207" s="67"/>
      <c r="AG207" s="67"/>
      <c r="AH207" s="67"/>
      <c r="AI207" s="67"/>
      <c r="AK207" s="67"/>
      <c r="AL207" s="70">
        <f t="shared" si="46"/>
        <v>0</v>
      </c>
    </row>
    <row r="208" spans="2:38" x14ac:dyDescent="0.2">
      <c r="B208" s="5">
        <f t="shared" si="42"/>
        <v>201</v>
      </c>
      <c r="C208" s="5">
        <f t="shared" si="43"/>
        <v>201</v>
      </c>
      <c r="D208" s="5">
        <f t="shared" si="44"/>
        <v>16</v>
      </c>
      <c r="E208" s="5">
        <f t="shared" si="45"/>
        <v>62</v>
      </c>
      <c r="F208" s="64">
        <f>1-(1-VLOOKUP($E208,'Annual Mortality Rates'!$B$5:$C$105,2,FALSE))^(1/12)</f>
        <v>4.0004569505669441E-4</v>
      </c>
      <c r="G208" s="75">
        <f>IF(C208&gt;=[1]Assumptions!$H$9*12,100%,1-(1-IF(D208&gt;=7,2%,VLOOKUP($D208,'[1]Annual Lapse Rates'!$B$4:$C$14,2,FALSE)))^(1/12))</f>
        <v>1</v>
      </c>
      <c r="H208" s="81">
        <f t="shared" si="47"/>
        <v>9</v>
      </c>
      <c r="I208" s="65">
        <f t="shared" si="48"/>
        <v>0</v>
      </c>
      <c r="J208" s="66">
        <f t="shared" si="49"/>
        <v>0</v>
      </c>
      <c r="K208" s="66">
        <f t="shared" si="50"/>
        <v>0</v>
      </c>
      <c r="M208" s="67">
        <f t="shared" si="55"/>
        <v>-213741233.42361587</v>
      </c>
      <c r="N208" s="67">
        <f>IF(AND(MOD(C208,12)=1,D208&lt;15),Assumptions!$H$4*I207,0)</f>
        <v>0</v>
      </c>
      <c r="O208" s="67"/>
      <c r="P208" s="90">
        <f t="shared" si="51"/>
        <v>-213826739.68390307</v>
      </c>
      <c r="Q208" s="90">
        <f>M208*VLOOKUP(MOD(C208,12)+(MOD(C208,12)=0)*12,Assumptions!$C$22:$D$33,2,FALSE)*(F208+G208)</f>
        <v>-6013877.0536097744</v>
      </c>
      <c r="R208" s="67">
        <f>IF(AND(MOD(C208,12)=0,D208&lt;15),Assumptions!$C$7*M208,0)</f>
        <v>0</v>
      </c>
      <c r="S208" s="68">
        <f>IF(MOD(C208,12)=0,M208*Assumptions!$D$17,0)</f>
        <v>0</v>
      </c>
      <c r="T208" s="68">
        <f t="shared" si="52"/>
        <v>-213741233.42361587</v>
      </c>
      <c r="U208" s="67">
        <f>T208+AE208*(1+Assumptions!$D$17)</f>
        <v>-213741233.42361587</v>
      </c>
      <c r="V208" s="67">
        <f>(M208+N208-O208)*(1+Assumptions!$D$17)-(P208+Q208)*(1+Assumptions!$D$17)^0.5-R208-T208</f>
        <v>219417182.23667097</v>
      </c>
      <c r="W208" s="67"/>
      <c r="X208" s="67">
        <f>IF(AND(H208=1,D208&lt;15),Assumptions!$D$10*N208+Assumptions!$D$11*(1+Assumptions!$D$16)^(B208-1)*$I$7,0)</f>
        <v>0</v>
      </c>
      <c r="Y208" s="65">
        <f>Assumptions!$C$13*N208</f>
        <v>0</v>
      </c>
      <c r="Z208" s="65">
        <f>NPV(Assumptions!$D$19,N208:$N$259)*(1+Assumptions!$D$19)</f>
        <v>0</v>
      </c>
      <c r="AA208" s="68">
        <f t="shared" si="53"/>
        <v>0</v>
      </c>
      <c r="AC208" s="67">
        <f t="shared" si="54"/>
        <v>219417182.23667097</v>
      </c>
      <c r="AD208" s="67"/>
      <c r="AE208" s="67"/>
      <c r="AF208" s="67"/>
      <c r="AG208" s="67"/>
      <c r="AH208" s="67"/>
      <c r="AI208" s="67"/>
      <c r="AK208" s="67"/>
      <c r="AL208" s="70">
        <f t="shared" si="46"/>
        <v>0</v>
      </c>
    </row>
    <row r="209" spans="2:38" x14ac:dyDescent="0.2">
      <c r="B209" s="5">
        <f t="shared" si="42"/>
        <v>202</v>
      </c>
      <c r="C209" s="5">
        <f t="shared" si="43"/>
        <v>202</v>
      </c>
      <c r="D209" s="5">
        <f t="shared" si="44"/>
        <v>16</v>
      </c>
      <c r="E209" s="5">
        <f t="shared" si="45"/>
        <v>62</v>
      </c>
      <c r="F209" s="64">
        <f>1-(1-VLOOKUP($E209,'Annual Mortality Rates'!$B$5:$C$105,2,FALSE))^(1/12)</f>
        <v>4.0004569505669441E-4</v>
      </c>
      <c r="G209" s="75">
        <f>IF(C209&gt;=[1]Assumptions!$H$9*12,100%,1-(1-IF(D209&gt;=7,2%,VLOOKUP($D209,'[1]Annual Lapse Rates'!$B$4:$C$14,2,FALSE)))^(1/12))</f>
        <v>1</v>
      </c>
      <c r="H209" s="81">
        <f t="shared" si="47"/>
        <v>10</v>
      </c>
      <c r="I209" s="65">
        <f t="shared" si="48"/>
        <v>0</v>
      </c>
      <c r="J209" s="66">
        <f t="shared" si="49"/>
        <v>0</v>
      </c>
      <c r="K209" s="66">
        <f t="shared" si="50"/>
        <v>0</v>
      </c>
      <c r="M209" s="67">
        <f t="shared" si="55"/>
        <v>219417182.23667097</v>
      </c>
      <c r="N209" s="67">
        <f>IF(AND(MOD(C209,12)=1,D209&lt;15),Assumptions!$H$4*I208,0)</f>
        <v>0</v>
      </c>
      <c r="O209" s="67"/>
      <c r="P209" s="90">
        <f t="shared" si="51"/>
        <v>219504959.1358462</v>
      </c>
      <c r="Q209" s="90">
        <f>M209*VLOOKUP(MOD(C209,12)+(MOD(C209,12)=0)*12,Assumptions!$C$22:$D$33,2,FALSE)*(F209+G209)</f>
        <v>6859529.9729951937</v>
      </c>
      <c r="R209" s="67">
        <f>IF(AND(MOD(C209,12)=0,D209&lt;15),Assumptions!$C$7*M209,0)</f>
        <v>0</v>
      </c>
      <c r="S209" s="68">
        <f>IF(MOD(C209,12)=0,M209*Assumptions!$D$17,0)</f>
        <v>0</v>
      </c>
      <c r="T209" s="68">
        <f t="shared" si="52"/>
        <v>219417182.23667097</v>
      </c>
      <c r="U209" s="67">
        <f>T209+AE209*(1+Assumptions!$D$17)</f>
        <v>219417182.23667097</v>
      </c>
      <c r="V209" s="67">
        <f>(M209+N209-O209)*(1+Assumptions!$D$17)-(P209+Q209)*(1+Assumptions!$D$17)^0.5-R209-T209</f>
        <v>-225931206.11344409</v>
      </c>
      <c r="W209" s="67"/>
      <c r="X209" s="67">
        <f>IF(AND(H209=1,D209&lt;15),Assumptions!$D$10*N209+Assumptions!$D$11*(1+Assumptions!$D$16)^(B209-1)*$I$7,0)</f>
        <v>0</v>
      </c>
      <c r="Y209" s="65">
        <f>Assumptions!$C$13*N209</f>
        <v>0</v>
      </c>
      <c r="Z209" s="65">
        <f>NPV(Assumptions!$D$19,N209:$N$259)*(1+Assumptions!$D$19)</f>
        <v>0</v>
      </c>
      <c r="AA209" s="68">
        <f t="shared" si="53"/>
        <v>0</v>
      </c>
      <c r="AC209" s="67">
        <f t="shared" si="54"/>
        <v>-225931206.11344409</v>
      </c>
      <c r="AD209" s="67"/>
      <c r="AE209" s="67"/>
      <c r="AF209" s="67"/>
      <c r="AG209" s="67"/>
      <c r="AH209" s="67"/>
      <c r="AI209" s="67"/>
      <c r="AK209" s="67"/>
      <c r="AL209" s="70">
        <f t="shared" si="46"/>
        <v>0</v>
      </c>
    </row>
    <row r="210" spans="2:38" x14ac:dyDescent="0.2">
      <c r="B210" s="5">
        <f t="shared" si="42"/>
        <v>203</v>
      </c>
      <c r="C210" s="5">
        <f t="shared" si="43"/>
        <v>203</v>
      </c>
      <c r="D210" s="5">
        <f t="shared" si="44"/>
        <v>16</v>
      </c>
      <c r="E210" s="5">
        <f t="shared" si="45"/>
        <v>62</v>
      </c>
      <c r="F210" s="64">
        <f>1-(1-VLOOKUP($E210,'Annual Mortality Rates'!$B$5:$C$105,2,FALSE))^(1/12)</f>
        <v>4.0004569505669441E-4</v>
      </c>
      <c r="G210" s="75">
        <f>IF(C210&gt;=[1]Assumptions!$H$9*12,100%,1-(1-IF(D210&gt;=7,2%,VLOOKUP($D210,'[1]Annual Lapse Rates'!$B$4:$C$14,2,FALSE)))^(1/12))</f>
        <v>1</v>
      </c>
      <c r="H210" s="81">
        <f t="shared" si="47"/>
        <v>11</v>
      </c>
      <c r="I210" s="65">
        <f t="shared" si="48"/>
        <v>0</v>
      </c>
      <c r="J210" s="66">
        <f t="shared" si="49"/>
        <v>0</v>
      </c>
      <c r="K210" s="66">
        <f t="shared" si="50"/>
        <v>0</v>
      </c>
      <c r="M210" s="67">
        <f t="shared" si="55"/>
        <v>-225931206.11344409</v>
      </c>
      <c r="N210" s="67">
        <f>IF(AND(MOD(C210,12)=1,D210&lt;15),Assumptions!$H$4*I209,0)</f>
        <v>0</v>
      </c>
      <c r="O210" s="67"/>
      <c r="P210" s="90">
        <f t="shared" si="51"/>
        <v>-226021588.91982871</v>
      </c>
      <c r="Q210" s="90">
        <f>M210*VLOOKUP(MOD(C210,12)+(MOD(C210,12)=0)*12,Assumptions!$C$22:$D$33,2,FALSE)*(F210+G210)</f>
        <v>-7769492.1191191124</v>
      </c>
      <c r="R210" s="67">
        <f>IF(AND(MOD(C210,12)=0,D210&lt;15),Assumptions!$C$7*M210,0)</f>
        <v>0</v>
      </c>
      <c r="S210" s="68">
        <f>IF(MOD(C210,12)=0,M210*Assumptions!$D$17,0)</f>
        <v>0</v>
      </c>
      <c r="T210" s="68">
        <f t="shared" si="52"/>
        <v>-225931206.11344409</v>
      </c>
      <c r="U210" s="67">
        <f>T210+AE210*(1+Assumptions!$D$17)</f>
        <v>-225931206.11344409</v>
      </c>
      <c r="V210" s="67">
        <f>(M210+N210-O210)*(1+Assumptions!$D$17)-(P210+Q210)*(1+Assumptions!$D$17)^0.5-R210-T210</f>
        <v>233346372.15389127</v>
      </c>
      <c r="W210" s="67"/>
      <c r="X210" s="67">
        <f>IF(AND(H210=1,D210&lt;15),Assumptions!$D$10*N210+Assumptions!$D$11*(1+Assumptions!$D$16)^(B210-1)*$I$7,0)</f>
        <v>0</v>
      </c>
      <c r="Y210" s="65">
        <f>Assumptions!$C$13*N210</f>
        <v>0</v>
      </c>
      <c r="Z210" s="65">
        <f>NPV(Assumptions!$D$19,N210:$N$259)*(1+Assumptions!$D$19)</f>
        <v>0</v>
      </c>
      <c r="AA210" s="68">
        <f t="shared" si="53"/>
        <v>0</v>
      </c>
      <c r="AC210" s="67">
        <f t="shared" si="54"/>
        <v>233346372.15389127</v>
      </c>
      <c r="AD210" s="67"/>
      <c r="AE210" s="67"/>
      <c r="AF210" s="67"/>
      <c r="AG210" s="67"/>
      <c r="AH210" s="67"/>
      <c r="AI210" s="67"/>
      <c r="AK210" s="67"/>
      <c r="AL210" s="70">
        <f t="shared" si="46"/>
        <v>0</v>
      </c>
    </row>
    <row r="211" spans="2:38" x14ac:dyDescent="0.2">
      <c r="B211" s="5">
        <f t="shared" si="42"/>
        <v>204</v>
      </c>
      <c r="C211" s="5">
        <f t="shared" si="43"/>
        <v>204</v>
      </c>
      <c r="D211" s="5">
        <f t="shared" si="44"/>
        <v>16</v>
      </c>
      <c r="E211" s="5">
        <f t="shared" si="45"/>
        <v>62</v>
      </c>
      <c r="F211" s="64">
        <f>1-(1-VLOOKUP($E211,'Annual Mortality Rates'!$B$5:$C$105,2,FALSE))^(1/12)</f>
        <v>4.0004569505669441E-4</v>
      </c>
      <c r="G211" s="75">
        <f>IF(C211&gt;=[1]Assumptions!$H$9*12,100%,1-(1-IF(D211&gt;=7,2%,VLOOKUP($D211,'[1]Annual Lapse Rates'!$B$4:$C$14,2,FALSE)))^(1/12))</f>
        <v>1</v>
      </c>
      <c r="H211" s="81">
        <f t="shared" si="47"/>
        <v>12</v>
      </c>
      <c r="I211" s="65">
        <f t="shared" si="48"/>
        <v>0</v>
      </c>
      <c r="J211" s="66">
        <f t="shared" si="49"/>
        <v>0</v>
      </c>
      <c r="K211" s="66">
        <f t="shared" si="50"/>
        <v>0</v>
      </c>
      <c r="M211" s="67">
        <f t="shared" si="55"/>
        <v>233346372.15389127</v>
      </c>
      <c r="N211" s="67">
        <f>IF(AND(MOD(C211,12)=1,D211&lt;15),Assumptions!$H$4*I210,0)</f>
        <v>0</v>
      </c>
      <c r="O211" s="67"/>
      <c r="P211" s="90">
        <f t="shared" si="51"/>
        <v>233439721.36552849</v>
      </c>
      <c r="Q211" s="90">
        <f>M211*VLOOKUP(MOD(C211,12)+(MOD(C211,12)=0)*12,Assumptions!$C$22:$D$33,2,FALSE)*(F211+G211)</f>
        <v>8753989.5512073189</v>
      </c>
      <c r="R211" s="67">
        <f>IF(AND(MOD(C211,12)=0,D211&lt;15),Assumptions!$C$7*M211,0)</f>
        <v>0</v>
      </c>
      <c r="S211" s="68">
        <f>IF(MOD(C211,12)=0,M211*Assumptions!$D$17,0)</f>
        <v>950682.00462022831</v>
      </c>
      <c r="T211" s="68">
        <f t="shared" si="52"/>
        <v>234297054.15851149</v>
      </c>
      <c r="U211" s="67">
        <f>T211+AE211*(1+Assumptions!$D$17)</f>
        <v>234297054.15851149</v>
      </c>
      <c r="V211" s="67">
        <f>(M211+N211-O211)*(1+Assumptions!$D$17)-(P211+Q211)*(1+Assumptions!$D$17)^0.5-R211-T211</f>
        <v>-242686573.01064795</v>
      </c>
      <c r="W211" s="67"/>
      <c r="X211" s="67">
        <f>IF(AND(H211=1,D211&lt;15),Assumptions!$D$10*N211+Assumptions!$D$11*(1+Assumptions!$D$16)^(B211-1)*$I$7,0)</f>
        <v>0</v>
      </c>
      <c r="Y211" s="65">
        <f>Assumptions!$C$13*N211</f>
        <v>0</v>
      </c>
      <c r="Z211" s="65">
        <f>NPV(Assumptions!$D$19,N211:$N$259)*(1+Assumptions!$D$19)</f>
        <v>0</v>
      </c>
      <c r="AA211" s="68">
        <f t="shared" si="53"/>
        <v>0</v>
      </c>
      <c r="AC211" s="67">
        <f t="shared" si="54"/>
        <v>-242686573.01064795</v>
      </c>
      <c r="AD211" s="67"/>
      <c r="AE211" s="67"/>
      <c r="AF211" s="67"/>
      <c r="AG211" s="67"/>
      <c r="AH211" s="67"/>
      <c r="AI211" s="67"/>
      <c r="AK211" s="67"/>
      <c r="AL211" s="70">
        <f t="shared" si="46"/>
        <v>0</v>
      </c>
    </row>
    <row r="212" spans="2:38" x14ac:dyDescent="0.2">
      <c r="B212" s="5">
        <f t="shared" si="42"/>
        <v>205</v>
      </c>
      <c r="C212" s="5">
        <f t="shared" si="43"/>
        <v>205</v>
      </c>
      <c r="D212" s="5">
        <f t="shared" si="44"/>
        <v>17</v>
      </c>
      <c r="E212" s="5">
        <f t="shared" si="45"/>
        <v>63</v>
      </c>
      <c r="F212" s="64">
        <f>1-(1-VLOOKUP($E212,'Annual Mortality Rates'!$B$5:$C$105,2,FALSE))^(1/12)</f>
        <v>4.3855627899469507E-4</v>
      </c>
      <c r="G212" s="75">
        <f>IF(C212&gt;=[1]Assumptions!$H$9*12,100%,1-(1-IF(D212&gt;=7,2%,VLOOKUP($D212,'[1]Annual Lapse Rates'!$B$4:$C$14,2,FALSE)))^(1/12))</f>
        <v>1</v>
      </c>
      <c r="H212" s="81">
        <f t="shared" si="47"/>
        <v>1</v>
      </c>
      <c r="I212" s="65">
        <f t="shared" si="48"/>
        <v>0</v>
      </c>
      <c r="J212" s="66">
        <f t="shared" si="49"/>
        <v>0</v>
      </c>
      <c r="K212" s="66">
        <f t="shared" si="50"/>
        <v>0</v>
      </c>
      <c r="M212" s="67">
        <f t="shared" si="55"/>
        <v>-242686573.01064795</v>
      </c>
      <c r="N212" s="67">
        <f>IF(AND(MOD(C212,12)=1,D212&lt;15),Assumptions!$H$4*I211,0)</f>
        <v>0</v>
      </c>
      <c r="O212" s="67"/>
      <c r="P212" s="90">
        <f t="shared" si="51"/>
        <v>-242793004.73106951</v>
      </c>
      <c r="Q212" s="90">
        <f>M212*VLOOKUP(MOD(C212,12)+(MOD(C212,12)=0)*12,Assumptions!$C$22:$D$33,2,FALSE)*(F212+G212)</f>
        <v>-758728.1397845922</v>
      </c>
      <c r="R212" s="67">
        <f>IF(AND(MOD(C212,12)=0,D212&lt;15),Assumptions!$C$7*M212,0)</f>
        <v>0</v>
      </c>
      <c r="S212" s="68">
        <f>IF(MOD(C212,12)=0,M212*Assumptions!$D$17,0)</f>
        <v>0</v>
      </c>
      <c r="T212" s="68">
        <f t="shared" si="52"/>
        <v>-242686573.01064795</v>
      </c>
      <c r="U212" s="67">
        <f>T212+AE212*(1+Assumptions!$D$17)</f>
        <v>-242686573.01064795</v>
      </c>
      <c r="V212" s="67">
        <f>(M212+N212-O212)*(1+Assumptions!$D$17)-(P212+Q212)*(1+Assumptions!$D$17)^0.5-R212-T212</f>
        <v>243058623.38854924</v>
      </c>
      <c r="W212" s="67"/>
      <c r="X212" s="67">
        <f>IF(AND(H212=1,D212&lt;15),Assumptions!$D$10*N212+Assumptions!$D$11*(1+Assumptions!$D$16)^(B212-1)*$I$7,0)</f>
        <v>0</v>
      </c>
      <c r="Y212" s="65">
        <f>Assumptions!$C$13*N212</f>
        <v>0</v>
      </c>
      <c r="Z212" s="65">
        <f>NPV(Assumptions!$D$19,N212:$N$259)*(1+Assumptions!$D$19)</f>
        <v>0</v>
      </c>
      <c r="AA212" s="68">
        <f t="shared" si="53"/>
        <v>0</v>
      </c>
      <c r="AC212" s="67">
        <f t="shared" si="54"/>
        <v>243058623.38854924</v>
      </c>
      <c r="AD212" s="67"/>
      <c r="AE212" s="67"/>
      <c r="AF212" s="67"/>
      <c r="AG212" s="67"/>
      <c r="AH212" s="67"/>
      <c r="AI212" s="67"/>
      <c r="AK212" s="67"/>
      <c r="AL212" s="70">
        <f t="shared" si="46"/>
        <v>0</v>
      </c>
    </row>
    <row r="213" spans="2:38" x14ac:dyDescent="0.2">
      <c r="B213" s="5">
        <f t="shared" si="42"/>
        <v>206</v>
      </c>
      <c r="C213" s="5">
        <f t="shared" si="43"/>
        <v>206</v>
      </c>
      <c r="D213" s="5">
        <f t="shared" si="44"/>
        <v>17</v>
      </c>
      <c r="E213" s="5">
        <f t="shared" si="45"/>
        <v>63</v>
      </c>
      <c r="F213" s="64">
        <f>1-(1-VLOOKUP($E213,'Annual Mortality Rates'!$B$5:$C$105,2,FALSE))^(1/12)</f>
        <v>4.3855627899469507E-4</v>
      </c>
      <c r="G213" s="75">
        <f>IF(C213&gt;=[1]Assumptions!$H$9*12,100%,1-(1-IF(D213&gt;=7,2%,VLOOKUP($D213,'[1]Annual Lapse Rates'!$B$4:$C$14,2,FALSE)))^(1/12))</f>
        <v>1</v>
      </c>
      <c r="H213" s="81">
        <f t="shared" si="47"/>
        <v>2</v>
      </c>
      <c r="I213" s="65">
        <f t="shared" si="48"/>
        <v>0</v>
      </c>
      <c r="J213" s="66">
        <f t="shared" si="49"/>
        <v>0</v>
      </c>
      <c r="K213" s="66">
        <f t="shared" si="50"/>
        <v>0</v>
      </c>
      <c r="M213" s="67">
        <f t="shared" si="55"/>
        <v>243058623.38854924</v>
      </c>
      <c r="N213" s="67">
        <f>IF(AND(MOD(C213,12)=1,D213&lt;15),Assumptions!$H$4*I212,0)</f>
        <v>0</v>
      </c>
      <c r="O213" s="67"/>
      <c r="P213" s="90">
        <f t="shared" si="51"/>
        <v>243165218.27400011</v>
      </c>
      <c r="Q213" s="90">
        <f>M213*VLOOKUP(MOD(C213,12)+(MOD(C213,12)=0)*12,Assumptions!$C$22:$D$33,2,FALSE)*(F213+G213)</f>
        <v>1519782.6142125009</v>
      </c>
      <c r="R213" s="67">
        <f>IF(AND(MOD(C213,12)=0,D213&lt;15),Assumptions!$C$7*M213,0)</f>
        <v>0</v>
      </c>
      <c r="S213" s="68">
        <f>IF(MOD(C213,12)=0,M213*Assumptions!$D$17,0)</f>
        <v>0</v>
      </c>
      <c r="T213" s="68">
        <f t="shared" si="52"/>
        <v>243058623.38854924</v>
      </c>
      <c r="U213" s="67">
        <f>T213+AE213*(1+Assumptions!$D$17)</f>
        <v>243058623.38854924</v>
      </c>
      <c r="V213" s="67">
        <f>(M213+N213-O213)*(1+Assumptions!$D$17)-(P213+Q213)*(1+Assumptions!$D$17)^0.5-R213-T213</f>
        <v>-244192681.81716695</v>
      </c>
      <c r="W213" s="67"/>
      <c r="X213" s="67">
        <f>IF(AND(H213=1,D213&lt;15),Assumptions!$D$10*N213+Assumptions!$D$11*(1+Assumptions!$D$16)^(B213-1)*$I$7,0)</f>
        <v>0</v>
      </c>
      <c r="Y213" s="65">
        <f>Assumptions!$C$13*N213</f>
        <v>0</v>
      </c>
      <c r="Z213" s="65">
        <f>NPV(Assumptions!$D$19,N213:$N$259)*(1+Assumptions!$D$19)</f>
        <v>0</v>
      </c>
      <c r="AA213" s="68">
        <f t="shared" si="53"/>
        <v>0</v>
      </c>
      <c r="AC213" s="67">
        <f t="shared" si="54"/>
        <v>-244192681.81716695</v>
      </c>
      <c r="AD213" s="67"/>
      <c r="AE213" s="67"/>
      <c r="AF213" s="67"/>
      <c r="AG213" s="67"/>
      <c r="AH213" s="67"/>
      <c r="AI213" s="67"/>
      <c r="AK213" s="67"/>
      <c r="AL213" s="70">
        <f t="shared" si="46"/>
        <v>0</v>
      </c>
    </row>
    <row r="214" spans="2:38" x14ac:dyDescent="0.2">
      <c r="B214" s="5">
        <f t="shared" si="42"/>
        <v>207</v>
      </c>
      <c r="C214" s="5">
        <f t="shared" si="43"/>
        <v>207</v>
      </c>
      <c r="D214" s="5">
        <f t="shared" si="44"/>
        <v>17</v>
      </c>
      <c r="E214" s="5">
        <f t="shared" si="45"/>
        <v>63</v>
      </c>
      <c r="F214" s="64">
        <f>1-(1-VLOOKUP($E214,'Annual Mortality Rates'!$B$5:$C$105,2,FALSE))^(1/12)</f>
        <v>4.3855627899469507E-4</v>
      </c>
      <c r="G214" s="75">
        <f>IF(C214&gt;=[1]Assumptions!$H$9*12,100%,1-(1-IF(D214&gt;=7,2%,VLOOKUP($D214,'[1]Annual Lapse Rates'!$B$4:$C$14,2,FALSE)))^(1/12))</f>
        <v>1</v>
      </c>
      <c r="H214" s="81">
        <f t="shared" si="47"/>
        <v>3</v>
      </c>
      <c r="I214" s="65">
        <f t="shared" si="48"/>
        <v>0</v>
      </c>
      <c r="J214" s="66">
        <f t="shared" si="49"/>
        <v>0</v>
      </c>
      <c r="K214" s="66">
        <f t="shared" si="50"/>
        <v>0</v>
      </c>
      <c r="M214" s="67">
        <f t="shared" si="55"/>
        <v>-244192681.81716695</v>
      </c>
      <c r="N214" s="67">
        <f>IF(AND(MOD(C214,12)=1,D214&lt;15),Assumptions!$H$4*I213,0)</f>
        <v>0</v>
      </c>
      <c r="O214" s="67"/>
      <c r="P214" s="90">
        <f t="shared" si="51"/>
        <v>-244299774.05106246</v>
      </c>
      <c r="Q214" s="90">
        <f>M214*VLOOKUP(MOD(C214,12)+(MOD(C214,12)=0)*12,Assumptions!$C$22:$D$33,2,FALSE)*(F214+G214)</f>
        <v>-2290310.3817287111</v>
      </c>
      <c r="R214" s="67">
        <f>IF(AND(MOD(C214,12)=0,D214&lt;15),Assumptions!$C$7*M214,0)</f>
        <v>0</v>
      </c>
      <c r="S214" s="68">
        <f>IF(MOD(C214,12)=0,M214*Assumptions!$D$17,0)</f>
        <v>0</v>
      </c>
      <c r="T214" s="68">
        <f t="shared" si="52"/>
        <v>-244192681.81716695</v>
      </c>
      <c r="U214" s="67">
        <f>T214+AE214*(1+Assumptions!$D$17)</f>
        <v>-244192681.81716695</v>
      </c>
      <c r="V214" s="67">
        <f>(M214+N214-O214)*(1+Assumptions!$D$17)-(P214+Q214)*(1+Assumptions!$D$17)^0.5-R214-T214</f>
        <v>246097021.89576277</v>
      </c>
      <c r="W214" s="67"/>
      <c r="X214" s="67">
        <f>IF(AND(H214=1,D214&lt;15),Assumptions!$D$10*N214+Assumptions!$D$11*(1+Assumptions!$D$16)^(B214-1)*$I$7,0)</f>
        <v>0</v>
      </c>
      <c r="Y214" s="65">
        <f>Assumptions!$C$13*N214</f>
        <v>0</v>
      </c>
      <c r="Z214" s="65">
        <f>NPV(Assumptions!$D$19,N214:$N$259)*(1+Assumptions!$D$19)</f>
        <v>0</v>
      </c>
      <c r="AA214" s="68">
        <f t="shared" si="53"/>
        <v>0</v>
      </c>
      <c r="AC214" s="67">
        <f t="shared" si="54"/>
        <v>246097021.89576277</v>
      </c>
      <c r="AD214" s="67"/>
      <c r="AE214" s="67"/>
      <c r="AF214" s="67"/>
      <c r="AG214" s="67"/>
      <c r="AH214" s="67"/>
      <c r="AI214" s="67"/>
      <c r="AK214" s="67"/>
      <c r="AL214" s="70">
        <f t="shared" si="46"/>
        <v>0</v>
      </c>
    </row>
    <row r="215" spans="2:38" x14ac:dyDescent="0.2">
      <c r="B215" s="5">
        <f t="shared" si="42"/>
        <v>208</v>
      </c>
      <c r="C215" s="5">
        <f t="shared" si="43"/>
        <v>208</v>
      </c>
      <c r="D215" s="5">
        <f t="shared" si="44"/>
        <v>17</v>
      </c>
      <c r="E215" s="5">
        <f t="shared" si="45"/>
        <v>63</v>
      </c>
      <c r="F215" s="64">
        <f>1-(1-VLOOKUP($E215,'Annual Mortality Rates'!$B$5:$C$105,2,FALSE))^(1/12)</f>
        <v>4.3855627899469507E-4</v>
      </c>
      <c r="G215" s="75">
        <f>IF(C215&gt;=[1]Assumptions!$H$9*12,100%,1-(1-IF(D215&gt;=7,2%,VLOOKUP($D215,'[1]Annual Lapse Rates'!$B$4:$C$14,2,FALSE)))^(1/12))</f>
        <v>1</v>
      </c>
      <c r="H215" s="81">
        <f t="shared" si="47"/>
        <v>4</v>
      </c>
      <c r="I215" s="65">
        <f t="shared" si="48"/>
        <v>0</v>
      </c>
      <c r="J215" s="66">
        <f t="shared" si="49"/>
        <v>0</v>
      </c>
      <c r="K215" s="66">
        <f t="shared" si="50"/>
        <v>0</v>
      </c>
      <c r="M215" s="67">
        <f t="shared" si="55"/>
        <v>246097021.89576277</v>
      </c>
      <c r="N215" s="67">
        <f>IF(AND(MOD(C215,12)=1,D215&lt;15),Assumptions!$H$4*I214,0)</f>
        <v>0</v>
      </c>
      <c r="O215" s="67"/>
      <c r="P215" s="90">
        <f t="shared" si="51"/>
        <v>246204949.28995708</v>
      </c>
      <c r="Q215" s="90">
        <f>M215*VLOOKUP(MOD(C215,12)+(MOD(C215,12)=0)*12,Assumptions!$C$22:$D$33,2,FALSE)*(F215+G215)</f>
        <v>3077561.8661244637</v>
      </c>
      <c r="R215" s="67">
        <f>IF(AND(MOD(C215,12)=0,D215&lt;15),Assumptions!$C$7*M215,0)</f>
        <v>0</v>
      </c>
      <c r="S215" s="68">
        <f>IF(MOD(C215,12)=0,M215*Assumptions!$D$17,0)</f>
        <v>0</v>
      </c>
      <c r="T215" s="68">
        <f t="shared" si="52"/>
        <v>246097021.89576277</v>
      </c>
      <c r="U215" s="67">
        <f>T215+AE215*(1+Assumptions!$D$17)</f>
        <v>246097021.89576277</v>
      </c>
      <c r="V215" s="67">
        <f>(M215+N215-O215)*(1+Assumptions!$D$17)-(P215+Q215)*(1+Assumptions!$D$17)^0.5-R215-T215</f>
        <v>-248787169.16679659</v>
      </c>
      <c r="W215" s="67"/>
      <c r="X215" s="67">
        <f>IF(AND(H215=1,D215&lt;15),Assumptions!$D$10*N215+Assumptions!$D$11*(1+Assumptions!$D$16)^(B215-1)*$I$7,0)</f>
        <v>0</v>
      </c>
      <c r="Y215" s="65">
        <f>Assumptions!$C$13*N215</f>
        <v>0</v>
      </c>
      <c r="Z215" s="65">
        <f>NPV(Assumptions!$D$19,N215:$N$259)*(1+Assumptions!$D$19)</f>
        <v>0</v>
      </c>
      <c r="AA215" s="68">
        <f t="shared" si="53"/>
        <v>0</v>
      </c>
      <c r="AC215" s="67">
        <f t="shared" si="54"/>
        <v>-248787169.16679659</v>
      </c>
      <c r="AD215" s="67"/>
      <c r="AE215" s="67"/>
      <c r="AF215" s="67"/>
      <c r="AG215" s="67"/>
      <c r="AH215" s="67"/>
      <c r="AI215" s="67"/>
      <c r="AK215" s="67"/>
      <c r="AL215" s="70">
        <f t="shared" si="46"/>
        <v>0</v>
      </c>
    </row>
    <row r="216" spans="2:38" x14ac:dyDescent="0.2">
      <c r="B216" s="5">
        <f t="shared" si="42"/>
        <v>209</v>
      </c>
      <c r="C216" s="5">
        <f t="shared" si="43"/>
        <v>209</v>
      </c>
      <c r="D216" s="5">
        <f t="shared" si="44"/>
        <v>17</v>
      </c>
      <c r="E216" s="5">
        <f t="shared" si="45"/>
        <v>63</v>
      </c>
      <c r="F216" s="64">
        <f>1-(1-VLOOKUP($E216,'Annual Mortality Rates'!$B$5:$C$105,2,FALSE))^(1/12)</f>
        <v>4.3855627899469507E-4</v>
      </c>
      <c r="G216" s="75">
        <f>IF(C216&gt;=[1]Assumptions!$H$9*12,100%,1-(1-IF(D216&gt;=7,2%,VLOOKUP($D216,'[1]Annual Lapse Rates'!$B$4:$C$14,2,FALSE)))^(1/12))</f>
        <v>1</v>
      </c>
      <c r="H216" s="81">
        <f t="shared" si="47"/>
        <v>5</v>
      </c>
      <c r="I216" s="65">
        <f t="shared" si="48"/>
        <v>0</v>
      </c>
      <c r="J216" s="66">
        <f t="shared" si="49"/>
        <v>0</v>
      </c>
      <c r="K216" s="66">
        <f t="shared" si="50"/>
        <v>0</v>
      </c>
      <c r="M216" s="67">
        <f t="shared" si="55"/>
        <v>-248787169.16679659</v>
      </c>
      <c r="N216" s="67">
        <f>IF(AND(MOD(C216,12)=1,D216&lt;15),Assumptions!$H$4*I215,0)</f>
        <v>0</v>
      </c>
      <c r="O216" s="67"/>
      <c r="P216" s="90">
        <f t="shared" si="51"/>
        <v>-248896276.34196803</v>
      </c>
      <c r="Q216" s="90">
        <f>M216*VLOOKUP(MOD(C216,12)+(MOD(C216,12)=0)*12,Assumptions!$C$22:$D$33,2,FALSE)*(F216+G216)</f>
        <v>-3889004.3178432505</v>
      </c>
      <c r="R216" s="67">
        <f>IF(AND(MOD(C216,12)=0,D216&lt;15),Assumptions!$C$7*M216,0)</f>
        <v>0</v>
      </c>
      <c r="S216" s="68">
        <f>IF(MOD(C216,12)=0,M216*Assumptions!$D$17,0)</f>
        <v>0</v>
      </c>
      <c r="T216" s="68">
        <f t="shared" si="52"/>
        <v>-248787169.16679659</v>
      </c>
      <c r="U216" s="67">
        <f>T216+AE216*(1+Assumptions!$D$17)</f>
        <v>-248787169.16679659</v>
      </c>
      <c r="V216" s="67">
        <f>(M216+N216-O216)*(1+Assumptions!$D$17)-(P216+Q216)*(1+Assumptions!$D$17)^0.5-R216-T216</f>
        <v>252286106.78300351</v>
      </c>
      <c r="W216" s="67"/>
      <c r="X216" s="67">
        <f>IF(AND(H216=1,D216&lt;15),Assumptions!$D$10*N216+Assumptions!$D$11*(1+Assumptions!$D$16)^(B216-1)*$I$7,0)</f>
        <v>0</v>
      </c>
      <c r="Y216" s="65">
        <f>Assumptions!$C$13*N216</f>
        <v>0</v>
      </c>
      <c r="Z216" s="65">
        <f>NPV(Assumptions!$D$19,N216:$N$259)*(1+Assumptions!$D$19)</f>
        <v>0</v>
      </c>
      <c r="AA216" s="68">
        <f t="shared" si="53"/>
        <v>0</v>
      </c>
      <c r="AC216" s="67">
        <f t="shared" si="54"/>
        <v>252286106.78300351</v>
      </c>
      <c r="AD216" s="67"/>
      <c r="AE216" s="67"/>
      <c r="AF216" s="67"/>
      <c r="AG216" s="67"/>
      <c r="AH216" s="67"/>
      <c r="AI216" s="67"/>
      <c r="AK216" s="67"/>
      <c r="AL216" s="70">
        <f t="shared" si="46"/>
        <v>0</v>
      </c>
    </row>
    <row r="217" spans="2:38" x14ac:dyDescent="0.2">
      <c r="B217" s="5">
        <f t="shared" si="42"/>
        <v>210</v>
      </c>
      <c r="C217" s="5">
        <f t="shared" si="43"/>
        <v>210</v>
      </c>
      <c r="D217" s="5">
        <f t="shared" si="44"/>
        <v>17</v>
      </c>
      <c r="E217" s="5">
        <f t="shared" si="45"/>
        <v>63</v>
      </c>
      <c r="F217" s="64">
        <f>1-(1-VLOOKUP($E217,'Annual Mortality Rates'!$B$5:$C$105,2,FALSE))^(1/12)</f>
        <v>4.3855627899469507E-4</v>
      </c>
      <c r="G217" s="75">
        <f>IF(C217&gt;=[1]Assumptions!$H$9*12,100%,1-(1-IF(D217&gt;=7,2%,VLOOKUP($D217,'[1]Annual Lapse Rates'!$B$4:$C$14,2,FALSE)))^(1/12))</f>
        <v>1</v>
      </c>
      <c r="H217" s="81">
        <f t="shared" si="47"/>
        <v>6</v>
      </c>
      <c r="I217" s="65">
        <f t="shared" si="48"/>
        <v>0</v>
      </c>
      <c r="J217" s="66">
        <f t="shared" si="49"/>
        <v>0</v>
      </c>
      <c r="K217" s="66">
        <f t="shared" si="50"/>
        <v>0</v>
      </c>
      <c r="M217" s="67">
        <f t="shared" si="55"/>
        <v>252286106.78300351</v>
      </c>
      <c r="N217" s="67">
        <f>IF(AND(MOD(C217,12)=1,D217&lt;15),Assumptions!$H$4*I216,0)</f>
        <v>0</v>
      </c>
      <c r="O217" s="67"/>
      <c r="P217" s="90">
        <f t="shared" si="51"/>
        <v>252396748.43923634</v>
      </c>
      <c r="Q217" s="90">
        <f>M217*VLOOKUP(MOD(C217,12)+(MOD(C217,12)=0)*12,Assumptions!$C$22:$D$33,2,FALSE)*(F217+G217)</f>
        <v>4732439.0332356822</v>
      </c>
      <c r="R217" s="67">
        <f>IF(AND(MOD(C217,12)=0,D217&lt;15),Assumptions!$C$7*M217,0)</f>
        <v>0</v>
      </c>
      <c r="S217" s="68">
        <f>IF(MOD(C217,12)=0,M217*Assumptions!$D$17,0)</f>
        <v>0</v>
      </c>
      <c r="T217" s="68">
        <f t="shared" si="52"/>
        <v>252286106.78300351</v>
      </c>
      <c r="U217" s="67">
        <f>T217+AE217*(1+Assumptions!$D$17)</f>
        <v>252286106.78300351</v>
      </c>
      <c r="V217" s="67">
        <f>(M217+N217-O217)*(1+Assumptions!$D$17)-(P217+Q217)*(1+Assumptions!$D$17)^0.5-R217-T217</f>
        <v>-256624598.30326343</v>
      </c>
      <c r="W217" s="67"/>
      <c r="X217" s="67">
        <f>IF(AND(H217=1,D217&lt;15),Assumptions!$D$10*N217+Assumptions!$D$11*(1+Assumptions!$D$16)^(B217-1)*$I$7,0)</f>
        <v>0</v>
      </c>
      <c r="Y217" s="65">
        <f>Assumptions!$C$13*N217</f>
        <v>0</v>
      </c>
      <c r="Z217" s="65">
        <f>NPV(Assumptions!$D$19,N217:$N$259)*(1+Assumptions!$D$19)</f>
        <v>0</v>
      </c>
      <c r="AA217" s="68">
        <f t="shared" si="53"/>
        <v>0</v>
      </c>
      <c r="AC217" s="67">
        <f t="shared" si="54"/>
        <v>-256624598.30326343</v>
      </c>
      <c r="AD217" s="67"/>
      <c r="AE217" s="67"/>
      <c r="AF217" s="67"/>
      <c r="AG217" s="67"/>
      <c r="AH217" s="67"/>
      <c r="AI217" s="67"/>
      <c r="AK217" s="67"/>
      <c r="AL217" s="70">
        <f t="shared" si="46"/>
        <v>0</v>
      </c>
    </row>
    <row r="218" spans="2:38" x14ac:dyDescent="0.2">
      <c r="B218" s="5">
        <f t="shared" si="42"/>
        <v>211</v>
      </c>
      <c r="C218" s="5">
        <f t="shared" si="43"/>
        <v>211</v>
      </c>
      <c r="D218" s="5">
        <f t="shared" si="44"/>
        <v>17</v>
      </c>
      <c r="E218" s="5">
        <f t="shared" si="45"/>
        <v>63</v>
      </c>
      <c r="F218" s="64">
        <f>1-(1-VLOOKUP($E218,'Annual Mortality Rates'!$B$5:$C$105,2,FALSE))^(1/12)</f>
        <v>4.3855627899469507E-4</v>
      </c>
      <c r="G218" s="75">
        <f>IF(C218&gt;=[1]Assumptions!$H$9*12,100%,1-(1-IF(D218&gt;=7,2%,VLOOKUP($D218,'[1]Annual Lapse Rates'!$B$4:$C$14,2,FALSE)))^(1/12))</f>
        <v>1</v>
      </c>
      <c r="H218" s="81">
        <f t="shared" si="47"/>
        <v>7</v>
      </c>
      <c r="I218" s="65">
        <f t="shared" si="48"/>
        <v>0</v>
      </c>
      <c r="J218" s="66">
        <f t="shared" si="49"/>
        <v>0</v>
      </c>
      <c r="K218" s="66">
        <f t="shared" si="50"/>
        <v>0</v>
      </c>
      <c r="M218" s="67">
        <f t="shared" si="55"/>
        <v>-256624598.30326343</v>
      </c>
      <c r="N218" s="67">
        <f>IF(AND(MOD(C218,12)=1,D218&lt;15),Assumptions!$H$4*I217,0)</f>
        <v>0</v>
      </c>
      <c r="O218" s="67"/>
      <c r="P218" s="90">
        <f t="shared" si="51"/>
        <v>-256737142.63219383</v>
      </c>
      <c r="Q218" s="90">
        <f>M218*VLOOKUP(MOD(C218,12)+(MOD(C218,12)=0)*12,Assumptions!$C$22:$D$33,2,FALSE)*(F218+G218)</f>
        <v>-5616124.9950792408</v>
      </c>
      <c r="R218" s="67">
        <f>IF(AND(MOD(C218,12)=0,D218&lt;15),Assumptions!$C$7*M218,0)</f>
        <v>0</v>
      </c>
      <c r="S218" s="68">
        <f>IF(MOD(C218,12)=0,M218*Assumptions!$D$17,0)</f>
        <v>0</v>
      </c>
      <c r="T218" s="68">
        <f t="shared" si="52"/>
        <v>-256624598.30326343</v>
      </c>
      <c r="U218" s="67">
        <f>T218+AE218*(1+Assumptions!$D$17)</f>
        <v>-256624598.30326343</v>
      </c>
      <c r="V218" s="67">
        <f>(M218+N218-O218)*(1+Assumptions!$D$17)-(P218+Q218)*(1+Assumptions!$D$17)^0.5-R218-T218</f>
        <v>261841633.8642267</v>
      </c>
      <c r="W218" s="67"/>
      <c r="X218" s="67">
        <f>IF(AND(H218=1,D218&lt;15),Assumptions!$D$10*N218+Assumptions!$D$11*(1+Assumptions!$D$16)^(B218-1)*$I$7,0)</f>
        <v>0</v>
      </c>
      <c r="Y218" s="65">
        <f>Assumptions!$C$13*N218</f>
        <v>0</v>
      </c>
      <c r="Z218" s="65">
        <f>NPV(Assumptions!$D$19,N218:$N$259)*(1+Assumptions!$D$19)</f>
        <v>0</v>
      </c>
      <c r="AA218" s="68">
        <f t="shared" si="53"/>
        <v>0</v>
      </c>
      <c r="AC218" s="67">
        <f t="shared" si="54"/>
        <v>261841633.8642267</v>
      </c>
      <c r="AD218" s="67"/>
      <c r="AE218" s="67"/>
      <c r="AF218" s="67"/>
      <c r="AG218" s="67"/>
      <c r="AH218" s="67"/>
      <c r="AI218" s="67"/>
      <c r="AK218" s="67"/>
      <c r="AL218" s="70">
        <f t="shared" si="46"/>
        <v>0</v>
      </c>
    </row>
    <row r="219" spans="2:38" x14ac:dyDescent="0.2">
      <c r="B219" s="5">
        <f t="shared" si="42"/>
        <v>212</v>
      </c>
      <c r="C219" s="5">
        <f t="shared" si="43"/>
        <v>212</v>
      </c>
      <c r="D219" s="5">
        <f t="shared" si="44"/>
        <v>17</v>
      </c>
      <c r="E219" s="5">
        <f t="shared" si="45"/>
        <v>63</v>
      </c>
      <c r="F219" s="64">
        <f>1-(1-VLOOKUP($E219,'Annual Mortality Rates'!$B$5:$C$105,2,FALSE))^(1/12)</f>
        <v>4.3855627899469507E-4</v>
      </c>
      <c r="G219" s="75">
        <f>IF(C219&gt;=[1]Assumptions!$H$9*12,100%,1-(1-IF(D219&gt;=7,2%,VLOOKUP($D219,'[1]Annual Lapse Rates'!$B$4:$C$14,2,FALSE)))^(1/12))</f>
        <v>1</v>
      </c>
      <c r="H219" s="81">
        <f t="shared" si="47"/>
        <v>8</v>
      </c>
      <c r="I219" s="65">
        <f t="shared" si="48"/>
        <v>0</v>
      </c>
      <c r="J219" s="66">
        <f t="shared" si="49"/>
        <v>0</v>
      </c>
      <c r="K219" s="66">
        <f t="shared" si="50"/>
        <v>0</v>
      </c>
      <c r="M219" s="67">
        <f t="shared" si="55"/>
        <v>261841633.8642267</v>
      </c>
      <c r="N219" s="67">
        <f>IF(AND(MOD(C219,12)=1,D219&lt;15),Assumptions!$H$4*I218,0)</f>
        <v>0</v>
      </c>
      <c r="O219" s="67"/>
      <c r="P219" s="90">
        <f t="shared" si="51"/>
        <v>261956466.15686011</v>
      </c>
      <c r="Q219" s="90">
        <f>M219*VLOOKUP(MOD(C219,12)+(MOD(C219,12)=0)*12,Assumptions!$C$22:$D$33,2,FALSE)*(F219+G219)</f>
        <v>6548911.6539215036</v>
      </c>
      <c r="R219" s="67">
        <f>IF(AND(MOD(C219,12)=0,D219&lt;15),Assumptions!$C$7*M219,0)</f>
        <v>0</v>
      </c>
      <c r="S219" s="68">
        <f>IF(MOD(C219,12)=0,M219*Assumptions!$D$17,0)</f>
        <v>0</v>
      </c>
      <c r="T219" s="68">
        <f t="shared" si="52"/>
        <v>261841633.8642267</v>
      </c>
      <c r="U219" s="67">
        <f>T219+AE219*(1+Assumptions!$D$17)</f>
        <v>261841633.8642267</v>
      </c>
      <c r="V219" s="67">
        <f>(M219+N219-O219)*(1+Assumptions!$D$17)-(P219+Q219)*(1+Assumptions!$D$17)^0.5-R219-T219</f>
        <v>-267985008.68975797</v>
      </c>
      <c r="W219" s="67"/>
      <c r="X219" s="67">
        <f>IF(AND(H219=1,D219&lt;15),Assumptions!$D$10*N219+Assumptions!$D$11*(1+Assumptions!$D$16)^(B219-1)*$I$7,0)</f>
        <v>0</v>
      </c>
      <c r="Y219" s="65">
        <f>Assumptions!$C$13*N219</f>
        <v>0</v>
      </c>
      <c r="Z219" s="65">
        <f>NPV(Assumptions!$D$19,N219:$N$259)*(1+Assumptions!$D$19)</f>
        <v>0</v>
      </c>
      <c r="AA219" s="68">
        <f t="shared" si="53"/>
        <v>0</v>
      </c>
      <c r="AC219" s="67">
        <f t="shared" si="54"/>
        <v>-267985008.68975797</v>
      </c>
      <c r="AD219" s="67"/>
      <c r="AE219" s="67"/>
      <c r="AF219" s="67"/>
      <c r="AG219" s="67"/>
      <c r="AH219" s="67"/>
      <c r="AI219" s="67"/>
      <c r="AK219" s="67"/>
      <c r="AL219" s="70">
        <f t="shared" si="46"/>
        <v>0</v>
      </c>
    </row>
    <row r="220" spans="2:38" x14ac:dyDescent="0.2">
      <c r="B220" s="5">
        <f t="shared" si="42"/>
        <v>213</v>
      </c>
      <c r="C220" s="5">
        <f t="shared" si="43"/>
        <v>213</v>
      </c>
      <c r="D220" s="5">
        <f t="shared" si="44"/>
        <v>17</v>
      </c>
      <c r="E220" s="5">
        <f t="shared" si="45"/>
        <v>63</v>
      </c>
      <c r="F220" s="64">
        <f>1-(1-VLOOKUP($E220,'Annual Mortality Rates'!$B$5:$C$105,2,FALSE))^(1/12)</f>
        <v>4.3855627899469507E-4</v>
      </c>
      <c r="G220" s="75">
        <f>IF(C220&gt;=[1]Assumptions!$H$9*12,100%,1-(1-IF(D220&gt;=7,2%,VLOOKUP($D220,'[1]Annual Lapse Rates'!$B$4:$C$14,2,FALSE)))^(1/12))</f>
        <v>1</v>
      </c>
      <c r="H220" s="81">
        <f t="shared" si="47"/>
        <v>9</v>
      </c>
      <c r="I220" s="65">
        <f t="shared" si="48"/>
        <v>0</v>
      </c>
      <c r="J220" s="66">
        <f t="shared" si="49"/>
        <v>0</v>
      </c>
      <c r="K220" s="66">
        <f t="shared" si="50"/>
        <v>0</v>
      </c>
      <c r="M220" s="67">
        <f t="shared" si="55"/>
        <v>-267985008.68975797</v>
      </c>
      <c r="N220" s="67">
        <f>IF(AND(MOD(C220,12)=1,D220&lt;15),Assumptions!$H$4*I219,0)</f>
        <v>0</v>
      </c>
      <c r="O220" s="67"/>
      <c r="P220" s="90">
        <f t="shared" si="51"/>
        <v>-268102535.19799533</v>
      </c>
      <c r="Q220" s="90">
        <f>M220*VLOOKUP(MOD(C220,12)+(MOD(C220,12)=0)*12,Assumptions!$C$22:$D$33,2,FALSE)*(F220+G220)</f>
        <v>-7540383.8024436189</v>
      </c>
      <c r="R220" s="67">
        <f>IF(AND(MOD(C220,12)=0,D220&lt;15),Assumptions!$C$7*M220,0)</f>
        <v>0</v>
      </c>
      <c r="S220" s="68">
        <f>IF(MOD(C220,12)=0,M220*Assumptions!$D$17,0)</f>
        <v>0</v>
      </c>
      <c r="T220" s="68">
        <f t="shared" si="52"/>
        <v>-267985008.68975797</v>
      </c>
      <c r="U220" s="67">
        <f>T220+AE220*(1+Assumptions!$D$17)</f>
        <v>-267985008.68975797</v>
      </c>
      <c r="V220" s="67">
        <f>(M220+N220-O220)*(1+Assumptions!$D$17)-(P220+Q220)*(1+Assumptions!$D$17)^0.5-R220-T220</f>
        <v>275112045.84412992</v>
      </c>
      <c r="W220" s="67"/>
      <c r="X220" s="67">
        <f>IF(AND(H220=1,D220&lt;15),Assumptions!$D$10*N220+Assumptions!$D$11*(1+Assumptions!$D$16)^(B220-1)*$I$7,0)</f>
        <v>0</v>
      </c>
      <c r="Y220" s="65">
        <f>Assumptions!$C$13*N220</f>
        <v>0</v>
      </c>
      <c r="Z220" s="65">
        <f>NPV(Assumptions!$D$19,N220:$N$259)*(1+Assumptions!$D$19)</f>
        <v>0</v>
      </c>
      <c r="AA220" s="68">
        <f t="shared" si="53"/>
        <v>0</v>
      </c>
      <c r="AC220" s="67">
        <f t="shared" si="54"/>
        <v>275112045.84412992</v>
      </c>
      <c r="AD220" s="67"/>
      <c r="AE220" s="67"/>
      <c r="AF220" s="67"/>
      <c r="AG220" s="67"/>
      <c r="AH220" s="67"/>
      <c r="AI220" s="67"/>
      <c r="AK220" s="67"/>
      <c r="AL220" s="70">
        <f t="shared" si="46"/>
        <v>0</v>
      </c>
    </row>
    <row r="221" spans="2:38" x14ac:dyDescent="0.2">
      <c r="B221" s="5">
        <f t="shared" si="42"/>
        <v>214</v>
      </c>
      <c r="C221" s="5">
        <f t="shared" si="43"/>
        <v>214</v>
      </c>
      <c r="D221" s="5">
        <f t="shared" si="44"/>
        <v>17</v>
      </c>
      <c r="E221" s="5">
        <f t="shared" si="45"/>
        <v>63</v>
      </c>
      <c r="F221" s="64">
        <f>1-(1-VLOOKUP($E221,'Annual Mortality Rates'!$B$5:$C$105,2,FALSE))^(1/12)</f>
        <v>4.3855627899469507E-4</v>
      </c>
      <c r="G221" s="75">
        <f>IF(C221&gt;=[1]Assumptions!$H$9*12,100%,1-(1-IF(D221&gt;=7,2%,VLOOKUP($D221,'[1]Annual Lapse Rates'!$B$4:$C$14,2,FALSE)))^(1/12))</f>
        <v>1</v>
      </c>
      <c r="H221" s="81">
        <f t="shared" si="47"/>
        <v>10</v>
      </c>
      <c r="I221" s="65">
        <f t="shared" si="48"/>
        <v>0</v>
      </c>
      <c r="J221" s="66">
        <f t="shared" si="49"/>
        <v>0</v>
      </c>
      <c r="K221" s="66">
        <f t="shared" si="50"/>
        <v>0</v>
      </c>
      <c r="M221" s="67">
        <f t="shared" si="55"/>
        <v>275112045.84412992</v>
      </c>
      <c r="N221" s="67">
        <f>IF(AND(MOD(C221,12)=1,D221&lt;15),Assumptions!$H$4*I220,0)</f>
        <v>0</v>
      </c>
      <c r="O221" s="67"/>
      <c r="P221" s="90">
        <f t="shared" si="51"/>
        <v>275232697.95926195</v>
      </c>
      <c r="Q221" s="90">
        <f>M221*VLOOKUP(MOD(C221,12)+(MOD(C221,12)=0)*12,Assumptions!$C$22:$D$33,2,FALSE)*(F221+G221)</f>
        <v>8601021.8112269361</v>
      </c>
      <c r="R221" s="67">
        <f>IF(AND(MOD(C221,12)=0,D221&lt;15),Assumptions!$C$7*M221,0)</f>
        <v>0</v>
      </c>
      <c r="S221" s="68">
        <f>IF(MOD(C221,12)=0,M221*Assumptions!$D$17,0)</f>
        <v>0</v>
      </c>
      <c r="T221" s="68">
        <f t="shared" si="52"/>
        <v>275112045.84412992</v>
      </c>
      <c r="U221" s="67">
        <f>T221+AE221*(1+Assumptions!$D$17)</f>
        <v>275112045.84412992</v>
      </c>
      <c r="V221" s="67">
        <f>(M221+N221-O221)*(1+Assumptions!$D$17)-(P221+Q221)*(1+Assumptions!$D$17)^0.5-R221-T221</f>
        <v>-283290478.39088517</v>
      </c>
      <c r="W221" s="67"/>
      <c r="X221" s="67">
        <f>IF(AND(H221=1,D221&lt;15),Assumptions!$D$10*N221+Assumptions!$D$11*(1+Assumptions!$D$16)^(B221-1)*$I$7,0)</f>
        <v>0</v>
      </c>
      <c r="Y221" s="65">
        <f>Assumptions!$C$13*N221</f>
        <v>0</v>
      </c>
      <c r="Z221" s="65">
        <f>NPV(Assumptions!$D$19,N221:$N$259)*(1+Assumptions!$D$19)</f>
        <v>0</v>
      </c>
      <c r="AA221" s="68">
        <f t="shared" si="53"/>
        <v>0</v>
      </c>
      <c r="AC221" s="67">
        <f t="shared" si="54"/>
        <v>-283290478.39088517</v>
      </c>
      <c r="AD221" s="67"/>
      <c r="AE221" s="67"/>
      <c r="AF221" s="67"/>
      <c r="AG221" s="67"/>
      <c r="AH221" s="67"/>
      <c r="AI221" s="67"/>
      <c r="AK221" s="67"/>
      <c r="AL221" s="70">
        <f t="shared" si="46"/>
        <v>0</v>
      </c>
    </row>
    <row r="222" spans="2:38" x14ac:dyDescent="0.2">
      <c r="B222" s="5">
        <f t="shared" si="42"/>
        <v>215</v>
      </c>
      <c r="C222" s="5">
        <f t="shared" si="43"/>
        <v>215</v>
      </c>
      <c r="D222" s="5">
        <f t="shared" si="44"/>
        <v>17</v>
      </c>
      <c r="E222" s="5">
        <f t="shared" si="45"/>
        <v>63</v>
      </c>
      <c r="F222" s="64">
        <f>1-(1-VLOOKUP($E222,'Annual Mortality Rates'!$B$5:$C$105,2,FALSE))^(1/12)</f>
        <v>4.3855627899469507E-4</v>
      </c>
      <c r="G222" s="75">
        <f>IF(C222&gt;=[1]Assumptions!$H$9*12,100%,1-(1-IF(D222&gt;=7,2%,VLOOKUP($D222,'[1]Annual Lapse Rates'!$B$4:$C$14,2,FALSE)))^(1/12))</f>
        <v>1</v>
      </c>
      <c r="H222" s="81">
        <f t="shared" si="47"/>
        <v>11</v>
      </c>
      <c r="I222" s="65">
        <f t="shared" si="48"/>
        <v>0</v>
      </c>
      <c r="J222" s="66">
        <f t="shared" si="49"/>
        <v>0</v>
      </c>
      <c r="K222" s="66">
        <f t="shared" si="50"/>
        <v>0</v>
      </c>
      <c r="M222" s="67">
        <f t="shared" si="55"/>
        <v>-283290478.39088517</v>
      </c>
      <c r="N222" s="67">
        <f>IF(AND(MOD(C222,12)=1,D222&lt;15),Assumptions!$H$4*I221,0)</f>
        <v>0</v>
      </c>
      <c r="O222" s="67"/>
      <c r="P222" s="90">
        <f t="shared" si="51"/>
        <v>-283414717.20896292</v>
      </c>
      <c r="Q222" s="90">
        <f>M222*VLOOKUP(MOD(C222,12)+(MOD(C222,12)=0)*12,Assumptions!$C$22:$D$33,2,FALSE)*(F222+G222)</f>
        <v>-9742380.9040581025</v>
      </c>
      <c r="R222" s="67">
        <f>IF(AND(MOD(C222,12)=0,D222&lt;15),Assumptions!$C$7*M222,0)</f>
        <v>0</v>
      </c>
      <c r="S222" s="68">
        <f>IF(MOD(C222,12)=0,M222*Assumptions!$D$17,0)</f>
        <v>0</v>
      </c>
      <c r="T222" s="68">
        <f t="shared" si="52"/>
        <v>-283290478.39088517</v>
      </c>
      <c r="U222" s="67">
        <f>T222+AE222*(1+Assumptions!$D$17)</f>
        <v>-283290478.39088517</v>
      </c>
      <c r="V222" s="67">
        <f>(M222+N222-O222)*(1+Assumptions!$D$17)-(P222+Q222)*(1+Assumptions!$D$17)^0.5-R222-T222</f>
        <v>292599509.78065157</v>
      </c>
      <c r="W222" s="67"/>
      <c r="X222" s="67">
        <f>IF(AND(H222=1,D222&lt;15),Assumptions!$D$10*N222+Assumptions!$D$11*(1+Assumptions!$D$16)^(B222-1)*$I$7,0)</f>
        <v>0</v>
      </c>
      <c r="Y222" s="65">
        <f>Assumptions!$C$13*N222</f>
        <v>0</v>
      </c>
      <c r="Z222" s="65">
        <f>NPV(Assumptions!$D$19,N222:$N$259)*(1+Assumptions!$D$19)</f>
        <v>0</v>
      </c>
      <c r="AA222" s="68">
        <f t="shared" si="53"/>
        <v>0</v>
      </c>
      <c r="AC222" s="67">
        <f t="shared" si="54"/>
        <v>292599509.78065157</v>
      </c>
      <c r="AD222" s="67"/>
      <c r="AE222" s="67"/>
      <c r="AF222" s="67"/>
      <c r="AG222" s="67"/>
      <c r="AH222" s="67"/>
      <c r="AI222" s="67"/>
      <c r="AK222" s="67"/>
      <c r="AL222" s="70">
        <f t="shared" si="46"/>
        <v>0</v>
      </c>
    </row>
    <row r="223" spans="2:38" x14ac:dyDescent="0.2">
      <c r="B223" s="5">
        <f t="shared" si="42"/>
        <v>216</v>
      </c>
      <c r="C223" s="5">
        <f t="shared" si="43"/>
        <v>216</v>
      </c>
      <c r="D223" s="5">
        <f t="shared" si="44"/>
        <v>17</v>
      </c>
      <c r="E223" s="5">
        <f t="shared" si="45"/>
        <v>63</v>
      </c>
      <c r="F223" s="64">
        <f>1-(1-VLOOKUP($E223,'Annual Mortality Rates'!$B$5:$C$105,2,FALSE))^(1/12)</f>
        <v>4.3855627899469507E-4</v>
      </c>
      <c r="G223" s="75">
        <f>IF(C223&gt;=[1]Assumptions!$H$9*12,100%,1-(1-IF(D223&gt;=7,2%,VLOOKUP($D223,'[1]Annual Lapse Rates'!$B$4:$C$14,2,FALSE)))^(1/12))</f>
        <v>1</v>
      </c>
      <c r="H223" s="81">
        <f t="shared" si="47"/>
        <v>12</v>
      </c>
      <c r="I223" s="65">
        <f t="shared" si="48"/>
        <v>0</v>
      </c>
      <c r="J223" s="66">
        <f t="shared" si="49"/>
        <v>0</v>
      </c>
      <c r="K223" s="66">
        <f t="shared" si="50"/>
        <v>0</v>
      </c>
      <c r="M223" s="67">
        <f t="shared" si="55"/>
        <v>292599509.78065157</v>
      </c>
      <c r="N223" s="67">
        <f>IF(AND(MOD(C223,12)=1,D223&lt;15),Assumptions!$H$4*I222,0)</f>
        <v>0</v>
      </c>
      <c r="O223" s="67"/>
      <c r="P223" s="90">
        <f t="shared" si="51"/>
        <v>292727831.13289666</v>
      </c>
      <c r="Q223" s="90">
        <f>M223*VLOOKUP(MOD(C223,12)+(MOD(C223,12)=0)*12,Assumptions!$C$22:$D$33,2,FALSE)*(F223+G223)</f>
        <v>10977293.667483628</v>
      </c>
      <c r="R223" s="67">
        <f>IF(AND(MOD(C223,12)=0,D223&lt;15),Assumptions!$C$7*M223,0)</f>
        <v>0</v>
      </c>
      <c r="S223" s="68">
        <f>IF(MOD(C223,12)=0,M223*Assumptions!$D$17,0)</f>
        <v>1192086.6218812016</v>
      </c>
      <c r="T223" s="68">
        <f t="shared" si="52"/>
        <v>293791596.40253276</v>
      </c>
      <c r="U223" s="67">
        <f>T223+AE223*(1+Assumptions!$D$17)</f>
        <v>293791596.40253276</v>
      </c>
      <c r="V223" s="67">
        <f>(M223+N223-O223)*(1+Assumptions!$D$17)-(P223+Q223)*(1+Assumptions!$D$17)^0.5-R223-T223</f>
        <v>-304323162.08621395</v>
      </c>
      <c r="W223" s="67"/>
      <c r="X223" s="67">
        <f>IF(AND(H223=1,D223&lt;15),Assumptions!$D$10*N223+Assumptions!$D$11*(1+Assumptions!$D$16)^(B223-1)*$I$7,0)</f>
        <v>0</v>
      </c>
      <c r="Y223" s="65">
        <f>Assumptions!$C$13*N223</f>
        <v>0</v>
      </c>
      <c r="Z223" s="65">
        <f>NPV(Assumptions!$D$19,N223:$N$259)*(1+Assumptions!$D$19)</f>
        <v>0</v>
      </c>
      <c r="AA223" s="68">
        <f t="shared" si="53"/>
        <v>0</v>
      </c>
      <c r="AC223" s="67">
        <f t="shared" si="54"/>
        <v>-304323162.08621395</v>
      </c>
      <c r="AD223" s="67"/>
      <c r="AE223" s="67"/>
      <c r="AF223" s="67"/>
      <c r="AG223" s="67"/>
      <c r="AH223" s="67"/>
      <c r="AI223" s="67"/>
      <c r="AK223" s="67"/>
      <c r="AL223" s="70">
        <f t="shared" si="46"/>
        <v>0</v>
      </c>
    </row>
    <row r="224" spans="2:38" x14ac:dyDescent="0.2">
      <c r="B224" s="5">
        <f t="shared" si="42"/>
        <v>217</v>
      </c>
      <c r="C224" s="5">
        <f t="shared" si="43"/>
        <v>217</v>
      </c>
      <c r="D224" s="5">
        <f t="shared" si="44"/>
        <v>18</v>
      </c>
      <c r="E224" s="5">
        <f t="shared" si="45"/>
        <v>64</v>
      </c>
      <c r="F224" s="64">
        <f>1-(1-VLOOKUP($E224,'Annual Mortality Rates'!$B$5:$C$105,2,FALSE))^(1/12)</f>
        <v>4.8378519100333861E-4</v>
      </c>
      <c r="G224" s="75">
        <f>IF(C224&gt;=[1]Assumptions!$H$9*12,100%,1-(1-IF(D224&gt;=7,2%,VLOOKUP($D224,'[1]Annual Lapse Rates'!$B$4:$C$14,2,FALSE)))^(1/12))</f>
        <v>1</v>
      </c>
      <c r="H224" s="81">
        <f t="shared" si="47"/>
        <v>1</v>
      </c>
      <c r="I224" s="65">
        <f t="shared" si="48"/>
        <v>0</v>
      </c>
      <c r="J224" s="66">
        <f t="shared" si="49"/>
        <v>0</v>
      </c>
      <c r="K224" s="66">
        <f t="shared" si="50"/>
        <v>0</v>
      </c>
      <c r="M224" s="67">
        <f t="shared" si="55"/>
        <v>-304323162.08621395</v>
      </c>
      <c r="N224" s="67">
        <f>IF(AND(MOD(C224,12)=1,D224&lt;15),Assumptions!$H$4*I223,0)</f>
        <v>0</v>
      </c>
      <c r="O224" s="67"/>
      <c r="P224" s="90">
        <f t="shared" si="51"/>
        <v>-304470389.12531054</v>
      </c>
      <c r="Q224" s="90">
        <f>M224*VLOOKUP(MOD(C224,12)+(MOD(C224,12)=0)*12,Assumptions!$C$22:$D$33,2,FALSE)*(F224+G224)</f>
        <v>-951469.9660165956</v>
      </c>
      <c r="R224" s="67">
        <f>IF(AND(MOD(C224,12)=0,D224&lt;15),Assumptions!$C$7*M224,0)</f>
        <v>0</v>
      </c>
      <c r="S224" s="68">
        <f>IF(MOD(C224,12)=0,M224*Assumptions!$D$17,0)</f>
        <v>0</v>
      </c>
      <c r="T224" s="68">
        <f t="shared" si="52"/>
        <v>-304323162.08621395</v>
      </c>
      <c r="U224" s="67">
        <f>T224+AE224*(1+Assumptions!$D$17)</f>
        <v>-304323162.08621395</v>
      </c>
      <c r="V224" s="67">
        <f>(M224+N224-O224)*(1+Assumptions!$D$17)-(P224+Q224)*(1+Assumptions!$D$17)^0.5-R224-T224</f>
        <v>304803539.68393165</v>
      </c>
      <c r="W224" s="67"/>
      <c r="X224" s="67">
        <f>IF(AND(H224=1,D224&lt;15),Assumptions!$D$10*N224+Assumptions!$D$11*(1+Assumptions!$D$16)^(B224-1)*$I$7,0)</f>
        <v>0</v>
      </c>
      <c r="Y224" s="65">
        <f>Assumptions!$C$13*N224</f>
        <v>0</v>
      </c>
      <c r="Z224" s="65">
        <f>NPV(Assumptions!$D$19,N224:$N$259)*(1+Assumptions!$D$19)</f>
        <v>0</v>
      </c>
      <c r="AA224" s="68">
        <f t="shared" si="53"/>
        <v>0</v>
      </c>
      <c r="AC224" s="67">
        <f t="shared" si="54"/>
        <v>304803539.68393165</v>
      </c>
      <c r="AD224" s="67"/>
      <c r="AE224" s="67"/>
      <c r="AF224" s="67"/>
      <c r="AG224" s="67"/>
      <c r="AH224" s="67"/>
      <c r="AI224" s="67"/>
      <c r="AK224" s="67"/>
      <c r="AL224" s="70">
        <f t="shared" si="46"/>
        <v>0</v>
      </c>
    </row>
    <row r="225" spans="2:38" x14ac:dyDescent="0.2">
      <c r="B225" s="5">
        <f t="shared" si="42"/>
        <v>218</v>
      </c>
      <c r="C225" s="5">
        <f t="shared" si="43"/>
        <v>218</v>
      </c>
      <c r="D225" s="5">
        <f t="shared" si="44"/>
        <v>18</v>
      </c>
      <c r="E225" s="5">
        <f t="shared" si="45"/>
        <v>64</v>
      </c>
      <c r="F225" s="64">
        <f>1-(1-VLOOKUP($E225,'Annual Mortality Rates'!$B$5:$C$105,2,FALSE))^(1/12)</f>
        <v>4.8378519100333861E-4</v>
      </c>
      <c r="G225" s="75">
        <f>IF(C225&gt;=[1]Assumptions!$H$9*12,100%,1-(1-IF(D225&gt;=7,2%,VLOOKUP($D225,'[1]Annual Lapse Rates'!$B$4:$C$14,2,FALSE)))^(1/12))</f>
        <v>1</v>
      </c>
      <c r="H225" s="81">
        <f t="shared" si="47"/>
        <v>2</v>
      </c>
      <c r="I225" s="65">
        <f t="shared" si="48"/>
        <v>0</v>
      </c>
      <c r="J225" s="66">
        <f t="shared" si="49"/>
        <v>0</v>
      </c>
      <c r="K225" s="66">
        <f t="shared" si="50"/>
        <v>0</v>
      </c>
      <c r="M225" s="67">
        <f t="shared" si="55"/>
        <v>304803539.68393165</v>
      </c>
      <c r="N225" s="67">
        <f>IF(AND(MOD(C225,12)=1,D225&lt;15),Assumptions!$H$4*I224,0)</f>
        <v>0</v>
      </c>
      <c r="O225" s="67"/>
      <c r="P225" s="90">
        <f t="shared" si="51"/>
        <v>304950999.12259614</v>
      </c>
      <c r="Q225" s="90">
        <f>M225*VLOOKUP(MOD(C225,12)+(MOD(C225,12)=0)*12,Assumptions!$C$22:$D$33,2,FALSE)*(F225+G225)</f>
        <v>1905943.7445162258</v>
      </c>
      <c r="R225" s="67">
        <f>IF(AND(MOD(C225,12)=0,D225&lt;15),Assumptions!$C$7*M225,0)</f>
        <v>0</v>
      </c>
      <c r="S225" s="68">
        <f>IF(MOD(C225,12)=0,M225*Assumptions!$D$17,0)</f>
        <v>0</v>
      </c>
      <c r="T225" s="68">
        <f t="shared" si="52"/>
        <v>304803539.68393165</v>
      </c>
      <c r="U225" s="67">
        <f>T225+AE225*(1+Assumptions!$D$17)</f>
        <v>304803539.68393165</v>
      </c>
      <c r="V225" s="67">
        <f>(M225+N225-O225)*(1+Assumptions!$D$17)-(P225+Q225)*(1+Assumptions!$D$17)^0.5-R225-T225</f>
        <v>-306239586.72491515</v>
      </c>
      <c r="W225" s="67"/>
      <c r="X225" s="67">
        <f>IF(AND(H225=1,D225&lt;15),Assumptions!$D$10*N225+Assumptions!$D$11*(1+Assumptions!$D$16)^(B225-1)*$I$7,0)</f>
        <v>0</v>
      </c>
      <c r="Y225" s="65">
        <f>Assumptions!$C$13*N225</f>
        <v>0</v>
      </c>
      <c r="Z225" s="65">
        <f>NPV(Assumptions!$D$19,N225:$N$259)*(1+Assumptions!$D$19)</f>
        <v>0</v>
      </c>
      <c r="AA225" s="68">
        <f t="shared" si="53"/>
        <v>0</v>
      </c>
      <c r="AC225" s="67">
        <f t="shared" si="54"/>
        <v>-306239586.72491515</v>
      </c>
      <c r="AD225" s="67"/>
      <c r="AE225" s="67"/>
      <c r="AF225" s="67"/>
      <c r="AG225" s="67"/>
      <c r="AH225" s="67"/>
      <c r="AI225" s="67"/>
      <c r="AK225" s="67"/>
      <c r="AL225" s="70">
        <f t="shared" si="46"/>
        <v>0</v>
      </c>
    </row>
    <row r="226" spans="2:38" x14ac:dyDescent="0.2">
      <c r="B226" s="5">
        <f t="shared" si="42"/>
        <v>219</v>
      </c>
      <c r="C226" s="5">
        <f t="shared" si="43"/>
        <v>219</v>
      </c>
      <c r="D226" s="5">
        <f t="shared" si="44"/>
        <v>18</v>
      </c>
      <c r="E226" s="5">
        <f t="shared" si="45"/>
        <v>64</v>
      </c>
      <c r="F226" s="64">
        <f>1-(1-VLOOKUP($E226,'Annual Mortality Rates'!$B$5:$C$105,2,FALSE))^(1/12)</f>
        <v>4.8378519100333861E-4</v>
      </c>
      <c r="G226" s="75">
        <f>IF(C226&gt;=[1]Assumptions!$H$9*12,100%,1-(1-IF(D226&gt;=7,2%,VLOOKUP($D226,'[1]Annual Lapse Rates'!$B$4:$C$14,2,FALSE)))^(1/12))</f>
        <v>1</v>
      </c>
      <c r="H226" s="81">
        <f t="shared" si="47"/>
        <v>3</v>
      </c>
      <c r="I226" s="65">
        <f t="shared" si="48"/>
        <v>0</v>
      </c>
      <c r="J226" s="66">
        <f t="shared" si="49"/>
        <v>0</v>
      </c>
      <c r="K226" s="66">
        <f t="shared" si="50"/>
        <v>0</v>
      </c>
      <c r="M226" s="67">
        <f t="shared" si="55"/>
        <v>-306239586.72491515</v>
      </c>
      <c r="N226" s="67">
        <f>IF(AND(MOD(C226,12)=1,D226&lt;15),Assumptions!$H$4*I225,0)</f>
        <v>0</v>
      </c>
      <c r="O226" s="67"/>
      <c r="P226" s="90">
        <f t="shared" si="51"/>
        <v>-306387740.90187162</v>
      </c>
      <c r="Q226" s="90">
        <f>M226*VLOOKUP(MOD(C226,12)+(MOD(C226,12)=0)*12,Assumptions!$C$22:$D$33,2,FALSE)*(F226+G226)</f>
        <v>-2872385.0709550474</v>
      </c>
      <c r="R226" s="67">
        <f>IF(AND(MOD(C226,12)=0,D226&lt;15),Assumptions!$C$7*M226,0)</f>
        <v>0</v>
      </c>
      <c r="S226" s="68">
        <f>IF(MOD(C226,12)=0,M226*Assumptions!$D$17,0)</f>
        <v>0</v>
      </c>
      <c r="T226" s="68">
        <f t="shared" si="52"/>
        <v>-306239586.72491515</v>
      </c>
      <c r="U226" s="67">
        <f>T226+AE226*(1+Assumptions!$D$17)</f>
        <v>-306239586.72491515</v>
      </c>
      <c r="V226" s="67">
        <f>(M226+N226-O226)*(1+Assumptions!$D$17)-(P226+Q226)*(1+Assumptions!$D$17)^0.5-R226-T226</f>
        <v>308641809.6539306</v>
      </c>
      <c r="W226" s="67"/>
      <c r="X226" s="67">
        <f>IF(AND(H226=1,D226&lt;15),Assumptions!$D$10*N226+Assumptions!$D$11*(1+Assumptions!$D$16)^(B226-1)*$I$7,0)</f>
        <v>0</v>
      </c>
      <c r="Y226" s="65">
        <f>Assumptions!$C$13*N226</f>
        <v>0</v>
      </c>
      <c r="Z226" s="65">
        <f>NPV(Assumptions!$D$19,N226:$N$259)*(1+Assumptions!$D$19)</f>
        <v>0</v>
      </c>
      <c r="AA226" s="68">
        <f t="shared" si="53"/>
        <v>0</v>
      </c>
      <c r="AC226" s="67">
        <f t="shared" si="54"/>
        <v>308641809.6539306</v>
      </c>
      <c r="AD226" s="67"/>
      <c r="AE226" s="67"/>
      <c r="AF226" s="67"/>
      <c r="AG226" s="67"/>
      <c r="AH226" s="67"/>
      <c r="AI226" s="67"/>
      <c r="AK226" s="67"/>
      <c r="AL226" s="70">
        <f t="shared" si="46"/>
        <v>0</v>
      </c>
    </row>
    <row r="227" spans="2:38" x14ac:dyDescent="0.2">
      <c r="B227" s="5">
        <f t="shared" si="42"/>
        <v>220</v>
      </c>
      <c r="C227" s="5">
        <f t="shared" si="43"/>
        <v>220</v>
      </c>
      <c r="D227" s="5">
        <f t="shared" si="44"/>
        <v>18</v>
      </c>
      <c r="E227" s="5">
        <f t="shared" si="45"/>
        <v>64</v>
      </c>
      <c r="F227" s="64">
        <f>1-(1-VLOOKUP($E227,'Annual Mortality Rates'!$B$5:$C$105,2,FALSE))^(1/12)</f>
        <v>4.8378519100333861E-4</v>
      </c>
      <c r="G227" s="75">
        <f>IF(C227&gt;=[1]Assumptions!$H$9*12,100%,1-(1-IF(D227&gt;=7,2%,VLOOKUP($D227,'[1]Annual Lapse Rates'!$B$4:$C$14,2,FALSE)))^(1/12))</f>
        <v>1</v>
      </c>
      <c r="H227" s="81">
        <f t="shared" si="47"/>
        <v>4</v>
      </c>
      <c r="I227" s="65">
        <f t="shared" si="48"/>
        <v>0</v>
      </c>
      <c r="J227" s="66">
        <f t="shared" si="49"/>
        <v>0</v>
      </c>
      <c r="K227" s="66">
        <f t="shared" si="50"/>
        <v>0</v>
      </c>
      <c r="M227" s="67">
        <f t="shared" si="55"/>
        <v>308641809.6539306</v>
      </c>
      <c r="N227" s="67">
        <f>IF(AND(MOD(C227,12)=1,D227&lt;15),Assumptions!$H$4*I226,0)</f>
        <v>0</v>
      </c>
      <c r="O227" s="67"/>
      <c r="P227" s="90">
        <f t="shared" si="51"/>
        <v>308791125.99076563</v>
      </c>
      <c r="Q227" s="90">
        <f>M227*VLOOKUP(MOD(C227,12)+(MOD(C227,12)=0)*12,Assumptions!$C$22:$D$33,2,FALSE)*(F227+G227)</f>
        <v>3859889.0748845707</v>
      </c>
      <c r="R227" s="67">
        <f>IF(AND(MOD(C227,12)=0,D227&lt;15),Assumptions!$C$7*M227,0)</f>
        <v>0</v>
      </c>
      <c r="S227" s="68">
        <f>IF(MOD(C227,12)=0,M227*Assumptions!$D$17,0)</f>
        <v>0</v>
      </c>
      <c r="T227" s="68">
        <f t="shared" si="52"/>
        <v>308641809.6539306</v>
      </c>
      <c r="U227" s="67">
        <f>T227+AE227*(1+Assumptions!$D$17)</f>
        <v>308641809.6539306</v>
      </c>
      <c r="V227" s="67">
        <f>(M227+N227-O227)*(1+Assumptions!$D$17)-(P227+Q227)*(1+Assumptions!$D$17)^0.5-R227-T227</f>
        <v>-312029812.22297853</v>
      </c>
      <c r="W227" s="67"/>
      <c r="X227" s="67">
        <f>IF(AND(H227=1,D227&lt;15),Assumptions!$D$10*N227+Assumptions!$D$11*(1+Assumptions!$D$16)^(B227-1)*$I$7,0)</f>
        <v>0</v>
      </c>
      <c r="Y227" s="65">
        <f>Assumptions!$C$13*N227</f>
        <v>0</v>
      </c>
      <c r="Z227" s="65">
        <f>NPV(Assumptions!$D$19,N227:$N$259)*(1+Assumptions!$D$19)</f>
        <v>0</v>
      </c>
      <c r="AA227" s="68">
        <f t="shared" si="53"/>
        <v>0</v>
      </c>
      <c r="AC227" s="67">
        <f t="shared" si="54"/>
        <v>-312029812.22297853</v>
      </c>
      <c r="AD227" s="67"/>
      <c r="AE227" s="67"/>
      <c r="AF227" s="67"/>
      <c r="AG227" s="67"/>
      <c r="AH227" s="67"/>
      <c r="AI227" s="67"/>
      <c r="AK227" s="67"/>
      <c r="AL227" s="70">
        <f t="shared" si="46"/>
        <v>0</v>
      </c>
    </row>
    <row r="228" spans="2:38" x14ac:dyDescent="0.2">
      <c r="B228" s="5">
        <f t="shared" si="42"/>
        <v>221</v>
      </c>
      <c r="C228" s="5">
        <f t="shared" si="43"/>
        <v>221</v>
      </c>
      <c r="D228" s="5">
        <f t="shared" si="44"/>
        <v>18</v>
      </c>
      <c r="E228" s="5">
        <f t="shared" si="45"/>
        <v>64</v>
      </c>
      <c r="F228" s="64">
        <f>1-(1-VLOOKUP($E228,'Annual Mortality Rates'!$B$5:$C$105,2,FALSE))^(1/12)</f>
        <v>4.8378519100333861E-4</v>
      </c>
      <c r="G228" s="75">
        <f>IF(C228&gt;=[1]Assumptions!$H$9*12,100%,1-(1-IF(D228&gt;=7,2%,VLOOKUP($D228,'[1]Annual Lapse Rates'!$B$4:$C$14,2,FALSE)))^(1/12))</f>
        <v>1</v>
      </c>
      <c r="H228" s="81">
        <f t="shared" si="47"/>
        <v>5</v>
      </c>
      <c r="I228" s="65">
        <f t="shared" si="48"/>
        <v>0</v>
      </c>
      <c r="J228" s="66">
        <f t="shared" si="49"/>
        <v>0</v>
      </c>
      <c r="K228" s="66">
        <f t="shared" si="50"/>
        <v>0</v>
      </c>
      <c r="M228" s="67">
        <f t="shared" si="55"/>
        <v>-312029812.22297853</v>
      </c>
      <c r="N228" s="67">
        <f>IF(AND(MOD(C228,12)=1,D228&lt;15),Assumptions!$H$4*I227,0)</f>
        <v>0</v>
      </c>
      <c r="O228" s="67"/>
      <c r="P228" s="90">
        <f t="shared" si="51"/>
        <v>-312180767.62528354</v>
      </c>
      <c r="Q228" s="90">
        <f>M228*VLOOKUP(MOD(C228,12)+(MOD(C228,12)=0)*12,Assumptions!$C$22:$D$33,2,FALSE)*(F228+G228)</f>
        <v>-4877824.4941450553</v>
      </c>
      <c r="R228" s="67">
        <f>IF(AND(MOD(C228,12)=0,D228&lt;15),Assumptions!$C$7*M228,0)</f>
        <v>0</v>
      </c>
      <c r="S228" s="68">
        <f>IF(MOD(C228,12)=0,M228*Assumptions!$D$17,0)</f>
        <v>0</v>
      </c>
      <c r="T228" s="68">
        <f t="shared" si="52"/>
        <v>-312029812.22297853</v>
      </c>
      <c r="U228" s="67">
        <f>T228+AE228*(1+Assumptions!$D$17)</f>
        <v>-312029812.22297853</v>
      </c>
      <c r="V228" s="67">
        <f>(M228+N228-O228)*(1+Assumptions!$D$17)-(P228+Q228)*(1+Assumptions!$D$17)^0.5-R228-T228</f>
        <v>316432555.51585674</v>
      </c>
      <c r="W228" s="67"/>
      <c r="X228" s="67">
        <f>IF(AND(H228=1,D228&lt;15),Assumptions!$D$10*N228+Assumptions!$D$11*(1+Assumptions!$D$16)^(B228-1)*$I$7,0)</f>
        <v>0</v>
      </c>
      <c r="Y228" s="65">
        <f>Assumptions!$C$13*N228</f>
        <v>0</v>
      </c>
      <c r="Z228" s="65">
        <f>NPV(Assumptions!$D$19,N228:$N$259)*(1+Assumptions!$D$19)</f>
        <v>0</v>
      </c>
      <c r="AA228" s="68">
        <f t="shared" si="53"/>
        <v>0</v>
      </c>
      <c r="AC228" s="67">
        <f t="shared" si="54"/>
        <v>316432555.51585674</v>
      </c>
      <c r="AD228" s="67"/>
      <c r="AE228" s="67"/>
      <c r="AF228" s="67"/>
      <c r="AG228" s="67"/>
      <c r="AH228" s="67"/>
      <c r="AI228" s="67"/>
      <c r="AK228" s="67"/>
      <c r="AL228" s="70">
        <f t="shared" si="46"/>
        <v>0</v>
      </c>
    </row>
    <row r="229" spans="2:38" x14ac:dyDescent="0.2">
      <c r="B229" s="5">
        <f t="shared" si="42"/>
        <v>222</v>
      </c>
      <c r="C229" s="5">
        <f t="shared" si="43"/>
        <v>222</v>
      </c>
      <c r="D229" s="5">
        <f t="shared" si="44"/>
        <v>18</v>
      </c>
      <c r="E229" s="5">
        <f t="shared" si="45"/>
        <v>64</v>
      </c>
      <c r="F229" s="64">
        <f>1-(1-VLOOKUP($E229,'Annual Mortality Rates'!$B$5:$C$105,2,FALSE))^(1/12)</f>
        <v>4.8378519100333861E-4</v>
      </c>
      <c r="G229" s="75">
        <f>IF(C229&gt;=[1]Assumptions!$H$9*12,100%,1-(1-IF(D229&gt;=7,2%,VLOOKUP($D229,'[1]Annual Lapse Rates'!$B$4:$C$14,2,FALSE)))^(1/12))</f>
        <v>1</v>
      </c>
      <c r="H229" s="81">
        <f t="shared" si="47"/>
        <v>6</v>
      </c>
      <c r="I229" s="65">
        <f t="shared" si="48"/>
        <v>0</v>
      </c>
      <c r="J229" s="66">
        <f t="shared" si="49"/>
        <v>0</v>
      </c>
      <c r="K229" s="66">
        <f t="shared" si="50"/>
        <v>0</v>
      </c>
      <c r="M229" s="67">
        <f t="shared" si="55"/>
        <v>316432555.51585674</v>
      </c>
      <c r="N229" s="67">
        <f>IF(AND(MOD(C229,12)=1,D229&lt;15),Assumptions!$H$4*I228,0)</f>
        <v>0</v>
      </c>
      <c r="O229" s="67"/>
      <c r="P229" s="90">
        <f t="shared" si="51"/>
        <v>316585640.90016663</v>
      </c>
      <c r="Q229" s="90">
        <f>M229*VLOOKUP(MOD(C229,12)+(MOD(C229,12)=0)*12,Assumptions!$C$22:$D$33,2,FALSE)*(F229+G229)</f>
        <v>5935980.7668781262</v>
      </c>
      <c r="R229" s="67">
        <f>IF(AND(MOD(C229,12)=0,D229&lt;15),Assumptions!$C$7*M229,0)</f>
        <v>0</v>
      </c>
      <c r="S229" s="68">
        <f>IF(MOD(C229,12)=0,M229*Assumptions!$D$17,0)</f>
        <v>0</v>
      </c>
      <c r="T229" s="68">
        <f t="shared" si="52"/>
        <v>316432555.51585674</v>
      </c>
      <c r="U229" s="67">
        <f>T229+AE229*(1+Assumptions!$D$17)</f>
        <v>316432555.51585674</v>
      </c>
      <c r="V229" s="67">
        <f>(M229+N229-O229)*(1+Assumptions!$D$17)-(P229+Q229)*(1+Assumptions!$D$17)^0.5-R229-T229</f>
        <v>-321888764.95989496</v>
      </c>
      <c r="W229" s="67"/>
      <c r="X229" s="67">
        <f>IF(AND(H229=1,D229&lt;15),Assumptions!$D$10*N229+Assumptions!$D$11*(1+Assumptions!$D$16)^(B229-1)*$I$7,0)</f>
        <v>0</v>
      </c>
      <c r="Y229" s="65">
        <f>Assumptions!$C$13*N229</f>
        <v>0</v>
      </c>
      <c r="Z229" s="65">
        <f>NPV(Assumptions!$D$19,N229:$N$259)*(1+Assumptions!$D$19)</f>
        <v>0</v>
      </c>
      <c r="AA229" s="68">
        <f t="shared" si="53"/>
        <v>0</v>
      </c>
      <c r="AC229" s="67">
        <f t="shared" si="54"/>
        <v>-321888764.95989496</v>
      </c>
      <c r="AD229" s="67"/>
      <c r="AE229" s="67"/>
      <c r="AF229" s="67"/>
      <c r="AG229" s="67"/>
      <c r="AH229" s="67"/>
      <c r="AI229" s="67"/>
      <c r="AK229" s="67"/>
      <c r="AL229" s="70">
        <f t="shared" si="46"/>
        <v>0</v>
      </c>
    </row>
    <row r="230" spans="2:38" x14ac:dyDescent="0.2">
      <c r="B230" s="5">
        <f t="shared" si="42"/>
        <v>223</v>
      </c>
      <c r="C230" s="5">
        <f t="shared" si="43"/>
        <v>223</v>
      </c>
      <c r="D230" s="5">
        <f t="shared" si="44"/>
        <v>18</v>
      </c>
      <c r="E230" s="5">
        <f t="shared" si="45"/>
        <v>64</v>
      </c>
      <c r="F230" s="64">
        <f>1-(1-VLOOKUP($E230,'Annual Mortality Rates'!$B$5:$C$105,2,FALSE))^(1/12)</f>
        <v>4.8378519100333861E-4</v>
      </c>
      <c r="G230" s="75">
        <f>IF(C230&gt;=[1]Assumptions!$H$9*12,100%,1-(1-IF(D230&gt;=7,2%,VLOOKUP($D230,'[1]Annual Lapse Rates'!$B$4:$C$14,2,FALSE)))^(1/12))</f>
        <v>1</v>
      </c>
      <c r="H230" s="81">
        <f t="shared" si="47"/>
        <v>7</v>
      </c>
      <c r="I230" s="65">
        <f t="shared" si="48"/>
        <v>0</v>
      </c>
      <c r="J230" s="66">
        <f t="shared" si="49"/>
        <v>0</v>
      </c>
      <c r="K230" s="66">
        <f t="shared" si="50"/>
        <v>0</v>
      </c>
      <c r="M230" s="67">
        <f t="shared" si="55"/>
        <v>-321888764.95989496</v>
      </c>
      <c r="N230" s="67">
        <f>IF(AND(MOD(C230,12)=1,D230&lt;15),Assumptions!$H$4*I229,0)</f>
        <v>0</v>
      </c>
      <c r="O230" s="67"/>
      <c r="P230" s="90">
        <f t="shared" si="51"/>
        <v>-322044489.97753292</v>
      </c>
      <c r="Q230" s="90">
        <f>M230*VLOOKUP(MOD(C230,12)+(MOD(C230,12)=0)*12,Assumptions!$C$22:$D$33,2,FALSE)*(F230+G230)</f>
        <v>-7044723.2182585327</v>
      </c>
      <c r="R230" s="67">
        <f>IF(AND(MOD(C230,12)=0,D230&lt;15),Assumptions!$C$7*M230,0)</f>
        <v>0</v>
      </c>
      <c r="S230" s="68">
        <f>IF(MOD(C230,12)=0,M230*Assumptions!$D$17,0)</f>
        <v>0</v>
      </c>
      <c r="T230" s="68">
        <f t="shared" si="52"/>
        <v>-321888764.95989496</v>
      </c>
      <c r="U230" s="67">
        <f>T230+AE230*(1+Assumptions!$D$17)</f>
        <v>-321888764.95989496</v>
      </c>
      <c r="V230" s="67">
        <f>(M230+N230-O230)*(1+Assumptions!$D$17)-(P230+Q230)*(1+Assumptions!$D$17)^0.5-R230-T230</f>
        <v>328447492.20758063</v>
      </c>
      <c r="W230" s="67"/>
      <c r="X230" s="67">
        <f>IF(AND(H230=1,D230&lt;15),Assumptions!$D$10*N230+Assumptions!$D$11*(1+Assumptions!$D$16)^(B230-1)*$I$7,0)</f>
        <v>0</v>
      </c>
      <c r="Y230" s="65">
        <f>Assumptions!$C$13*N230</f>
        <v>0</v>
      </c>
      <c r="Z230" s="65">
        <f>NPV(Assumptions!$D$19,N230:$N$259)*(1+Assumptions!$D$19)</f>
        <v>0</v>
      </c>
      <c r="AA230" s="68">
        <f t="shared" si="53"/>
        <v>0</v>
      </c>
      <c r="AC230" s="67">
        <f t="shared" si="54"/>
        <v>328447492.20758063</v>
      </c>
      <c r="AD230" s="67"/>
      <c r="AE230" s="67"/>
      <c r="AF230" s="67"/>
      <c r="AG230" s="67"/>
      <c r="AH230" s="67"/>
      <c r="AI230" s="67"/>
      <c r="AK230" s="67"/>
      <c r="AL230" s="70">
        <f t="shared" si="46"/>
        <v>0</v>
      </c>
    </row>
    <row r="231" spans="2:38" x14ac:dyDescent="0.2">
      <c r="B231" s="5">
        <f t="shared" si="42"/>
        <v>224</v>
      </c>
      <c r="C231" s="5">
        <f t="shared" si="43"/>
        <v>224</v>
      </c>
      <c r="D231" s="5">
        <f t="shared" si="44"/>
        <v>18</v>
      </c>
      <c r="E231" s="5">
        <f t="shared" si="45"/>
        <v>64</v>
      </c>
      <c r="F231" s="64">
        <f>1-(1-VLOOKUP($E231,'Annual Mortality Rates'!$B$5:$C$105,2,FALSE))^(1/12)</f>
        <v>4.8378519100333861E-4</v>
      </c>
      <c r="G231" s="75">
        <f>IF(C231&gt;=[1]Assumptions!$H$9*12,100%,1-(1-IF(D231&gt;=7,2%,VLOOKUP($D231,'[1]Annual Lapse Rates'!$B$4:$C$14,2,FALSE)))^(1/12))</f>
        <v>1</v>
      </c>
      <c r="H231" s="81">
        <f t="shared" si="47"/>
        <v>8</v>
      </c>
      <c r="I231" s="65">
        <f t="shared" si="48"/>
        <v>0</v>
      </c>
      <c r="J231" s="66">
        <f t="shared" si="49"/>
        <v>0</v>
      </c>
      <c r="K231" s="66">
        <f t="shared" si="50"/>
        <v>0</v>
      </c>
      <c r="M231" s="67">
        <f t="shared" si="55"/>
        <v>328447492.20758063</v>
      </c>
      <c r="N231" s="67">
        <f>IF(AND(MOD(C231,12)=1,D231&lt;15),Assumptions!$H$4*I230,0)</f>
        <v>0</v>
      </c>
      <c r="O231" s="67"/>
      <c r="P231" s="90">
        <f t="shared" si="51"/>
        <v>328606390.24033284</v>
      </c>
      <c r="Q231" s="90">
        <f>M231*VLOOKUP(MOD(C231,12)+(MOD(C231,12)=0)*12,Assumptions!$C$22:$D$33,2,FALSE)*(F231+G231)</f>
        <v>8215159.7560083214</v>
      </c>
      <c r="R231" s="67">
        <f>IF(AND(MOD(C231,12)=0,D231&lt;15),Assumptions!$C$7*M231,0)</f>
        <v>0</v>
      </c>
      <c r="S231" s="68">
        <f>IF(MOD(C231,12)=0,M231*Assumptions!$D$17,0)</f>
        <v>0</v>
      </c>
      <c r="T231" s="68">
        <f t="shared" si="52"/>
        <v>328447492.20758063</v>
      </c>
      <c r="U231" s="67">
        <f>T231+AE231*(1+Assumptions!$D$17)</f>
        <v>328447492.20758063</v>
      </c>
      <c r="V231" s="67">
        <f>(M231+N231-O231)*(1+Assumptions!$D$17)-(P231+Q231)*(1+Assumptions!$D$17)^0.5-R231-T231</f>
        <v>-336168843.17955494</v>
      </c>
      <c r="W231" s="67"/>
      <c r="X231" s="67">
        <f>IF(AND(H231=1,D231&lt;15),Assumptions!$D$10*N231+Assumptions!$D$11*(1+Assumptions!$D$16)^(B231-1)*$I$7,0)</f>
        <v>0</v>
      </c>
      <c r="Y231" s="65">
        <f>Assumptions!$C$13*N231</f>
        <v>0</v>
      </c>
      <c r="Z231" s="65">
        <f>NPV(Assumptions!$D$19,N231:$N$259)*(1+Assumptions!$D$19)</f>
        <v>0</v>
      </c>
      <c r="AA231" s="68">
        <f t="shared" si="53"/>
        <v>0</v>
      </c>
      <c r="AC231" s="67">
        <f t="shared" si="54"/>
        <v>-336168843.17955494</v>
      </c>
      <c r="AD231" s="67"/>
      <c r="AE231" s="67"/>
      <c r="AF231" s="67"/>
      <c r="AG231" s="67"/>
      <c r="AH231" s="67"/>
      <c r="AI231" s="67"/>
      <c r="AK231" s="67"/>
      <c r="AL231" s="70">
        <f t="shared" si="46"/>
        <v>0</v>
      </c>
    </row>
    <row r="232" spans="2:38" x14ac:dyDescent="0.2">
      <c r="B232" s="5">
        <f t="shared" si="42"/>
        <v>225</v>
      </c>
      <c r="C232" s="5">
        <f t="shared" si="43"/>
        <v>225</v>
      </c>
      <c r="D232" s="5">
        <f t="shared" si="44"/>
        <v>18</v>
      </c>
      <c r="E232" s="5">
        <f t="shared" si="45"/>
        <v>64</v>
      </c>
      <c r="F232" s="64">
        <f>1-(1-VLOOKUP($E232,'Annual Mortality Rates'!$B$5:$C$105,2,FALSE))^(1/12)</f>
        <v>4.8378519100333861E-4</v>
      </c>
      <c r="G232" s="75">
        <f>IF(C232&gt;=[1]Assumptions!$H$9*12,100%,1-(1-IF(D232&gt;=7,2%,VLOOKUP($D232,'[1]Annual Lapse Rates'!$B$4:$C$14,2,FALSE)))^(1/12))</f>
        <v>1</v>
      </c>
      <c r="H232" s="81">
        <f t="shared" si="47"/>
        <v>9</v>
      </c>
      <c r="I232" s="65">
        <f t="shared" si="48"/>
        <v>0</v>
      </c>
      <c r="J232" s="66">
        <f t="shared" si="49"/>
        <v>0</v>
      </c>
      <c r="K232" s="66">
        <f t="shared" si="50"/>
        <v>0</v>
      </c>
      <c r="M232" s="67">
        <f t="shared" si="55"/>
        <v>-336168843.17955494</v>
      </c>
      <c r="N232" s="67">
        <f>IF(AND(MOD(C232,12)=1,D232&lt;15),Assumptions!$H$4*I231,0)</f>
        <v>0</v>
      </c>
      <c r="O232" s="67"/>
      <c r="P232" s="90">
        <f t="shared" si="51"/>
        <v>-336331476.68756193</v>
      </c>
      <c r="Q232" s="90">
        <f>M232*VLOOKUP(MOD(C232,12)+(MOD(C232,12)=0)*12,Assumptions!$C$22:$D$33,2,FALSE)*(F232+G232)</f>
        <v>-9459322.7818376794</v>
      </c>
      <c r="R232" s="67">
        <f>IF(AND(MOD(C232,12)=0,D232&lt;15),Assumptions!$C$7*M232,0)</f>
        <v>0</v>
      </c>
      <c r="S232" s="68">
        <f>IF(MOD(C232,12)=0,M232*Assumptions!$D$17,0)</f>
        <v>0</v>
      </c>
      <c r="T232" s="68">
        <f t="shared" si="52"/>
        <v>-336168843.17955494</v>
      </c>
      <c r="U232" s="67">
        <f>T232+AE232*(1+Assumptions!$D$17)</f>
        <v>-336168843.17955494</v>
      </c>
      <c r="V232" s="67">
        <f>(M232+N232-O232)*(1+Assumptions!$D$17)-(P232+Q232)*(1+Assumptions!$D$17)^0.5-R232-T232</f>
        <v>345124887.25759518</v>
      </c>
      <c r="W232" s="67"/>
      <c r="X232" s="67">
        <f>IF(AND(H232=1,D232&lt;15),Assumptions!$D$10*N232+Assumptions!$D$11*(1+Assumptions!$D$16)^(B232-1)*$I$7,0)</f>
        <v>0</v>
      </c>
      <c r="Y232" s="65">
        <f>Assumptions!$C$13*N232</f>
        <v>0</v>
      </c>
      <c r="Z232" s="65">
        <f>NPV(Assumptions!$D$19,N232:$N$259)*(1+Assumptions!$D$19)</f>
        <v>0</v>
      </c>
      <c r="AA232" s="68">
        <f t="shared" si="53"/>
        <v>0</v>
      </c>
      <c r="AC232" s="67">
        <f t="shared" si="54"/>
        <v>345124887.25759518</v>
      </c>
      <c r="AD232" s="67"/>
      <c r="AE232" s="67"/>
      <c r="AF232" s="67"/>
      <c r="AG232" s="67"/>
      <c r="AH232" s="67"/>
      <c r="AI232" s="67"/>
      <c r="AK232" s="67"/>
      <c r="AL232" s="70">
        <f t="shared" si="46"/>
        <v>0</v>
      </c>
    </row>
    <row r="233" spans="2:38" x14ac:dyDescent="0.2">
      <c r="B233" s="5">
        <f t="shared" si="42"/>
        <v>226</v>
      </c>
      <c r="C233" s="5">
        <f t="shared" si="43"/>
        <v>226</v>
      </c>
      <c r="D233" s="5">
        <f t="shared" si="44"/>
        <v>18</v>
      </c>
      <c r="E233" s="5">
        <f t="shared" si="45"/>
        <v>64</v>
      </c>
      <c r="F233" s="64">
        <f>1-(1-VLOOKUP($E233,'Annual Mortality Rates'!$B$5:$C$105,2,FALSE))^(1/12)</f>
        <v>4.8378519100333861E-4</v>
      </c>
      <c r="G233" s="75">
        <f>IF(C233&gt;=[1]Assumptions!$H$9*12,100%,1-(1-IF(D233&gt;=7,2%,VLOOKUP($D233,'[1]Annual Lapse Rates'!$B$4:$C$14,2,FALSE)))^(1/12))</f>
        <v>1</v>
      </c>
      <c r="H233" s="81">
        <f t="shared" si="47"/>
        <v>10</v>
      </c>
      <c r="I233" s="65">
        <f t="shared" si="48"/>
        <v>0</v>
      </c>
      <c r="J233" s="66">
        <f t="shared" si="49"/>
        <v>0</v>
      </c>
      <c r="K233" s="66">
        <f t="shared" si="50"/>
        <v>0</v>
      </c>
      <c r="M233" s="67">
        <f t="shared" si="55"/>
        <v>345124887.25759518</v>
      </c>
      <c r="N233" s="67">
        <f>IF(AND(MOD(C233,12)=1,D233&lt;15),Assumptions!$H$4*I232,0)</f>
        <v>0</v>
      </c>
      <c r="O233" s="67"/>
      <c r="P233" s="90">
        <f t="shared" si="51"/>
        <v>345291853.56709713</v>
      </c>
      <c r="Q233" s="90">
        <f>M233*VLOOKUP(MOD(C233,12)+(MOD(C233,12)=0)*12,Assumptions!$C$22:$D$33,2,FALSE)*(F233+G233)</f>
        <v>10790370.423971785</v>
      </c>
      <c r="R233" s="67">
        <f>IF(AND(MOD(C233,12)=0,D233&lt;15),Assumptions!$C$7*M233,0)</f>
        <v>0</v>
      </c>
      <c r="S233" s="68">
        <f>IF(MOD(C233,12)=0,M233*Assumptions!$D$17,0)</f>
        <v>0</v>
      </c>
      <c r="T233" s="68">
        <f t="shared" si="52"/>
        <v>345124887.25759518</v>
      </c>
      <c r="U233" s="67">
        <f>T233+AE233*(1+Assumptions!$D$17)</f>
        <v>345124887.25759518</v>
      </c>
      <c r="V233" s="67">
        <f>(M233+N233-O233)*(1+Assumptions!$D$17)-(P233+Q233)*(1+Assumptions!$D$17)^0.5-R233-T233</f>
        <v>-355400766.7064144</v>
      </c>
      <c r="W233" s="67"/>
      <c r="X233" s="67">
        <f>IF(AND(H233=1,D233&lt;15),Assumptions!$D$10*N233+Assumptions!$D$11*(1+Assumptions!$D$16)^(B233-1)*$I$7,0)</f>
        <v>0</v>
      </c>
      <c r="Y233" s="65">
        <f>Assumptions!$C$13*N233</f>
        <v>0</v>
      </c>
      <c r="Z233" s="65">
        <f>NPV(Assumptions!$D$19,N233:$N$259)*(1+Assumptions!$D$19)</f>
        <v>0</v>
      </c>
      <c r="AA233" s="68">
        <f t="shared" si="53"/>
        <v>0</v>
      </c>
      <c r="AC233" s="67">
        <f t="shared" si="54"/>
        <v>-355400766.7064144</v>
      </c>
      <c r="AD233" s="67"/>
      <c r="AE233" s="67"/>
      <c r="AF233" s="67"/>
      <c r="AG233" s="67"/>
      <c r="AH233" s="67"/>
      <c r="AI233" s="67"/>
      <c r="AK233" s="67"/>
      <c r="AL233" s="70">
        <f t="shared" si="46"/>
        <v>0</v>
      </c>
    </row>
    <row r="234" spans="2:38" x14ac:dyDescent="0.2">
      <c r="B234" s="5">
        <f t="shared" si="42"/>
        <v>227</v>
      </c>
      <c r="C234" s="5">
        <f t="shared" si="43"/>
        <v>227</v>
      </c>
      <c r="D234" s="5">
        <f t="shared" si="44"/>
        <v>18</v>
      </c>
      <c r="E234" s="5">
        <f t="shared" si="45"/>
        <v>64</v>
      </c>
      <c r="F234" s="64">
        <f>1-(1-VLOOKUP($E234,'Annual Mortality Rates'!$B$5:$C$105,2,FALSE))^(1/12)</f>
        <v>4.8378519100333861E-4</v>
      </c>
      <c r="G234" s="75">
        <f>IF(C234&gt;=[1]Assumptions!$H$9*12,100%,1-(1-IF(D234&gt;=7,2%,VLOOKUP($D234,'[1]Annual Lapse Rates'!$B$4:$C$14,2,FALSE)))^(1/12))</f>
        <v>1</v>
      </c>
      <c r="H234" s="81">
        <f t="shared" si="47"/>
        <v>11</v>
      </c>
      <c r="I234" s="65">
        <f t="shared" si="48"/>
        <v>0</v>
      </c>
      <c r="J234" s="66">
        <f t="shared" si="49"/>
        <v>0</v>
      </c>
      <c r="K234" s="66">
        <f t="shared" si="50"/>
        <v>0</v>
      </c>
      <c r="M234" s="67">
        <f t="shared" si="55"/>
        <v>-355400766.7064144</v>
      </c>
      <c r="N234" s="67">
        <f>IF(AND(MOD(C234,12)=1,D234&lt;15),Assumptions!$H$4*I233,0)</f>
        <v>0</v>
      </c>
      <c r="O234" s="67"/>
      <c r="P234" s="90">
        <f t="shared" si="51"/>
        <v>-355572704.3342182</v>
      </c>
      <c r="Q234" s="90">
        <f>M234*VLOOKUP(MOD(C234,12)+(MOD(C234,12)=0)*12,Assumptions!$C$22:$D$33,2,FALSE)*(F234+G234)</f>
        <v>-12222811.711488752</v>
      </c>
      <c r="R234" s="67">
        <f>IF(AND(MOD(C234,12)=0,D234&lt;15),Assumptions!$C$7*M234,0)</f>
        <v>0</v>
      </c>
      <c r="S234" s="68">
        <f>IF(MOD(C234,12)=0,M234*Assumptions!$D$17,0)</f>
        <v>0</v>
      </c>
      <c r="T234" s="68">
        <f t="shared" si="52"/>
        <v>-355400766.7064144</v>
      </c>
      <c r="U234" s="67">
        <f>T234+AE234*(1+Assumptions!$D$17)</f>
        <v>-355400766.7064144</v>
      </c>
      <c r="V234" s="67">
        <f>(M234+N234-O234)*(1+Assumptions!$D$17)-(P234+Q234)*(1+Assumptions!$D$17)^0.5-R234-T234</f>
        <v>367096030.00358289</v>
      </c>
      <c r="W234" s="67"/>
      <c r="X234" s="67">
        <f>IF(AND(H234=1,D234&lt;15),Assumptions!$D$10*N234+Assumptions!$D$11*(1+Assumptions!$D$16)^(B234-1)*$I$7,0)</f>
        <v>0</v>
      </c>
      <c r="Y234" s="65">
        <f>Assumptions!$C$13*N234</f>
        <v>0</v>
      </c>
      <c r="Z234" s="65">
        <f>NPV(Assumptions!$D$19,N234:$N$259)*(1+Assumptions!$D$19)</f>
        <v>0</v>
      </c>
      <c r="AA234" s="68">
        <f t="shared" si="53"/>
        <v>0</v>
      </c>
      <c r="AC234" s="67">
        <f t="shared" si="54"/>
        <v>367096030.00358289</v>
      </c>
      <c r="AD234" s="67"/>
      <c r="AE234" s="67"/>
      <c r="AF234" s="67"/>
      <c r="AG234" s="67"/>
      <c r="AH234" s="67"/>
      <c r="AI234" s="67"/>
      <c r="AK234" s="67"/>
      <c r="AL234" s="70">
        <f t="shared" si="46"/>
        <v>0</v>
      </c>
    </row>
    <row r="235" spans="2:38" x14ac:dyDescent="0.2">
      <c r="B235" s="5">
        <f t="shared" si="42"/>
        <v>228</v>
      </c>
      <c r="C235" s="5">
        <f t="shared" si="43"/>
        <v>228</v>
      </c>
      <c r="D235" s="5">
        <f t="shared" si="44"/>
        <v>18</v>
      </c>
      <c r="E235" s="5">
        <f t="shared" si="45"/>
        <v>64</v>
      </c>
      <c r="F235" s="64">
        <f>1-(1-VLOOKUP($E235,'Annual Mortality Rates'!$B$5:$C$105,2,FALSE))^(1/12)</f>
        <v>4.8378519100333861E-4</v>
      </c>
      <c r="G235" s="75">
        <f>IF(C235&gt;=[1]Assumptions!$H$9*12,100%,1-(1-IF(D235&gt;=7,2%,VLOOKUP($D235,'[1]Annual Lapse Rates'!$B$4:$C$14,2,FALSE)))^(1/12))</f>
        <v>1</v>
      </c>
      <c r="H235" s="81">
        <f t="shared" si="47"/>
        <v>12</v>
      </c>
      <c r="I235" s="65">
        <f t="shared" si="48"/>
        <v>0</v>
      </c>
      <c r="J235" s="66">
        <f t="shared" si="49"/>
        <v>0</v>
      </c>
      <c r="K235" s="66">
        <f t="shared" si="50"/>
        <v>0</v>
      </c>
      <c r="M235" s="67">
        <f t="shared" si="55"/>
        <v>367096030.00358289</v>
      </c>
      <c r="N235" s="67">
        <f>IF(AND(MOD(C235,12)=1,D235&lt;15),Assumptions!$H$4*I234,0)</f>
        <v>0</v>
      </c>
      <c r="O235" s="67"/>
      <c r="P235" s="90">
        <f t="shared" si="51"/>
        <v>367273625.62657475</v>
      </c>
      <c r="Q235" s="90">
        <f>M235*VLOOKUP(MOD(C235,12)+(MOD(C235,12)=0)*12,Assumptions!$C$22:$D$33,2,FALSE)*(F235+G235)</f>
        <v>13772760.960996555</v>
      </c>
      <c r="R235" s="67">
        <f>IF(AND(MOD(C235,12)=0,D235&lt;15),Assumptions!$C$7*M235,0)</f>
        <v>0</v>
      </c>
      <c r="S235" s="68">
        <f>IF(MOD(C235,12)=0,M235*Assumptions!$D$17,0)</f>
        <v>1495594.6667204867</v>
      </c>
      <c r="T235" s="68">
        <f t="shared" si="52"/>
        <v>368591624.6703034</v>
      </c>
      <c r="U235" s="67">
        <f>T235+AE235*(1+Assumptions!$D$17)</f>
        <v>368591624.6703034</v>
      </c>
      <c r="V235" s="67">
        <f>(M235+N235-O235)*(1+Assumptions!$D$17)-(P235+Q235)*(1+Assumptions!$D$17)^0.5-R235-T235</f>
        <v>-381821812.66804355</v>
      </c>
      <c r="W235" s="67"/>
      <c r="X235" s="67">
        <f>IF(AND(H235=1,D235&lt;15),Assumptions!$D$10*N235+Assumptions!$D$11*(1+Assumptions!$D$16)^(B235-1)*$I$7,0)</f>
        <v>0</v>
      </c>
      <c r="Y235" s="65">
        <f>Assumptions!$C$13*N235</f>
        <v>0</v>
      </c>
      <c r="Z235" s="65">
        <f>NPV(Assumptions!$D$19,N235:$N$259)*(1+Assumptions!$D$19)</f>
        <v>0</v>
      </c>
      <c r="AA235" s="68">
        <f t="shared" si="53"/>
        <v>0</v>
      </c>
      <c r="AC235" s="67">
        <f t="shared" si="54"/>
        <v>-381821812.66804355</v>
      </c>
      <c r="AD235" s="67"/>
      <c r="AE235" s="67"/>
      <c r="AF235" s="67"/>
      <c r="AG235" s="67"/>
      <c r="AH235" s="67"/>
      <c r="AI235" s="67"/>
      <c r="AK235" s="67"/>
      <c r="AL235" s="70">
        <f t="shared" si="46"/>
        <v>0</v>
      </c>
    </row>
    <row r="236" spans="2:38" x14ac:dyDescent="0.2">
      <c r="B236" s="5">
        <f t="shared" si="42"/>
        <v>229</v>
      </c>
      <c r="C236" s="5">
        <f t="shared" si="43"/>
        <v>229</v>
      </c>
      <c r="D236" s="5">
        <f t="shared" si="44"/>
        <v>19</v>
      </c>
      <c r="E236" s="5">
        <f t="shared" si="45"/>
        <v>65</v>
      </c>
      <c r="F236" s="64">
        <f>1-(1-VLOOKUP($E236,'Annual Mortality Rates'!$B$5:$C$105,2,FALSE))^(1/12)</f>
        <v>5.399338581985047E-4</v>
      </c>
      <c r="G236" s="75">
        <f>IF(C236&gt;=[1]Assumptions!$H$9*12,100%,1-(1-IF(D236&gt;=7,2%,VLOOKUP($D236,'[1]Annual Lapse Rates'!$B$4:$C$14,2,FALSE)))^(1/12))</f>
        <v>1</v>
      </c>
      <c r="H236" s="81">
        <f t="shared" si="47"/>
        <v>1</v>
      </c>
      <c r="I236" s="65">
        <f t="shared" si="48"/>
        <v>0</v>
      </c>
      <c r="J236" s="66">
        <f t="shared" si="49"/>
        <v>0</v>
      </c>
      <c r="K236" s="66">
        <f t="shared" si="50"/>
        <v>0</v>
      </c>
      <c r="M236" s="67">
        <f t="shared" si="55"/>
        <v>-381821812.66804355</v>
      </c>
      <c r="N236" s="67">
        <f>IF(AND(MOD(C236,12)=1,D236&lt;15),Assumptions!$H$4*I235,0)</f>
        <v>0</v>
      </c>
      <c r="O236" s="67"/>
      <c r="P236" s="90">
        <f t="shared" si="51"/>
        <v>-382027971.19250178</v>
      </c>
      <c r="Q236" s="90">
        <f>M236*VLOOKUP(MOD(C236,12)+(MOD(C236,12)=0)*12,Assumptions!$C$22:$D$33,2,FALSE)*(F236+G236)</f>
        <v>-1193837.4099765683</v>
      </c>
      <c r="R236" s="67">
        <f>IF(AND(MOD(C236,12)=0,D236&lt;15),Assumptions!$C$7*M236,0)</f>
        <v>0</v>
      </c>
      <c r="S236" s="68">
        <f>IF(MOD(C236,12)=0,M236*Assumptions!$D$17,0)</f>
        <v>0</v>
      </c>
      <c r="T236" s="68">
        <f t="shared" si="52"/>
        <v>-381821812.66804355</v>
      </c>
      <c r="U236" s="67">
        <f>T236+AE236*(1+Assumptions!$D$17)</f>
        <v>-381821812.66804355</v>
      </c>
      <c r="V236" s="67">
        <f>(M236+N236-O236)*(1+Assumptions!$D$17)-(P236+Q236)*(1+Assumptions!$D$17)^0.5-R236-T236</f>
        <v>382446072.31971169</v>
      </c>
      <c r="W236" s="67"/>
      <c r="X236" s="67">
        <f>IF(AND(H236=1,D236&lt;15),Assumptions!$D$10*N236+Assumptions!$D$11*(1+Assumptions!$D$16)^(B236-1)*$I$7,0)</f>
        <v>0</v>
      </c>
      <c r="Y236" s="65">
        <f>Assumptions!$C$13*N236</f>
        <v>0</v>
      </c>
      <c r="Z236" s="65">
        <f>NPV(Assumptions!$D$19,N236:$N$259)*(1+Assumptions!$D$19)</f>
        <v>0</v>
      </c>
      <c r="AA236" s="68">
        <f t="shared" si="53"/>
        <v>0</v>
      </c>
      <c r="AC236" s="67">
        <f t="shared" si="54"/>
        <v>382446072.31971169</v>
      </c>
      <c r="AD236" s="67"/>
      <c r="AE236" s="67"/>
      <c r="AF236" s="67"/>
      <c r="AG236" s="67"/>
      <c r="AH236" s="67"/>
      <c r="AI236" s="67"/>
      <c r="AK236" s="67"/>
      <c r="AL236" s="70">
        <f t="shared" si="46"/>
        <v>0</v>
      </c>
    </row>
    <row r="237" spans="2:38" x14ac:dyDescent="0.2">
      <c r="B237" s="5">
        <f t="shared" si="42"/>
        <v>230</v>
      </c>
      <c r="C237" s="5">
        <f t="shared" si="43"/>
        <v>230</v>
      </c>
      <c r="D237" s="5">
        <f t="shared" si="44"/>
        <v>19</v>
      </c>
      <c r="E237" s="5">
        <f t="shared" si="45"/>
        <v>65</v>
      </c>
      <c r="F237" s="64">
        <f>1-(1-VLOOKUP($E237,'Annual Mortality Rates'!$B$5:$C$105,2,FALSE))^(1/12)</f>
        <v>5.399338581985047E-4</v>
      </c>
      <c r="G237" s="75">
        <f>IF(C237&gt;=[1]Assumptions!$H$9*12,100%,1-(1-IF(D237&gt;=7,2%,VLOOKUP($D237,'[1]Annual Lapse Rates'!$B$4:$C$14,2,FALSE)))^(1/12))</f>
        <v>1</v>
      </c>
      <c r="H237" s="81">
        <f t="shared" si="47"/>
        <v>2</v>
      </c>
      <c r="I237" s="65">
        <f t="shared" si="48"/>
        <v>0</v>
      </c>
      <c r="J237" s="66">
        <f t="shared" si="49"/>
        <v>0</v>
      </c>
      <c r="K237" s="66">
        <f t="shared" si="50"/>
        <v>0</v>
      </c>
      <c r="M237" s="67">
        <f t="shared" si="55"/>
        <v>382446072.31971169</v>
      </c>
      <c r="N237" s="67">
        <f>IF(AND(MOD(C237,12)=1,D237&lt;15),Assumptions!$H$4*I236,0)</f>
        <v>0</v>
      </c>
      <c r="O237" s="67"/>
      <c r="P237" s="90">
        <f t="shared" si="51"/>
        <v>382652567.90309215</v>
      </c>
      <c r="Q237" s="90">
        <f>M237*VLOOKUP(MOD(C237,12)+(MOD(C237,12)=0)*12,Assumptions!$C$22:$D$33,2,FALSE)*(F237+G237)</f>
        <v>2391578.5493943258</v>
      </c>
      <c r="R237" s="67">
        <f>IF(AND(MOD(C237,12)=0,D237&lt;15),Assumptions!$C$7*M237,0)</f>
        <v>0</v>
      </c>
      <c r="S237" s="68">
        <f>IF(MOD(C237,12)=0,M237*Assumptions!$D$17,0)</f>
        <v>0</v>
      </c>
      <c r="T237" s="68">
        <f t="shared" si="52"/>
        <v>382446072.31971169</v>
      </c>
      <c r="U237" s="67">
        <f>T237+AE237*(1+Assumptions!$D$17)</f>
        <v>382446072.31971169</v>
      </c>
      <c r="V237" s="67">
        <f>(M237+N237-O237)*(1+Assumptions!$D$17)-(P237+Q237)*(1+Assumptions!$D$17)^0.5-R237-T237</f>
        <v>-384269575.30029082</v>
      </c>
      <c r="W237" s="67"/>
      <c r="X237" s="67">
        <f>IF(AND(H237=1,D237&lt;15),Assumptions!$D$10*N237+Assumptions!$D$11*(1+Assumptions!$D$16)^(B237-1)*$I$7,0)</f>
        <v>0</v>
      </c>
      <c r="Y237" s="65">
        <f>Assumptions!$C$13*N237</f>
        <v>0</v>
      </c>
      <c r="Z237" s="65">
        <f>NPV(Assumptions!$D$19,N237:$N$259)*(1+Assumptions!$D$19)</f>
        <v>0</v>
      </c>
      <c r="AA237" s="68">
        <f t="shared" si="53"/>
        <v>0</v>
      </c>
      <c r="AC237" s="67">
        <f t="shared" si="54"/>
        <v>-384269575.30029082</v>
      </c>
      <c r="AD237" s="67"/>
      <c r="AE237" s="67"/>
      <c r="AF237" s="67"/>
      <c r="AG237" s="67"/>
      <c r="AH237" s="67"/>
      <c r="AI237" s="67"/>
      <c r="AK237" s="67"/>
      <c r="AL237" s="70">
        <f t="shared" si="46"/>
        <v>0</v>
      </c>
    </row>
    <row r="238" spans="2:38" x14ac:dyDescent="0.2">
      <c r="B238" s="5">
        <f t="shared" si="42"/>
        <v>231</v>
      </c>
      <c r="C238" s="5">
        <f t="shared" si="43"/>
        <v>231</v>
      </c>
      <c r="D238" s="5">
        <f t="shared" si="44"/>
        <v>19</v>
      </c>
      <c r="E238" s="5">
        <f t="shared" si="45"/>
        <v>65</v>
      </c>
      <c r="F238" s="64">
        <f>1-(1-VLOOKUP($E238,'Annual Mortality Rates'!$B$5:$C$105,2,FALSE))^(1/12)</f>
        <v>5.399338581985047E-4</v>
      </c>
      <c r="G238" s="75">
        <f>IF(C238&gt;=[1]Assumptions!$H$9*12,100%,1-(1-IF(D238&gt;=7,2%,VLOOKUP($D238,'[1]Annual Lapse Rates'!$B$4:$C$14,2,FALSE)))^(1/12))</f>
        <v>1</v>
      </c>
      <c r="H238" s="81">
        <f t="shared" si="47"/>
        <v>3</v>
      </c>
      <c r="I238" s="65">
        <f t="shared" si="48"/>
        <v>0</v>
      </c>
      <c r="J238" s="66">
        <f t="shared" si="49"/>
        <v>0</v>
      </c>
      <c r="K238" s="66">
        <f t="shared" si="50"/>
        <v>0</v>
      </c>
      <c r="M238" s="67">
        <f t="shared" si="55"/>
        <v>-384269575.30029082</v>
      </c>
      <c r="N238" s="67">
        <f>IF(AND(MOD(C238,12)=1,D238&lt;15),Assumptions!$H$4*I237,0)</f>
        <v>0</v>
      </c>
      <c r="O238" s="67"/>
      <c r="P238" s="90">
        <f t="shared" si="51"/>
        <v>-384477055.45467103</v>
      </c>
      <c r="Q238" s="90">
        <f>M238*VLOOKUP(MOD(C238,12)+(MOD(C238,12)=0)*12,Assumptions!$C$22:$D$33,2,FALSE)*(F238+G238)</f>
        <v>-3604472.3948875419</v>
      </c>
      <c r="R238" s="67">
        <f>IF(AND(MOD(C238,12)=0,D238&lt;15),Assumptions!$C$7*M238,0)</f>
        <v>0</v>
      </c>
      <c r="S238" s="68">
        <f>IF(MOD(C238,12)=0,M238*Assumptions!$D$17,0)</f>
        <v>0</v>
      </c>
      <c r="T238" s="68">
        <f t="shared" si="52"/>
        <v>-384269575.30029082</v>
      </c>
      <c r="U238" s="67">
        <f>T238+AE238*(1+Assumptions!$D$17)</f>
        <v>-384269575.30029082</v>
      </c>
      <c r="V238" s="67">
        <f>(M238+N238-O238)*(1+Assumptions!$D$17)-(P238+Q238)*(1+Assumptions!$D$17)^0.5-R238-T238</f>
        <v>387305708.56520903</v>
      </c>
      <c r="W238" s="67"/>
      <c r="X238" s="67">
        <f>IF(AND(H238=1,D238&lt;15),Assumptions!$D$10*N238+Assumptions!$D$11*(1+Assumptions!$D$16)^(B238-1)*$I$7,0)</f>
        <v>0</v>
      </c>
      <c r="Y238" s="65">
        <f>Assumptions!$C$13*N238</f>
        <v>0</v>
      </c>
      <c r="Z238" s="65">
        <f>NPV(Assumptions!$D$19,N238:$N$259)*(1+Assumptions!$D$19)</f>
        <v>0</v>
      </c>
      <c r="AA238" s="68">
        <f t="shared" si="53"/>
        <v>0</v>
      </c>
      <c r="AC238" s="67">
        <f t="shared" si="54"/>
        <v>387305708.56520903</v>
      </c>
      <c r="AD238" s="67"/>
      <c r="AE238" s="67"/>
      <c r="AF238" s="67"/>
      <c r="AG238" s="67"/>
      <c r="AH238" s="67"/>
      <c r="AI238" s="67"/>
      <c r="AK238" s="67"/>
      <c r="AL238" s="70">
        <f t="shared" si="46"/>
        <v>0</v>
      </c>
    </row>
    <row r="239" spans="2:38" x14ac:dyDescent="0.2">
      <c r="B239" s="5">
        <f t="shared" si="42"/>
        <v>232</v>
      </c>
      <c r="C239" s="5">
        <f t="shared" si="43"/>
        <v>232</v>
      </c>
      <c r="D239" s="5">
        <f t="shared" si="44"/>
        <v>19</v>
      </c>
      <c r="E239" s="5">
        <f t="shared" si="45"/>
        <v>65</v>
      </c>
      <c r="F239" s="64">
        <f>1-(1-VLOOKUP($E239,'Annual Mortality Rates'!$B$5:$C$105,2,FALSE))^(1/12)</f>
        <v>5.399338581985047E-4</v>
      </c>
      <c r="G239" s="75">
        <f>IF(C239&gt;=[1]Assumptions!$H$9*12,100%,1-(1-IF(D239&gt;=7,2%,VLOOKUP($D239,'[1]Annual Lapse Rates'!$B$4:$C$14,2,FALSE)))^(1/12))</f>
        <v>1</v>
      </c>
      <c r="H239" s="81">
        <f t="shared" si="47"/>
        <v>4</v>
      </c>
      <c r="I239" s="65">
        <f t="shared" si="48"/>
        <v>0</v>
      </c>
      <c r="J239" s="66">
        <f t="shared" si="49"/>
        <v>0</v>
      </c>
      <c r="K239" s="66">
        <f t="shared" si="50"/>
        <v>0</v>
      </c>
      <c r="M239" s="67">
        <f t="shared" si="55"/>
        <v>387305708.56520903</v>
      </c>
      <c r="N239" s="67">
        <f>IF(AND(MOD(C239,12)=1,D239&lt;15),Assumptions!$H$4*I238,0)</f>
        <v>0</v>
      </c>
      <c r="O239" s="67"/>
      <c r="P239" s="90">
        <f t="shared" si="51"/>
        <v>387514828.03073698</v>
      </c>
      <c r="Q239" s="90">
        <f>M239*VLOOKUP(MOD(C239,12)+(MOD(C239,12)=0)*12,Assumptions!$C$22:$D$33,2,FALSE)*(F239+G239)</f>
        <v>4843935.350384213</v>
      </c>
      <c r="R239" s="67">
        <f>IF(AND(MOD(C239,12)=0,D239&lt;15),Assumptions!$C$7*M239,0)</f>
        <v>0</v>
      </c>
      <c r="S239" s="68">
        <f>IF(MOD(C239,12)=0,M239*Assumptions!$D$17,0)</f>
        <v>0</v>
      </c>
      <c r="T239" s="68">
        <f t="shared" si="52"/>
        <v>387305708.56520903</v>
      </c>
      <c r="U239" s="67">
        <f>T239+AE239*(1+Assumptions!$D$17)</f>
        <v>387305708.56520903</v>
      </c>
      <c r="V239" s="67">
        <f>(M239+N239-O239)*(1+Assumptions!$D$17)-(P239+Q239)*(1+Assumptions!$D$17)^0.5-R239-T239</f>
        <v>-391579278.6511088</v>
      </c>
      <c r="W239" s="67"/>
      <c r="X239" s="67">
        <f>IF(AND(H239=1,D239&lt;15),Assumptions!$D$10*N239+Assumptions!$D$11*(1+Assumptions!$D$16)^(B239-1)*$I$7,0)</f>
        <v>0</v>
      </c>
      <c r="Y239" s="65">
        <f>Assumptions!$C$13*N239</f>
        <v>0</v>
      </c>
      <c r="Z239" s="65">
        <f>NPV(Assumptions!$D$19,N239:$N$259)*(1+Assumptions!$D$19)</f>
        <v>0</v>
      </c>
      <c r="AA239" s="68">
        <f t="shared" si="53"/>
        <v>0</v>
      </c>
      <c r="AC239" s="67">
        <f t="shared" si="54"/>
        <v>-391579278.6511088</v>
      </c>
      <c r="AD239" s="67"/>
      <c r="AE239" s="67"/>
      <c r="AF239" s="67"/>
      <c r="AG239" s="67"/>
      <c r="AH239" s="67"/>
      <c r="AI239" s="67"/>
      <c r="AK239" s="67"/>
      <c r="AL239" s="70">
        <f t="shared" si="46"/>
        <v>0</v>
      </c>
    </row>
    <row r="240" spans="2:38" x14ac:dyDescent="0.2">
      <c r="B240" s="5">
        <f t="shared" si="42"/>
        <v>233</v>
      </c>
      <c r="C240" s="5">
        <f t="shared" si="43"/>
        <v>233</v>
      </c>
      <c r="D240" s="5">
        <f t="shared" si="44"/>
        <v>19</v>
      </c>
      <c r="E240" s="5">
        <f t="shared" si="45"/>
        <v>65</v>
      </c>
      <c r="F240" s="64">
        <f>1-(1-VLOOKUP($E240,'Annual Mortality Rates'!$B$5:$C$105,2,FALSE))^(1/12)</f>
        <v>5.399338581985047E-4</v>
      </c>
      <c r="G240" s="75">
        <f>IF(C240&gt;=[1]Assumptions!$H$9*12,100%,1-(1-IF(D240&gt;=7,2%,VLOOKUP($D240,'[1]Annual Lapse Rates'!$B$4:$C$14,2,FALSE)))^(1/12))</f>
        <v>1</v>
      </c>
      <c r="H240" s="81">
        <f t="shared" si="47"/>
        <v>5</v>
      </c>
      <c r="I240" s="65">
        <f t="shared" si="48"/>
        <v>0</v>
      </c>
      <c r="J240" s="66">
        <f t="shared" si="49"/>
        <v>0</v>
      </c>
      <c r="K240" s="66">
        <f t="shared" si="50"/>
        <v>0</v>
      </c>
      <c r="M240" s="67">
        <f t="shared" si="55"/>
        <v>-391579278.6511088</v>
      </c>
      <c r="N240" s="67">
        <f>IF(AND(MOD(C240,12)=1,D240&lt;15),Assumptions!$H$4*I239,0)</f>
        <v>0</v>
      </c>
      <c r="O240" s="67"/>
      <c r="P240" s="90">
        <f t="shared" si="51"/>
        <v>-391790705.56182152</v>
      </c>
      <c r="Q240" s="90">
        <f>M240*VLOOKUP(MOD(C240,12)+(MOD(C240,12)=0)*12,Assumptions!$C$22:$D$33,2,FALSE)*(F240+G240)</f>
        <v>-6121729.7744034613</v>
      </c>
      <c r="R240" s="67">
        <f>IF(AND(MOD(C240,12)=0,D240&lt;15),Assumptions!$C$7*M240,0)</f>
        <v>0</v>
      </c>
      <c r="S240" s="68">
        <f>IF(MOD(C240,12)=0,M240*Assumptions!$D$17,0)</f>
        <v>0</v>
      </c>
      <c r="T240" s="68">
        <f t="shared" si="52"/>
        <v>-391579278.6511088</v>
      </c>
      <c r="U240" s="67">
        <f>T240+AE240*(1+Assumptions!$D$17)</f>
        <v>-391579278.6511088</v>
      </c>
      <c r="V240" s="67">
        <f>(M240+N240-O240)*(1+Assumptions!$D$17)-(P240+Q240)*(1+Assumptions!$D$17)^0.5-R240-T240</f>
        <v>397126841.22677976</v>
      </c>
      <c r="W240" s="67"/>
      <c r="X240" s="67">
        <f>IF(AND(H240=1,D240&lt;15),Assumptions!$D$10*N240+Assumptions!$D$11*(1+Assumptions!$D$16)^(B240-1)*$I$7,0)</f>
        <v>0</v>
      </c>
      <c r="Y240" s="65">
        <f>Assumptions!$C$13*N240</f>
        <v>0</v>
      </c>
      <c r="Z240" s="65">
        <f>NPV(Assumptions!$D$19,N240:$N$259)*(1+Assumptions!$D$19)</f>
        <v>0</v>
      </c>
      <c r="AA240" s="68">
        <f t="shared" si="53"/>
        <v>0</v>
      </c>
      <c r="AC240" s="67">
        <f t="shared" si="54"/>
        <v>397126841.22677976</v>
      </c>
      <c r="AD240" s="67"/>
      <c r="AE240" s="67"/>
      <c r="AF240" s="67"/>
      <c r="AG240" s="67"/>
      <c r="AH240" s="67"/>
      <c r="AI240" s="67"/>
      <c r="AK240" s="67"/>
      <c r="AL240" s="70">
        <f t="shared" si="46"/>
        <v>0</v>
      </c>
    </row>
    <row r="241" spans="2:38" x14ac:dyDescent="0.2">
      <c r="B241" s="5">
        <f t="shared" si="42"/>
        <v>234</v>
      </c>
      <c r="C241" s="5">
        <f t="shared" si="43"/>
        <v>234</v>
      </c>
      <c r="D241" s="5">
        <f t="shared" si="44"/>
        <v>19</v>
      </c>
      <c r="E241" s="5">
        <f t="shared" si="45"/>
        <v>65</v>
      </c>
      <c r="F241" s="64">
        <f>1-(1-VLOOKUP($E241,'Annual Mortality Rates'!$B$5:$C$105,2,FALSE))^(1/12)</f>
        <v>5.399338581985047E-4</v>
      </c>
      <c r="G241" s="75">
        <f>IF(C241&gt;=[1]Assumptions!$H$9*12,100%,1-(1-IF(D241&gt;=7,2%,VLOOKUP($D241,'[1]Annual Lapse Rates'!$B$4:$C$14,2,FALSE)))^(1/12))</f>
        <v>1</v>
      </c>
      <c r="H241" s="81">
        <f t="shared" si="47"/>
        <v>6</v>
      </c>
      <c r="I241" s="65">
        <f t="shared" si="48"/>
        <v>0</v>
      </c>
      <c r="J241" s="66">
        <f t="shared" si="49"/>
        <v>0</v>
      </c>
      <c r="K241" s="66">
        <f t="shared" si="50"/>
        <v>0</v>
      </c>
      <c r="M241" s="67">
        <f t="shared" si="55"/>
        <v>397126841.22677976</v>
      </c>
      <c r="N241" s="67">
        <f>IF(AND(MOD(C241,12)=1,D241&lt;15),Assumptions!$H$4*I240,0)</f>
        <v>0</v>
      </c>
      <c r="O241" s="67"/>
      <c r="P241" s="90">
        <f t="shared" si="51"/>
        <v>397341263.45435756</v>
      </c>
      <c r="Q241" s="90">
        <f>M241*VLOOKUP(MOD(C241,12)+(MOD(C241,12)=0)*12,Assumptions!$C$22:$D$33,2,FALSE)*(F241+G241)</f>
        <v>7450148.6897692056</v>
      </c>
      <c r="R241" s="67">
        <f>IF(AND(MOD(C241,12)=0,D241&lt;15),Assumptions!$C$7*M241,0)</f>
        <v>0</v>
      </c>
      <c r="S241" s="68">
        <f>IF(MOD(C241,12)=0,M241*Assumptions!$D$17,0)</f>
        <v>0</v>
      </c>
      <c r="T241" s="68">
        <f t="shared" si="52"/>
        <v>397126841.22677976</v>
      </c>
      <c r="U241" s="67">
        <f>T241+AE241*(1+Assumptions!$D$17)</f>
        <v>397126841.22677976</v>
      </c>
      <c r="V241" s="67">
        <f>(M241+N241-O241)*(1+Assumptions!$D$17)-(P241+Q241)*(1+Assumptions!$D$17)^0.5-R241-T241</f>
        <v>-403997215.23598737</v>
      </c>
      <c r="W241" s="67"/>
      <c r="X241" s="67">
        <f>IF(AND(H241=1,D241&lt;15),Assumptions!$D$10*N241+Assumptions!$D$11*(1+Assumptions!$D$16)^(B241-1)*$I$7,0)</f>
        <v>0</v>
      </c>
      <c r="Y241" s="65">
        <f>Assumptions!$C$13*N241</f>
        <v>0</v>
      </c>
      <c r="Z241" s="65">
        <f>NPV(Assumptions!$D$19,N241:$N$259)*(1+Assumptions!$D$19)</f>
        <v>0</v>
      </c>
      <c r="AA241" s="68">
        <f t="shared" si="53"/>
        <v>0</v>
      </c>
      <c r="AC241" s="67">
        <f t="shared" si="54"/>
        <v>-403997215.23598737</v>
      </c>
      <c r="AD241" s="67"/>
      <c r="AE241" s="67"/>
      <c r="AF241" s="67"/>
      <c r="AG241" s="67"/>
      <c r="AH241" s="67"/>
      <c r="AI241" s="67"/>
      <c r="AK241" s="67"/>
      <c r="AL241" s="70">
        <f t="shared" si="46"/>
        <v>0</v>
      </c>
    </row>
    <row r="242" spans="2:38" x14ac:dyDescent="0.2">
      <c r="B242" s="5">
        <f t="shared" si="42"/>
        <v>235</v>
      </c>
      <c r="C242" s="5">
        <f t="shared" si="43"/>
        <v>235</v>
      </c>
      <c r="D242" s="5">
        <f t="shared" si="44"/>
        <v>19</v>
      </c>
      <c r="E242" s="5">
        <f t="shared" si="45"/>
        <v>65</v>
      </c>
      <c r="F242" s="64">
        <f>1-(1-VLOOKUP($E242,'Annual Mortality Rates'!$B$5:$C$105,2,FALSE))^(1/12)</f>
        <v>5.399338581985047E-4</v>
      </c>
      <c r="G242" s="75">
        <f>IF(C242&gt;=[1]Assumptions!$H$9*12,100%,1-(1-IF(D242&gt;=7,2%,VLOOKUP($D242,'[1]Annual Lapse Rates'!$B$4:$C$14,2,FALSE)))^(1/12))</f>
        <v>1</v>
      </c>
      <c r="H242" s="81">
        <f t="shared" si="47"/>
        <v>7</v>
      </c>
      <c r="I242" s="65">
        <f t="shared" si="48"/>
        <v>0</v>
      </c>
      <c r="J242" s="66">
        <f t="shared" si="49"/>
        <v>0</v>
      </c>
      <c r="K242" s="66">
        <f t="shared" si="50"/>
        <v>0</v>
      </c>
      <c r="M242" s="67">
        <f t="shared" si="55"/>
        <v>-403997215.23598737</v>
      </c>
      <c r="N242" s="67">
        <f>IF(AND(MOD(C242,12)=1,D242&lt;15),Assumptions!$H$4*I241,0)</f>
        <v>0</v>
      </c>
      <c r="O242" s="67"/>
      <c r="P242" s="90">
        <f t="shared" si="51"/>
        <v>-404215347.0111112</v>
      </c>
      <c r="Q242" s="90">
        <f>M242*VLOOKUP(MOD(C242,12)+(MOD(C242,12)=0)*12,Assumptions!$C$22:$D$33,2,FALSE)*(F242+G242)</f>
        <v>-8842210.7158680595</v>
      </c>
      <c r="R242" s="67">
        <f>IF(AND(MOD(C242,12)=0,D242&lt;15),Assumptions!$C$7*M242,0)</f>
        <v>0</v>
      </c>
      <c r="S242" s="68">
        <f>IF(MOD(C242,12)=0,M242*Assumptions!$D$17,0)</f>
        <v>0</v>
      </c>
      <c r="T242" s="68">
        <f t="shared" si="52"/>
        <v>-403997215.23598737</v>
      </c>
      <c r="U242" s="67">
        <f>T242+AE242*(1+Assumptions!$D$17)</f>
        <v>-403997215.23598737</v>
      </c>
      <c r="V242" s="67">
        <f>(M242+N242-O242)*(1+Assumptions!$D$17)-(P242+Q242)*(1+Assumptions!$D$17)^0.5-R242-T242</f>
        <v>412252191.59900749</v>
      </c>
      <c r="W242" s="67"/>
      <c r="X242" s="67">
        <f>IF(AND(H242=1,D242&lt;15),Assumptions!$D$10*N242+Assumptions!$D$11*(1+Assumptions!$D$16)^(B242-1)*$I$7,0)</f>
        <v>0</v>
      </c>
      <c r="Y242" s="65">
        <f>Assumptions!$C$13*N242</f>
        <v>0</v>
      </c>
      <c r="Z242" s="65">
        <f>NPV(Assumptions!$D$19,N242:$N$259)*(1+Assumptions!$D$19)</f>
        <v>0</v>
      </c>
      <c r="AA242" s="68">
        <f t="shared" si="53"/>
        <v>0</v>
      </c>
      <c r="AC242" s="67">
        <f t="shared" si="54"/>
        <v>412252191.59900749</v>
      </c>
      <c r="AD242" s="67"/>
      <c r="AE242" s="67"/>
      <c r="AF242" s="67"/>
      <c r="AG242" s="67"/>
      <c r="AH242" s="67"/>
      <c r="AI242" s="67"/>
      <c r="AK242" s="67"/>
      <c r="AL242" s="70">
        <f t="shared" si="46"/>
        <v>0</v>
      </c>
    </row>
    <row r="243" spans="2:38" x14ac:dyDescent="0.2">
      <c r="B243" s="5">
        <f t="shared" si="42"/>
        <v>236</v>
      </c>
      <c r="C243" s="5">
        <f t="shared" si="43"/>
        <v>236</v>
      </c>
      <c r="D243" s="5">
        <f t="shared" si="44"/>
        <v>19</v>
      </c>
      <c r="E243" s="5">
        <f t="shared" si="45"/>
        <v>65</v>
      </c>
      <c r="F243" s="64">
        <f>1-(1-VLOOKUP($E243,'Annual Mortality Rates'!$B$5:$C$105,2,FALSE))^(1/12)</f>
        <v>5.399338581985047E-4</v>
      </c>
      <c r="G243" s="75">
        <f>IF(C243&gt;=[1]Assumptions!$H$9*12,100%,1-(1-IF(D243&gt;=7,2%,VLOOKUP($D243,'[1]Annual Lapse Rates'!$B$4:$C$14,2,FALSE)))^(1/12))</f>
        <v>1</v>
      </c>
      <c r="H243" s="81">
        <f t="shared" si="47"/>
        <v>8</v>
      </c>
      <c r="I243" s="65">
        <f t="shared" si="48"/>
        <v>0</v>
      </c>
      <c r="J243" s="66">
        <f t="shared" si="49"/>
        <v>0</v>
      </c>
      <c r="K243" s="66">
        <f t="shared" si="50"/>
        <v>0</v>
      </c>
      <c r="M243" s="67">
        <f t="shared" si="55"/>
        <v>412252191.59900749</v>
      </c>
      <c r="N243" s="67">
        <f>IF(AND(MOD(C243,12)=1,D243&lt;15),Assumptions!$H$4*I242,0)</f>
        <v>0</v>
      </c>
      <c r="O243" s="67"/>
      <c r="P243" s="90">
        <f t="shared" si="51"/>
        <v>412474780.5153684</v>
      </c>
      <c r="Q243" s="90">
        <f>M243*VLOOKUP(MOD(C243,12)+(MOD(C243,12)=0)*12,Assumptions!$C$22:$D$33,2,FALSE)*(F243+G243)</f>
        <v>10311869.512884211</v>
      </c>
      <c r="R243" s="67">
        <f>IF(AND(MOD(C243,12)=0,D243&lt;15),Assumptions!$C$7*M243,0)</f>
        <v>0</v>
      </c>
      <c r="S243" s="68">
        <f>IF(MOD(C243,12)=0,M243*Assumptions!$D$17,0)</f>
        <v>0</v>
      </c>
      <c r="T243" s="68">
        <f t="shared" si="52"/>
        <v>412252191.59900749</v>
      </c>
      <c r="U243" s="67">
        <f>T243+AE243*(1+Assumptions!$D$17)</f>
        <v>412252191.59900749</v>
      </c>
      <c r="V243" s="67">
        <f>(M243+N243-O243)*(1+Assumptions!$D$17)-(P243+Q243)*(1+Assumptions!$D$17)^0.5-R243-T243</f>
        <v>-421967450.7229079</v>
      </c>
      <c r="W243" s="67"/>
      <c r="X243" s="67">
        <f>IF(AND(H243=1,D243&lt;15),Assumptions!$D$10*N243+Assumptions!$D$11*(1+Assumptions!$D$16)^(B243-1)*$I$7,0)</f>
        <v>0</v>
      </c>
      <c r="Y243" s="65">
        <f>Assumptions!$C$13*N243</f>
        <v>0</v>
      </c>
      <c r="Z243" s="65">
        <f>NPV(Assumptions!$D$19,N243:$N$259)*(1+Assumptions!$D$19)</f>
        <v>0</v>
      </c>
      <c r="AA243" s="68">
        <f t="shared" si="53"/>
        <v>0</v>
      </c>
      <c r="AC243" s="67">
        <f t="shared" si="54"/>
        <v>-421967450.7229079</v>
      </c>
      <c r="AD243" s="67"/>
      <c r="AE243" s="67"/>
      <c r="AF243" s="67"/>
      <c r="AG243" s="67"/>
      <c r="AH243" s="67"/>
      <c r="AI243" s="67"/>
      <c r="AK243" s="67"/>
      <c r="AL243" s="70">
        <f t="shared" si="46"/>
        <v>0</v>
      </c>
    </row>
    <row r="244" spans="2:38" x14ac:dyDescent="0.2">
      <c r="B244" s="5">
        <f t="shared" si="42"/>
        <v>237</v>
      </c>
      <c r="C244" s="5">
        <f t="shared" si="43"/>
        <v>237</v>
      </c>
      <c r="D244" s="5">
        <f t="shared" si="44"/>
        <v>19</v>
      </c>
      <c r="E244" s="5">
        <f t="shared" si="45"/>
        <v>65</v>
      </c>
      <c r="F244" s="64">
        <f>1-(1-VLOOKUP($E244,'Annual Mortality Rates'!$B$5:$C$105,2,FALSE))^(1/12)</f>
        <v>5.399338581985047E-4</v>
      </c>
      <c r="G244" s="75">
        <f>IF(C244&gt;=[1]Assumptions!$H$9*12,100%,1-(1-IF(D244&gt;=7,2%,VLOOKUP($D244,'[1]Annual Lapse Rates'!$B$4:$C$14,2,FALSE)))^(1/12))</f>
        <v>1</v>
      </c>
      <c r="H244" s="81">
        <f t="shared" si="47"/>
        <v>9</v>
      </c>
      <c r="I244" s="65">
        <f t="shared" si="48"/>
        <v>0</v>
      </c>
      <c r="J244" s="66">
        <f t="shared" si="49"/>
        <v>0</v>
      </c>
      <c r="K244" s="66">
        <f t="shared" si="50"/>
        <v>0</v>
      </c>
      <c r="M244" s="67">
        <f t="shared" si="55"/>
        <v>-421967450.7229079</v>
      </c>
      <c r="N244" s="67">
        <f>IF(AND(MOD(C244,12)=1,D244&lt;15),Assumptions!$H$4*I243,0)</f>
        <v>0</v>
      </c>
      <c r="O244" s="67"/>
      <c r="P244" s="90">
        <f t="shared" si="51"/>
        <v>-422195285.23661095</v>
      </c>
      <c r="Q244" s="90">
        <f>M244*VLOOKUP(MOD(C244,12)+(MOD(C244,12)=0)*12,Assumptions!$C$22:$D$33,2,FALSE)*(F244+G244)</f>
        <v>-11874242.397279684</v>
      </c>
      <c r="R244" s="67">
        <f>IF(AND(MOD(C244,12)=0,D244&lt;15),Assumptions!$C$7*M244,0)</f>
        <v>0</v>
      </c>
      <c r="S244" s="68">
        <f>IF(MOD(C244,12)=0,M244*Assumptions!$D$17,0)</f>
        <v>0</v>
      </c>
      <c r="T244" s="68">
        <f t="shared" si="52"/>
        <v>-421967450.7229079</v>
      </c>
      <c r="U244" s="67">
        <f>T244+AE244*(1+Assumptions!$D$17)</f>
        <v>-421967450.7229079</v>
      </c>
      <c r="V244" s="67">
        <f>(M244+N244-O244)*(1+Assumptions!$D$17)-(P244+Q244)*(1+Assumptions!$D$17)^0.5-R244-T244</f>
        <v>433233707.71801788</v>
      </c>
      <c r="W244" s="67"/>
      <c r="X244" s="67">
        <f>IF(AND(H244=1,D244&lt;15),Assumptions!$D$10*N244+Assumptions!$D$11*(1+Assumptions!$D$16)^(B244-1)*$I$7,0)</f>
        <v>0</v>
      </c>
      <c r="Y244" s="65">
        <f>Assumptions!$C$13*N244</f>
        <v>0</v>
      </c>
      <c r="Z244" s="65">
        <f>NPV(Assumptions!$D$19,N244:$N$259)*(1+Assumptions!$D$19)</f>
        <v>0</v>
      </c>
      <c r="AA244" s="68">
        <f t="shared" si="53"/>
        <v>0</v>
      </c>
      <c r="AC244" s="67">
        <f t="shared" si="54"/>
        <v>433233707.71801788</v>
      </c>
      <c r="AD244" s="67"/>
      <c r="AE244" s="67"/>
      <c r="AF244" s="67"/>
      <c r="AG244" s="67"/>
      <c r="AH244" s="67"/>
      <c r="AI244" s="67"/>
      <c r="AK244" s="67"/>
      <c r="AL244" s="70">
        <f t="shared" si="46"/>
        <v>0</v>
      </c>
    </row>
    <row r="245" spans="2:38" x14ac:dyDescent="0.2">
      <c r="B245" s="5">
        <f t="shared" si="42"/>
        <v>238</v>
      </c>
      <c r="C245" s="5">
        <f t="shared" si="43"/>
        <v>238</v>
      </c>
      <c r="D245" s="5">
        <f t="shared" si="44"/>
        <v>19</v>
      </c>
      <c r="E245" s="5">
        <f t="shared" si="45"/>
        <v>65</v>
      </c>
      <c r="F245" s="64">
        <f>1-(1-VLOOKUP($E245,'Annual Mortality Rates'!$B$5:$C$105,2,FALSE))^(1/12)</f>
        <v>5.399338581985047E-4</v>
      </c>
      <c r="G245" s="75">
        <f>IF(C245&gt;=[1]Assumptions!$H$9*12,100%,1-(1-IF(D245&gt;=7,2%,VLOOKUP($D245,'[1]Annual Lapse Rates'!$B$4:$C$14,2,FALSE)))^(1/12))</f>
        <v>1</v>
      </c>
      <c r="H245" s="81">
        <f t="shared" si="47"/>
        <v>10</v>
      </c>
      <c r="I245" s="65">
        <f t="shared" si="48"/>
        <v>0</v>
      </c>
      <c r="J245" s="66">
        <f t="shared" si="49"/>
        <v>0</v>
      </c>
      <c r="K245" s="66">
        <f t="shared" si="50"/>
        <v>0</v>
      </c>
      <c r="M245" s="67">
        <f t="shared" si="55"/>
        <v>433233707.71801788</v>
      </c>
      <c r="N245" s="67">
        <f>IF(AND(MOD(C245,12)=1,D245&lt;15),Assumptions!$H$4*I244,0)</f>
        <v>0</v>
      </c>
      <c r="O245" s="67"/>
      <c r="P245" s="90">
        <f t="shared" si="51"/>
        <v>433467625.26532775</v>
      </c>
      <c r="Q245" s="90">
        <f>M245*VLOOKUP(MOD(C245,12)+(MOD(C245,12)=0)*12,Assumptions!$C$22:$D$33,2,FALSE)*(F245+G245)</f>
        <v>13545863.289541492</v>
      </c>
      <c r="R245" s="67">
        <f>IF(AND(MOD(C245,12)=0,D245&lt;15),Assumptions!$C$7*M245,0)</f>
        <v>0</v>
      </c>
      <c r="S245" s="68">
        <f>IF(MOD(C245,12)=0,M245*Assumptions!$D$17,0)</f>
        <v>0</v>
      </c>
      <c r="T245" s="68">
        <f t="shared" si="52"/>
        <v>433233707.71801788</v>
      </c>
      <c r="U245" s="67">
        <f>T245+AE245*(1+Assumptions!$D$17)</f>
        <v>433233707.71801788</v>
      </c>
      <c r="V245" s="67">
        <f>(M245+N245-O245)*(1+Assumptions!$D$17)-(P245+Q245)*(1+Assumptions!$D$17)^0.5-R245-T245</f>
        <v>-446158109.36124343</v>
      </c>
      <c r="W245" s="67"/>
      <c r="X245" s="67">
        <f>IF(AND(H245=1,D245&lt;15),Assumptions!$D$10*N245+Assumptions!$D$11*(1+Assumptions!$D$16)^(B245-1)*$I$7,0)</f>
        <v>0</v>
      </c>
      <c r="Y245" s="65">
        <f>Assumptions!$C$13*N245</f>
        <v>0</v>
      </c>
      <c r="Z245" s="65">
        <f>NPV(Assumptions!$D$19,N245:$N$259)*(1+Assumptions!$D$19)</f>
        <v>0</v>
      </c>
      <c r="AA245" s="68">
        <f t="shared" si="53"/>
        <v>0</v>
      </c>
      <c r="AC245" s="67">
        <f t="shared" si="54"/>
        <v>-446158109.36124343</v>
      </c>
      <c r="AD245" s="67"/>
      <c r="AE245" s="67"/>
      <c r="AF245" s="67"/>
      <c r="AG245" s="67"/>
      <c r="AH245" s="67"/>
      <c r="AI245" s="67"/>
      <c r="AK245" s="67"/>
      <c r="AL245" s="70">
        <f t="shared" si="46"/>
        <v>0</v>
      </c>
    </row>
    <row r="246" spans="2:38" x14ac:dyDescent="0.2">
      <c r="B246" s="5">
        <f t="shared" si="42"/>
        <v>239</v>
      </c>
      <c r="C246" s="5">
        <f t="shared" si="43"/>
        <v>239</v>
      </c>
      <c r="D246" s="5">
        <f t="shared" si="44"/>
        <v>19</v>
      </c>
      <c r="E246" s="5">
        <f t="shared" si="45"/>
        <v>65</v>
      </c>
      <c r="F246" s="64">
        <f>1-(1-VLOOKUP($E246,'Annual Mortality Rates'!$B$5:$C$105,2,FALSE))^(1/12)</f>
        <v>5.399338581985047E-4</v>
      </c>
      <c r="G246" s="75">
        <f>IF(C246&gt;=[1]Assumptions!$H$9*12,100%,1-(1-IF(D246&gt;=7,2%,VLOOKUP($D246,'[1]Annual Lapse Rates'!$B$4:$C$14,2,FALSE)))^(1/12))</f>
        <v>1</v>
      </c>
      <c r="H246" s="81">
        <f t="shared" si="47"/>
        <v>11</v>
      </c>
      <c r="I246" s="65">
        <f t="shared" si="48"/>
        <v>0</v>
      </c>
      <c r="J246" s="66">
        <f t="shared" si="49"/>
        <v>0</v>
      </c>
      <c r="K246" s="66">
        <f t="shared" si="50"/>
        <v>0</v>
      </c>
      <c r="M246" s="67">
        <f t="shared" si="55"/>
        <v>-446158109.36124343</v>
      </c>
      <c r="N246" s="67">
        <f>IF(AND(MOD(C246,12)=1,D246&lt;15),Assumptions!$H$4*I245,0)</f>
        <v>0</v>
      </c>
      <c r="O246" s="67"/>
      <c r="P246" s="90">
        <f t="shared" si="51"/>
        <v>-446399005.23059744</v>
      </c>
      <c r="Q246" s="90">
        <f>M246*VLOOKUP(MOD(C246,12)+(MOD(C246,12)=0)*12,Assumptions!$C$22:$D$33,2,FALSE)*(F246+G246)</f>
        <v>-15344965.804801788</v>
      </c>
      <c r="R246" s="67">
        <f>IF(AND(MOD(C246,12)=0,D246&lt;15),Assumptions!$C$7*M246,0)</f>
        <v>0</v>
      </c>
      <c r="S246" s="68">
        <f>IF(MOD(C246,12)=0,M246*Assumptions!$D$17,0)</f>
        <v>0</v>
      </c>
      <c r="T246" s="68">
        <f t="shared" si="52"/>
        <v>-446158109.36124343</v>
      </c>
      <c r="U246" s="67">
        <f>T246+AE246*(1+Assumptions!$D$17)</f>
        <v>-446158109.36124343</v>
      </c>
      <c r="V246" s="67">
        <f>(M246+N246-O246)*(1+Assumptions!$D$17)-(P246+Q246)*(1+Assumptions!$D$17)^0.5-R246-T246</f>
        <v>460865912.63329828</v>
      </c>
      <c r="W246" s="67"/>
      <c r="X246" s="67">
        <f>IF(AND(H246=1,D246&lt;15),Assumptions!$D$10*N246+Assumptions!$D$11*(1+Assumptions!$D$16)^(B246-1)*$I$7,0)</f>
        <v>0</v>
      </c>
      <c r="Y246" s="65">
        <f>Assumptions!$C$13*N246</f>
        <v>0</v>
      </c>
      <c r="Z246" s="65">
        <f>NPV(Assumptions!$D$19,N246:$N$259)*(1+Assumptions!$D$19)</f>
        <v>0</v>
      </c>
      <c r="AA246" s="68">
        <f t="shared" si="53"/>
        <v>0</v>
      </c>
      <c r="AC246" s="67">
        <f t="shared" si="54"/>
        <v>460865912.63329828</v>
      </c>
      <c r="AD246" s="67"/>
      <c r="AE246" s="67"/>
      <c r="AF246" s="67"/>
      <c r="AG246" s="67"/>
      <c r="AH246" s="67"/>
      <c r="AI246" s="67"/>
      <c r="AK246" s="67"/>
      <c r="AL246" s="70">
        <f t="shared" si="46"/>
        <v>0</v>
      </c>
    </row>
    <row r="247" spans="2:38" x14ac:dyDescent="0.2">
      <c r="B247" s="5">
        <f t="shared" si="42"/>
        <v>240</v>
      </c>
      <c r="C247" s="5">
        <f t="shared" si="43"/>
        <v>240</v>
      </c>
      <c r="D247" s="5">
        <f t="shared" si="44"/>
        <v>19</v>
      </c>
      <c r="E247" s="5">
        <f t="shared" si="45"/>
        <v>65</v>
      </c>
      <c r="F247" s="64">
        <f>1-(1-VLOOKUP($E247,'Annual Mortality Rates'!$B$5:$C$105,2,FALSE))^(1/12)</f>
        <v>5.399338581985047E-4</v>
      </c>
      <c r="G247" s="75">
        <f>IF(C247&gt;=[1]Assumptions!$H$9*12,100%,1-(1-IF(D247&gt;=7,2%,VLOOKUP($D247,'[1]Annual Lapse Rates'!$B$4:$C$14,2,FALSE)))^(1/12))</f>
        <v>1</v>
      </c>
      <c r="H247" s="81">
        <f t="shared" si="47"/>
        <v>12</v>
      </c>
      <c r="I247" s="65">
        <f t="shared" si="48"/>
        <v>0</v>
      </c>
      <c r="J247" s="66">
        <f t="shared" si="49"/>
        <v>0</v>
      </c>
      <c r="K247" s="66">
        <f t="shared" si="50"/>
        <v>0</v>
      </c>
      <c r="M247" s="67">
        <f t="shared" si="55"/>
        <v>460865912.63329828</v>
      </c>
      <c r="N247" s="67">
        <f>IF(AND(MOD(C247,12)=1,D247&lt;15),Assumptions!$H$4*I246,0)</f>
        <v>0</v>
      </c>
      <c r="O247" s="67"/>
      <c r="P247" s="90">
        <f t="shared" si="51"/>
        <v>461114749.74361861</v>
      </c>
      <c r="Q247" s="90">
        <f>M247*VLOOKUP(MOD(C247,12)+(MOD(C247,12)=0)*12,Assumptions!$C$22:$D$33,2,FALSE)*(F247+G247)</f>
        <v>17291803.1153857</v>
      </c>
      <c r="R247" s="67">
        <f>IF(AND(MOD(C247,12)=0,D247&lt;15),Assumptions!$C$7*M247,0)</f>
        <v>0</v>
      </c>
      <c r="S247" s="68">
        <f>IF(MOD(C247,12)=0,M247*Assumptions!$D$17,0)</f>
        <v>1877624.7757321247</v>
      </c>
      <c r="T247" s="68">
        <f t="shared" si="52"/>
        <v>462743537.40903038</v>
      </c>
      <c r="U247" s="67">
        <f>T247+AE247*(1+Assumptions!$D$17)</f>
        <v>462743537.40903038</v>
      </c>
      <c r="V247" s="67">
        <f>(M247+N247-O247)*(1+Assumptions!$D$17)-(P247+Q247)*(1+Assumptions!$D$17)^0.5-R247-T247</f>
        <v>-479380106.0305168</v>
      </c>
      <c r="W247" s="67"/>
      <c r="X247" s="67">
        <f>IF(AND(H247=1,D247&lt;15),Assumptions!$D$10*N247+Assumptions!$D$11*(1+Assumptions!$D$16)^(B247-1)*$I$7,0)</f>
        <v>0</v>
      </c>
      <c r="Y247" s="65">
        <f>Assumptions!$C$13*N247</f>
        <v>0</v>
      </c>
      <c r="Z247" s="65">
        <f>NPV(Assumptions!$D$19,N247:$N$259)*(1+Assumptions!$D$19)</f>
        <v>0</v>
      </c>
      <c r="AA247" s="68">
        <f t="shared" si="53"/>
        <v>0</v>
      </c>
      <c r="AC247" s="67">
        <f t="shared" si="54"/>
        <v>-479380106.0305168</v>
      </c>
      <c r="AD247" s="67"/>
      <c r="AE247" s="67"/>
      <c r="AF247" s="67"/>
      <c r="AG247" s="67"/>
      <c r="AH247" s="67"/>
      <c r="AI247" s="67"/>
      <c r="AK247" s="67"/>
      <c r="AL247" s="70">
        <f t="shared" si="46"/>
        <v>0</v>
      </c>
    </row>
    <row r="248" spans="2:38" x14ac:dyDescent="0.2">
      <c r="B248" s="5">
        <f t="shared" si="42"/>
        <v>241</v>
      </c>
      <c r="C248" s="5">
        <f t="shared" si="43"/>
        <v>241</v>
      </c>
      <c r="D248" s="5">
        <f t="shared" si="44"/>
        <v>20</v>
      </c>
      <c r="E248" s="5">
        <f t="shared" si="45"/>
        <v>66</v>
      </c>
      <c r="F248" s="64">
        <f>1-(1-VLOOKUP($E248,'Annual Mortality Rates'!$B$5:$C$105,2,FALSE))^(1/12)</f>
        <v>6.120561724122231E-4</v>
      </c>
      <c r="G248" s="75">
        <f>IF(C248&gt;=[1]Assumptions!$H$9*12,100%,1-(1-IF(D248&gt;=7,2%,VLOOKUP($D248,'[1]Annual Lapse Rates'!$B$4:$C$14,2,FALSE)))^(1/12))</f>
        <v>1</v>
      </c>
      <c r="H248" s="81">
        <f t="shared" si="47"/>
        <v>1</v>
      </c>
      <c r="I248" s="65">
        <f t="shared" si="48"/>
        <v>0</v>
      </c>
      <c r="J248" s="66">
        <f t="shared" si="49"/>
        <v>0</v>
      </c>
      <c r="K248" s="66">
        <f t="shared" si="50"/>
        <v>0</v>
      </c>
      <c r="M248" s="67">
        <f t="shared" si="55"/>
        <v>-479380106.0305168</v>
      </c>
      <c r="N248" s="67">
        <f>IF(AND(MOD(C248,12)=1,D248&lt;15),Assumptions!$H$4*I247,0)</f>
        <v>0</v>
      </c>
      <c r="O248" s="67"/>
      <c r="P248" s="90">
        <f t="shared" si="51"/>
        <v>-479673513.58334446</v>
      </c>
      <c r="Q248" s="90">
        <f>M248*VLOOKUP(MOD(C248,12)+(MOD(C248,12)=0)*12,Assumptions!$C$22:$D$33,2,FALSE)*(F248+G248)</f>
        <v>-1498979.7299479516</v>
      </c>
      <c r="R248" s="67">
        <f>IF(AND(MOD(C248,12)=0,D248&lt;15),Assumptions!$C$7*M248,0)</f>
        <v>0</v>
      </c>
      <c r="S248" s="68">
        <f>IF(MOD(C248,12)=0,M248*Assumptions!$D$17,0)</f>
        <v>0</v>
      </c>
      <c r="T248" s="68">
        <f t="shared" si="52"/>
        <v>-479380106.0305168</v>
      </c>
      <c r="U248" s="67">
        <f>T248+AE248*(1+Assumptions!$D$17)</f>
        <v>-479380106.0305168</v>
      </c>
      <c r="V248" s="67">
        <f>(M248+N248-O248)*(1+Assumptions!$D$17)-(P248+Q248)*(1+Assumptions!$D$17)^0.5-R248-T248</f>
        <v>480198621.25817066</v>
      </c>
      <c r="W248" s="67"/>
      <c r="X248" s="67">
        <f>IF(AND(H248=1,D248&lt;15),Assumptions!$D$10*N248+Assumptions!$D$11*(1+Assumptions!$D$16)^(B248-1)*$I$7,0)</f>
        <v>0</v>
      </c>
      <c r="Y248" s="65">
        <f>Assumptions!$C$13*N248</f>
        <v>0</v>
      </c>
      <c r="Z248" s="65">
        <f>NPV(Assumptions!$D$19,N248:$N$259)*(1+Assumptions!$D$19)</f>
        <v>0</v>
      </c>
      <c r="AA248" s="68">
        <f t="shared" si="53"/>
        <v>0</v>
      </c>
      <c r="AC248" s="67">
        <f t="shared" si="54"/>
        <v>480198621.25817066</v>
      </c>
      <c r="AD248" s="67"/>
      <c r="AE248" s="67"/>
      <c r="AF248" s="67"/>
      <c r="AG248" s="67"/>
      <c r="AH248" s="67"/>
      <c r="AI248" s="67"/>
      <c r="AK248" s="67"/>
      <c r="AL248" s="70">
        <f t="shared" si="46"/>
        <v>0</v>
      </c>
    </row>
    <row r="249" spans="2:38" x14ac:dyDescent="0.2">
      <c r="B249" s="5">
        <f t="shared" si="42"/>
        <v>242</v>
      </c>
      <c r="C249" s="5">
        <f t="shared" si="43"/>
        <v>242</v>
      </c>
      <c r="D249" s="5">
        <f t="shared" si="44"/>
        <v>20</v>
      </c>
      <c r="E249" s="5">
        <f t="shared" si="45"/>
        <v>66</v>
      </c>
      <c r="F249" s="64">
        <f>1-(1-VLOOKUP($E249,'Annual Mortality Rates'!$B$5:$C$105,2,FALSE))^(1/12)</f>
        <v>6.120561724122231E-4</v>
      </c>
      <c r="G249" s="75">
        <f>IF(C249&gt;=[1]Assumptions!$H$9*12,100%,1-(1-IF(D249&gt;=7,2%,VLOOKUP($D249,'[1]Annual Lapse Rates'!$B$4:$C$14,2,FALSE)))^(1/12))</f>
        <v>1</v>
      </c>
      <c r="H249" s="81">
        <f t="shared" si="47"/>
        <v>2</v>
      </c>
      <c r="I249" s="65">
        <f t="shared" si="48"/>
        <v>0</v>
      </c>
      <c r="J249" s="66">
        <f t="shared" si="49"/>
        <v>0</v>
      </c>
      <c r="K249" s="66">
        <f t="shared" si="50"/>
        <v>0</v>
      </c>
      <c r="M249" s="67">
        <f t="shared" si="55"/>
        <v>480198621.25817066</v>
      </c>
      <c r="N249" s="67">
        <f>IF(AND(MOD(C249,12)=1,D249&lt;15),Assumptions!$H$4*I248,0)</f>
        <v>0</v>
      </c>
      <c r="O249" s="67"/>
      <c r="P249" s="90">
        <f t="shared" si="51"/>
        <v>480492529.78829563</v>
      </c>
      <c r="Q249" s="90">
        <f>M249*VLOOKUP(MOD(C249,12)+(MOD(C249,12)=0)*12,Assumptions!$C$22:$D$33,2,FALSE)*(F249+G249)</f>
        <v>3003078.3111768477</v>
      </c>
      <c r="R249" s="67">
        <f>IF(AND(MOD(C249,12)=0,D249&lt;15),Assumptions!$C$7*M249,0)</f>
        <v>0</v>
      </c>
      <c r="S249" s="68">
        <f>IF(MOD(C249,12)=0,M249*Assumptions!$D$17,0)</f>
        <v>0</v>
      </c>
      <c r="T249" s="68">
        <f t="shared" si="52"/>
        <v>480198621.25817066</v>
      </c>
      <c r="U249" s="67">
        <f>T249+AE249*(1+Assumptions!$D$17)</f>
        <v>480198621.25817066</v>
      </c>
      <c r="V249" s="67">
        <f>(M249+N249-O249)*(1+Assumptions!$D$17)-(P249+Q249)*(1+Assumptions!$D$17)^0.5-R249-T249</f>
        <v>-482523128.83036637</v>
      </c>
      <c r="W249" s="67"/>
      <c r="X249" s="67">
        <f>IF(AND(H249=1,D249&lt;15),Assumptions!$D$10*N249+Assumptions!$D$11*(1+Assumptions!$D$16)^(B249-1)*$I$7,0)</f>
        <v>0</v>
      </c>
      <c r="Y249" s="65">
        <f>Assumptions!$C$13*N249</f>
        <v>0</v>
      </c>
      <c r="Z249" s="65">
        <f>NPV(Assumptions!$D$19,N249:$N$259)*(1+Assumptions!$D$19)</f>
        <v>0</v>
      </c>
      <c r="AA249" s="68">
        <f t="shared" si="53"/>
        <v>0</v>
      </c>
      <c r="AC249" s="67">
        <f t="shared" si="54"/>
        <v>-482523128.83036637</v>
      </c>
      <c r="AD249" s="67"/>
      <c r="AE249" s="67"/>
      <c r="AF249" s="67"/>
      <c r="AG249" s="67"/>
      <c r="AH249" s="67"/>
      <c r="AI249" s="67"/>
      <c r="AK249" s="67"/>
      <c r="AL249" s="70">
        <f t="shared" si="46"/>
        <v>0</v>
      </c>
    </row>
    <row r="250" spans="2:38" x14ac:dyDescent="0.2">
      <c r="B250" s="5">
        <f t="shared" si="42"/>
        <v>243</v>
      </c>
      <c r="C250" s="5">
        <f t="shared" si="43"/>
        <v>243</v>
      </c>
      <c r="D250" s="5">
        <f t="shared" si="44"/>
        <v>20</v>
      </c>
      <c r="E250" s="5">
        <f t="shared" si="45"/>
        <v>66</v>
      </c>
      <c r="F250" s="64">
        <f>1-(1-VLOOKUP($E250,'Annual Mortality Rates'!$B$5:$C$105,2,FALSE))^(1/12)</f>
        <v>6.120561724122231E-4</v>
      </c>
      <c r="G250" s="75">
        <f>IF(C250&gt;=[1]Assumptions!$H$9*12,100%,1-(1-IF(D250&gt;=7,2%,VLOOKUP($D250,'[1]Annual Lapse Rates'!$B$4:$C$14,2,FALSE)))^(1/12))</f>
        <v>1</v>
      </c>
      <c r="H250" s="81">
        <f t="shared" si="47"/>
        <v>3</v>
      </c>
      <c r="I250" s="65">
        <f t="shared" si="48"/>
        <v>0</v>
      </c>
      <c r="J250" s="66">
        <f t="shared" si="49"/>
        <v>0</v>
      </c>
      <c r="K250" s="66">
        <f t="shared" si="50"/>
        <v>0</v>
      </c>
      <c r="M250" s="67">
        <f t="shared" si="55"/>
        <v>-482523128.83036637</v>
      </c>
      <c r="N250" s="67">
        <f>IF(AND(MOD(C250,12)=1,D250&lt;15),Assumptions!$H$4*I249,0)</f>
        <v>0</v>
      </c>
      <c r="O250" s="67"/>
      <c r="P250" s="90">
        <f t="shared" si="51"/>
        <v>-482818460.08969873</v>
      </c>
      <c r="Q250" s="90">
        <f>M250*VLOOKUP(MOD(C250,12)+(MOD(C250,12)=0)*12,Assumptions!$C$22:$D$33,2,FALSE)*(F250+G250)</f>
        <v>-4526423.0633409256</v>
      </c>
      <c r="R250" s="67">
        <f>IF(AND(MOD(C250,12)=0,D250&lt;15),Assumptions!$C$7*M250,0)</f>
        <v>0</v>
      </c>
      <c r="S250" s="68">
        <f>IF(MOD(C250,12)=0,M250*Assumptions!$D$17,0)</f>
        <v>0</v>
      </c>
      <c r="T250" s="68">
        <f t="shared" si="52"/>
        <v>-482523128.83036637</v>
      </c>
      <c r="U250" s="67">
        <f>T250+AE250*(1+Assumptions!$D$17)</f>
        <v>-482523128.83036637</v>
      </c>
      <c r="V250" s="67">
        <f>(M250+N250-O250)*(1+Assumptions!$D$17)-(P250+Q250)*(1+Assumptions!$D$17)^0.5-R250-T250</f>
        <v>486370766.79358226</v>
      </c>
      <c r="W250" s="67"/>
      <c r="X250" s="67">
        <f>IF(AND(H250=1,D250&lt;15),Assumptions!$D$10*N250+Assumptions!$D$11*(1+Assumptions!$D$16)^(B250-1)*$I$7,0)</f>
        <v>0</v>
      </c>
      <c r="Y250" s="65">
        <f>Assumptions!$C$13*N250</f>
        <v>0</v>
      </c>
      <c r="Z250" s="65">
        <f>NPV(Assumptions!$D$19,N250:$N$259)*(1+Assumptions!$D$19)</f>
        <v>0</v>
      </c>
      <c r="AA250" s="68">
        <f t="shared" si="53"/>
        <v>0</v>
      </c>
      <c r="AC250" s="67">
        <f t="shared" si="54"/>
        <v>486370766.79358226</v>
      </c>
      <c r="AD250" s="67"/>
      <c r="AE250" s="67"/>
      <c r="AF250" s="67"/>
      <c r="AG250" s="67"/>
      <c r="AH250" s="67"/>
      <c r="AI250" s="67"/>
      <c r="AK250" s="67"/>
      <c r="AL250" s="70">
        <f t="shared" si="46"/>
        <v>0</v>
      </c>
    </row>
    <row r="251" spans="2:38" x14ac:dyDescent="0.2">
      <c r="B251" s="5">
        <f t="shared" si="42"/>
        <v>244</v>
      </c>
      <c r="C251" s="5">
        <f t="shared" si="43"/>
        <v>244</v>
      </c>
      <c r="D251" s="5">
        <f t="shared" si="44"/>
        <v>20</v>
      </c>
      <c r="E251" s="5">
        <f t="shared" si="45"/>
        <v>66</v>
      </c>
      <c r="F251" s="64">
        <f>1-(1-VLOOKUP($E251,'Annual Mortality Rates'!$B$5:$C$105,2,FALSE))^(1/12)</f>
        <v>6.120561724122231E-4</v>
      </c>
      <c r="G251" s="75">
        <f>IF(C251&gt;=[1]Assumptions!$H$9*12,100%,1-(1-IF(D251&gt;=7,2%,VLOOKUP($D251,'[1]Annual Lapse Rates'!$B$4:$C$14,2,FALSE)))^(1/12))</f>
        <v>1</v>
      </c>
      <c r="H251" s="81">
        <f t="shared" si="47"/>
        <v>4</v>
      </c>
      <c r="I251" s="65">
        <f t="shared" si="48"/>
        <v>0</v>
      </c>
      <c r="J251" s="66">
        <f t="shared" si="49"/>
        <v>0</v>
      </c>
      <c r="K251" s="66">
        <f t="shared" si="50"/>
        <v>0</v>
      </c>
      <c r="M251" s="67">
        <f t="shared" si="55"/>
        <v>486370766.79358226</v>
      </c>
      <c r="N251" s="67">
        <f>IF(AND(MOD(C251,12)=1,D251&lt;15),Assumptions!$H$4*I250,0)</f>
        <v>0</v>
      </c>
      <c r="O251" s="67"/>
      <c r="P251" s="90">
        <f t="shared" si="51"/>
        <v>486668453.02347916</v>
      </c>
      <c r="Q251" s="90">
        <f>M251*VLOOKUP(MOD(C251,12)+(MOD(C251,12)=0)*12,Assumptions!$C$22:$D$33,2,FALSE)*(F251+G251)</f>
        <v>6083355.6627934901</v>
      </c>
      <c r="R251" s="67">
        <f>IF(AND(MOD(C251,12)=0,D251&lt;15),Assumptions!$C$7*M251,0)</f>
        <v>0</v>
      </c>
      <c r="S251" s="68">
        <f>IF(MOD(C251,12)=0,M251*Assumptions!$D$17,0)</f>
        <v>0</v>
      </c>
      <c r="T251" s="68">
        <f t="shared" si="52"/>
        <v>486370766.79358226</v>
      </c>
      <c r="U251" s="67">
        <f>T251+AE251*(1+Assumptions!$D$17)</f>
        <v>486370766.79358226</v>
      </c>
      <c r="V251" s="67">
        <f>(M251+N251-O251)*(1+Assumptions!$D$17)-(P251+Q251)*(1+Assumptions!$D$17)^0.5-R251-T251</f>
        <v>-491773019.6198824</v>
      </c>
      <c r="W251" s="67"/>
      <c r="X251" s="67">
        <f>IF(AND(H251=1,D251&lt;15),Assumptions!$D$10*N251+Assumptions!$D$11*(1+Assumptions!$D$16)^(B251-1)*$I$7,0)</f>
        <v>0</v>
      </c>
      <c r="Y251" s="65">
        <f>Assumptions!$C$13*N251</f>
        <v>0</v>
      </c>
      <c r="Z251" s="65">
        <f>NPV(Assumptions!$D$19,N251:$N$259)*(1+Assumptions!$D$19)</f>
        <v>0</v>
      </c>
      <c r="AA251" s="68">
        <f t="shared" si="53"/>
        <v>0</v>
      </c>
      <c r="AC251" s="67">
        <f t="shared" si="54"/>
        <v>-491773019.6198824</v>
      </c>
      <c r="AD251" s="67"/>
      <c r="AE251" s="67"/>
      <c r="AF251" s="67"/>
      <c r="AG251" s="67"/>
      <c r="AH251" s="67"/>
      <c r="AI251" s="67"/>
      <c r="AK251" s="67"/>
      <c r="AL251" s="70">
        <f t="shared" si="46"/>
        <v>0</v>
      </c>
    </row>
    <row r="252" spans="2:38" x14ac:dyDescent="0.2">
      <c r="B252" s="5">
        <f t="shared" si="42"/>
        <v>245</v>
      </c>
      <c r="C252" s="5">
        <f t="shared" si="43"/>
        <v>245</v>
      </c>
      <c r="D252" s="5">
        <f t="shared" si="44"/>
        <v>20</v>
      </c>
      <c r="E252" s="5">
        <f t="shared" si="45"/>
        <v>66</v>
      </c>
      <c r="F252" s="64">
        <f>1-(1-VLOOKUP($E252,'Annual Mortality Rates'!$B$5:$C$105,2,FALSE))^(1/12)</f>
        <v>6.120561724122231E-4</v>
      </c>
      <c r="G252" s="75">
        <f>IF(C252&gt;=[1]Assumptions!$H$9*12,100%,1-(1-IF(D252&gt;=7,2%,VLOOKUP($D252,'[1]Annual Lapse Rates'!$B$4:$C$14,2,FALSE)))^(1/12))</f>
        <v>1</v>
      </c>
      <c r="H252" s="81">
        <f t="shared" si="47"/>
        <v>5</v>
      </c>
      <c r="I252" s="65">
        <f t="shared" si="48"/>
        <v>0</v>
      </c>
      <c r="J252" s="66">
        <f t="shared" si="49"/>
        <v>0</v>
      </c>
      <c r="K252" s="66">
        <f t="shared" si="50"/>
        <v>0</v>
      </c>
      <c r="M252" s="67">
        <f t="shared" si="55"/>
        <v>-491773019.6198824</v>
      </c>
      <c r="N252" s="67">
        <f>IF(AND(MOD(C252,12)=1,D252&lt;15),Assumptions!$H$4*I251,0)</f>
        <v>0</v>
      </c>
      <c r="O252" s="67"/>
      <c r="P252" s="90">
        <f t="shared" si="51"/>
        <v>-492074012.33196658</v>
      </c>
      <c r="Q252" s="90">
        <f>M252*VLOOKUP(MOD(C252,12)+(MOD(C252,12)=0)*12,Assumptions!$C$22:$D$33,2,FALSE)*(F252+G252)</f>
        <v>-7688656.4426869778</v>
      </c>
      <c r="R252" s="67">
        <f>IF(AND(MOD(C252,12)=0,D252&lt;15),Assumptions!$C$7*M252,0)</f>
        <v>0</v>
      </c>
      <c r="S252" s="68">
        <f>IF(MOD(C252,12)=0,M252*Assumptions!$D$17,0)</f>
        <v>0</v>
      </c>
      <c r="T252" s="68">
        <f t="shared" si="52"/>
        <v>-491773019.6198824</v>
      </c>
      <c r="U252" s="67">
        <f>T252+AE252*(1+Assumptions!$D$17)</f>
        <v>-491773019.6198824</v>
      </c>
      <c r="V252" s="67">
        <f>(M252+N252-O252)*(1+Assumptions!$D$17)-(P252+Q252)*(1+Assumptions!$D$17)^0.5-R252-T252</f>
        <v>498776137.30080295</v>
      </c>
      <c r="W252" s="67"/>
      <c r="X252" s="67">
        <f>IF(AND(H252=1,D252&lt;15),Assumptions!$D$10*N252+Assumptions!$D$11*(1+Assumptions!$D$16)^(B252-1)*$I$7,0)</f>
        <v>0</v>
      </c>
      <c r="Y252" s="65">
        <f>Assumptions!$C$13*N252</f>
        <v>0</v>
      </c>
      <c r="Z252" s="65">
        <f>NPV(Assumptions!$D$19,N252:$N$259)*(1+Assumptions!$D$19)</f>
        <v>0</v>
      </c>
      <c r="AA252" s="68">
        <f t="shared" si="53"/>
        <v>0</v>
      </c>
      <c r="AC252" s="67">
        <f t="shared" si="54"/>
        <v>498776137.30080295</v>
      </c>
      <c r="AD252" s="67"/>
      <c r="AE252" s="67"/>
      <c r="AF252" s="67"/>
      <c r="AG252" s="67"/>
      <c r="AH252" s="67"/>
      <c r="AI252" s="67"/>
      <c r="AK252" s="67"/>
      <c r="AL252" s="70">
        <f t="shared" si="46"/>
        <v>0</v>
      </c>
    </row>
    <row r="253" spans="2:38" x14ac:dyDescent="0.2">
      <c r="B253" s="5">
        <f t="shared" si="42"/>
        <v>246</v>
      </c>
      <c r="C253" s="5">
        <f t="shared" si="43"/>
        <v>246</v>
      </c>
      <c r="D253" s="5">
        <f t="shared" si="44"/>
        <v>20</v>
      </c>
      <c r="E253" s="5">
        <f t="shared" si="45"/>
        <v>66</v>
      </c>
      <c r="F253" s="64">
        <f>1-(1-VLOOKUP($E253,'Annual Mortality Rates'!$B$5:$C$105,2,FALSE))^(1/12)</f>
        <v>6.120561724122231E-4</v>
      </c>
      <c r="G253" s="75">
        <f>IF(C253&gt;=[1]Assumptions!$H$9*12,100%,1-(1-IF(D253&gt;=7,2%,VLOOKUP($D253,'[1]Annual Lapse Rates'!$B$4:$C$14,2,FALSE)))^(1/12))</f>
        <v>1</v>
      </c>
      <c r="H253" s="81">
        <f t="shared" si="47"/>
        <v>6</v>
      </c>
      <c r="I253" s="65">
        <f t="shared" si="48"/>
        <v>0</v>
      </c>
      <c r="J253" s="66">
        <f t="shared" si="49"/>
        <v>0</v>
      </c>
      <c r="K253" s="66">
        <f t="shared" si="50"/>
        <v>0</v>
      </c>
      <c r="M253" s="67">
        <f t="shared" si="55"/>
        <v>498776137.30080295</v>
      </c>
      <c r="N253" s="67">
        <f>IF(AND(MOD(C253,12)=1,D253&lt;15),Assumptions!$H$4*I252,0)</f>
        <v>0</v>
      </c>
      <c r="O253" s="67"/>
      <c r="P253" s="90">
        <f t="shared" si="51"/>
        <v>499081416.31428987</v>
      </c>
      <c r="Q253" s="90">
        <f>M253*VLOOKUP(MOD(C253,12)+(MOD(C253,12)=0)*12,Assumptions!$C$22:$D$33,2,FALSE)*(F253+G253)</f>
        <v>9357776.5558929369</v>
      </c>
      <c r="R253" s="67">
        <f>IF(AND(MOD(C253,12)=0,D253&lt;15),Assumptions!$C$7*M253,0)</f>
        <v>0</v>
      </c>
      <c r="S253" s="68">
        <f>IF(MOD(C253,12)=0,M253*Assumptions!$D$17,0)</f>
        <v>0</v>
      </c>
      <c r="T253" s="68">
        <f t="shared" si="52"/>
        <v>498776137.30080295</v>
      </c>
      <c r="U253" s="67">
        <f>T253+AE253*(1+Assumptions!$D$17)</f>
        <v>498776137.30080295</v>
      </c>
      <c r="V253" s="67">
        <f>(M253+N253-O253)*(1+Assumptions!$D$17)-(P253+Q253)*(1+Assumptions!$D$17)^0.5-R253-T253</f>
        <v>-507441786.47905159</v>
      </c>
      <c r="W253" s="67"/>
      <c r="X253" s="67">
        <f>IF(AND(H253=1,D253&lt;15),Assumptions!$D$10*N253+Assumptions!$D$11*(1+Assumptions!$D$16)^(B253-1)*$I$7,0)</f>
        <v>0</v>
      </c>
      <c r="Y253" s="65">
        <f>Assumptions!$C$13*N253</f>
        <v>0</v>
      </c>
      <c r="Z253" s="65">
        <f>NPV(Assumptions!$D$19,N253:$N$259)*(1+Assumptions!$D$19)</f>
        <v>0</v>
      </c>
      <c r="AA253" s="68">
        <f t="shared" si="53"/>
        <v>0</v>
      </c>
      <c r="AC253" s="67">
        <f t="shared" si="54"/>
        <v>-507441786.47905159</v>
      </c>
      <c r="AD253" s="67"/>
      <c r="AE253" s="67"/>
      <c r="AF253" s="67"/>
      <c r="AG253" s="67"/>
      <c r="AH253" s="67"/>
      <c r="AI253" s="67"/>
      <c r="AK253" s="67"/>
      <c r="AL253" s="70">
        <f t="shared" si="46"/>
        <v>0</v>
      </c>
    </row>
    <row r="254" spans="2:38" x14ac:dyDescent="0.2">
      <c r="B254" s="5">
        <f t="shared" si="42"/>
        <v>247</v>
      </c>
      <c r="C254" s="5">
        <f t="shared" si="43"/>
        <v>247</v>
      </c>
      <c r="D254" s="5">
        <f t="shared" si="44"/>
        <v>20</v>
      </c>
      <c r="E254" s="5">
        <f t="shared" si="45"/>
        <v>66</v>
      </c>
      <c r="F254" s="64">
        <f>1-(1-VLOOKUP($E254,'Annual Mortality Rates'!$B$5:$C$105,2,FALSE))^(1/12)</f>
        <v>6.120561724122231E-4</v>
      </c>
      <c r="G254" s="75">
        <f>IF(C254&gt;=[1]Assumptions!$H$9*12,100%,1-(1-IF(D254&gt;=7,2%,VLOOKUP($D254,'[1]Annual Lapse Rates'!$B$4:$C$14,2,FALSE)))^(1/12))</f>
        <v>1</v>
      </c>
      <c r="H254" s="81">
        <f t="shared" si="47"/>
        <v>7</v>
      </c>
      <c r="I254" s="65">
        <f t="shared" si="48"/>
        <v>0</v>
      </c>
      <c r="J254" s="66">
        <f t="shared" si="49"/>
        <v>0</v>
      </c>
      <c r="K254" s="66">
        <f t="shared" si="50"/>
        <v>0</v>
      </c>
      <c r="M254" s="67">
        <f t="shared" si="55"/>
        <v>-507441786.47905159</v>
      </c>
      <c r="N254" s="67">
        <f>IF(AND(MOD(C254,12)=1,D254&lt;15),Assumptions!$H$4*I253,0)</f>
        <v>0</v>
      </c>
      <c r="O254" s="67"/>
      <c r="P254" s="90">
        <f t="shared" si="51"/>
        <v>-507752369.35660601</v>
      </c>
      <c r="Q254" s="90">
        <f>M254*VLOOKUP(MOD(C254,12)+(MOD(C254,12)=0)*12,Assumptions!$C$22:$D$33,2,FALSE)*(F254+G254)</f>
        <v>-11107083.079675758</v>
      </c>
      <c r="R254" s="67">
        <f>IF(AND(MOD(C254,12)=0,D254&lt;15),Assumptions!$C$7*M254,0)</f>
        <v>0</v>
      </c>
      <c r="S254" s="68">
        <f>IF(MOD(C254,12)=0,M254*Assumptions!$D$17,0)</f>
        <v>0</v>
      </c>
      <c r="T254" s="68">
        <f t="shared" si="52"/>
        <v>-507441786.47905159</v>
      </c>
      <c r="U254" s="67">
        <f>T254+AE254*(1+Assumptions!$D$17)</f>
        <v>-507441786.47905159</v>
      </c>
      <c r="V254" s="67">
        <f>(M254+N254-O254)*(1+Assumptions!$D$17)-(P254+Q254)*(1+Assumptions!$D$17)^0.5-R254-T254</f>
        <v>517847946.25526249</v>
      </c>
      <c r="W254" s="67"/>
      <c r="X254" s="67">
        <f>IF(AND(H254=1,D254&lt;15),Assumptions!$D$10*N254+Assumptions!$D$11*(1+Assumptions!$D$16)^(B254-1)*$I$7,0)</f>
        <v>0</v>
      </c>
      <c r="Y254" s="65">
        <f>Assumptions!$C$13*N254</f>
        <v>0</v>
      </c>
      <c r="Z254" s="65">
        <f>NPV(Assumptions!$D$19,N254:$N$259)*(1+Assumptions!$D$19)</f>
        <v>0</v>
      </c>
      <c r="AA254" s="68">
        <f t="shared" si="53"/>
        <v>0</v>
      </c>
      <c r="AC254" s="67">
        <f t="shared" si="54"/>
        <v>517847946.25526249</v>
      </c>
      <c r="AD254" s="67"/>
      <c r="AE254" s="67"/>
      <c r="AF254" s="67"/>
      <c r="AG254" s="67"/>
      <c r="AH254" s="67"/>
      <c r="AI254" s="67"/>
      <c r="AK254" s="67"/>
      <c r="AL254" s="70">
        <f t="shared" si="46"/>
        <v>0</v>
      </c>
    </row>
    <row r="255" spans="2:38" x14ac:dyDescent="0.2">
      <c r="B255" s="5">
        <f t="shared" si="42"/>
        <v>248</v>
      </c>
      <c r="C255" s="5">
        <f t="shared" si="43"/>
        <v>248</v>
      </c>
      <c r="D255" s="5">
        <f t="shared" si="44"/>
        <v>20</v>
      </c>
      <c r="E255" s="5">
        <f t="shared" si="45"/>
        <v>66</v>
      </c>
      <c r="F255" s="64">
        <f>1-(1-VLOOKUP($E255,'Annual Mortality Rates'!$B$5:$C$105,2,FALSE))^(1/12)</f>
        <v>6.120561724122231E-4</v>
      </c>
      <c r="G255" s="75">
        <f>IF(C255&gt;=[1]Assumptions!$H$9*12,100%,1-(1-IF(D255&gt;=7,2%,VLOOKUP($D255,'[1]Annual Lapse Rates'!$B$4:$C$14,2,FALSE)))^(1/12))</f>
        <v>1</v>
      </c>
      <c r="H255" s="81">
        <f t="shared" si="47"/>
        <v>8</v>
      </c>
      <c r="I255" s="65">
        <f t="shared" si="48"/>
        <v>0</v>
      </c>
      <c r="J255" s="66">
        <f t="shared" si="49"/>
        <v>0</v>
      </c>
      <c r="K255" s="66">
        <f t="shared" si="50"/>
        <v>0</v>
      </c>
      <c r="M255" s="67">
        <f t="shared" si="55"/>
        <v>517847946.25526249</v>
      </c>
      <c r="N255" s="67">
        <f>IF(AND(MOD(C255,12)=1,D255&lt;15),Assumptions!$H$4*I254,0)</f>
        <v>0</v>
      </c>
      <c r="O255" s="67"/>
      <c r="P255" s="90">
        <f t="shared" si="51"/>
        <v>518164898.28713906</v>
      </c>
      <c r="Q255" s="90">
        <f>M255*VLOOKUP(MOD(C255,12)+(MOD(C255,12)=0)*12,Assumptions!$C$22:$D$33,2,FALSE)*(F255+G255)</f>
        <v>12954122.457178477</v>
      </c>
      <c r="R255" s="67">
        <f>IF(AND(MOD(C255,12)=0,D255&lt;15),Assumptions!$C$7*M255,0)</f>
        <v>0</v>
      </c>
      <c r="S255" s="68">
        <f>IF(MOD(C255,12)=0,M255*Assumptions!$D$17,0)</f>
        <v>0</v>
      </c>
      <c r="T255" s="68">
        <f t="shared" si="52"/>
        <v>517847946.25526249</v>
      </c>
      <c r="U255" s="67">
        <f>T255+AE255*(1+Assumptions!$D$17)</f>
        <v>517847946.25526249</v>
      </c>
      <c r="V255" s="67">
        <f>(M255+N255-O255)*(1+Assumptions!$D$17)-(P255+Q255)*(1+Assumptions!$D$17)^0.5-R255-T255</f>
        <v>-530090066.69506985</v>
      </c>
      <c r="W255" s="67"/>
      <c r="X255" s="67">
        <f>IF(AND(H255=1,D255&lt;15),Assumptions!$D$10*N255+Assumptions!$D$11*(1+Assumptions!$D$16)^(B255-1)*$I$7,0)</f>
        <v>0</v>
      </c>
      <c r="Y255" s="65">
        <f>Assumptions!$C$13*N255</f>
        <v>0</v>
      </c>
      <c r="Z255" s="65">
        <f>NPV(Assumptions!$D$19,N255:$N$259)*(1+Assumptions!$D$19)</f>
        <v>0</v>
      </c>
      <c r="AA255" s="68">
        <f t="shared" si="53"/>
        <v>0</v>
      </c>
      <c r="AC255" s="67">
        <f t="shared" si="54"/>
        <v>-530090066.69506985</v>
      </c>
      <c r="AD255" s="67"/>
      <c r="AE255" s="67"/>
      <c r="AF255" s="67"/>
      <c r="AG255" s="67"/>
      <c r="AH255" s="67"/>
      <c r="AI255" s="67"/>
      <c r="AK255" s="67"/>
      <c r="AL255" s="70">
        <f t="shared" si="46"/>
        <v>0</v>
      </c>
    </row>
    <row r="256" spans="2:38" x14ac:dyDescent="0.2">
      <c r="B256" s="5">
        <f t="shared" si="42"/>
        <v>249</v>
      </c>
      <c r="C256" s="5">
        <f t="shared" si="43"/>
        <v>249</v>
      </c>
      <c r="D256" s="5">
        <f t="shared" si="44"/>
        <v>20</v>
      </c>
      <c r="E256" s="5">
        <f t="shared" si="45"/>
        <v>66</v>
      </c>
      <c r="F256" s="64">
        <f>1-(1-VLOOKUP($E256,'Annual Mortality Rates'!$B$5:$C$105,2,FALSE))^(1/12)</f>
        <v>6.120561724122231E-4</v>
      </c>
      <c r="G256" s="75">
        <f>IF(C256&gt;=[1]Assumptions!$H$9*12,100%,1-(1-IF(D256&gt;=7,2%,VLOOKUP($D256,'[1]Annual Lapse Rates'!$B$4:$C$14,2,FALSE)))^(1/12))</f>
        <v>1</v>
      </c>
      <c r="H256" s="81">
        <f t="shared" si="47"/>
        <v>9</v>
      </c>
      <c r="I256" s="65">
        <f t="shared" si="48"/>
        <v>0</v>
      </c>
      <c r="J256" s="66">
        <f t="shared" si="49"/>
        <v>0</v>
      </c>
      <c r="K256" s="66">
        <f t="shared" si="50"/>
        <v>0</v>
      </c>
      <c r="M256" s="67">
        <f t="shared" si="55"/>
        <v>-530090066.69506985</v>
      </c>
      <c r="N256" s="67">
        <f>IF(AND(MOD(C256,12)=1,D256&lt;15),Assumptions!$H$4*I255,0)</f>
        <v>0</v>
      </c>
      <c r="O256" s="67"/>
      <c r="P256" s="90">
        <f t="shared" si="51"/>
        <v>-530414511.59232503</v>
      </c>
      <c r="Q256" s="90">
        <f>M256*VLOOKUP(MOD(C256,12)+(MOD(C256,12)=0)*12,Assumptions!$C$22:$D$33,2,FALSE)*(F256+G256)</f>
        <v>-14917908.138534142</v>
      </c>
      <c r="R256" s="67">
        <f>IF(AND(MOD(C256,12)=0,D256&lt;15),Assumptions!$C$7*M256,0)</f>
        <v>0</v>
      </c>
      <c r="S256" s="68">
        <f>IF(MOD(C256,12)=0,M256*Assumptions!$D$17,0)</f>
        <v>0</v>
      </c>
      <c r="T256" s="68">
        <f t="shared" si="52"/>
        <v>-530090066.69506985</v>
      </c>
      <c r="U256" s="67">
        <f>T256+AE256*(1+Assumptions!$D$17)</f>
        <v>-530090066.69506985</v>
      </c>
      <c r="V256" s="67">
        <f>(M256+N256-O256)*(1+Assumptions!$D$17)-(P256+Q256)*(1+Assumptions!$D$17)^0.5-R256-T256</f>
        <v>544282513.91080427</v>
      </c>
      <c r="W256" s="67"/>
      <c r="X256" s="67">
        <f>IF(AND(H256=1,D256&lt;15),Assumptions!$D$10*N256+Assumptions!$D$11*(1+Assumptions!$D$16)^(B256-1)*$I$7,0)</f>
        <v>0</v>
      </c>
      <c r="Y256" s="65">
        <f>Assumptions!$C$13*N256</f>
        <v>0</v>
      </c>
      <c r="Z256" s="65">
        <f>NPV(Assumptions!$D$19,N256:$N$259)*(1+Assumptions!$D$19)</f>
        <v>0</v>
      </c>
      <c r="AA256" s="68">
        <f t="shared" si="53"/>
        <v>0</v>
      </c>
      <c r="AC256" s="67">
        <f t="shared" si="54"/>
        <v>544282513.91080427</v>
      </c>
      <c r="AD256" s="67"/>
      <c r="AE256" s="67"/>
      <c r="AF256" s="67"/>
      <c r="AG256" s="67"/>
      <c r="AH256" s="67"/>
      <c r="AI256" s="67"/>
      <c r="AK256" s="67"/>
      <c r="AL256" s="70">
        <f t="shared" si="46"/>
        <v>0</v>
      </c>
    </row>
    <row r="257" spans="2:38" x14ac:dyDescent="0.2">
      <c r="B257" s="5">
        <f t="shared" si="42"/>
        <v>250</v>
      </c>
      <c r="C257" s="5">
        <f t="shared" si="43"/>
        <v>250</v>
      </c>
      <c r="D257" s="5">
        <f t="shared" si="44"/>
        <v>20</v>
      </c>
      <c r="E257" s="5">
        <f t="shared" si="45"/>
        <v>66</v>
      </c>
      <c r="F257" s="64">
        <f>1-(1-VLOOKUP($E257,'Annual Mortality Rates'!$B$5:$C$105,2,FALSE))^(1/12)</f>
        <v>6.120561724122231E-4</v>
      </c>
      <c r="G257" s="75">
        <f>IF(C257&gt;=[1]Assumptions!$H$9*12,100%,1-(1-IF(D257&gt;=7,2%,VLOOKUP($D257,'[1]Annual Lapse Rates'!$B$4:$C$14,2,FALSE)))^(1/12))</f>
        <v>1</v>
      </c>
      <c r="H257" s="81">
        <f t="shared" si="47"/>
        <v>10</v>
      </c>
      <c r="I257" s="65">
        <f t="shared" si="48"/>
        <v>0</v>
      </c>
      <c r="J257" s="66">
        <f t="shared" si="49"/>
        <v>0</v>
      </c>
      <c r="K257" s="66">
        <f t="shared" si="50"/>
        <v>0</v>
      </c>
      <c r="M257" s="67">
        <f t="shared" si="55"/>
        <v>544282513.91080427</v>
      </c>
      <c r="N257" s="67">
        <f>IF(AND(MOD(C257,12)=1,D257&lt;15),Assumptions!$H$4*I256,0)</f>
        <v>0</v>
      </c>
      <c r="O257" s="67"/>
      <c r="P257" s="90">
        <f t="shared" si="51"/>
        <v>544615645.38297951</v>
      </c>
      <c r="Q257" s="90">
        <f>M257*VLOOKUP(MOD(C257,12)+(MOD(C257,12)=0)*12,Assumptions!$C$22:$D$33,2,FALSE)*(F257+G257)</f>
        <v>17019238.91821811</v>
      </c>
      <c r="R257" s="67">
        <f>IF(AND(MOD(C257,12)=0,D257&lt;15),Assumptions!$C$7*M257,0)</f>
        <v>0</v>
      </c>
      <c r="S257" s="68">
        <f>IF(MOD(C257,12)=0,M257*Assumptions!$D$17,0)</f>
        <v>0</v>
      </c>
      <c r="T257" s="68">
        <f t="shared" si="52"/>
        <v>544282513.91080427</v>
      </c>
      <c r="U257" s="67">
        <f>T257+AE257*(1+Assumptions!$D$17)</f>
        <v>544282513.91080427</v>
      </c>
      <c r="V257" s="67">
        <f>(M257+N257-O257)*(1+Assumptions!$D$17)-(P257+Q257)*(1+Assumptions!$D$17)^0.5-R257-T257</f>
        <v>-560560332.06791377</v>
      </c>
      <c r="W257" s="67"/>
      <c r="X257" s="67">
        <f>IF(AND(H257=1,D257&lt;15),Assumptions!$D$10*N257+Assumptions!$D$11*(1+Assumptions!$D$16)^(B257-1)*$I$7,0)</f>
        <v>0</v>
      </c>
      <c r="Y257" s="65">
        <f>Assumptions!$C$13*N257</f>
        <v>0</v>
      </c>
      <c r="Z257" s="65">
        <f>NPV(Assumptions!$D$19,N257:$N$259)*(1+Assumptions!$D$19)</f>
        <v>0</v>
      </c>
      <c r="AA257" s="68">
        <f t="shared" si="53"/>
        <v>0</v>
      </c>
      <c r="AC257" s="67">
        <f t="shared" si="54"/>
        <v>-560560332.06791377</v>
      </c>
      <c r="AD257" s="67"/>
      <c r="AE257" s="67"/>
      <c r="AF257" s="67"/>
      <c r="AG257" s="67"/>
      <c r="AH257" s="67"/>
      <c r="AI257" s="67"/>
      <c r="AK257" s="67"/>
      <c r="AL257" s="70">
        <f t="shared" si="46"/>
        <v>0</v>
      </c>
    </row>
    <row r="258" spans="2:38" x14ac:dyDescent="0.2">
      <c r="B258" s="5">
        <f t="shared" si="42"/>
        <v>251</v>
      </c>
      <c r="C258" s="5">
        <f t="shared" si="43"/>
        <v>251</v>
      </c>
      <c r="D258" s="5">
        <f t="shared" si="44"/>
        <v>20</v>
      </c>
      <c r="E258" s="5">
        <f t="shared" si="45"/>
        <v>66</v>
      </c>
      <c r="F258" s="64">
        <f>1-(1-VLOOKUP($E258,'Annual Mortality Rates'!$B$5:$C$105,2,FALSE))^(1/12)</f>
        <v>6.120561724122231E-4</v>
      </c>
      <c r="G258" s="75">
        <f>IF(C258&gt;=[1]Assumptions!$H$9*12,100%,1-(1-IF(D258&gt;=7,2%,VLOOKUP($D258,'[1]Annual Lapse Rates'!$B$4:$C$14,2,FALSE)))^(1/12))</f>
        <v>1</v>
      </c>
      <c r="H258" s="81">
        <f t="shared" si="47"/>
        <v>11</v>
      </c>
      <c r="I258" s="65">
        <f t="shared" si="48"/>
        <v>0</v>
      </c>
      <c r="J258" s="66">
        <f t="shared" si="49"/>
        <v>0</v>
      </c>
      <c r="K258" s="66">
        <f t="shared" si="50"/>
        <v>0</v>
      </c>
      <c r="M258" s="67">
        <f t="shared" si="55"/>
        <v>-560560332.06791377</v>
      </c>
      <c r="N258" s="67">
        <f>IF(AND(MOD(C258,12)=1,D258&lt;15),Assumptions!$H$4*I257,0)</f>
        <v>0</v>
      </c>
      <c r="O258" s="67"/>
      <c r="P258" s="90">
        <f t="shared" si="51"/>
        <v>-560903426.47916543</v>
      </c>
      <c r="Q258" s="90">
        <f>M258*VLOOKUP(MOD(C258,12)+(MOD(C258,12)=0)*12,Assumptions!$C$22:$D$33,2,FALSE)*(F258+G258)</f>
        <v>-19281055.285221312</v>
      </c>
      <c r="R258" s="67">
        <f>IF(AND(MOD(C258,12)=0,D258&lt;15),Assumptions!$C$7*M258,0)</f>
        <v>0</v>
      </c>
      <c r="S258" s="68">
        <f>IF(MOD(C258,12)=0,M258*Assumptions!$D$17,0)</f>
        <v>0</v>
      </c>
      <c r="T258" s="68">
        <f t="shared" si="52"/>
        <v>-560560332.06791377</v>
      </c>
      <c r="U258" s="67">
        <f>T258+AE258*(1+Assumptions!$D$17)</f>
        <v>-560560332.06791377</v>
      </c>
      <c r="V258" s="67">
        <f>(M258+N258-O258)*(1+Assumptions!$D$17)-(P258+Q258)*(1+Assumptions!$D$17)^0.5-R258-T258</f>
        <v>579081359.95440423</v>
      </c>
      <c r="W258" s="67"/>
      <c r="X258" s="67">
        <f>IF(AND(H258=1,D258&lt;15),Assumptions!$D$10*N258+Assumptions!$D$11*(1+Assumptions!$D$16)^(B258-1)*$I$7,0)</f>
        <v>0</v>
      </c>
      <c r="Y258" s="65">
        <f>Assumptions!$C$13*N258</f>
        <v>0</v>
      </c>
      <c r="Z258" s="65">
        <f>NPV(Assumptions!$D$19,N258:$N$259)*(1+Assumptions!$D$19)</f>
        <v>0</v>
      </c>
      <c r="AA258" s="68">
        <f t="shared" si="53"/>
        <v>0</v>
      </c>
      <c r="AC258" s="67">
        <f t="shared" si="54"/>
        <v>579081359.95440423</v>
      </c>
      <c r="AD258" s="67"/>
      <c r="AE258" s="67"/>
      <c r="AF258" s="67"/>
      <c r="AG258" s="67"/>
      <c r="AH258" s="67"/>
      <c r="AI258" s="67"/>
      <c r="AK258" s="67"/>
      <c r="AL258" s="70">
        <f t="shared" si="46"/>
        <v>0</v>
      </c>
    </row>
    <row r="259" spans="2:38" x14ac:dyDescent="0.2">
      <c r="B259" s="5">
        <f t="shared" si="42"/>
        <v>252</v>
      </c>
      <c r="C259" s="5">
        <f t="shared" si="43"/>
        <v>252</v>
      </c>
      <c r="D259" s="5">
        <f t="shared" si="44"/>
        <v>20</v>
      </c>
      <c r="E259" s="5">
        <f t="shared" si="45"/>
        <v>66</v>
      </c>
      <c r="F259" s="64">
        <f>1-(1-VLOOKUP($E259,'Annual Mortality Rates'!$B$5:$C$105,2,FALSE))^(1/12)</f>
        <v>6.120561724122231E-4</v>
      </c>
      <c r="G259" s="75">
        <f>IF(C259&gt;=[1]Assumptions!$H$9*12,100%,1-(1-IF(D259&gt;=7,2%,VLOOKUP($D259,'[1]Annual Lapse Rates'!$B$4:$C$14,2,FALSE)))^(1/12))</f>
        <v>1</v>
      </c>
      <c r="H259" s="81">
        <f t="shared" si="47"/>
        <v>12</v>
      </c>
      <c r="I259" s="65">
        <f t="shared" si="48"/>
        <v>0</v>
      </c>
      <c r="J259" s="66">
        <f t="shared" si="49"/>
        <v>0</v>
      </c>
      <c r="K259" s="66">
        <f t="shared" si="50"/>
        <v>0</v>
      </c>
      <c r="M259" s="67">
        <f t="shared" si="55"/>
        <v>579081359.95440423</v>
      </c>
      <c r="N259" s="67">
        <f>IF(AND(MOD(C259,12)=1,D259&lt;15),Assumptions!$H$4*I258,0)</f>
        <v>0</v>
      </c>
      <c r="O259" s="67"/>
      <c r="P259" s="90">
        <f t="shared" si="51"/>
        <v>579435790.2750932</v>
      </c>
      <c r="Q259" s="90">
        <f>M259*VLOOKUP(MOD(C259,12)+(MOD(C259,12)=0)*12,Assumptions!$C$22:$D$33,2,FALSE)*(F259+G259)</f>
        <v>21728842.135315999</v>
      </c>
      <c r="R259" s="67">
        <f>IF(AND(MOD(C259,12)=0,D259&lt;15),Assumptions!$C$7*M259,0)</f>
        <v>0</v>
      </c>
      <c r="S259" s="68">
        <f>IF(MOD(C259,12)=0,M259*Assumptions!$D$17,0)</f>
        <v>2359249.1412576716</v>
      </c>
      <c r="T259" s="68">
        <f t="shared" si="52"/>
        <v>581440609.09566188</v>
      </c>
      <c r="U259" s="67">
        <f>T259+AE259*(1+Assumptions!$D$17)</f>
        <v>581440609.09566188</v>
      </c>
      <c r="V259" s="67">
        <f>(M259+N259-O259)*(1+Assumptions!$D$17)-(P259+Q259)*(1+Assumptions!$D$17)^0.5-R259-T259</f>
        <v>-602387997.20544946</v>
      </c>
      <c r="W259" s="67"/>
      <c r="X259" s="67">
        <f>IF(AND(H259=1,D259&lt;15),Assumptions!$D$10*N259+Assumptions!$D$11*(1+Assumptions!$D$16)^(B259-1)*$I$7,0)</f>
        <v>0</v>
      </c>
      <c r="Y259" s="65">
        <f>Assumptions!$C$13*N259</f>
        <v>0</v>
      </c>
      <c r="Z259" s="65">
        <f>NPV(Assumptions!$D$19,N259:$N$259)*(1+Assumptions!$D$19)</f>
        <v>0</v>
      </c>
      <c r="AA259" s="68">
        <f t="shared" si="53"/>
        <v>0</v>
      </c>
      <c r="AC259" s="67">
        <f t="shared" si="54"/>
        <v>-602387997.20544946</v>
      </c>
      <c r="AD259" s="67"/>
      <c r="AE259" s="67"/>
      <c r="AF259" s="67"/>
      <c r="AG259" s="67"/>
      <c r="AH259" s="67"/>
      <c r="AI259" s="67"/>
      <c r="AK259" s="67"/>
      <c r="AL259" s="70">
        <f t="shared" si="46"/>
        <v>0</v>
      </c>
    </row>
  </sheetData>
  <mergeCells count="1">
    <mergeCell ref="I5:K5"/>
  </mergeCells>
  <phoneticPr fontId="8" type="noConversion"/>
  <pageMargins left="0.7" right="0.7" top="0.75" bottom="0.75" header="0.3" footer="0.3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E2D4DAB13DC748895FB35A953747A4" ma:contentTypeVersion="0" ma:contentTypeDescription="Create a new document." ma:contentTypeScope="" ma:versionID="49c4bbb53d235dbe1ce3bb1900d2be3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96182B-258A-4B12-B87F-3BDCF991F2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77C2E4-D330-474F-A72C-F0CE63ABDA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A3A53B6-96CA-4E50-B03C-DF856EF04425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Assumptions</vt:lpstr>
      <vt:lpstr>Annual Mortality Rates</vt:lpstr>
      <vt:lpstr>Annual Lapse Rates</vt:lpstr>
      <vt:lpstr>(a)</vt:lpstr>
      <vt:lpstr>(c)</vt:lpstr>
    </vt:vector>
  </TitlesOfParts>
  <Company>MacroView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Book.xltm</dc:title>
  <dc:creator>Bennett, Raymond (AU - Sydney)</dc:creator>
  <cp:lastModifiedBy>Zhu, Vincent-JF</cp:lastModifiedBy>
  <cp:lastPrinted>2019-02-20T22:45:00Z</cp:lastPrinted>
  <dcterms:created xsi:type="dcterms:W3CDTF">2009-10-13T04:21:25Z</dcterms:created>
  <dcterms:modified xsi:type="dcterms:W3CDTF">2019-08-16T13:35:52Z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0x01010013E2D4DAB13DC748895FB35A953747A4</vt:lpwstr>
  </property>
  <property fmtid="{D5CDD505-2E9C-101B-9397-08002B2CF9AE}" pid="3" name="Order">
    <vt:r8>1400</vt:r8>
  </property>
  <property fmtid="{D5CDD505-2E9C-101B-9397-08002B2CF9AE}" pid="4" name="TemplateUrl">
    <vt:lpwstr/>
  </property>
  <property fmtid="{D5CDD505-2E9C-101B-9397-08002B2CF9AE}" pid="5" name="_SourceUrl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</Properties>
</file>