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</workbook>
</file>

<file path=xl/calcChain.xml><?xml version="1.0" encoding="utf-8"?>
<calcChain xmlns="http://schemas.openxmlformats.org/spreadsheetml/2006/main">
  <c r="T9" i="38" l="1"/>
  <c r="T8" i="38"/>
  <c r="AE8" i="38"/>
  <c r="AC9" i="38" l="1"/>
  <c r="AC8" i="38"/>
  <c r="AD8" i="38"/>
  <c r="V8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H99" i="38"/>
  <c r="H100" i="38"/>
  <c r="H101" i="38"/>
  <c r="H102" i="38"/>
  <c r="H103" i="38"/>
  <c r="H104" i="38"/>
  <c r="H105" i="38"/>
  <c r="H106" i="38"/>
  <c r="H107" i="38"/>
  <c r="H108" i="38"/>
  <c r="H109" i="38"/>
  <c r="H110" i="38"/>
  <c r="H111" i="38"/>
  <c r="H112" i="38"/>
  <c r="H113" i="38"/>
  <c r="H114" i="38"/>
  <c r="H115" i="38"/>
  <c r="H116" i="38"/>
  <c r="H117" i="38"/>
  <c r="H118" i="38"/>
  <c r="H119" i="38"/>
  <c r="H120" i="38"/>
  <c r="H121" i="38"/>
  <c r="H122" i="38"/>
  <c r="H123" i="38"/>
  <c r="H124" i="38"/>
  <c r="H125" i="38"/>
  <c r="H126" i="38"/>
  <c r="H127" i="38"/>
  <c r="H128" i="38"/>
  <c r="H129" i="38"/>
  <c r="H130" i="38"/>
  <c r="H131" i="38"/>
  <c r="H132" i="38"/>
  <c r="H133" i="38"/>
  <c r="H134" i="38"/>
  <c r="H135" i="38"/>
  <c r="H136" i="38"/>
  <c r="H137" i="38"/>
  <c r="H138" i="38"/>
  <c r="H139" i="38"/>
  <c r="H140" i="38"/>
  <c r="H141" i="38"/>
  <c r="H142" i="38"/>
  <c r="H143" i="38"/>
  <c r="H144" i="38"/>
  <c r="H145" i="38"/>
  <c r="H146" i="38"/>
  <c r="H147" i="38"/>
  <c r="H148" i="38"/>
  <c r="H149" i="38"/>
  <c r="H150" i="38"/>
  <c r="H151" i="38"/>
  <c r="H152" i="38"/>
  <c r="H153" i="38"/>
  <c r="H154" i="38"/>
  <c r="H155" i="38"/>
  <c r="H156" i="38"/>
  <c r="H157" i="38"/>
  <c r="H158" i="38"/>
  <c r="H159" i="38"/>
  <c r="H160" i="38"/>
  <c r="H161" i="38"/>
  <c r="H162" i="38"/>
  <c r="H163" i="38"/>
  <c r="H164" i="38"/>
  <c r="H165" i="38"/>
  <c r="H166" i="38"/>
  <c r="H167" i="38"/>
  <c r="H168" i="38"/>
  <c r="H169" i="38"/>
  <c r="H170" i="38"/>
  <c r="H171" i="38"/>
  <c r="H172" i="38"/>
  <c r="H173" i="38"/>
  <c r="H174" i="38"/>
  <c r="H175" i="38"/>
  <c r="H176" i="38"/>
  <c r="H177" i="38"/>
  <c r="H178" i="38"/>
  <c r="H179" i="38"/>
  <c r="H180" i="38"/>
  <c r="H181" i="38"/>
  <c r="H182" i="38"/>
  <c r="H183" i="38"/>
  <c r="H184" i="38"/>
  <c r="H185" i="38"/>
  <c r="H186" i="38"/>
  <c r="H187" i="38"/>
  <c r="H188" i="38"/>
  <c r="H189" i="38"/>
  <c r="H190" i="38"/>
  <c r="H191" i="38"/>
  <c r="H192" i="38"/>
  <c r="H193" i="38"/>
  <c r="H194" i="38"/>
  <c r="H195" i="38"/>
  <c r="H196" i="38"/>
  <c r="H197" i="38"/>
  <c r="H198" i="38"/>
  <c r="H199" i="38"/>
  <c r="H200" i="38"/>
  <c r="H201" i="38"/>
  <c r="H202" i="38"/>
  <c r="H203" i="38"/>
  <c r="H204" i="38"/>
  <c r="H205" i="38"/>
  <c r="H206" i="38"/>
  <c r="H207" i="38"/>
  <c r="H208" i="38"/>
  <c r="H209" i="38"/>
  <c r="H210" i="38"/>
  <c r="H211" i="38"/>
  <c r="H212" i="38"/>
  <c r="H213" i="38"/>
  <c r="H214" i="38"/>
  <c r="H215" i="38"/>
  <c r="H216" i="38"/>
  <c r="H217" i="38"/>
  <c r="H218" i="38"/>
  <c r="H219" i="38"/>
  <c r="H220" i="38"/>
  <c r="H221" i="38"/>
  <c r="H222" i="38"/>
  <c r="H223" i="38"/>
  <c r="H224" i="38"/>
  <c r="H225" i="38"/>
  <c r="H226" i="38"/>
  <c r="H227" i="38"/>
  <c r="H228" i="38"/>
  <c r="H229" i="38"/>
  <c r="H230" i="38"/>
  <c r="H231" i="38"/>
  <c r="H232" i="38"/>
  <c r="H233" i="38"/>
  <c r="H234" i="38"/>
  <c r="H235" i="38"/>
  <c r="H236" i="38"/>
  <c r="H237" i="38"/>
  <c r="H238" i="38"/>
  <c r="H239" i="38"/>
  <c r="H240" i="38"/>
  <c r="H241" i="38"/>
  <c r="H242" i="38"/>
  <c r="H243" i="38"/>
  <c r="H244" i="38"/>
  <c r="H245" i="38"/>
  <c r="H246" i="38"/>
  <c r="H247" i="38"/>
  <c r="H248" i="38"/>
  <c r="H249" i="38"/>
  <c r="H250" i="38"/>
  <c r="H251" i="38"/>
  <c r="H252" i="38"/>
  <c r="H253" i="38"/>
  <c r="H254" i="38"/>
  <c r="H255" i="38"/>
  <c r="H256" i="38"/>
  <c r="H257" i="38"/>
  <c r="H258" i="38"/>
  <c r="H259" i="38"/>
  <c r="Q8" i="38" l="1"/>
  <c r="P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R8" i="38"/>
  <c r="R9" i="38"/>
  <c r="R10" i="38"/>
  <c r="R11" i="38"/>
  <c r="R12" i="38"/>
  <c r="R13" i="38"/>
  <c r="R14" i="38"/>
  <c r="R15" i="38"/>
  <c r="R16" i="38"/>
  <c r="R17" i="38"/>
  <c r="R18" i="38"/>
  <c r="R20" i="38"/>
  <c r="R21" i="38"/>
  <c r="R22" i="38"/>
  <c r="R23" i="38"/>
  <c r="R24" i="38"/>
  <c r="R25" i="38"/>
  <c r="R26" i="38"/>
  <c r="R27" i="38"/>
  <c r="R28" i="38"/>
  <c r="R29" i="38"/>
  <c r="R30" i="38"/>
  <c r="R32" i="38"/>
  <c r="R33" i="38"/>
  <c r="R34" i="38"/>
  <c r="R35" i="38"/>
  <c r="R36" i="38"/>
  <c r="R37" i="38"/>
  <c r="R38" i="38"/>
  <c r="R39" i="38"/>
  <c r="R40" i="38"/>
  <c r="R41" i="38"/>
  <c r="R42" i="38"/>
  <c r="R44" i="38"/>
  <c r="R45" i="38"/>
  <c r="R46" i="38"/>
  <c r="R47" i="38"/>
  <c r="R48" i="38"/>
  <c r="R49" i="38"/>
  <c r="R50" i="38"/>
  <c r="R51" i="38"/>
  <c r="R52" i="38"/>
  <c r="R53" i="38"/>
  <c r="R54" i="38"/>
  <c r="R56" i="38"/>
  <c r="R57" i="38"/>
  <c r="R58" i="38"/>
  <c r="R59" i="38"/>
  <c r="R60" i="38"/>
  <c r="R61" i="38"/>
  <c r="R62" i="38"/>
  <c r="R63" i="38"/>
  <c r="R64" i="38"/>
  <c r="R65" i="38"/>
  <c r="R66" i="38"/>
  <c r="R68" i="38"/>
  <c r="R69" i="38"/>
  <c r="R70" i="38"/>
  <c r="R71" i="38"/>
  <c r="R72" i="38"/>
  <c r="R73" i="38"/>
  <c r="R74" i="38"/>
  <c r="R75" i="38"/>
  <c r="R76" i="38"/>
  <c r="R77" i="38"/>
  <c r="R78" i="38"/>
  <c r="R80" i="38"/>
  <c r="R81" i="38"/>
  <c r="R82" i="38"/>
  <c r="R83" i="38"/>
  <c r="R84" i="38"/>
  <c r="R85" i="38"/>
  <c r="R86" i="38"/>
  <c r="R87" i="38"/>
  <c r="R88" i="38"/>
  <c r="R89" i="38"/>
  <c r="R90" i="38"/>
  <c r="R92" i="38"/>
  <c r="R93" i="38"/>
  <c r="R94" i="38"/>
  <c r="R95" i="38"/>
  <c r="R96" i="38"/>
  <c r="R97" i="38"/>
  <c r="R98" i="38"/>
  <c r="R99" i="38"/>
  <c r="R100" i="38"/>
  <c r="R101" i="38"/>
  <c r="R102" i="38"/>
  <c r="R104" i="38"/>
  <c r="R105" i="38"/>
  <c r="R106" i="38"/>
  <c r="R107" i="38"/>
  <c r="R108" i="38"/>
  <c r="R109" i="38"/>
  <c r="R110" i="38"/>
  <c r="R111" i="38"/>
  <c r="R112" i="38"/>
  <c r="R113" i="38"/>
  <c r="R114" i="38"/>
  <c r="R116" i="38"/>
  <c r="R117" i="38"/>
  <c r="R118" i="38"/>
  <c r="R119" i="38"/>
  <c r="R120" i="38"/>
  <c r="R121" i="38"/>
  <c r="R122" i="38"/>
  <c r="R123" i="38"/>
  <c r="R124" i="38"/>
  <c r="R125" i="38"/>
  <c r="R126" i="38"/>
  <c r="R128" i="38"/>
  <c r="R129" i="38"/>
  <c r="R130" i="38"/>
  <c r="R131" i="38"/>
  <c r="R132" i="38"/>
  <c r="R133" i="38"/>
  <c r="R134" i="38"/>
  <c r="R135" i="38"/>
  <c r="R136" i="38"/>
  <c r="R137" i="38"/>
  <c r="R138" i="38"/>
  <c r="R140" i="38"/>
  <c r="R141" i="38"/>
  <c r="R142" i="38"/>
  <c r="R143" i="38"/>
  <c r="R144" i="38"/>
  <c r="R145" i="38"/>
  <c r="R146" i="38"/>
  <c r="R147" i="38"/>
  <c r="R148" i="38"/>
  <c r="R149" i="38"/>
  <c r="R150" i="38"/>
  <c r="R152" i="38"/>
  <c r="R153" i="38"/>
  <c r="R154" i="38"/>
  <c r="R155" i="38"/>
  <c r="R156" i="38"/>
  <c r="R157" i="38"/>
  <c r="R158" i="38"/>
  <c r="R159" i="38"/>
  <c r="R160" i="38"/>
  <c r="R161" i="38"/>
  <c r="R162" i="38"/>
  <c r="R164" i="38"/>
  <c r="R165" i="38"/>
  <c r="R166" i="38"/>
  <c r="R167" i="38"/>
  <c r="R168" i="38"/>
  <c r="R169" i="38"/>
  <c r="R170" i="38"/>
  <c r="R171" i="38"/>
  <c r="R172" i="38"/>
  <c r="R173" i="38"/>
  <c r="R174" i="38"/>
  <c r="R176" i="38"/>
  <c r="R177" i="38"/>
  <c r="R178" i="38"/>
  <c r="R179" i="38"/>
  <c r="R180" i="38"/>
  <c r="R181" i="38"/>
  <c r="R182" i="38"/>
  <c r="R183" i="38"/>
  <c r="R184" i="38"/>
  <c r="R185" i="38"/>
  <c r="R186" i="38"/>
  <c r="R188" i="38"/>
  <c r="R189" i="38"/>
  <c r="R190" i="38"/>
  <c r="R191" i="38"/>
  <c r="R192" i="38"/>
  <c r="R193" i="38"/>
  <c r="R194" i="38"/>
  <c r="R195" i="38"/>
  <c r="R196" i="38"/>
  <c r="R197" i="38"/>
  <c r="R198" i="38"/>
  <c r="R199" i="38"/>
  <c r="R200" i="38"/>
  <c r="R201" i="38"/>
  <c r="R202" i="38"/>
  <c r="R203" i="38"/>
  <c r="R204" i="38"/>
  <c r="R205" i="38"/>
  <c r="R206" i="38"/>
  <c r="R207" i="38"/>
  <c r="R208" i="38"/>
  <c r="R209" i="38"/>
  <c r="R210" i="38"/>
  <c r="R211" i="38"/>
  <c r="R212" i="38"/>
  <c r="R213" i="38"/>
  <c r="R214" i="38"/>
  <c r="R215" i="38"/>
  <c r="R216" i="38"/>
  <c r="R217" i="38"/>
  <c r="R218" i="38"/>
  <c r="R219" i="38"/>
  <c r="R220" i="38"/>
  <c r="R221" i="38"/>
  <c r="R222" i="38"/>
  <c r="R223" i="38"/>
  <c r="R224" i="38"/>
  <c r="R225" i="38"/>
  <c r="R226" i="38"/>
  <c r="R227" i="38"/>
  <c r="R228" i="38"/>
  <c r="R229" i="38"/>
  <c r="R230" i="38"/>
  <c r="R231" i="38"/>
  <c r="R232" i="38"/>
  <c r="R233" i="38"/>
  <c r="R234" i="38"/>
  <c r="R235" i="38"/>
  <c r="R236" i="38"/>
  <c r="R237" i="38"/>
  <c r="R238" i="38"/>
  <c r="R239" i="38"/>
  <c r="R240" i="38"/>
  <c r="R241" i="38"/>
  <c r="R242" i="38"/>
  <c r="R243" i="38"/>
  <c r="R244" i="38"/>
  <c r="R245" i="38"/>
  <c r="R246" i="38"/>
  <c r="R247" i="38"/>
  <c r="R248" i="38"/>
  <c r="R249" i="38"/>
  <c r="R250" i="38"/>
  <c r="R251" i="38"/>
  <c r="R252" i="38"/>
  <c r="R253" i="38"/>
  <c r="R254" i="38"/>
  <c r="R255" i="38"/>
  <c r="R256" i="38"/>
  <c r="R257" i="38"/>
  <c r="R258" i="38"/>
  <c r="R259" i="38"/>
  <c r="X21" i="38"/>
  <c r="X22" i="38"/>
  <c r="X23" i="38"/>
  <c r="X24" i="38"/>
  <c r="X25" i="38"/>
  <c r="X26" i="38"/>
  <c r="X27" i="38"/>
  <c r="X28" i="38"/>
  <c r="X29" i="38"/>
  <c r="X30" i="38"/>
  <c r="X31" i="38"/>
  <c r="X33" i="38"/>
  <c r="X34" i="38"/>
  <c r="X35" i="38"/>
  <c r="X36" i="38"/>
  <c r="X37" i="38"/>
  <c r="X38" i="38"/>
  <c r="X39" i="38"/>
  <c r="X40" i="38"/>
  <c r="X41" i="38"/>
  <c r="X42" i="38"/>
  <c r="X43" i="38"/>
  <c r="X45" i="38"/>
  <c r="X46" i="38"/>
  <c r="X47" i="38"/>
  <c r="X48" i="38"/>
  <c r="X49" i="38"/>
  <c r="X50" i="38"/>
  <c r="X51" i="38"/>
  <c r="X52" i="38"/>
  <c r="X53" i="38"/>
  <c r="X54" i="38"/>
  <c r="X55" i="38"/>
  <c r="X57" i="38"/>
  <c r="X58" i="38"/>
  <c r="X59" i="38"/>
  <c r="X60" i="38"/>
  <c r="X61" i="38"/>
  <c r="X62" i="38"/>
  <c r="X63" i="38"/>
  <c r="X64" i="38"/>
  <c r="X65" i="38"/>
  <c r="X66" i="38"/>
  <c r="X67" i="38"/>
  <c r="X69" i="38"/>
  <c r="X70" i="38"/>
  <c r="X71" i="38"/>
  <c r="X72" i="38"/>
  <c r="X73" i="38"/>
  <c r="X74" i="38"/>
  <c r="X75" i="38"/>
  <c r="X76" i="38"/>
  <c r="X77" i="38"/>
  <c r="X78" i="38"/>
  <c r="X79" i="38"/>
  <c r="X81" i="38"/>
  <c r="X82" i="38"/>
  <c r="X83" i="38"/>
  <c r="X84" i="38"/>
  <c r="X85" i="38"/>
  <c r="X86" i="38"/>
  <c r="X87" i="38"/>
  <c r="X88" i="38"/>
  <c r="X89" i="38"/>
  <c r="X90" i="38"/>
  <c r="X91" i="38"/>
  <c r="X93" i="38"/>
  <c r="X94" i="38"/>
  <c r="X95" i="38"/>
  <c r="X96" i="38"/>
  <c r="X97" i="38"/>
  <c r="X98" i="38"/>
  <c r="X99" i="38"/>
  <c r="X100" i="38"/>
  <c r="X101" i="38"/>
  <c r="X102" i="38"/>
  <c r="X103" i="38"/>
  <c r="X105" i="38"/>
  <c r="X106" i="38"/>
  <c r="X107" i="38"/>
  <c r="X108" i="38"/>
  <c r="X109" i="38"/>
  <c r="X110" i="38"/>
  <c r="X111" i="38"/>
  <c r="X112" i="38"/>
  <c r="X113" i="38"/>
  <c r="X114" i="38"/>
  <c r="X115" i="38"/>
  <c r="X117" i="38"/>
  <c r="X118" i="38"/>
  <c r="X119" i="38"/>
  <c r="X120" i="38"/>
  <c r="X121" i="38"/>
  <c r="X122" i="38"/>
  <c r="X123" i="38"/>
  <c r="X124" i="38"/>
  <c r="X125" i="38"/>
  <c r="X126" i="38"/>
  <c r="X127" i="38"/>
  <c r="X129" i="38"/>
  <c r="X130" i="38"/>
  <c r="X131" i="38"/>
  <c r="X132" i="38"/>
  <c r="X133" i="38"/>
  <c r="X134" i="38"/>
  <c r="X135" i="38"/>
  <c r="X136" i="38"/>
  <c r="X137" i="38"/>
  <c r="X138" i="38"/>
  <c r="X139" i="38"/>
  <c r="X141" i="38"/>
  <c r="X142" i="38"/>
  <c r="X143" i="38"/>
  <c r="X144" i="38"/>
  <c r="X145" i="38"/>
  <c r="X146" i="38"/>
  <c r="X147" i="38"/>
  <c r="X148" i="38"/>
  <c r="X149" i="38"/>
  <c r="X150" i="38"/>
  <c r="X151" i="38"/>
  <c r="X153" i="38"/>
  <c r="X154" i="38"/>
  <c r="X155" i="38"/>
  <c r="X156" i="38"/>
  <c r="X157" i="38"/>
  <c r="X158" i="38"/>
  <c r="X159" i="38"/>
  <c r="X160" i="38"/>
  <c r="X161" i="38"/>
  <c r="X162" i="38"/>
  <c r="X163" i="38"/>
  <c r="X165" i="38"/>
  <c r="X166" i="38"/>
  <c r="X167" i="38"/>
  <c r="X168" i="38"/>
  <c r="X169" i="38"/>
  <c r="X170" i="38"/>
  <c r="X171" i="38"/>
  <c r="X172" i="38"/>
  <c r="X173" i="38"/>
  <c r="X174" i="38"/>
  <c r="X175" i="38"/>
  <c r="X177" i="38"/>
  <c r="X178" i="38"/>
  <c r="X179" i="38"/>
  <c r="X180" i="38"/>
  <c r="X181" i="38"/>
  <c r="X182" i="38"/>
  <c r="X183" i="38"/>
  <c r="X184" i="38"/>
  <c r="X185" i="38"/>
  <c r="X186" i="38"/>
  <c r="X187" i="38"/>
  <c r="X188" i="38"/>
  <c r="X189" i="38"/>
  <c r="X190" i="38"/>
  <c r="X191" i="38"/>
  <c r="X192" i="38"/>
  <c r="X193" i="38"/>
  <c r="X194" i="38"/>
  <c r="X195" i="38"/>
  <c r="X196" i="38"/>
  <c r="X197" i="38"/>
  <c r="X198" i="38"/>
  <c r="X199" i="38"/>
  <c r="X200" i="38"/>
  <c r="X201" i="38"/>
  <c r="X202" i="38"/>
  <c r="X203" i="38"/>
  <c r="X204" i="38"/>
  <c r="X205" i="38"/>
  <c r="X206" i="38"/>
  <c r="X207" i="38"/>
  <c r="X208" i="38"/>
  <c r="X209" i="38"/>
  <c r="X210" i="38"/>
  <c r="X211" i="38"/>
  <c r="X212" i="38"/>
  <c r="X213" i="38"/>
  <c r="X214" i="38"/>
  <c r="X215" i="38"/>
  <c r="X216" i="38"/>
  <c r="X217" i="38"/>
  <c r="X218" i="38"/>
  <c r="X219" i="38"/>
  <c r="X220" i="38"/>
  <c r="X221" i="38"/>
  <c r="X222" i="38"/>
  <c r="X223" i="38"/>
  <c r="X224" i="38"/>
  <c r="X225" i="38"/>
  <c r="X226" i="38"/>
  <c r="X227" i="38"/>
  <c r="X228" i="38"/>
  <c r="X229" i="38"/>
  <c r="X230" i="38"/>
  <c r="X231" i="38"/>
  <c r="X232" i="38"/>
  <c r="X233" i="38"/>
  <c r="X234" i="38"/>
  <c r="X235" i="38"/>
  <c r="X236" i="38"/>
  <c r="X237" i="38"/>
  <c r="X238" i="38"/>
  <c r="X239" i="38"/>
  <c r="X240" i="38"/>
  <c r="X241" i="38"/>
  <c r="X242" i="38"/>
  <c r="X243" i="38"/>
  <c r="X244" i="38"/>
  <c r="X245" i="38"/>
  <c r="X246" i="38"/>
  <c r="X247" i="38"/>
  <c r="X248" i="38"/>
  <c r="X249" i="38"/>
  <c r="X250" i="38"/>
  <c r="X251" i="38"/>
  <c r="X252" i="38"/>
  <c r="X253" i="38"/>
  <c r="X254" i="38"/>
  <c r="X255" i="38"/>
  <c r="X256" i="38"/>
  <c r="X257" i="38"/>
  <c r="X258" i="38"/>
  <c r="X259" i="38"/>
  <c r="N9" i="38"/>
  <c r="N10" i="38"/>
  <c r="N11" i="38"/>
  <c r="N12" i="38"/>
  <c r="N13" i="38"/>
  <c r="N14" i="38"/>
  <c r="N15" i="38"/>
  <c r="N16" i="38"/>
  <c r="N17" i="38"/>
  <c r="N18" i="38"/>
  <c r="N19" i="38"/>
  <c r="N21" i="38"/>
  <c r="N22" i="38"/>
  <c r="N23" i="38"/>
  <c r="N24" i="38"/>
  <c r="N25" i="38"/>
  <c r="N26" i="38"/>
  <c r="N27" i="38"/>
  <c r="N28" i="38"/>
  <c r="N29" i="38"/>
  <c r="N30" i="38"/>
  <c r="N31" i="38"/>
  <c r="N33" i="38"/>
  <c r="N34" i="38"/>
  <c r="N35" i="38"/>
  <c r="N36" i="38"/>
  <c r="N37" i="38"/>
  <c r="N38" i="38"/>
  <c r="N39" i="38"/>
  <c r="N40" i="38"/>
  <c r="N41" i="38"/>
  <c r="N42" i="38"/>
  <c r="N43" i="38"/>
  <c r="N45" i="38"/>
  <c r="N46" i="38"/>
  <c r="N47" i="38"/>
  <c r="N48" i="38"/>
  <c r="N49" i="38"/>
  <c r="N50" i="38"/>
  <c r="N51" i="38"/>
  <c r="N52" i="38"/>
  <c r="N53" i="38"/>
  <c r="N54" i="38"/>
  <c r="N55" i="38"/>
  <c r="N57" i="38"/>
  <c r="N58" i="38"/>
  <c r="N59" i="38"/>
  <c r="N60" i="38"/>
  <c r="N61" i="38"/>
  <c r="N62" i="38"/>
  <c r="N63" i="38"/>
  <c r="N64" i="38"/>
  <c r="N65" i="38"/>
  <c r="N66" i="38"/>
  <c r="N67" i="38"/>
  <c r="N69" i="38"/>
  <c r="N70" i="38"/>
  <c r="N71" i="38"/>
  <c r="N72" i="38"/>
  <c r="N73" i="38"/>
  <c r="N74" i="38"/>
  <c r="N75" i="38"/>
  <c r="N76" i="38"/>
  <c r="N77" i="38"/>
  <c r="N78" i="38"/>
  <c r="N79" i="38"/>
  <c r="N81" i="38"/>
  <c r="N82" i="38"/>
  <c r="N83" i="38"/>
  <c r="N84" i="38"/>
  <c r="N85" i="38"/>
  <c r="N86" i="38"/>
  <c r="N87" i="38"/>
  <c r="N88" i="38"/>
  <c r="N89" i="38"/>
  <c r="N90" i="38"/>
  <c r="N91" i="38"/>
  <c r="N93" i="38"/>
  <c r="N94" i="38"/>
  <c r="N95" i="38"/>
  <c r="N96" i="38"/>
  <c r="N97" i="38"/>
  <c r="N98" i="38"/>
  <c r="N99" i="38"/>
  <c r="N100" i="38"/>
  <c r="N101" i="38"/>
  <c r="N102" i="38"/>
  <c r="N103" i="38"/>
  <c r="N105" i="38"/>
  <c r="N106" i="38"/>
  <c r="N107" i="38"/>
  <c r="N108" i="38"/>
  <c r="N109" i="38"/>
  <c r="N110" i="38"/>
  <c r="N111" i="38"/>
  <c r="N112" i="38"/>
  <c r="N113" i="38"/>
  <c r="N114" i="38"/>
  <c r="N115" i="38"/>
  <c r="N117" i="38"/>
  <c r="N118" i="38"/>
  <c r="N119" i="38"/>
  <c r="N120" i="38"/>
  <c r="N121" i="38"/>
  <c r="N122" i="38"/>
  <c r="N123" i="38"/>
  <c r="N124" i="38"/>
  <c r="N125" i="38"/>
  <c r="N126" i="38"/>
  <c r="N127" i="38"/>
  <c r="N129" i="38"/>
  <c r="N130" i="38"/>
  <c r="N131" i="38"/>
  <c r="N132" i="38"/>
  <c r="N133" i="38"/>
  <c r="N134" i="38"/>
  <c r="N135" i="38"/>
  <c r="N136" i="38"/>
  <c r="N137" i="38"/>
  <c r="N138" i="38"/>
  <c r="N139" i="38"/>
  <c r="N141" i="38"/>
  <c r="N142" i="38"/>
  <c r="N143" i="38"/>
  <c r="N144" i="38"/>
  <c r="N145" i="38"/>
  <c r="N146" i="38"/>
  <c r="N147" i="38"/>
  <c r="N148" i="38"/>
  <c r="N149" i="38"/>
  <c r="N150" i="38"/>
  <c r="N151" i="38"/>
  <c r="N153" i="38"/>
  <c r="N154" i="38"/>
  <c r="N155" i="38"/>
  <c r="N156" i="38"/>
  <c r="N157" i="38"/>
  <c r="N158" i="38"/>
  <c r="N159" i="38"/>
  <c r="N160" i="38"/>
  <c r="N161" i="38"/>
  <c r="N162" i="38"/>
  <c r="N163" i="38"/>
  <c r="N165" i="38"/>
  <c r="N166" i="38"/>
  <c r="N167" i="38"/>
  <c r="N168" i="38"/>
  <c r="N169" i="38"/>
  <c r="N170" i="38"/>
  <c r="N171" i="38"/>
  <c r="N172" i="38"/>
  <c r="N173" i="38"/>
  <c r="N174" i="38"/>
  <c r="N175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8" i="38"/>
  <c r="Z257" i="38" l="1"/>
  <c r="Z255" i="38"/>
  <c r="Z251" i="38"/>
  <c r="Z239" i="38"/>
  <c r="Z219" i="38"/>
  <c r="Z191" i="38"/>
  <c r="Z247" i="38"/>
  <c r="Z235" i="38"/>
  <c r="Z227" i="38"/>
  <c r="Z215" i="38"/>
  <c r="Z203" i="38"/>
  <c r="Z199" i="38"/>
  <c r="Z243" i="38"/>
  <c r="Z231" i="38"/>
  <c r="Z223" i="38"/>
  <c r="Z211" i="38"/>
  <c r="Z207" i="38"/>
  <c r="Z195" i="38"/>
  <c r="Z259" i="38"/>
  <c r="Z258" i="38"/>
  <c r="Z254" i="38"/>
  <c r="Z250" i="38"/>
  <c r="Z246" i="38"/>
  <c r="Z242" i="38"/>
  <c r="Z238" i="38"/>
  <c r="Z234" i="38"/>
  <c r="Z230" i="38"/>
  <c r="Z226" i="38"/>
  <c r="Z222" i="38"/>
  <c r="Z218" i="38"/>
  <c r="Z214" i="38"/>
  <c r="Z210" i="38"/>
  <c r="Z206" i="38"/>
  <c r="Z202" i="38"/>
  <c r="Z198" i="38"/>
  <c r="Z194" i="38"/>
  <c r="Z190" i="38"/>
  <c r="Z253" i="38"/>
  <c r="Z249" i="38"/>
  <c r="Z245" i="38"/>
  <c r="Z241" i="38"/>
  <c r="Z237" i="38"/>
  <c r="Z233" i="38"/>
  <c r="Z229" i="38"/>
  <c r="Z225" i="38"/>
  <c r="Z221" i="38"/>
  <c r="Z217" i="38"/>
  <c r="Z213" i="38"/>
  <c r="Z209" i="38"/>
  <c r="Z205" i="38"/>
  <c r="Z201" i="38"/>
  <c r="Z197" i="38"/>
  <c r="Z193" i="38"/>
  <c r="Z189" i="38"/>
  <c r="Z256" i="38"/>
  <c r="Z252" i="38"/>
  <c r="Z248" i="38"/>
  <c r="Z244" i="38"/>
  <c r="Z240" i="38"/>
  <c r="Z236" i="38"/>
  <c r="Z232" i="38"/>
  <c r="Z228" i="38"/>
  <c r="Z224" i="38"/>
  <c r="Z220" i="38"/>
  <c r="Z216" i="38"/>
  <c r="Z212" i="38"/>
  <c r="Z208" i="38"/>
  <c r="Z204" i="38"/>
  <c r="Z200" i="38"/>
  <c r="Z196" i="38"/>
  <c r="Z192" i="38"/>
  <c r="Z11" i="38"/>
  <c r="Z15" i="38"/>
  <c r="Z19" i="38"/>
  <c r="Z23" i="38"/>
  <c r="Z27" i="38"/>
  <c r="Z31" i="38"/>
  <c r="Z35" i="38"/>
  <c r="Z39" i="38"/>
  <c r="Z43" i="38"/>
  <c r="Z47" i="38"/>
  <c r="Z51" i="38"/>
  <c r="Z55" i="38"/>
  <c r="Z59" i="38"/>
  <c r="Z63" i="38"/>
  <c r="Z67" i="38"/>
  <c r="Z71" i="38"/>
  <c r="Z75" i="38"/>
  <c r="Z79" i="38"/>
  <c r="Z83" i="38"/>
  <c r="Z87" i="38"/>
  <c r="Z91" i="38"/>
  <c r="Z95" i="38"/>
  <c r="Z99" i="38"/>
  <c r="Z103" i="38"/>
  <c r="Z107" i="38"/>
  <c r="Z111" i="38"/>
  <c r="Z115" i="38"/>
  <c r="Z119" i="38"/>
  <c r="Z123" i="38"/>
  <c r="Z127" i="38"/>
  <c r="Z131" i="38"/>
  <c r="Z135" i="38"/>
  <c r="Z139" i="38"/>
  <c r="Z143" i="38"/>
  <c r="Z147" i="38"/>
  <c r="Z151" i="38"/>
  <c r="Z155" i="38"/>
  <c r="Z159" i="38"/>
  <c r="Z163" i="38"/>
  <c r="Z167" i="38"/>
  <c r="Z171" i="38"/>
  <c r="Z175" i="38"/>
  <c r="Z179" i="38"/>
  <c r="Z183" i="38"/>
  <c r="Z187" i="38"/>
  <c r="Z12" i="38"/>
  <c r="Z16" i="38"/>
  <c r="Z20" i="38"/>
  <c r="Z10" i="38"/>
  <c r="Z18" i="38"/>
  <c r="Z25" i="38"/>
  <c r="Z30" i="38"/>
  <c r="Z36" i="38"/>
  <c r="Z41" i="38"/>
  <c r="Z46" i="38"/>
  <c r="Z52" i="38"/>
  <c r="Z57" i="38"/>
  <c r="Z62" i="38"/>
  <c r="Z68" i="38"/>
  <c r="Z73" i="38"/>
  <c r="Z78" i="38"/>
  <c r="Z84" i="38"/>
  <c r="Z89" i="38"/>
  <c r="Z94" i="38"/>
  <c r="Z100" i="38"/>
  <c r="Z105" i="38"/>
  <c r="Z110" i="38"/>
  <c r="Z116" i="38"/>
  <c r="Z121" i="38"/>
  <c r="Z126" i="38"/>
  <c r="Z132" i="38"/>
  <c r="Z137" i="38"/>
  <c r="Z142" i="38"/>
  <c r="Z148" i="38"/>
  <c r="Z153" i="38"/>
  <c r="Z158" i="38"/>
  <c r="Z164" i="38"/>
  <c r="Z169" i="38"/>
  <c r="Z174" i="38"/>
  <c r="Z180" i="38"/>
  <c r="Z185" i="38"/>
  <c r="Z8" i="38"/>
  <c r="Z22" i="38"/>
  <c r="Z33" i="38"/>
  <c r="Z44" i="38"/>
  <c r="Z54" i="38"/>
  <c r="Z60" i="38"/>
  <c r="Z76" i="38"/>
  <c r="Z86" i="38"/>
  <c r="Z97" i="38"/>
  <c r="Z108" i="38"/>
  <c r="Z113" i="38"/>
  <c r="Z129" i="38"/>
  <c r="Z134" i="38"/>
  <c r="Z150" i="38"/>
  <c r="Z156" i="38"/>
  <c r="Z172" i="38"/>
  <c r="Z177" i="38"/>
  <c r="Z17" i="38"/>
  <c r="Z29" i="38"/>
  <c r="Z34" i="38"/>
  <c r="Z45" i="38"/>
  <c r="Z61" i="38"/>
  <c r="Z72" i="38"/>
  <c r="Z13" i="38"/>
  <c r="Z21" i="38"/>
  <c r="Z26" i="38"/>
  <c r="Z32" i="38"/>
  <c r="Z37" i="38"/>
  <c r="Z42" i="38"/>
  <c r="Z48" i="38"/>
  <c r="Z53" i="38"/>
  <c r="Z58" i="38"/>
  <c r="Z64" i="38"/>
  <c r="Z69" i="38"/>
  <c r="Z74" i="38"/>
  <c r="Z80" i="38"/>
  <c r="Z85" i="38"/>
  <c r="Z90" i="38"/>
  <c r="Z96" i="38"/>
  <c r="Z101" i="38"/>
  <c r="Z106" i="38"/>
  <c r="Z112" i="38"/>
  <c r="Z117" i="38"/>
  <c r="Z122" i="38"/>
  <c r="Z128" i="38"/>
  <c r="Z133" i="38"/>
  <c r="Z138" i="38"/>
  <c r="Z144" i="38"/>
  <c r="Z149" i="38"/>
  <c r="Z154" i="38"/>
  <c r="Z160" i="38"/>
  <c r="Z165" i="38"/>
  <c r="Z170" i="38"/>
  <c r="Z176" i="38"/>
  <c r="Z181" i="38"/>
  <c r="Z186" i="38"/>
  <c r="Z14" i="38"/>
  <c r="Z28" i="38"/>
  <c r="Z38" i="38"/>
  <c r="Z49" i="38"/>
  <c r="Z65" i="38"/>
  <c r="Z70" i="38"/>
  <c r="Z81" i="38"/>
  <c r="Z92" i="38"/>
  <c r="Z102" i="38"/>
  <c r="Z118" i="38"/>
  <c r="Z124" i="38"/>
  <c r="Z140" i="38"/>
  <c r="Z145" i="38"/>
  <c r="Z161" i="38"/>
  <c r="Z166" i="38"/>
  <c r="Z182" i="38"/>
  <c r="Z188" i="38"/>
  <c r="Z9" i="38"/>
  <c r="Z24" i="38"/>
  <c r="Z40" i="38"/>
  <c r="Z50" i="38"/>
  <c r="Z56" i="38"/>
  <c r="Z88" i="38"/>
  <c r="Z66" i="38"/>
  <c r="Z93" i="38"/>
  <c r="Z114" i="38"/>
  <c r="Z136" i="38"/>
  <c r="Z157" i="38"/>
  <c r="Z178" i="38"/>
  <c r="Z77" i="38"/>
  <c r="Z98" i="38"/>
  <c r="Z120" i="38"/>
  <c r="Z141" i="38"/>
  <c r="Z162" i="38"/>
  <c r="Z82" i="38"/>
  <c r="Z104" i="38"/>
  <c r="Z125" i="38"/>
  <c r="Z146" i="38"/>
  <c r="Z168" i="38"/>
  <c r="Z109" i="38"/>
  <c r="Z130" i="38"/>
  <c r="Z152" i="38"/>
  <c r="Z173" i="38"/>
  <c r="Z184" i="38"/>
  <c r="S8" i="38"/>
  <c r="S9" i="38"/>
  <c r="S10" i="38"/>
  <c r="S11" i="38"/>
  <c r="S12" i="38"/>
  <c r="S13" i="38"/>
  <c r="S14" i="38"/>
  <c r="S15" i="38"/>
  <c r="S16" i="38"/>
  <c r="S17" i="38"/>
  <c r="S18" i="38"/>
  <c r="S20" i="38"/>
  <c r="S21" i="38"/>
  <c r="S22" i="38"/>
  <c r="S23" i="38"/>
  <c r="S24" i="38"/>
  <c r="S25" i="38"/>
  <c r="S26" i="38"/>
  <c r="S27" i="38"/>
  <c r="S28" i="38"/>
  <c r="S29" i="38"/>
  <c r="S30" i="38"/>
  <c r="S32" i="38"/>
  <c r="S33" i="38"/>
  <c r="S34" i="38"/>
  <c r="S35" i="38"/>
  <c r="S36" i="38"/>
  <c r="S37" i="38"/>
  <c r="S38" i="38"/>
  <c r="S39" i="38"/>
  <c r="S40" i="38"/>
  <c r="S41" i="38"/>
  <c r="S42" i="38"/>
  <c r="S44" i="38"/>
  <c r="S45" i="38"/>
  <c r="S46" i="38"/>
  <c r="S47" i="38"/>
  <c r="S48" i="38"/>
  <c r="S49" i="38"/>
  <c r="S50" i="38"/>
  <c r="S51" i="38"/>
  <c r="S52" i="38"/>
  <c r="S53" i="38"/>
  <c r="S54" i="38"/>
  <c r="S56" i="38"/>
  <c r="S57" i="38"/>
  <c r="S58" i="38"/>
  <c r="S59" i="38"/>
  <c r="S60" i="38"/>
  <c r="S61" i="38"/>
  <c r="S62" i="38"/>
  <c r="S63" i="38"/>
  <c r="S64" i="38"/>
  <c r="S65" i="38"/>
  <c r="S66" i="38"/>
  <c r="S68" i="38"/>
  <c r="S69" i="38"/>
  <c r="S70" i="38"/>
  <c r="S71" i="38"/>
  <c r="S72" i="38"/>
  <c r="S73" i="38"/>
  <c r="S74" i="38"/>
  <c r="S75" i="38"/>
  <c r="S76" i="38"/>
  <c r="S77" i="38"/>
  <c r="S78" i="38"/>
  <c r="S80" i="38"/>
  <c r="S81" i="38"/>
  <c r="S82" i="38"/>
  <c r="S83" i="38"/>
  <c r="S84" i="38"/>
  <c r="S85" i="38"/>
  <c r="S86" i="38"/>
  <c r="S87" i="38"/>
  <c r="S88" i="38"/>
  <c r="S89" i="38"/>
  <c r="S90" i="38"/>
  <c r="S92" i="38"/>
  <c r="S93" i="38"/>
  <c r="S94" i="38"/>
  <c r="S95" i="38"/>
  <c r="S96" i="38"/>
  <c r="S97" i="38"/>
  <c r="S98" i="38"/>
  <c r="S99" i="38"/>
  <c r="S100" i="38"/>
  <c r="S101" i="38"/>
  <c r="S102" i="38"/>
  <c r="S104" i="38"/>
  <c r="S105" i="38"/>
  <c r="S106" i="38"/>
  <c r="S107" i="38"/>
  <c r="S108" i="38"/>
  <c r="S109" i="38"/>
  <c r="S110" i="38"/>
  <c r="S111" i="38"/>
  <c r="S112" i="38"/>
  <c r="S113" i="38"/>
  <c r="S114" i="38"/>
  <c r="S116" i="38"/>
  <c r="S117" i="38"/>
  <c r="S118" i="38"/>
  <c r="S119" i="38"/>
  <c r="S120" i="38"/>
  <c r="S121" i="38"/>
  <c r="S122" i="38"/>
  <c r="S123" i="38"/>
  <c r="S124" i="38"/>
  <c r="S125" i="38"/>
  <c r="S126" i="38"/>
  <c r="S128" i="38"/>
  <c r="S129" i="38"/>
  <c r="S130" i="38"/>
  <c r="S131" i="38"/>
  <c r="S132" i="38"/>
  <c r="S133" i="38"/>
  <c r="S134" i="38"/>
  <c r="S135" i="38"/>
  <c r="S136" i="38"/>
  <c r="S137" i="38"/>
  <c r="S138" i="38"/>
  <c r="S140" i="38"/>
  <c r="S141" i="38"/>
  <c r="S142" i="38"/>
  <c r="S143" i="38"/>
  <c r="S144" i="38"/>
  <c r="S145" i="38"/>
  <c r="S146" i="38"/>
  <c r="S147" i="38"/>
  <c r="S148" i="38"/>
  <c r="S149" i="38"/>
  <c r="S150" i="38"/>
  <c r="S152" i="38"/>
  <c r="S153" i="38"/>
  <c r="S154" i="38"/>
  <c r="S155" i="38"/>
  <c r="S156" i="38"/>
  <c r="S157" i="38"/>
  <c r="S158" i="38"/>
  <c r="S159" i="38"/>
  <c r="S160" i="38"/>
  <c r="S161" i="38"/>
  <c r="S162" i="38"/>
  <c r="S164" i="38"/>
  <c r="S165" i="38"/>
  <c r="S166" i="38"/>
  <c r="S167" i="38"/>
  <c r="S168" i="38"/>
  <c r="S169" i="38"/>
  <c r="S170" i="38"/>
  <c r="S171" i="38"/>
  <c r="S172" i="38"/>
  <c r="S173" i="38"/>
  <c r="S174" i="38"/>
  <c r="S176" i="38"/>
  <c r="S177" i="38"/>
  <c r="S178" i="38"/>
  <c r="S179" i="38"/>
  <c r="S180" i="38"/>
  <c r="S181" i="38"/>
  <c r="S182" i="38"/>
  <c r="S183" i="38"/>
  <c r="S184" i="38"/>
  <c r="S185" i="38"/>
  <c r="S186" i="38"/>
  <c r="S188" i="38"/>
  <c r="S189" i="38"/>
  <c r="S190" i="38"/>
  <c r="S191" i="38"/>
  <c r="S192" i="38"/>
  <c r="S193" i="38"/>
  <c r="S194" i="38"/>
  <c r="S195" i="38"/>
  <c r="S196" i="38"/>
  <c r="S197" i="38"/>
  <c r="S198" i="38"/>
  <c r="S200" i="38"/>
  <c r="S201" i="38"/>
  <c r="S202" i="38"/>
  <c r="S203" i="38"/>
  <c r="S204" i="38"/>
  <c r="S205" i="38"/>
  <c r="S206" i="38"/>
  <c r="S207" i="38"/>
  <c r="S208" i="38"/>
  <c r="S209" i="38"/>
  <c r="S210" i="38"/>
  <c r="S212" i="38"/>
  <c r="S213" i="38"/>
  <c r="S214" i="38"/>
  <c r="S215" i="38"/>
  <c r="S216" i="38"/>
  <c r="S217" i="38"/>
  <c r="S218" i="38"/>
  <c r="S219" i="38"/>
  <c r="S220" i="38"/>
  <c r="S221" i="38"/>
  <c r="S222" i="38"/>
  <c r="S224" i="38"/>
  <c r="S225" i="38"/>
  <c r="S226" i="38"/>
  <c r="S227" i="38"/>
  <c r="S228" i="38"/>
  <c r="S229" i="38"/>
  <c r="S230" i="38"/>
  <c r="S231" i="38"/>
  <c r="S232" i="38"/>
  <c r="S233" i="38"/>
  <c r="S234" i="38"/>
  <c r="S236" i="38"/>
  <c r="S237" i="38"/>
  <c r="S238" i="38"/>
  <c r="S239" i="38"/>
  <c r="S240" i="38"/>
  <c r="S241" i="38"/>
  <c r="S242" i="38"/>
  <c r="S243" i="38"/>
  <c r="S244" i="38"/>
  <c r="S245" i="38"/>
  <c r="S246" i="38"/>
  <c r="S248" i="38"/>
  <c r="S249" i="38"/>
  <c r="S250" i="38"/>
  <c r="S251" i="38"/>
  <c r="S252" i="38"/>
  <c r="S253" i="38"/>
  <c r="S254" i="38"/>
  <c r="S255" i="38"/>
  <c r="S256" i="38"/>
  <c r="S257" i="38"/>
  <c r="S258" i="38"/>
  <c r="K8" i="38"/>
  <c r="I9" i="38" s="1"/>
  <c r="K9" i="38"/>
  <c r="J8" i="38"/>
  <c r="I8" i="38"/>
  <c r="J9" i="38" l="1"/>
  <c r="I10" i="38" s="1"/>
  <c r="K10" i="38"/>
  <c r="J10" i="38" l="1"/>
  <c r="I11" i="38" s="1"/>
  <c r="K11" i="38"/>
  <c r="D17" i="1"/>
  <c r="W8" i="38" l="1"/>
  <c r="Y8" i="38"/>
  <c r="Y9" i="38"/>
  <c r="J11" i="38"/>
  <c r="I12" i="38" s="1"/>
  <c r="K12" i="38"/>
  <c r="Y10" i="38" l="1"/>
  <c r="K13" i="38"/>
  <c r="J12" i="38"/>
  <c r="I13" i="38" s="1"/>
  <c r="Y11" i="38" l="1"/>
  <c r="J13" i="38"/>
  <c r="I14" i="38" s="1"/>
  <c r="K14" i="38"/>
  <c r="Y12" i="38" l="1"/>
  <c r="J14" i="38"/>
  <c r="I15" i="38" s="1"/>
  <c r="K15" i="38"/>
  <c r="Y13" i="38" l="1"/>
  <c r="J15" i="38"/>
  <c r="I16" i="38" s="1"/>
  <c r="K16" i="38"/>
  <c r="Y14" i="38" l="1"/>
  <c r="J16" i="38"/>
  <c r="I17" i="38" s="1"/>
  <c r="K17" i="38"/>
  <c r="Y15" i="38" l="1"/>
  <c r="K18" i="38"/>
  <c r="J17" i="38"/>
  <c r="I18" i="38" s="1"/>
  <c r="Y16" i="38" l="1"/>
  <c r="J18" i="38"/>
  <c r="I19" i="38" s="1"/>
  <c r="K19" i="38"/>
  <c r="Y17" i="38" l="1"/>
  <c r="J19" i="38"/>
  <c r="I20" i="38" s="1"/>
  <c r="N20" i="38" s="1"/>
  <c r="K20" i="38"/>
  <c r="X20" i="38" l="1"/>
  <c r="Y18" i="38"/>
  <c r="K21" i="38"/>
  <c r="J20" i="38"/>
  <c r="I21" i="38" s="1"/>
  <c r="Y19" i="38" l="1"/>
  <c r="J21" i="38"/>
  <c r="I22" i="38" s="1"/>
  <c r="K22" i="38"/>
  <c r="J22" i="38" l="1"/>
  <c r="I23" i="38" s="1"/>
  <c r="K23" i="38"/>
  <c r="Y21" i="38" l="1"/>
  <c r="J23" i="38"/>
  <c r="I24" i="38" s="1"/>
  <c r="K24" i="38"/>
  <c r="Y22" i="38" l="1"/>
  <c r="J24" i="38"/>
  <c r="I25" i="38" s="1"/>
  <c r="K25" i="38"/>
  <c r="Y23" i="38" l="1"/>
  <c r="K26" i="38"/>
  <c r="J25" i="38"/>
  <c r="I26" i="38" s="1"/>
  <c r="Y24" i="38" l="1"/>
  <c r="J26" i="38"/>
  <c r="I27" i="38" s="1"/>
  <c r="K27" i="38"/>
  <c r="Y25" i="38" l="1"/>
  <c r="J27" i="38"/>
  <c r="I28" i="38" s="1"/>
  <c r="K28" i="38"/>
  <c r="Y26" i="38" l="1"/>
  <c r="K29" i="38"/>
  <c r="J28" i="38"/>
  <c r="I29" i="38" s="1"/>
  <c r="Y27" i="38" l="1"/>
  <c r="J29" i="38"/>
  <c r="I30" i="38" s="1"/>
  <c r="K30" i="38"/>
  <c r="Y28" i="38" l="1"/>
  <c r="J30" i="38"/>
  <c r="I31" i="38" s="1"/>
  <c r="K31" i="38"/>
  <c r="Y29" i="38" l="1"/>
  <c r="J31" i="38"/>
  <c r="I32" i="38" s="1"/>
  <c r="N32" i="38" s="1"/>
  <c r="K32" i="38"/>
  <c r="X32" i="38" l="1"/>
  <c r="Y30" i="38"/>
  <c r="J32" i="38"/>
  <c r="I33" i="38" s="1"/>
  <c r="K33" i="38"/>
  <c r="Y31" i="38" l="1"/>
  <c r="K34" i="38"/>
  <c r="J33" i="38"/>
  <c r="I34" i="38" s="1"/>
  <c r="J34" i="38" l="1"/>
  <c r="I35" i="38" s="1"/>
  <c r="K35" i="38"/>
  <c r="Y33" i="38" l="1"/>
  <c r="J35" i="38"/>
  <c r="I36" i="38" s="1"/>
  <c r="K36" i="38"/>
  <c r="Y34" i="38" l="1"/>
  <c r="J36" i="38"/>
  <c r="I37" i="38" s="1"/>
  <c r="K37" i="38"/>
  <c r="Y35" i="38" l="1"/>
  <c r="J37" i="38"/>
  <c r="I38" i="38" s="1"/>
  <c r="K38" i="38"/>
  <c r="Y36" i="38" l="1"/>
  <c r="J38" i="38"/>
  <c r="I39" i="38" s="1"/>
  <c r="K39" i="38"/>
  <c r="Y37" i="38" l="1"/>
  <c r="J39" i="38"/>
  <c r="I40" i="38" s="1"/>
  <c r="K40" i="38"/>
  <c r="Y38" i="38" l="1"/>
  <c r="K41" i="38"/>
  <c r="J40" i="38"/>
  <c r="I41" i="38" s="1"/>
  <c r="Y39" i="38" l="1"/>
  <c r="J41" i="38"/>
  <c r="I42" i="38" s="1"/>
  <c r="K42" i="38"/>
  <c r="Y40" i="38" l="1"/>
  <c r="K43" i="38"/>
  <c r="J42" i="38"/>
  <c r="I43" i="38" s="1"/>
  <c r="O8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O3" i="38" l="1"/>
  <c r="Y41" i="38"/>
  <c r="J43" i="38"/>
  <c r="I44" i="38" s="1"/>
  <c r="N44" i="38" s="1"/>
  <c r="K44" i="38"/>
  <c r="X44" i="38" l="1"/>
  <c r="Y42" i="38"/>
  <c r="J44" i="38"/>
  <c r="I45" i="38" s="1"/>
  <c r="K45" i="38"/>
  <c r="Y20" i="38"/>
  <c r="Y43" i="38" l="1"/>
  <c r="J45" i="38"/>
  <c r="I46" i="38" s="1"/>
  <c r="K46" i="38"/>
  <c r="K47" i="38" l="1"/>
  <c r="J46" i="38"/>
  <c r="I47" i="38" s="1"/>
  <c r="Y45" i="38" l="1"/>
  <c r="J47" i="38"/>
  <c r="I48" i="38" s="1"/>
  <c r="K48" i="38"/>
  <c r="Y46" i="38" l="1"/>
  <c r="J48" i="38"/>
  <c r="I49" i="38" s="1"/>
  <c r="K49" i="38"/>
  <c r="Y47" i="38" l="1"/>
  <c r="K50" i="38"/>
  <c r="J49" i="38"/>
  <c r="I50" i="38" s="1"/>
  <c r="Y48" i="38" l="1"/>
  <c r="J50" i="38"/>
  <c r="I51" i="38" s="1"/>
  <c r="K51" i="38"/>
  <c r="Y49" i="38" l="1"/>
  <c r="J51" i="38"/>
  <c r="I52" i="38" s="1"/>
  <c r="K52" i="38"/>
  <c r="Y50" i="38" l="1"/>
  <c r="J52" i="38"/>
  <c r="I53" i="38" s="1"/>
  <c r="K53" i="38"/>
  <c r="Y51" i="38" l="1"/>
  <c r="K54" i="38"/>
  <c r="J53" i="38"/>
  <c r="I54" i="38" s="1"/>
  <c r="Y52" i="38" l="1"/>
  <c r="J54" i="38"/>
  <c r="I55" i="38" s="1"/>
  <c r="K55" i="38"/>
  <c r="Y53" i="38" l="1"/>
  <c r="J55" i="38"/>
  <c r="I56" i="38" s="1"/>
  <c r="N56" i="38" s="1"/>
  <c r="K56" i="38"/>
  <c r="X56" i="38" l="1"/>
  <c r="Y54" i="38"/>
  <c r="K57" i="38"/>
  <c r="J56" i="38"/>
  <c r="I57" i="38" s="1"/>
  <c r="Y55" i="38" l="1"/>
  <c r="J57" i="38"/>
  <c r="I58" i="38" s="1"/>
  <c r="K58" i="38"/>
  <c r="K59" i="38" l="1"/>
  <c r="J58" i="38"/>
  <c r="I59" i="38" s="1"/>
  <c r="Y57" i="38" l="1"/>
  <c r="J59" i="38"/>
  <c r="I60" i="38" s="1"/>
  <c r="K60" i="38"/>
  <c r="Y58" i="38" l="1"/>
  <c r="J60" i="38"/>
  <c r="I61" i="38" s="1"/>
  <c r="K61" i="38"/>
  <c r="Y59" i="38" l="1"/>
  <c r="J61" i="38"/>
  <c r="I62" i="38" s="1"/>
  <c r="K62" i="38"/>
  <c r="Y60" i="38" l="1"/>
  <c r="J62" i="38"/>
  <c r="I63" i="38" s="1"/>
  <c r="K63" i="38"/>
  <c r="Y61" i="38" l="1"/>
  <c r="J63" i="38"/>
  <c r="I64" i="38" s="1"/>
  <c r="K64" i="38"/>
  <c r="Y62" i="38" l="1"/>
  <c r="J64" i="38"/>
  <c r="I65" i="38" s="1"/>
  <c r="K65" i="38"/>
  <c r="Y32" i="38"/>
  <c r="Y63" i="38" l="1"/>
  <c r="K66" i="38"/>
  <c r="J65" i="38"/>
  <c r="I66" i="38" s="1"/>
  <c r="Y64" i="38" l="1"/>
  <c r="J66" i="38"/>
  <c r="I67" i="38" s="1"/>
  <c r="K67" i="38"/>
  <c r="Y65" i="38" l="1"/>
  <c r="J67" i="38"/>
  <c r="I68" i="38" s="1"/>
  <c r="N68" i="38" s="1"/>
  <c r="X68" i="38" s="1"/>
  <c r="K68" i="38"/>
  <c r="Y66" i="38" l="1"/>
  <c r="J68" i="38"/>
  <c r="I69" i="38" s="1"/>
  <c r="K69" i="38"/>
  <c r="Y67" i="38" l="1"/>
  <c r="J69" i="38"/>
  <c r="I70" i="38" s="1"/>
  <c r="K70" i="38"/>
  <c r="J70" i="38" l="1"/>
  <c r="I71" i="38" s="1"/>
  <c r="K71" i="38"/>
  <c r="Y69" i="38" l="1"/>
  <c r="J71" i="38"/>
  <c r="I72" i="38" s="1"/>
  <c r="K72" i="38"/>
  <c r="Y70" i="38" l="1"/>
  <c r="K73" i="38"/>
  <c r="J72" i="38"/>
  <c r="I73" i="38" s="1"/>
  <c r="Y71" i="38" l="1"/>
  <c r="J73" i="38"/>
  <c r="I74" i="38" s="1"/>
  <c r="K74" i="38"/>
  <c r="Y72" i="38" l="1"/>
  <c r="K75" i="38"/>
  <c r="J74" i="38"/>
  <c r="I75" i="38" s="1"/>
  <c r="Y73" i="38" l="1"/>
  <c r="J75" i="38"/>
  <c r="I76" i="38" s="1"/>
  <c r="K76" i="38"/>
  <c r="D23" i="1"/>
  <c r="D24" i="1"/>
  <c r="D25" i="1"/>
  <c r="D26" i="1"/>
  <c r="D27" i="1"/>
  <c r="D28" i="1"/>
  <c r="D29" i="1"/>
  <c r="D30" i="1"/>
  <c r="D31" i="1"/>
  <c r="D32" i="1"/>
  <c r="D33" i="1"/>
  <c r="D22" i="1"/>
  <c r="Y74" i="38" l="1"/>
  <c r="J76" i="38"/>
  <c r="I77" i="38" s="1"/>
  <c r="K77" i="38"/>
  <c r="C10" i="35"/>
  <c r="D13" i="35" a="1"/>
  <c r="D13" i="35" s="1"/>
  <c r="E14" i="35" a="1"/>
  <c r="G14" i="35" s="1"/>
  <c r="F15" i="35" a="1"/>
  <c r="F15" i="35" s="1"/>
  <c r="G15" i="35"/>
  <c r="G16" i="35"/>
  <c r="Y75" i="38" l="1"/>
  <c r="J77" i="38"/>
  <c r="I78" i="38" s="1"/>
  <c r="K78" i="38"/>
  <c r="F14" i="35"/>
  <c r="F13" i="35"/>
  <c r="E14" i="35"/>
  <c r="E13" i="35"/>
  <c r="D9" i="35" s="1" a="1"/>
  <c r="D9" i="35" s="1"/>
  <c r="G13" i="35"/>
  <c r="Y76" i="38" l="1"/>
  <c r="J78" i="38"/>
  <c r="I79" i="38" s="1"/>
  <c r="K79" i="38"/>
  <c r="F8" i="35"/>
  <c r="F7" i="35"/>
  <c r="F6" i="35"/>
  <c r="F5" i="35"/>
  <c r="F4" i="35"/>
  <c r="E9" i="35"/>
  <c r="C9" i="35"/>
  <c r="Y77" i="38" l="1"/>
  <c r="J79" i="38"/>
  <c r="I80" i="38" s="1"/>
  <c r="N80" i="38" s="1"/>
  <c r="X80" i="38" s="1"/>
  <c r="K80" i="38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Y78" i="38" l="1"/>
  <c r="J80" i="38"/>
  <c r="I81" i="38" s="1"/>
  <c r="K81" i="38"/>
  <c r="C26" i="1"/>
  <c r="C4" i="38"/>
  <c r="B10" i="38"/>
  <c r="E8" i="38"/>
  <c r="E9" i="38"/>
  <c r="E10" i="38"/>
  <c r="Y79" i="38" l="1"/>
  <c r="K82" i="38"/>
  <c r="J81" i="38"/>
  <c r="I82" i="38" s="1"/>
  <c r="B11" i="38"/>
  <c r="C8" i="38"/>
  <c r="D8" i="38" s="1"/>
  <c r="C11" i="38"/>
  <c r="D11" i="38" s="1"/>
  <c r="C9" i="38"/>
  <c r="D9" i="38" s="1"/>
  <c r="C10" i="38"/>
  <c r="D10" i="38" s="1"/>
  <c r="C27" i="1"/>
  <c r="J82" i="38" l="1"/>
  <c r="I83" i="38" s="1"/>
  <c r="K83" i="38"/>
  <c r="C28" i="1"/>
  <c r="B12" i="38"/>
  <c r="E11" i="38"/>
  <c r="Y81" i="38" l="1"/>
  <c r="J83" i="38"/>
  <c r="I84" i="38" s="1"/>
  <c r="K84" i="38"/>
  <c r="Y44" i="38"/>
  <c r="C29" i="1"/>
  <c r="B13" i="38"/>
  <c r="E12" i="38"/>
  <c r="C12" i="38"/>
  <c r="D12" i="38" s="1"/>
  <c r="Y82" i="38" l="1"/>
  <c r="J84" i="38"/>
  <c r="I85" i="38" s="1"/>
  <c r="K85" i="38"/>
  <c r="B14" i="38"/>
  <c r="E13" i="38"/>
  <c r="C13" i="38"/>
  <c r="D13" i="38" s="1"/>
  <c r="C30" i="1"/>
  <c r="Y83" i="38" l="1"/>
  <c r="K86" i="38"/>
  <c r="J85" i="38"/>
  <c r="I86" i="38" s="1"/>
  <c r="W3" i="38"/>
  <c r="C31" i="1"/>
  <c r="B15" i="38"/>
  <c r="E14" i="38"/>
  <c r="C14" i="38"/>
  <c r="D14" i="38" s="1"/>
  <c r="Y84" i="38" l="1"/>
  <c r="J86" i="38"/>
  <c r="I87" i="38" s="1"/>
  <c r="K87" i="38"/>
  <c r="B16" i="38"/>
  <c r="E15" i="38"/>
  <c r="C15" i="38"/>
  <c r="D15" i="38" s="1"/>
  <c r="C32" i="1"/>
  <c r="Y85" i="38" l="1"/>
  <c r="J87" i="38"/>
  <c r="I88" i="38" s="1"/>
  <c r="K88" i="38"/>
  <c r="C33" i="1"/>
  <c r="B17" i="38"/>
  <c r="E16" i="38"/>
  <c r="C16" i="38"/>
  <c r="D16" i="38" s="1"/>
  <c r="Y86" i="38" l="1"/>
  <c r="K89" i="38"/>
  <c r="J88" i="38"/>
  <c r="I89" i="38" s="1"/>
  <c r="B18" i="38"/>
  <c r="E17" i="38"/>
  <c r="C17" i="38"/>
  <c r="D17" i="38" s="1"/>
  <c r="Y87" i="38" l="1"/>
  <c r="J89" i="38"/>
  <c r="I90" i="38" s="1"/>
  <c r="K90" i="38"/>
  <c r="B19" i="38"/>
  <c r="E18" i="38"/>
  <c r="C18" i="38"/>
  <c r="D18" i="38" s="1"/>
  <c r="Y88" i="38" l="1"/>
  <c r="K91" i="38"/>
  <c r="J90" i="38"/>
  <c r="I91" i="38" s="1"/>
  <c r="B20" i="38"/>
  <c r="E19" i="38"/>
  <c r="C19" i="38"/>
  <c r="D19" i="38" s="1"/>
  <c r="Y89" i="38" l="1"/>
  <c r="J91" i="38"/>
  <c r="I92" i="38" s="1"/>
  <c r="N92" i="38" s="1"/>
  <c r="X92" i="38" s="1"/>
  <c r="K92" i="38"/>
  <c r="B21" i="38"/>
  <c r="E20" i="38"/>
  <c r="C20" i="38"/>
  <c r="D20" i="38" s="1"/>
  <c r="Y90" i="38" l="1"/>
  <c r="J92" i="38"/>
  <c r="I93" i="38" s="1"/>
  <c r="K93" i="38"/>
  <c r="B22" i="38"/>
  <c r="E21" i="38"/>
  <c r="C21" i="38"/>
  <c r="D21" i="38" s="1"/>
  <c r="Y91" i="38" l="1"/>
  <c r="J93" i="38"/>
  <c r="I94" i="38" s="1"/>
  <c r="K94" i="38"/>
  <c r="B23" i="38"/>
  <c r="E22" i="38"/>
  <c r="C22" i="38"/>
  <c r="D22" i="38" s="1"/>
  <c r="J94" i="38" l="1"/>
  <c r="I95" i="38" s="1"/>
  <c r="K95" i="38"/>
  <c r="B24" i="38"/>
  <c r="E23" i="38"/>
  <c r="C23" i="38"/>
  <c r="D23" i="38" s="1"/>
  <c r="Y93" i="38" l="1"/>
  <c r="J95" i="38"/>
  <c r="I96" i="38" s="1"/>
  <c r="K96" i="38"/>
  <c r="B25" i="38"/>
  <c r="E24" i="38"/>
  <c r="C24" i="38"/>
  <c r="D24" i="38" s="1"/>
  <c r="Y94" i="38" l="1"/>
  <c r="J96" i="38"/>
  <c r="I97" i="38" s="1"/>
  <c r="K97" i="38"/>
  <c r="B26" i="38"/>
  <c r="E25" i="38"/>
  <c r="C25" i="38"/>
  <c r="D25" i="38" s="1"/>
  <c r="Y95" i="38" l="1"/>
  <c r="K98" i="38"/>
  <c r="J97" i="38"/>
  <c r="I98" i="38" s="1"/>
  <c r="B27" i="38"/>
  <c r="E26" i="38"/>
  <c r="C26" i="38"/>
  <c r="D26" i="38" s="1"/>
  <c r="Y96" i="38" l="1"/>
  <c r="J98" i="38"/>
  <c r="I99" i="38" s="1"/>
  <c r="K99" i="38"/>
  <c r="B28" i="38"/>
  <c r="E27" i="38"/>
  <c r="C27" i="38"/>
  <c r="D27" i="38" s="1"/>
  <c r="Y97" i="38" l="1"/>
  <c r="J99" i="38"/>
  <c r="I100" i="38" s="1"/>
  <c r="K100" i="38"/>
  <c r="Y56" i="38"/>
  <c r="B29" i="38"/>
  <c r="E28" i="38"/>
  <c r="C28" i="38"/>
  <c r="D28" i="38" s="1"/>
  <c r="Y98" i="38" l="1"/>
  <c r="J100" i="38"/>
  <c r="I101" i="38" s="1"/>
  <c r="K101" i="38"/>
  <c r="B30" i="38"/>
  <c r="E29" i="38"/>
  <c r="C29" i="38"/>
  <c r="D29" i="38" s="1"/>
  <c r="Y99" i="38" l="1"/>
  <c r="J101" i="38"/>
  <c r="I102" i="38" s="1"/>
  <c r="K102" i="38"/>
  <c r="B31" i="38"/>
  <c r="E30" i="38"/>
  <c r="C30" i="38"/>
  <c r="D30" i="38" s="1"/>
  <c r="Y100" i="38" l="1"/>
  <c r="J102" i="38"/>
  <c r="I103" i="38" s="1"/>
  <c r="K103" i="38"/>
  <c r="B32" i="38"/>
  <c r="E31" i="38"/>
  <c r="C31" i="38"/>
  <c r="D31" i="38" s="1"/>
  <c r="Y101" i="38" l="1"/>
  <c r="J103" i="38"/>
  <c r="I104" i="38" s="1"/>
  <c r="N104" i="38" s="1"/>
  <c r="X104" i="38" s="1"/>
  <c r="K104" i="38"/>
  <c r="B33" i="38"/>
  <c r="E32" i="38"/>
  <c r="C32" i="38"/>
  <c r="D32" i="38" s="1"/>
  <c r="Y102" i="38" l="1"/>
  <c r="K105" i="38"/>
  <c r="J104" i="38"/>
  <c r="I105" i="38" s="1"/>
  <c r="B34" i="38"/>
  <c r="E33" i="38"/>
  <c r="C33" i="38"/>
  <c r="D33" i="38" s="1"/>
  <c r="Y103" i="38" l="1"/>
  <c r="J105" i="38"/>
  <c r="I106" i="38" s="1"/>
  <c r="K106" i="38"/>
  <c r="B35" i="38"/>
  <c r="E34" i="38"/>
  <c r="C34" i="38"/>
  <c r="D34" i="38" s="1"/>
  <c r="K107" i="38" l="1"/>
  <c r="J106" i="38"/>
  <c r="I107" i="38" s="1"/>
  <c r="B36" i="38"/>
  <c r="E35" i="38"/>
  <c r="C35" i="38"/>
  <c r="D35" i="38" s="1"/>
  <c r="Y105" i="38" l="1"/>
  <c r="J107" i="38"/>
  <c r="I108" i="38" s="1"/>
  <c r="K108" i="38"/>
  <c r="B37" i="38"/>
  <c r="E36" i="38"/>
  <c r="C36" i="38"/>
  <c r="D36" i="38" s="1"/>
  <c r="Y106" i="38" l="1"/>
  <c r="J108" i="38"/>
  <c r="I109" i="38" s="1"/>
  <c r="K109" i="38"/>
  <c r="B38" i="38"/>
  <c r="E37" i="38"/>
  <c r="C37" i="38"/>
  <c r="D37" i="38" s="1"/>
  <c r="Y107" i="38" l="1"/>
  <c r="J109" i="38"/>
  <c r="I110" i="38" s="1"/>
  <c r="K110" i="38"/>
  <c r="B39" i="38"/>
  <c r="E38" i="38"/>
  <c r="C38" i="38"/>
  <c r="D38" i="38" s="1"/>
  <c r="Y108" i="38" l="1"/>
  <c r="K111" i="38"/>
  <c r="J110" i="38"/>
  <c r="I111" i="38" s="1"/>
  <c r="B40" i="38"/>
  <c r="E39" i="38"/>
  <c r="C39" i="38"/>
  <c r="D39" i="38" s="1"/>
  <c r="Y109" i="38" l="1"/>
  <c r="J111" i="38"/>
  <c r="I112" i="38" s="1"/>
  <c r="K112" i="38"/>
  <c r="B41" i="38"/>
  <c r="E40" i="38"/>
  <c r="C40" i="38"/>
  <c r="D40" i="38" s="1"/>
  <c r="Y110" i="38" l="1"/>
  <c r="J112" i="38"/>
  <c r="I113" i="38" s="1"/>
  <c r="K113" i="38"/>
  <c r="B42" i="38"/>
  <c r="E41" i="38"/>
  <c r="C41" i="38"/>
  <c r="D41" i="38" s="1"/>
  <c r="Y111" i="38" l="1"/>
  <c r="K114" i="38"/>
  <c r="J113" i="38"/>
  <c r="I114" i="38" s="1"/>
  <c r="B43" i="38"/>
  <c r="E42" i="38"/>
  <c r="C42" i="38"/>
  <c r="D42" i="38" s="1"/>
  <c r="Y112" i="38" l="1"/>
  <c r="J114" i="38"/>
  <c r="I115" i="38" s="1"/>
  <c r="K115" i="38"/>
  <c r="B44" i="38"/>
  <c r="E43" i="38"/>
  <c r="C43" i="38"/>
  <c r="D43" i="38" s="1"/>
  <c r="Y113" i="38" l="1"/>
  <c r="J115" i="38"/>
  <c r="I116" i="38" s="1"/>
  <c r="N116" i="38" s="1"/>
  <c r="X116" i="38" s="1"/>
  <c r="K116" i="38"/>
  <c r="B45" i="38"/>
  <c r="E44" i="38"/>
  <c r="C44" i="38"/>
  <c r="D44" i="38" s="1"/>
  <c r="Y114" i="38" l="1"/>
  <c r="J116" i="38"/>
  <c r="I117" i="38" s="1"/>
  <c r="K117" i="38"/>
  <c r="Y68" i="38"/>
  <c r="B46" i="38"/>
  <c r="E45" i="38"/>
  <c r="C45" i="38"/>
  <c r="D45" i="38" s="1"/>
  <c r="Y115" i="38" l="1"/>
  <c r="J117" i="38"/>
  <c r="I118" i="38" s="1"/>
  <c r="K118" i="38"/>
  <c r="B47" i="38"/>
  <c r="E46" i="38"/>
  <c r="C46" i="38"/>
  <c r="D46" i="38" s="1"/>
  <c r="J118" i="38" l="1"/>
  <c r="I119" i="38" s="1"/>
  <c r="K119" i="38"/>
  <c r="B48" i="38"/>
  <c r="E47" i="38"/>
  <c r="C47" i="38"/>
  <c r="D47" i="38" s="1"/>
  <c r="Y117" i="38" l="1"/>
  <c r="J119" i="38"/>
  <c r="I120" i="38" s="1"/>
  <c r="K120" i="38"/>
  <c r="B49" i="38"/>
  <c r="E48" i="38"/>
  <c r="C48" i="38"/>
  <c r="D48" i="38" s="1"/>
  <c r="Y118" i="38" l="1"/>
  <c r="K121" i="38"/>
  <c r="J120" i="38"/>
  <c r="I121" i="38" s="1"/>
  <c r="B50" i="38"/>
  <c r="E49" i="38"/>
  <c r="C49" i="38"/>
  <c r="D49" i="38" s="1"/>
  <c r="Y119" i="38" l="1"/>
  <c r="J121" i="38"/>
  <c r="I122" i="38" s="1"/>
  <c r="K122" i="38"/>
  <c r="B51" i="38"/>
  <c r="E50" i="38"/>
  <c r="C50" i="38"/>
  <c r="D50" i="38" s="1"/>
  <c r="Y120" i="38" l="1"/>
  <c r="J122" i="38"/>
  <c r="I123" i="38" s="1"/>
  <c r="K123" i="38"/>
  <c r="B52" i="38"/>
  <c r="E51" i="38"/>
  <c r="C51" i="38"/>
  <c r="D51" i="38" s="1"/>
  <c r="Y121" i="38" l="1"/>
  <c r="J123" i="38"/>
  <c r="I124" i="38" s="1"/>
  <c r="K124" i="38"/>
  <c r="B53" i="38"/>
  <c r="E52" i="38"/>
  <c r="C52" i="38"/>
  <c r="D52" i="38" s="1"/>
  <c r="Y122" i="38" l="1"/>
  <c r="J124" i="38"/>
  <c r="I125" i="38" s="1"/>
  <c r="K125" i="38"/>
  <c r="B54" i="38"/>
  <c r="E53" i="38"/>
  <c r="C53" i="38"/>
  <c r="D53" i="38" s="1"/>
  <c r="Y123" i="38" l="1"/>
  <c r="K126" i="38"/>
  <c r="J125" i="38"/>
  <c r="I126" i="38" s="1"/>
  <c r="B55" i="38"/>
  <c r="E54" i="38"/>
  <c r="C54" i="38"/>
  <c r="D54" i="38" s="1"/>
  <c r="Y124" i="38" l="1"/>
  <c r="K127" i="38"/>
  <c r="J126" i="38"/>
  <c r="I127" i="38" s="1"/>
  <c r="B56" i="38"/>
  <c r="E55" i="38"/>
  <c r="C55" i="38"/>
  <c r="D55" i="38" s="1"/>
  <c r="Y125" i="38" l="1"/>
  <c r="J127" i="38"/>
  <c r="I128" i="38" s="1"/>
  <c r="N128" i="38" s="1"/>
  <c r="X128" i="38" s="1"/>
  <c r="K128" i="38"/>
  <c r="B57" i="38"/>
  <c r="E56" i="38"/>
  <c r="C56" i="38"/>
  <c r="D56" i="38" s="1"/>
  <c r="Y126" i="38" l="1"/>
  <c r="J128" i="38"/>
  <c r="I129" i="38" s="1"/>
  <c r="K129" i="38"/>
  <c r="B58" i="38"/>
  <c r="E57" i="38"/>
  <c r="C57" i="38"/>
  <c r="D57" i="38" s="1"/>
  <c r="Y127" i="38" l="1"/>
  <c r="K130" i="38"/>
  <c r="J129" i="38"/>
  <c r="I130" i="38" s="1"/>
  <c r="Y80" i="38"/>
  <c r="B59" i="38"/>
  <c r="E58" i="38"/>
  <c r="C58" i="38"/>
  <c r="D58" i="38" s="1"/>
  <c r="J130" i="38" l="1"/>
  <c r="I131" i="38" s="1"/>
  <c r="K131" i="38"/>
  <c r="B60" i="38"/>
  <c r="E59" i="38"/>
  <c r="C59" i="38"/>
  <c r="D59" i="38" s="1"/>
  <c r="Y129" i="38" l="1"/>
  <c r="J131" i="38"/>
  <c r="I132" i="38" s="1"/>
  <c r="K132" i="38"/>
  <c r="B61" i="38"/>
  <c r="E60" i="38"/>
  <c r="C60" i="38"/>
  <c r="D60" i="38" s="1"/>
  <c r="Y130" i="38" l="1"/>
  <c r="J132" i="38"/>
  <c r="I133" i="38" s="1"/>
  <c r="K133" i="38"/>
  <c r="B62" i="38"/>
  <c r="E61" i="38"/>
  <c r="C61" i="38"/>
  <c r="D61" i="38" s="1"/>
  <c r="Y131" i="38" l="1"/>
  <c r="K134" i="38"/>
  <c r="J133" i="38"/>
  <c r="I134" i="38" s="1"/>
  <c r="B63" i="38"/>
  <c r="E62" i="38"/>
  <c r="C62" i="38"/>
  <c r="D62" i="38" s="1"/>
  <c r="Y132" i="38" l="1"/>
  <c r="K135" i="38"/>
  <c r="J134" i="38"/>
  <c r="I135" i="38" s="1"/>
  <c r="B64" i="38"/>
  <c r="E63" i="38"/>
  <c r="C63" i="38"/>
  <c r="D63" i="38" s="1"/>
  <c r="Y133" i="38" l="1"/>
  <c r="J135" i="38"/>
  <c r="I136" i="38" s="1"/>
  <c r="K136" i="38"/>
  <c r="B65" i="38"/>
  <c r="E64" i="38"/>
  <c r="C64" i="38"/>
  <c r="D64" i="38" s="1"/>
  <c r="Y134" i="38" l="1"/>
  <c r="J136" i="38"/>
  <c r="I137" i="38" s="1"/>
  <c r="K137" i="38"/>
  <c r="B66" i="38"/>
  <c r="E65" i="38"/>
  <c r="C65" i="38"/>
  <c r="D65" i="38" s="1"/>
  <c r="Y135" i="38" l="1"/>
  <c r="J137" i="38"/>
  <c r="I138" i="38" s="1"/>
  <c r="K138" i="38"/>
  <c r="B67" i="38"/>
  <c r="E66" i="38"/>
  <c r="C66" i="38"/>
  <c r="D66" i="38" s="1"/>
  <c r="Y136" i="38" l="1"/>
  <c r="J138" i="38"/>
  <c r="I139" i="38" s="1"/>
  <c r="K139" i="38"/>
  <c r="B68" i="38"/>
  <c r="E67" i="38"/>
  <c r="C67" i="38"/>
  <c r="D67" i="38" s="1"/>
  <c r="Y137" i="38" l="1"/>
  <c r="J139" i="38"/>
  <c r="I140" i="38" s="1"/>
  <c r="N140" i="38" s="1"/>
  <c r="X140" i="38" s="1"/>
  <c r="K140" i="38"/>
  <c r="B69" i="38"/>
  <c r="E68" i="38"/>
  <c r="C68" i="38"/>
  <c r="D68" i="38" s="1"/>
  <c r="Y138" i="38" l="1"/>
  <c r="J140" i="38"/>
  <c r="I141" i="38" s="1"/>
  <c r="K141" i="38"/>
  <c r="B70" i="38"/>
  <c r="E69" i="38"/>
  <c r="C69" i="38"/>
  <c r="D69" i="38" s="1"/>
  <c r="Y139" i="38" l="1"/>
  <c r="J141" i="38"/>
  <c r="I142" i="38" s="1"/>
  <c r="K142" i="38"/>
  <c r="B71" i="38"/>
  <c r="E70" i="38"/>
  <c r="C70" i="38"/>
  <c r="D70" i="38" s="1"/>
  <c r="K143" i="38" l="1"/>
  <c r="J142" i="38"/>
  <c r="I143" i="38" s="1"/>
  <c r="B72" i="38"/>
  <c r="E71" i="38"/>
  <c r="C71" i="38"/>
  <c r="D71" i="38" s="1"/>
  <c r="Y141" i="38" l="1"/>
  <c r="J143" i="38"/>
  <c r="I144" i="38" s="1"/>
  <c r="K144" i="38"/>
  <c r="B73" i="38"/>
  <c r="E72" i="38"/>
  <c r="C72" i="38"/>
  <c r="D72" i="38" s="1"/>
  <c r="Y142" i="38" l="1"/>
  <c r="J144" i="38"/>
  <c r="I145" i="38" s="1"/>
  <c r="K145" i="38"/>
  <c r="B74" i="38"/>
  <c r="E73" i="38"/>
  <c r="C73" i="38"/>
  <c r="D73" i="38" s="1"/>
  <c r="Y143" i="38" l="1"/>
  <c r="K146" i="38"/>
  <c r="J145" i="38"/>
  <c r="I146" i="38" s="1"/>
  <c r="Y92" i="38"/>
  <c r="B75" i="38"/>
  <c r="E74" i="38"/>
  <c r="C74" i="38"/>
  <c r="D74" i="38" s="1"/>
  <c r="Y144" i="38" l="1"/>
  <c r="J146" i="38"/>
  <c r="I147" i="38" s="1"/>
  <c r="K147" i="38"/>
  <c r="B76" i="38"/>
  <c r="E75" i="38"/>
  <c r="C75" i="38"/>
  <c r="D75" i="38" s="1"/>
  <c r="Y145" i="38" l="1"/>
  <c r="J147" i="38"/>
  <c r="I148" i="38" s="1"/>
  <c r="K148" i="38"/>
  <c r="B77" i="38"/>
  <c r="E76" i="38"/>
  <c r="C76" i="38"/>
  <c r="D76" i="38" s="1"/>
  <c r="Y146" i="38" l="1"/>
  <c r="J148" i="38"/>
  <c r="I149" i="38" s="1"/>
  <c r="K149" i="38"/>
  <c r="B78" i="38"/>
  <c r="E77" i="38"/>
  <c r="C77" i="38"/>
  <c r="D77" i="38" s="1"/>
  <c r="Y147" i="38" l="1"/>
  <c r="K150" i="38"/>
  <c r="J149" i="38"/>
  <c r="I150" i="38" s="1"/>
  <c r="B79" i="38"/>
  <c r="E78" i="38"/>
  <c r="C78" i="38"/>
  <c r="D78" i="38" s="1"/>
  <c r="Y148" i="38" l="1"/>
  <c r="K151" i="38"/>
  <c r="J150" i="38"/>
  <c r="I151" i="38" s="1"/>
  <c r="B80" i="38"/>
  <c r="E79" i="38"/>
  <c r="C79" i="38"/>
  <c r="D79" i="38" s="1"/>
  <c r="Y149" i="38" l="1"/>
  <c r="J151" i="38"/>
  <c r="I152" i="38" s="1"/>
  <c r="N152" i="38" s="1"/>
  <c r="X152" i="38" s="1"/>
  <c r="K152" i="38"/>
  <c r="B81" i="38"/>
  <c r="E80" i="38"/>
  <c r="C80" i="38"/>
  <c r="D80" i="38" s="1"/>
  <c r="Y150" i="38" l="1"/>
  <c r="J152" i="38"/>
  <c r="I153" i="38" s="1"/>
  <c r="K153" i="38"/>
  <c r="B82" i="38"/>
  <c r="E81" i="38"/>
  <c r="C81" i="38"/>
  <c r="D81" i="38" s="1"/>
  <c r="Y151" i="38" l="1"/>
  <c r="J153" i="38"/>
  <c r="I154" i="38" s="1"/>
  <c r="K154" i="38"/>
  <c r="B83" i="38"/>
  <c r="E82" i="38"/>
  <c r="C82" i="38"/>
  <c r="D82" i="38" s="1"/>
  <c r="J154" i="38" l="1"/>
  <c r="I155" i="38" s="1"/>
  <c r="K155" i="38"/>
  <c r="B84" i="38"/>
  <c r="E83" i="38"/>
  <c r="C83" i="38"/>
  <c r="D83" i="38" s="1"/>
  <c r="Y153" i="38" l="1"/>
  <c r="K156" i="38"/>
  <c r="J155" i="38"/>
  <c r="I156" i="38" s="1"/>
  <c r="B85" i="38"/>
  <c r="E84" i="38"/>
  <c r="C84" i="38"/>
  <c r="D84" i="38" s="1"/>
  <c r="Y154" i="38" l="1"/>
  <c r="J156" i="38"/>
  <c r="I157" i="38" s="1"/>
  <c r="K157" i="38"/>
  <c r="B86" i="38"/>
  <c r="E85" i="38"/>
  <c r="C85" i="38"/>
  <c r="D85" i="38" s="1"/>
  <c r="Y155" i="38" l="1"/>
  <c r="J157" i="38"/>
  <c r="I158" i="38" s="1"/>
  <c r="K158" i="38"/>
  <c r="B87" i="38"/>
  <c r="E86" i="38"/>
  <c r="C86" i="38"/>
  <c r="D86" i="38" s="1"/>
  <c r="Y156" i="38" l="1"/>
  <c r="K159" i="38"/>
  <c r="J158" i="38"/>
  <c r="I159" i="38" s="1"/>
  <c r="B88" i="38"/>
  <c r="E87" i="38"/>
  <c r="C87" i="38"/>
  <c r="D87" i="38" s="1"/>
  <c r="Y157" i="38" l="1"/>
  <c r="J159" i="38"/>
  <c r="I160" i="38" s="1"/>
  <c r="K160" i="38"/>
  <c r="B89" i="38"/>
  <c r="E88" i="38"/>
  <c r="C88" i="38"/>
  <c r="D88" i="38" s="1"/>
  <c r="Y158" i="38" l="1"/>
  <c r="J160" i="38"/>
  <c r="I161" i="38" s="1"/>
  <c r="K161" i="38"/>
  <c r="Y104" i="38"/>
  <c r="B90" i="38"/>
  <c r="E89" i="38"/>
  <c r="C89" i="38"/>
  <c r="D89" i="38" s="1"/>
  <c r="Y159" i="38" l="1"/>
  <c r="K162" i="38"/>
  <c r="J161" i="38"/>
  <c r="I162" i="38" s="1"/>
  <c r="B91" i="38"/>
  <c r="E90" i="38"/>
  <c r="C90" i="38"/>
  <c r="D90" i="38" s="1"/>
  <c r="Y160" i="38" l="1"/>
  <c r="J162" i="38"/>
  <c r="I163" i="38" s="1"/>
  <c r="K163" i="38"/>
  <c r="B92" i="38"/>
  <c r="E91" i="38"/>
  <c r="C91" i="38"/>
  <c r="D91" i="38" s="1"/>
  <c r="Y161" i="38" l="1"/>
  <c r="K164" i="38"/>
  <c r="J163" i="38"/>
  <c r="I164" i="38" s="1"/>
  <c r="N164" i="38" s="1"/>
  <c r="X164" i="38" s="1"/>
  <c r="B93" i="38"/>
  <c r="E92" i="38"/>
  <c r="C92" i="38"/>
  <c r="D92" i="38" s="1"/>
  <c r="Y162" i="38" l="1"/>
  <c r="J164" i="38"/>
  <c r="I165" i="38" s="1"/>
  <c r="K165" i="38"/>
  <c r="B94" i="38"/>
  <c r="E93" i="38"/>
  <c r="C93" i="38"/>
  <c r="D93" i="38" s="1"/>
  <c r="Y163" i="38" l="1"/>
  <c r="K166" i="38"/>
  <c r="J165" i="38"/>
  <c r="I166" i="38" s="1"/>
  <c r="B95" i="38"/>
  <c r="E94" i="38"/>
  <c r="C94" i="38"/>
  <c r="D94" i="38" s="1"/>
  <c r="K167" i="38" l="1"/>
  <c r="J166" i="38"/>
  <c r="I167" i="38" s="1"/>
  <c r="B96" i="38"/>
  <c r="E95" i="38"/>
  <c r="C95" i="38"/>
  <c r="D95" i="38" s="1"/>
  <c r="Y165" i="38" l="1"/>
  <c r="K168" i="38"/>
  <c r="J167" i="38"/>
  <c r="I168" i="38" s="1"/>
  <c r="B97" i="38"/>
  <c r="E96" i="38"/>
  <c r="C96" i="38"/>
  <c r="D96" i="38" s="1"/>
  <c r="Y166" i="38" l="1"/>
  <c r="J168" i="38"/>
  <c r="I169" i="38" s="1"/>
  <c r="K169" i="38"/>
  <c r="B98" i="38"/>
  <c r="E97" i="38"/>
  <c r="C97" i="38"/>
  <c r="D97" i="38" s="1"/>
  <c r="Y167" i="38" l="1"/>
  <c r="J169" i="38"/>
  <c r="I170" i="38" s="1"/>
  <c r="K170" i="38"/>
  <c r="B99" i="38"/>
  <c r="E98" i="38"/>
  <c r="C98" i="38"/>
  <c r="D98" i="38" s="1"/>
  <c r="Y168" i="38" l="1"/>
  <c r="J170" i="38"/>
  <c r="I171" i="38" s="1"/>
  <c r="K171" i="38"/>
  <c r="B100" i="38"/>
  <c r="E99" i="38"/>
  <c r="C99" i="38"/>
  <c r="D99" i="38" s="1"/>
  <c r="Y169" i="38" l="1"/>
  <c r="K172" i="38"/>
  <c r="J171" i="38"/>
  <c r="I172" i="38" s="1"/>
  <c r="B101" i="38"/>
  <c r="E100" i="38"/>
  <c r="C100" i="38"/>
  <c r="D100" i="38" s="1"/>
  <c r="Y170" i="38" l="1"/>
  <c r="J172" i="38"/>
  <c r="I173" i="38" s="1"/>
  <c r="K173" i="38"/>
  <c r="B102" i="38"/>
  <c r="E101" i="38"/>
  <c r="C101" i="38"/>
  <c r="D101" i="38" s="1"/>
  <c r="Y171" i="38" l="1"/>
  <c r="K174" i="38"/>
  <c r="J173" i="38"/>
  <c r="I174" i="38" s="1"/>
  <c r="B103" i="38"/>
  <c r="E102" i="38"/>
  <c r="C102" i="38"/>
  <c r="D102" i="38" s="1"/>
  <c r="Y172" i="38" l="1"/>
  <c r="K175" i="38"/>
  <c r="J174" i="38"/>
  <c r="I175" i="38" s="1"/>
  <c r="B104" i="38"/>
  <c r="E103" i="38"/>
  <c r="C103" i="38"/>
  <c r="D103" i="38" s="1"/>
  <c r="Y173" i="38" l="1"/>
  <c r="K176" i="38"/>
  <c r="J175" i="38"/>
  <c r="I176" i="38" s="1"/>
  <c r="N176" i="38" s="1"/>
  <c r="B105" i="38"/>
  <c r="E104" i="38"/>
  <c r="C104" i="38"/>
  <c r="D104" i="38" s="1"/>
  <c r="X176" i="38" l="1"/>
  <c r="N3" i="38"/>
  <c r="Y174" i="38"/>
  <c r="J176" i="38"/>
  <c r="I177" i="38" s="1"/>
  <c r="K177" i="38"/>
  <c r="B106" i="38"/>
  <c r="E105" i="38"/>
  <c r="C105" i="38"/>
  <c r="D105" i="38" s="1"/>
  <c r="Y175" i="38" l="1"/>
  <c r="J177" i="38"/>
  <c r="I178" i="38" s="1"/>
  <c r="K178" i="38"/>
  <c r="B107" i="38"/>
  <c r="E106" i="38"/>
  <c r="C106" i="38"/>
  <c r="D106" i="38" s="1"/>
  <c r="J178" i="38" l="1"/>
  <c r="I179" i="38" s="1"/>
  <c r="K179" i="38"/>
  <c r="Y116" i="38"/>
  <c r="B108" i="38"/>
  <c r="E107" i="38"/>
  <c r="C107" i="38"/>
  <c r="D107" i="38" s="1"/>
  <c r="J179" i="38" l="1"/>
  <c r="I180" i="38" s="1"/>
  <c r="K180" i="38"/>
  <c r="B109" i="38"/>
  <c r="E108" i="38"/>
  <c r="C108" i="38"/>
  <c r="D108" i="38" s="1"/>
  <c r="Y177" i="38" l="1"/>
  <c r="J180" i="38"/>
  <c r="I181" i="38" s="1"/>
  <c r="K181" i="38"/>
  <c r="B110" i="38"/>
  <c r="E109" i="38"/>
  <c r="C109" i="38"/>
  <c r="D109" i="38" s="1"/>
  <c r="Y178" i="38" l="1"/>
  <c r="J181" i="38"/>
  <c r="I182" i="38" s="1"/>
  <c r="K182" i="38"/>
  <c r="B111" i="38"/>
  <c r="E110" i="38"/>
  <c r="C110" i="38"/>
  <c r="D110" i="38" s="1"/>
  <c r="Y179" i="38" l="1"/>
  <c r="K183" i="38"/>
  <c r="J182" i="38"/>
  <c r="I183" i="38" s="1"/>
  <c r="B112" i="38"/>
  <c r="E111" i="38"/>
  <c r="C111" i="38"/>
  <c r="D111" i="38" s="1"/>
  <c r="Y180" i="38" l="1"/>
  <c r="J183" i="38"/>
  <c r="I184" i="38" s="1"/>
  <c r="K184" i="38"/>
  <c r="B113" i="38"/>
  <c r="E112" i="38"/>
  <c r="C112" i="38"/>
  <c r="D112" i="38" s="1"/>
  <c r="Y181" i="38" l="1"/>
  <c r="J184" i="38"/>
  <c r="I185" i="38" s="1"/>
  <c r="K185" i="38"/>
  <c r="B114" i="38"/>
  <c r="E113" i="38"/>
  <c r="C113" i="38"/>
  <c r="D113" i="38" s="1"/>
  <c r="Y182" i="38" l="1"/>
  <c r="J185" i="38"/>
  <c r="I186" i="38" s="1"/>
  <c r="K186" i="38"/>
  <c r="B115" i="38"/>
  <c r="E114" i="38"/>
  <c r="C114" i="38"/>
  <c r="D114" i="38" s="1"/>
  <c r="Y183" i="38" l="1"/>
  <c r="J186" i="38"/>
  <c r="I187" i="38" s="1"/>
  <c r="B116" i="38"/>
  <c r="E115" i="38"/>
  <c r="C115" i="38"/>
  <c r="D115" i="38" s="1"/>
  <c r="Y184" i="38" l="1"/>
  <c r="J187" i="38"/>
  <c r="B117" i="38"/>
  <c r="E116" i="38"/>
  <c r="C116" i="38"/>
  <c r="D116" i="38" s="1"/>
  <c r="Y185" i="38" l="1"/>
  <c r="K187" i="38"/>
  <c r="B118" i="38"/>
  <c r="E117" i="38"/>
  <c r="C117" i="38"/>
  <c r="D117" i="38" s="1"/>
  <c r="Y186" i="38" l="1"/>
  <c r="B119" i="38"/>
  <c r="E118" i="38"/>
  <c r="C118" i="38"/>
  <c r="D118" i="38" s="1"/>
  <c r="Y187" i="38" l="1"/>
  <c r="B120" i="38"/>
  <c r="E119" i="38"/>
  <c r="C119" i="38"/>
  <c r="D119" i="38" s="1"/>
  <c r="Y188" i="38" l="1"/>
  <c r="B121" i="38"/>
  <c r="E120" i="38"/>
  <c r="C120" i="38"/>
  <c r="D120" i="38" s="1"/>
  <c r="Y189" i="38" l="1"/>
  <c r="B122" i="38"/>
  <c r="E121" i="38"/>
  <c r="C121" i="38"/>
  <c r="D121" i="38" s="1"/>
  <c r="Y190" i="38" l="1"/>
  <c r="B123" i="38"/>
  <c r="E122" i="38"/>
  <c r="C122" i="38"/>
  <c r="D122" i="38" s="1"/>
  <c r="Y191" i="38" l="1"/>
  <c r="Y128" i="38"/>
  <c r="B124" i="38"/>
  <c r="E123" i="38"/>
  <c r="C123" i="38"/>
  <c r="D123" i="38" s="1"/>
  <c r="Y192" i="38" l="1"/>
  <c r="B125" i="38"/>
  <c r="E124" i="38"/>
  <c r="C124" i="38"/>
  <c r="D124" i="38" s="1"/>
  <c r="Y193" i="38" l="1"/>
  <c r="B126" i="38"/>
  <c r="E125" i="38"/>
  <c r="C125" i="38"/>
  <c r="D125" i="38" s="1"/>
  <c r="Y194" i="38" l="1"/>
  <c r="B127" i="38"/>
  <c r="E126" i="38"/>
  <c r="C126" i="38"/>
  <c r="D126" i="38" s="1"/>
  <c r="Y195" i="38" l="1"/>
  <c r="B128" i="38"/>
  <c r="E127" i="38"/>
  <c r="C127" i="38"/>
  <c r="D127" i="38" s="1"/>
  <c r="Y196" i="38" l="1"/>
  <c r="B129" i="38"/>
  <c r="E128" i="38"/>
  <c r="C128" i="38"/>
  <c r="D128" i="38" s="1"/>
  <c r="Y197" i="38" l="1"/>
  <c r="B130" i="38"/>
  <c r="E129" i="38"/>
  <c r="C129" i="38"/>
  <c r="D129" i="38" s="1"/>
  <c r="Y198" i="38" l="1"/>
  <c r="B131" i="38"/>
  <c r="E130" i="38"/>
  <c r="C130" i="38"/>
  <c r="D130" i="38" s="1"/>
  <c r="Y199" i="38" l="1"/>
  <c r="B132" i="38"/>
  <c r="E131" i="38"/>
  <c r="C131" i="38"/>
  <c r="D131" i="38" s="1"/>
  <c r="Y200" i="38" l="1"/>
  <c r="B133" i="38"/>
  <c r="E132" i="38"/>
  <c r="C132" i="38"/>
  <c r="D132" i="38" s="1"/>
  <c r="Y201" i="38" l="1"/>
  <c r="B134" i="38"/>
  <c r="E133" i="38"/>
  <c r="C133" i="38"/>
  <c r="D133" i="38" s="1"/>
  <c r="Y202" i="38" l="1"/>
  <c r="B135" i="38"/>
  <c r="E134" i="38"/>
  <c r="C134" i="38"/>
  <c r="D134" i="38" s="1"/>
  <c r="Y203" i="38" l="1"/>
  <c r="B136" i="38"/>
  <c r="E135" i="38"/>
  <c r="C135" i="38"/>
  <c r="D135" i="38" s="1"/>
  <c r="Y204" i="38" l="1"/>
  <c r="B137" i="38"/>
  <c r="E136" i="38"/>
  <c r="C136" i="38"/>
  <c r="D136" i="38" s="1"/>
  <c r="Y205" i="38" l="1"/>
  <c r="Y140" i="38"/>
  <c r="B138" i="38"/>
  <c r="E137" i="38"/>
  <c r="C137" i="38"/>
  <c r="D137" i="38" s="1"/>
  <c r="Y206" i="38" l="1"/>
  <c r="B139" i="38"/>
  <c r="E138" i="38"/>
  <c r="C138" i="38"/>
  <c r="D138" i="38" s="1"/>
  <c r="Y207" i="38" l="1"/>
  <c r="B140" i="38"/>
  <c r="E139" i="38"/>
  <c r="C139" i="38"/>
  <c r="D139" i="38" s="1"/>
  <c r="Y208" i="38" l="1"/>
  <c r="B141" i="38"/>
  <c r="E140" i="38"/>
  <c r="C140" i="38"/>
  <c r="D140" i="38" s="1"/>
  <c r="Y209" i="38" l="1"/>
  <c r="E141" i="38"/>
  <c r="B142" i="38"/>
  <c r="C141" i="38"/>
  <c r="D141" i="38" s="1"/>
  <c r="Y210" i="38" l="1"/>
  <c r="B143" i="38"/>
  <c r="E142" i="38"/>
  <c r="C142" i="38"/>
  <c r="D142" i="38" s="1"/>
  <c r="Y211" i="38" l="1"/>
  <c r="E143" i="38"/>
  <c r="B144" i="38"/>
  <c r="C143" i="38"/>
  <c r="D143" i="38" s="1"/>
  <c r="Y212" i="38" l="1"/>
  <c r="B145" i="38"/>
  <c r="E144" i="38"/>
  <c r="C144" i="38"/>
  <c r="D144" i="38" s="1"/>
  <c r="Y213" i="38" l="1"/>
  <c r="E145" i="38"/>
  <c r="B146" i="38"/>
  <c r="C145" i="38"/>
  <c r="D145" i="38" s="1"/>
  <c r="Y214" i="38" l="1"/>
  <c r="B147" i="38"/>
  <c r="E146" i="38"/>
  <c r="C146" i="38"/>
  <c r="D146" i="38" s="1"/>
  <c r="Y215" i="38" l="1"/>
  <c r="E147" i="38"/>
  <c r="B148" i="38"/>
  <c r="C147" i="38"/>
  <c r="D147" i="38" s="1"/>
  <c r="Y216" i="38" l="1"/>
  <c r="B149" i="38"/>
  <c r="E148" i="38"/>
  <c r="C148" i="38"/>
  <c r="D148" i="38" s="1"/>
  <c r="Y217" i="38" l="1"/>
  <c r="E149" i="38"/>
  <c r="B150" i="38"/>
  <c r="C149" i="38"/>
  <c r="D149" i="38" s="1"/>
  <c r="Y218" i="38" l="1"/>
  <c r="B151" i="38"/>
  <c r="E150" i="38"/>
  <c r="C150" i="38"/>
  <c r="D150" i="38" s="1"/>
  <c r="Y219" i="38" l="1"/>
  <c r="E151" i="38"/>
  <c r="B152" i="38"/>
  <c r="C151" i="38"/>
  <c r="D151" i="38" s="1"/>
  <c r="Y220" i="38" l="1"/>
  <c r="Y152" i="38"/>
  <c r="E152" i="38"/>
  <c r="B153" i="38"/>
  <c r="C152" i="38"/>
  <c r="D152" i="38" s="1"/>
  <c r="Y221" i="38" l="1"/>
  <c r="E153" i="38"/>
  <c r="B154" i="38"/>
  <c r="C153" i="38"/>
  <c r="D153" i="38" s="1"/>
  <c r="Y222" i="38" l="1"/>
  <c r="E154" i="38"/>
  <c r="B155" i="38"/>
  <c r="C154" i="38"/>
  <c r="D154" i="38" s="1"/>
  <c r="Y223" i="38" l="1"/>
  <c r="E155" i="38"/>
  <c r="B156" i="38"/>
  <c r="C155" i="38"/>
  <c r="D155" i="38" s="1"/>
  <c r="Y224" i="38" l="1"/>
  <c r="E156" i="38"/>
  <c r="B157" i="38"/>
  <c r="C156" i="38"/>
  <c r="D156" i="38" s="1"/>
  <c r="Y225" i="38" l="1"/>
  <c r="E157" i="38"/>
  <c r="B158" i="38"/>
  <c r="C157" i="38"/>
  <c r="D157" i="38" s="1"/>
  <c r="Y226" i="38" l="1"/>
  <c r="E158" i="38"/>
  <c r="B159" i="38"/>
  <c r="C158" i="38"/>
  <c r="D158" i="38" s="1"/>
  <c r="Y227" i="38" l="1"/>
  <c r="E159" i="38"/>
  <c r="B160" i="38"/>
  <c r="C159" i="38"/>
  <c r="D159" i="38" s="1"/>
  <c r="Y228" i="38" l="1"/>
  <c r="E160" i="38"/>
  <c r="B161" i="38"/>
  <c r="C160" i="38"/>
  <c r="D160" i="38" s="1"/>
  <c r="Y229" i="38" l="1"/>
  <c r="E161" i="38"/>
  <c r="B162" i="38"/>
  <c r="C161" i="38"/>
  <c r="D161" i="38" s="1"/>
  <c r="Y230" i="38" l="1"/>
  <c r="E162" i="38"/>
  <c r="B163" i="38"/>
  <c r="C162" i="38"/>
  <c r="D162" i="38" s="1"/>
  <c r="Y231" i="38" l="1"/>
  <c r="E163" i="38"/>
  <c r="B164" i="38"/>
  <c r="C163" i="38"/>
  <c r="D163" i="38" s="1"/>
  <c r="Y232" i="38" l="1"/>
  <c r="E164" i="38"/>
  <c r="B165" i="38"/>
  <c r="C164" i="38"/>
  <c r="D164" i="38" s="1"/>
  <c r="Y233" i="38" l="1"/>
  <c r="E165" i="38"/>
  <c r="B166" i="38"/>
  <c r="C165" i="38"/>
  <c r="D165" i="38" s="1"/>
  <c r="Y234" i="38" l="1"/>
  <c r="E166" i="38"/>
  <c r="B167" i="38"/>
  <c r="C166" i="38"/>
  <c r="D166" i="38" s="1"/>
  <c r="Y235" i="38" l="1"/>
  <c r="E167" i="38"/>
  <c r="B168" i="38"/>
  <c r="C167" i="38"/>
  <c r="D167" i="38" s="1"/>
  <c r="Y236" i="38" l="1"/>
  <c r="E168" i="38"/>
  <c r="B169" i="38"/>
  <c r="C168" i="38"/>
  <c r="D168" i="38" s="1"/>
  <c r="Y237" i="38" l="1"/>
  <c r="E169" i="38"/>
  <c r="B170" i="38"/>
  <c r="C169" i="38"/>
  <c r="D169" i="38" s="1"/>
  <c r="Y238" i="38" l="1"/>
  <c r="Y164" i="38"/>
  <c r="E170" i="38"/>
  <c r="B171" i="38"/>
  <c r="C170" i="38"/>
  <c r="D170" i="38" s="1"/>
  <c r="Y239" i="38" l="1"/>
  <c r="E171" i="38"/>
  <c r="B172" i="38"/>
  <c r="C171" i="38"/>
  <c r="D171" i="38" s="1"/>
  <c r="Y240" i="38" l="1"/>
  <c r="E172" i="38"/>
  <c r="B173" i="38"/>
  <c r="C172" i="38"/>
  <c r="D172" i="38" s="1"/>
  <c r="Y241" i="38" l="1"/>
  <c r="E173" i="38"/>
  <c r="B174" i="38"/>
  <c r="C173" i="38"/>
  <c r="D173" i="38" s="1"/>
  <c r="Y242" i="38" l="1"/>
  <c r="E174" i="38"/>
  <c r="B175" i="38"/>
  <c r="C174" i="38"/>
  <c r="D174" i="38" s="1"/>
  <c r="Y243" i="38" l="1"/>
  <c r="E175" i="38"/>
  <c r="B176" i="38"/>
  <c r="C175" i="38"/>
  <c r="D175" i="38" s="1"/>
  <c r="Y244" i="38" l="1"/>
  <c r="E176" i="38"/>
  <c r="B177" i="38"/>
  <c r="C176" i="38"/>
  <c r="D176" i="38" s="1"/>
  <c r="Y245" i="38" l="1"/>
  <c r="E177" i="38"/>
  <c r="B178" i="38"/>
  <c r="C177" i="38"/>
  <c r="D177" i="38" s="1"/>
  <c r="Y246" i="38" l="1"/>
  <c r="E178" i="38"/>
  <c r="B179" i="38"/>
  <c r="C178" i="38"/>
  <c r="D178" i="38" s="1"/>
  <c r="Y247" i="38" l="1"/>
  <c r="E179" i="38"/>
  <c r="B180" i="38"/>
  <c r="C179" i="38"/>
  <c r="D179" i="38" s="1"/>
  <c r="Y248" i="38" l="1"/>
  <c r="E180" i="38"/>
  <c r="B181" i="38"/>
  <c r="C180" i="38"/>
  <c r="D180" i="38" s="1"/>
  <c r="Y249" i="38" l="1"/>
  <c r="E181" i="38"/>
  <c r="B182" i="38"/>
  <c r="C181" i="38"/>
  <c r="D181" i="38" s="1"/>
  <c r="Y250" i="38" l="1"/>
  <c r="E182" i="38"/>
  <c r="B183" i="38"/>
  <c r="C182" i="38"/>
  <c r="D182" i="38" s="1"/>
  <c r="Y251" i="38" l="1"/>
  <c r="E183" i="38"/>
  <c r="B184" i="38"/>
  <c r="C183" i="38"/>
  <c r="D183" i="38" s="1"/>
  <c r="Y252" i="38" l="1"/>
  <c r="E184" i="38"/>
  <c r="B185" i="38"/>
  <c r="C184" i="38"/>
  <c r="D184" i="38" s="1"/>
  <c r="Y253" i="38" l="1"/>
  <c r="E185" i="38"/>
  <c r="B186" i="38"/>
  <c r="C185" i="38"/>
  <c r="D185" i="38" s="1"/>
  <c r="Y254" i="38" l="1"/>
  <c r="E186" i="38"/>
  <c r="B187" i="38"/>
  <c r="C186" i="38"/>
  <c r="D186" i="38" s="1"/>
  <c r="Y255" i="38" l="1"/>
  <c r="Y176" i="38"/>
  <c r="E187" i="38"/>
  <c r="B188" i="38"/>
  <c r="C187" i="38"/>
  <c r="D187" i="38" s="1"/>
  <c r="Y256" i="38" l="1"/>
  <c r="E188" i="38"/>
  <c r="B189" i="38"/>
  <c r="C188" i="38"/>
  <c r="D188" i="38" s="1"/>
  <c r="Y257" i="38" l="1"/>
  <c r="B190" i="38"/>
  <c r="E189" i="38"/>
  <c r="C189" i="38"/>
  <c r="D189" i="38" s="1"/>
  <c r="Y258" i="38" l="1"/>
  <c r="B191" i="38"/>
  <c r="E190" i="38"/>
  <c r="C190" i="38"/>
  <c r="D190" i="38" s="1"/>
  <c r="Y259" i="38" l="1"/>
  <c r="E191" i="38"/>
  <c r="B192" i="38"/>
  <c r="C191" i="38"/>
  <c r="D191" i="38" s="1"/>
  <c r="E192" i="38" l="1"/>
  <c r="B193" i="38"/>
  <c r="C192" i="38"/>
  <c r="D192" i="38" s="1"/>
  <c r="B194" i="38" l="1"/>
  <c r="E193" i="38"/>
  <c r="C193" i="38"/>
  <c r="D193" i="38" s="1"/>
  <c r="B195" i="38" l="1"/>
  <c r="E194" i="38"/>
  <c r="C194" i="38"/>
  <c r="D194" i="38" s="1"/>
  <c r="E195" i="38" l="1"/>
  <c r="B196" i="38"/>
  <c r="C195" i="38"/>
  <c r="D195" i="38" s="1"/>
  <c r="E196" i="38" l="1"/>
  <c r="B197" i="38"/>
  <c r="C196" i="38"/>
  <c r="D196" i="38" s="1"/>
  <c r="B198" i="38" l="1"/>
  <c r="E197" i="38"/>
  <c r="C197" i="38"/>
  <c r="D197" i="38" s="1"/>
  <c r="B199" i="38" l="1"/>
  <c r="E198" i="38"/>
  <c r="C198" i="38"/>
  <c r="D198" i="38" s="1"/>
  <c r="E199" i="38" l="1"/>
  <c r="B200" i="38"/>
  <c r="C199" i="38"/>
  <c r="D199" i="38" s="1"/>
  <c r="E200" i="38" l="1"/>
  <c r="B201" i="38"/>
  <c r="C200" i="38"/>
  <c r="D200" i="38" s="1"/>
  <c r="B202" i="38" l="1"/>
  <c r="E201" i="38"/>
  <c r="C201" i="38"/>
  <c r="D201" i="38" s="1"/>
  <c r="B203" i="38" l="1"/>
  <c r="E202" i="38"/>
  <c r="C202" i="38"/>
  <c r="D202" i="38" s="1"/>
  <c r="E203" i="38" l="1"/>
  <c r="B204" i="38"/>
  <c r="C203" i="38"/>
  <c r="D203" i="38" s="1"/>
  <c r="E204" i="38" l="1"/>
  <c r="B205" i="38"/>
  <c r="C204" i="38"/>
  <c r="D204" i="38" s="1"/>
  <c r="B206" i="38" l="1"/>
  <c r="E205" i="38"/>
  <c r="C205" i="38"/>
  <c r="D205" i="38" s="1"/>
  <c r="B207" i="38" l="1"/>
  <c r="E206" i="38"/>
  <c r="C206" i="38"/>
  <c r="D206" i="38" s="1"/>
  <c r="E207" i="38" l="1"/>
  <c r="B208" i="38"/>
  <c r="C207" i="38"/>
  <c r="D207" i="38" s="1"/>
  <c r="E208" i="38" l="1"/>
  <c r="B209" i="38"/>
  <c r="C208" i="38"/>
  <c r="D208" i="38" s="1"/>
  <c r="B210" i="38" l="1"/>
  <c r="E209" i="38"/>
  <c r="C209" i="38"/>
  <c r="D209" i="38" s="1"/>
  <c r="B211" i="38" l="1"/>
  <c r="E210" i="38"/>
  <c r="C210" i="38"/>
  <c r="D210" i="38" s="1"/>
  <c r="E211" i="38" l="1"/>
  <c r="B212" i="38"/>
  <c r="C211" i="38"/>
  <c r="D211" i="38" s="1"/>
  <c r="E212" i="38" l="1"/>
  <c r="B213" i="38"/>
  <c r="C212" i="38"/>
  <c r="D212" i="38" s="1"/>
  <c r="B214" i="38" l="1"/>
  <c r="E213" i="38"/>
  <c r="C213" i="38"/>
  <c r="D213" i="38" s="1"/>
  <c r="B215" i="38" l="1"/>
  <c r="E214" i="38"/>
  <c r="C214" i="38"/>
  <c r="D214" i="38" s="1"/>
  <c r="E215" i="38" l="1"/>
  <c r="B216" i="38"/>
  <c r="C215" i="38"/>
  <c r="D215" i="38" s="1"/>
  <c r="E216" i="38" l="1"/>
  <c r="B217" i="38"/>
  <c r="C216" i="38"/>
  <c r="D216" i="38" s="1"/>
  <c r="B218" i="38" l="1"/>
  <c r="E217" i="38"/>
  <c r="C217" i="38"/>
  <c r="D217" i="38" s="1"/>
  <c r="B219" i="38" l="1"/>
  <c r="E218" i="38"/>
  <c r="C218" i="38"/>
  <c r="D218" i="38" s="1"/>
  <c r="E219" i="38" l="1"/>
  <c r="B220" i="38"/>
  <c r="C219" i="38"/>
  <c r="D219" i="38" s="1"/>
  <c r="E220" i="38" l="1"/>
  <c r="B221" i="38"/>
  <c r="C220" i="38"/>
  <c r="D220" i="38" s="1"/>
  <c r="B222" i="38" l="1"/>
  <c r="E221" i="38"/>
  <c r="C221" i="38"/>
  <c r="D221" i="38" s="1"/>
  <c r="B223" i="38" l="1"/>
  <c r="E222" i="38"/>
  <c r="C222" i="38"/>
  <c r="D222" i="38" s="1"/>
  <c r="E223" i="38" l="1"/>
  <c r="B224" i="38"/>
  <c r="C223" i="38"/>
  <c r="D223" i="38" s="1"/>
  <c r="E224" i="38" l="1"/>
  <c r="B225" i="38"/>
  <c r="C224" i="38"/>
  <c r="D224" i="38" s="1"/>
  <c r="B226" i="38" l="1"/>
  <c r="E225" i="38"/>
  <c r="C225" i="38"/>
  <c r="D225" i="38" s="1"/>
  <c r="B227" i="38" l="1"/>
  <c r="E226" i="38"/>
  <c r="C226" i="38"/>
  <c r="D226" i="38" s="1"/>
  <c r="E227" i="38" l="1"/>
  <c r="B228" i="38"/>
  <c r="C227" i="38"/>
  <c r="D227" i="38" s="1"/>
  <c r="E228" i="38" l="1"/>
  <c r="B229" i="38"/>
  <c r="C228" i="38"/>
  <c r="D228" i="38" s="1"/>
  <c r="B230" i="38" l="1"/>
  <c r="E229" i="38"/>
  <c r="C229" i="38"/>
  <c r="D229" i="38" s="1"/>
  <c r="B231" i="38" l="1"/>
  <c r="E230" i="38"/>
  <c r="C230" i="38"/>
  <c r="D230" i="38" s="1"/>
  <c r="E231" i="38" l="1"/>
  <c r="B232" i="38"/>
  <c r="C231" i="38"/>
  <c r="D231" i="38" s="1"/>
  <c r="E232" i="38" l="1"/>
  <c r="B233" i="38"/>
  <c r="C232" i="38"/>
  <c r="D232" i="38" s="1"/>
  <c r="B234" i="38" l="1"/>
  <c r="E233" i="38"/>
  <c r="C233" i="38"/>
  <c r="D233" i="38" s="1"/>
  <c r="B235" i="38" l="1"/>
  <c r="E234" i="38"/>
  <c r="C234" i="38"/>
  <c r="D234" i="38" s="1"/>
  <c r="B236" i="38" l="1"/>
  <c r="E235" i="38"/>
  <c r="C235" i="38"/>
  <c r="D235" i="38" s="1"/>
  <c r="B237" i="38" l="1"/>
  <c r="E236" i="38"/>
  <c r="C236" i="38"/>
  <c r="D236" i="38" s="1"/>
  <c r="E237" i="38" l="1"/>
  <c r="B238" i="38"/>
  <c r="C237" i="38"/>
  <c r="D237" i="38" s="1"/>
  <c r="E238" i="38" l="1"/>
  <c r="B239" i="38"/>
  <c r="C238" i="38"/>
  <c r="D238" i="38" s="1"/>
  <c r="B240" i="38" l="1"/>
  <c r="E239" i="38"/>
  <c r="C239" i="38"/>
  <c r="D239" i="38" s="1"/>
  <c r="B241" i="38" l="1"/>
  <c r="E240" i="38"/>
  <c r="C240" i="38"/>
  <c r="D240" i="38" s="1"/>
  <c r="E241" i="38" l="1"/>
  <c r="B242" i="38"/>
  <c r="C241" i="38"/>
  <c r="D241" i="38" s="1"/>
  <c r="E242" i="38" l="1"/>
  <c r="B243" i="38"/>
  <c r="C242" i="38"/>
  <c r="D242" i="38" s="1"/>
  <c r="B244" i="38" l="1"/>
  <c r="E243" i="38"/>
  <c r="C243" i="38"/>
  <c r="D243" i="38" s="1"/>
  <c r="B245" i="38" l="1"/>
  <c r="E244" i="38"/>
  <c r="C244" i="38"/>
  <c r="D244" i="38" s="1"/>
  <c r="E245" i="38" l="1"/>
  <c r="B246" i="38"/>
  <c r="C245" i="38"/>
  <c r="D245" i="38" s="1"/>
  <c r="E246" i="38" l="1"/>
  <c r="B247" i="38"/>
  <c r="C246" i="38"/>
  <c r="D246" i="38" s="1"/>
  <c r="B248" i="38" l="1"/>
  <c r="E247" i="38"/>
  <c r="C247" i="38"/>
  <c r="D247" i="38" s="1"/>
  <c r="B249" i="38" l="1"/>
  <c r="E248" i="38"/>
  <c r="C248" i="38"/>
  <c r="D248" i="38" s="1"/>
  <c r="E249" i="38" l="1"/>
  <c r="B250" i="38"/>
  <c r="C249" i="38"/>
  <c r="D249" i="38" s="1"/>
  <c r="E250" i="38" l="1"/>
  <c r="B251" i="38"/>
  <c r="C250" i="38"/>
  <c r="D250" i="38" s="1"/>
  <c r="B252" i="38" l="1"/>
  <c r="E251" i="38"/>
  <c r="C251" i="38"/>
  <c r="D251" i="38" s="1"/>
  <c r="B253" i="38" l="1"/>
  <c r="E252" i="38"/>
  <c r="C252" i="38"/>
  <c r="D252" i="38" s="1"/>
  <c r="E253" i="38" l="1"/>
  <c r="B254" i="38"/>
  <c r="C253" i="38"/>
  <c r="D253" i="38" s="1"/>
  <c r="E254" i="38" l="1"/>
  <c r="B255" i="38"/>
  <c r="C254" i="38"/>
  <c r="D254" i="38" s="1"/>
  <c r="B256" i="38" l="1"/>
  <c r="E255" i="38"/>
  <c r="C255" i="38"/>
  <c r="D255" i="38" s="1"/>
  <c r="B257" i="38" l="1"/>
  <c r="E256" i="38"/>
  <c r="C256" i="38"/>
  <c r="D256" i="38" s="1"/>
  <c r="E257" i="38" l="1"/>
  <c r="B258" i="38"/>
  <c r="C257" i="38"/>
  <c r="D257" i="38" s="1"/>
  <c r="E258" i="38" l="1"/>
  <c r="B259" i="38"/>
  <c r="C258" i="38"/>
  <c r="D258" i="38" s="1"/>
  <c r="X3" i="38" l="1"/>
  <c r="E259" i="38"/>
  <c r="C259" i="38"/>
  <c r="D259" i="38" s="1"/>
  <c r="Y3" i="38" l="1"/>
  <c r="AA4" i="38" l="1"/>
  <c r="AA152" i="38" l="1"/>
  <c r="AA116" i="38"/>
  <c r="AA188" i="38"/>
  <c r="AA248" i="38"/>
  <c r="AA92" i="38"/>
  <c r="AA236" i="38"/>
  <c r="AA212" i="38"/>
  <c r="AA56" i="38"/>
  <c r="AA20" i="38"/>
  <c r="AA128" i="38"/>
  <c r="AA176" i="38"/>
  <c r="AA80" i="38"/>
  <c r="AA32" i="38"/>
  <c r="AA140" i="38"/>
  <c r="AA68" i="38"/>
  <c r="AA224" i="38"/>
  <c r="AA8" i="38"/>
  <c r="AA104" i="38"/>
  <c r="AA44" i="38"/>
  <c r="AA200" i="38"/>
  <c r="AA164" i="38"/>
  <c r="M9" i="38"/>
  <c r="AA165" i="38" l="1"/>
  <c r="AM164" i="38"/>
  <c r="AA9" i="38"/>
  <c r="AM8" i="38"/>
  <c r="AK8" i="38" s="1"/>
  <c r="AF8" i="38"/>
  <c r="AG8" i="38" s="1"/>
  <c r="AH8" i="38" s="1"/>
  <c r="AA33" i="38"/>
  <c r="AM32" i="38"/>
  <c r="AA21" i="38"/>
  <c r="AM20" i="38"/>
  <c r="AA93" i="38"/>
  <c r="AM92" i="38"/>
  <c r="AA153" i="38"/>
  <c r="AM152" i="38"/>
  <c r="AA201" i="38"/>
  <c r="AM200" i="38"/>
  <c r="AA225" i="38"/>
  <c r="AM224" i="38"/>
  <c r="AA81" i="38"/>
  <c r="AM80" i="38"/>
  <c r="AA57" i="38"/>
  <c r="AM56" i="38"/>
  <c r="AA249" i="38"/>
  <c r="AM248" i="38"/>
  <c r="AA45" i="38"/>
  <c r="AM44" i="38"/>
  <c r="AA69" i="38"/>
  <c r="AM68" i="38"/>
  <c r="AA177" i="38"/>
  <c r="AM176" i="38"/>
  <c r="AA213" i="38"/>
  <c r="AM212" i="38"/>
  <c r="AA189" i="38"/>
  <c r="AM188" i="38"/>
  <c r="AA105" i="38"/>
  <c r="AM104" i="38"/>
  <c r="AA141" i="38"/>
  <c r="AM140" i="38"/>
  <c r="AA129" i="38"/>
  <c r="AM128" i="38"/>
  <c r="AA237" i="38"/>
  <c r="AM236" i="38"/>
  <c r="AA117" i="38"/>
  <c r="AM116" i="38"/>
  <c r="U8" i="38"/>
  <c r="Q9" i="38"/>
  <c r="P9" i="38"/>
  <c r="AA238" i="38" l="1"/>
  <c r="AM237" i="38"/>
  <c r="AK237" i="38" s="1"/>
  <c r="AA142" i="38"/>
  <c r="AM141" i="38"/>
  <c r="AK141" i="38" s="1"/>
  <c r="AA190" i="38"/>
  <c r="AM189" i="38"/>
  <c r="AK189" i="38" s="1"/>
  <c r="AA178" i="38"/>
  <c r="AM177" i="38"/>
  <c r="AK177" i="38" s="1"/>
  <c r="AA46" i="38"/>
  <c r="AM45" i="38"/>
  <c r="AK45" i="38" s="1"/>
  <c r="AA58" i="38"/>
  <c r="AM57" i="38"/>
  <c r="AK57" i="38" s="1"/>
  <c r="AA226" i="38"/>
  <c r="AM225" i="38"/>
  <c r="AK225" i="38" s="1"/>
  <c r="AA154" i="38"/>
  <c r="AM153" i="38"/>
  <c r="AK153" i="38" s="1"/>
  <c r="AA22" i="38"/>
  <c r="AM21" i="38"/>
  <c r="AK21" i="38" s="1"/>
  <c r="AA10" i="38"/>
  <c r="AM9" i="38"/>
  <c r="AK9" i="38" s="1"/>
  <c r="AA118" i="38"/>
  <c r="AM117" i="38"/>
  <c r="AK117" i="38" s="1"/>
  <c r="AA130" i="38"/>
  <c r="AM129" i="38"/>
  <c r="AK129" i="38" s="1"/>
  <c r="AA106" i="38"/>
  <c r="AM105" i="38"/>
  <c r="AK105" i="38" s="1"/>
  <c r="AA214" i="38"/>
  <c r="AM213" i="38"/>
  <c r="AK213" i="38" s="1"/>
  <c r="AA70" i="38"/>
  <c r="AM69" i="38"/>
  <c r="AK69" i="38" s="1"/>
  <c r="AA250" i="38"/>
  <c r="AM249" i="38"/>
  <c r="AK249" i="38" s="1"/>
  <c r="AA82" i="38"/>
  <c r="AM81" i="38"/>
  <c r="AK81" i="38" s="1"/>
  <c r="AA202" i="38"/>
  <c r="AM201" i="38"/>
  <c r="AK201" i="38" s="1"/>
  <c r="AA94" i="38"/>
  <c r="AM93" i="38"/>
  <c r="AK93" i="38" s="1"/>
  <c r="AA34" i="38"/>
  <c r="AM33" i="38"/>
  <c r="AK33" i="38" s="1"/>
  <c r="AA166" i="38"/>
  <c r="AM165" i="38"/>
  <c r="AK165" i="38" s="1"/>
  <c r="AD9" i="38"/>
  <c r="V9" i="38"/>
  <c r="AA47" i="38" l="1"/>
  <c r="AM46" i="38"/>
  <c r="AK46" i="38" s="1"/>
  <c r="AA167" i="38"/>
  <c r="AM166" i="38"/>
  <c r="AK166" i="38" s="1"/>
  <c r="AA95" i="38"/>
  <c r="AM94" i="38"/>
  <c r="AK94" i="38" s="1"/>
  <c r="AA83" i="38"/>
  <c r="AM82" i="38"/>
  <c r="AK82" i="38" s="1"/>
  <c r="AA71" i="38"/>
  <c r="AM70" i="38"/>
  <c r="AK70" i="38" s="1"/>
  <c r="AA107" i="38"/>
  <c r="AM106" i="38"/>
  <c r="AK106" i="38" s="1"/>
  <c r="AA119" i="38"/>
  <c r="AM118" i="38"/>
  <c r="AK118" i="38" s="1"/>
  <c r="AA227" i="38"/>
  <c r="AM226" i="38"/>
  <c r="AK226" i="38" s="1"/>
  <c r="AA191" i="38"/>
  <c r="AM190" i="38"/>
  <c r="AK190" i="38" s="1"/>
  <c r="AA239" i="38"/>
  <c r="AM238" i="38"/>
  <c r="AK238" i="38" s="1"/>
  <c r="AA35" i="38"/>
  <c r="AM34" i="38"/>
  <c r="AK34" i="38" s="1"/>
  <c r="AA203" i="38"/>
  <c r="AM202" i="38"/>
  <c r="AK202" i="38" s="1"/>
  <c r="AA251" i="38"/>
  <c r="AM250" i="38"/>
  <c r="AK250" i="38" s="1"/>
  <c r="AA215" i="38"/>
  <c r="AM214" i="38"/>
  <c r="AK214" i="38" s="1"/>
  <c r="AA131" i="38"/>
  <c r="AM130" i="38"/>
  <c r="AK130" i="38" s="1"/>
  <c r="AA11" i="38"/>
  <c r="AM10" i="38"/>
  <c r="AK10" i="38" s="1"/>
  <c r="AA23" i="38"/>
  <c r="AM22" i="38"/>
  <c r="AK22" i="38" s="1"/>
  <c r="AA155" i="38"/>
  <c r="AM154" i="38"/>
  <c r="AK154" i="38" s="1"/>
  <c r="AA59" i="38"/>
  <c r="AM58" i="38"/>
  <c r="AK58" i="38" s="1"/>
  <c r="AA179" i="38"/>
  <c r="AM178" i="38"/>
  <c r="AK178" i="38" s="1"/>
  <c r="AA143" i="38"/>
  <c r="AM142" i="38"/>
  <c r="AK142" i="38" s="1"/>
  <c r="AC10" i="38"/>
  <c r="AE9" i="38"/>
  <c r="U9" i="38" s="1"/>
  <c r="AI8" i="38"/>
  <c r="AL8" i="38"/>
  <c r="M10" i="38"/>
  <c r="AA216" i="38" l="1"/>
  <c r="AM215" i="38"/>
  <c r="AK215" i="38" s="1"/>
  <c r="AA108" i="38"/>
  <c r="AM107" i="38"/>
  <c r="AK107" i="38" s="1"/>
  <c r="AA12" i="38"/>
  <c r="AM11" i="38"/>
  <c r="AK11" i="38" s="1"/>
  <c r="AA228" i="38"/>
  <c r="AM227" i="38"/>
  <c r="AK227" i="38" s="1"/>
  <c r="AA180" i="38"/>
  <c r="AM179" i="38"/>
  <c r="AK179" i="38" s="1"/>
  <c r="AA156" i="38"/>
  <c r="AM155" i="38"/>
  <c r="AK155" i="38" s="1"/>
  <c r="AA204" i="38"/>
  <c r="AM203" i="38"/>
  <c r="AK203" i="38" s="1"/>
  <c r="AA240" i="38"/>
  <c r="AM239" i="38"/>
  <c r="AK239" i="38" s="1"/>
  <c r="AA84" i="38"/>
  <c r="AM83" i="38"/>
  <c r="AK83" i="38" s="1"/>
  <c r="AA168" i="38"/>
  <c r="AM167" i="38"/>
  <c r="AK167" i="38" s="1"/>
  <c r="AA144" i="38"/>
  <c r="AM143" i="38"/>
  <c r="AK143" i="38" s="1"/>
  <c r="AA60" i="38"/>
  <c r="AM59" i="38"/>
  <c r="AK59" i="38" s="1"/>
  <c r="AA24" i="38"/>
  <c r="AM23" i="38"/>
  <c r="AK23" i="38" s="1"/>
  <c r="AA132" i="38"/>
  <c r="AM131" i="38"/>
  <c r="AK131" i="38" s="1"/>
  <c r="AA252" i="38"/>
  <c r="AM251" i="38"/>
  <c r="AK251" i="38" s="1"/>
  <c r="AA36" i="38"/>
  <c r="AM35" i="38"/>
  <c r="AK35" i="38" s="1"/>
  <c r="AA192" i="38"/>
  <c r="AM191" i="38"/>
  <c r="AK191" i="38" s="1"/>
  <c r="AA120" i="38"/>
  <c r="AM119" i="38"/>
  <c r="AK119" i="38" s="1"/>
  <c r="AA72" i="38"/>
  <c r="AM71" i="38"/>
  <c r="AK71" i="38" s="1"/>
  <c r="AA96" i="38"/>
  <c r="AM95" i="38"/>
  <c r="AK95" i="38" s="1"/>
  <c r="AA48" i="38"/>
  <c r="AM47" i="38"/>
  <c r="AK47" i="38" s="1"/>
  <c r="AF9" i="38"/>
  <c r="P10" i="38"/>
  <c r="T10" i="38" s="1"/>
  <c r="Q10" i="38"/>
  <c r="AA61" i="38" l="1"/>
  <c r="AM60" i="38"/>
  <c r="AK60" i="38" s="1"/>
  <c r="AA157" i="38"/>
  <c r="AM156" i="38"/>
  <c r="AK156" i="38" s="1"/>
  <c r="AA49" i="38"/>
  <c r="AM48" i="38"/>
  <c r="AK48" i="38" s="1"/>
  <c r="AA193" i="38"/>
  <c r="AM192" i="38"/>
  <c r="AK192" i="38" s="1"/>
  <c r="AA145" i="38"/>
  <c r="AM144" i="38"/>
  <c r="AK144" i="38" s="1"/>
  <c r="AA97" i="38"/>
  <c r="AM96" i="38"/>
  <c r="AK96" i="38" s="1"/>
  <c r="AA133" i="38"/>
  <c r="AM132" i="38"/>
  <c r="AK132" i="38" s="1"/>
  <c r="AA241" i="38"/>
  <c r="AM240" i="38"/>
  <c r="AK240" i="38" s="1"/>
  <c r="AA229" i="38"/>
  <c r="AM228" i="38"/>
  <c r="AK228" i="38" s="1"/>
  <c r="AA109" i="38"/>
  <c r="AM108" i="38"/>
  <c r="AK108" i="38" s="1"/>
  <c r="AA121" i="38"/>
  <c r="AM120" i="38"/>
  <c r="AK120" i="38" s="1"/>
  <c r="AA37" i="38"/>
  <c r="AM36" i="38"/>
  <c r="AK36" i="38" s="1"/>
  <c r="AA169" i="38"/>
  <c r="AM168" i="38"/>
  <c r="AK168" i="38" s="1"/>
  <c r="AA73" i="38"/>
  <c r="AM72" i="38"/>
  <c r="AK72" i="38" s="1"/>
  <c r="AA253" i="38"/>
  <c r="AM252" i="38"/>
  <c r="AK252" i="38" s="1"/>
  <c r="AA25" i="38"/>
  <c r="AM24" i="38"/>
  <c r="AK24" i="38" s="1"/>
  <c r="AA85" i="38"/>
  <c r="AM84" i="38"/>
  <c r="AK84" i="38" s="1"/>
  <c r="AA205" i="38"/>
  <c r="AM204" i="38"/>
  <c r="AK204" i="38" s="1"/>
  <c r="AA181" i="38"/>
  <c r="AM180" i="38"/>
  <c r="AK180" i="38" s="1"/>
  <c r="AA13" i="38"/>
  <c r="AM12" i="38"/>
  <c r="AK12" i="38" s="1"/>
  <c r="AA217" i="38"/>
  <c r="AM216" i="38"/>
  <c r="AK216" i="38" s="1"/>
  <c r="AD10" i="38"/>
  <c r="AE10" i="38" s="1"/>
  <c r="AC11" i="38"/>
  <c r="AG9" i="38"/>
  <c r="AH9" i="38" s="1"/>
  <c r="V10" i="38"/>
  <c r="AA218" i="38" l="1"/>
  <c r="AM217" i="38"/>
  <c r="AK217" i="38" s="1"/>
  <c r="AA182" i="38"/>
  <c r="AM181" i="38"/>
  <c r="AK181" i="38" s="1"/>
  <c r="AA86" i="38"/>
  <c r="AM85" i="38"/>
  <c r="AK85" i="38" s="1"/>
  <c r="AA254" i="38"/>
  <c r="AM253" i="38"/>
  <c r="AK253" i="38" s="1"/>
  <c r="AA170" i="38"/>
  <c r="AM169" i="38"/>
  <c r="AK169" i="38" s="1"/>
  <c r="AA122" i="38"/>
  <c r="AM121" i="38"/>
  <c r="AK121" i="38" s="1"/>
  <c r="AA230" i="38"/>
  <c r="AM229" i="38"/>
  <c r="AK229" i="38" s="1"/>
  <c r="AA134" i="38"/>
  <c r="AM133" i="38"/>
  <c r="AK133" i="38" s="1"/>
  <c r="AA146" i="38"/>
  <c r="AM145" i="38"/>
  <c r="AK145" i="38" s="1"/>
  <c r="AA50" i="38"/>
  <c r="AM49" i="38"/>
  <c r="AK49" i="38" s="1"/>
  <c r="AA62" i="38"/>
  <c r="AM61" i="38"/>
  <c r="AK61" i="38" s="1"/>
  <c r="AA14" i="38"/>
  <c r="AM13" i="38"/>
  <c r="AK13" i="38" s="1"/>
  <c r="AA206" i="38"/>
  <c r="AM205" i="38"/>
  <c r="AK205" i="38" s="1"/>
  <c r="AA26" i="38"/>
  <c r="AM25" i="38"/>
  <c r="AK25" i="38" s="1"/>
  <c r="AA74" i="38"/>
  <c r="AM73" i="38"/>
  <c r="AK73" i="38" s="1"/>
  <c r="AA38" i="38"/>
  <c r="AM37" i="38"/>
  <c r="AK37" i="38" s="1"/>
  <c r="AA110" i="38"/>
  <c r="AM109" i="38"/>
  <c r="AK109" i="38" s="1"/>
  <c r="AA242" i="38"/>
  <c r="AM241" i="38"/>
  <c r="AK241" i="38" s="1"/>
  <c r="AA98" i="38"/>
  <c r="AM97" i="38"/>
  <c r="AK97" i="38" s="1"/>
  <c r="AA194" i="38"/>
  <c r="AM193" i="38"/>
  <c r="AK193" i="38" s="1"/>
  <c r="AA158" i="38"/>
  <c r="AM157" i="38"/>
  <c r="AK157" i="38" s="1"/>
  <c r="AL9" i="38"/>
  <c r="AI9" i="38"/>
  <c r="U10" i="38"/>
  <c r="AF10" i="38"/>
  <c r="M11" i="38"/>
  <c r="AA159" i="38" l="1"/>
  <c r="AM158" i="38"/>
  <c r="AK158" i="38" s="1"/>
  <c r="AA99" i="38"/>
  <c r="AM98" i="38"/>
  <c r="AK98" i="38" s="1"/>
  <c r="AA111" i="38"/>
  <c r="AM110" i="38"/>
  <c r="AK110" i="38" s="1"/>
  <c r="AA75" i="38"/>
  <c r="AM74" i="38"/>
  <c r="AK74" i="38" s="1"/>
  <c r="AA207" i="38"/>
  <c r="AM206" i="38"/>
  <c r="AK206" i="38" s="1"/>
  <c r="AA63" i="38"/>
  <c r="AM62" i="38"/>
  <c r="AK62" i="38" s="1"/>
  <c r="AA147" i="38"/>
  <c r="AM146" i="38"/>
  <c r="AK146" i="38" s="1"/>
  <c r="AA231" i="38"/>
  <c r="AM230" i="38"/>
  <c r="AK230" i="38" s="1"/>
  <c r="AA171" i="38"/>
  <c r="AM170" i="38"/>
  <c r="AK170" i="38" s="1"/>
  <c r="AA87" i="38"/>
  <c r="AM86" i="38"/>
  <c r="AK86" i="38" s="1"/>
  <c r="AA219" i="38"/>
  <c r="AM218" i="38"/>
  <c r="AK218" i="38" s="1"/>
  <c r="AA195" i="38"/>
  <c r="AM194" i="38"/>
  <c r="AK194" i="38" s="1"/>
  <c r="AA243" i="38"/>
  <c r="AM242" i="38"/>
  <c r="AK242" i="38" s="1"/>
  <c r="AA39" i="38"/>
  <c r="AM38" i="38"/>
  <c r="AK38" i="38" s="1"/>
  <c r="AA27" i="38"/>
  <c r="AM26" i="38"/>
  <c r="AK26" i="38" s="1"/>
  <c r="AA15" i="38"/>
  <c r="AM14" i="38"/>
  <c r="AK14" i="38" s="1"/>
  <c r="AA51" i="38"/>
  <c r="AM50" i="38"/>
  <c r="AK50" i="38" s="1"/>
  <c r="AA135" i="38"/>
  <c r="AM134" i="38"/>
  <c r="AK134" i="38" s="1"/>
  <c r="AA123" i="38"/>
  <c r="AM122" i="38"/>
  <c r="AK122" i="38" s="1"/>
  <c r="AA255" i="38"/>
  <c r="AM254" i="38"/>
  <c r="AK254" i="38" s="1"/>
  <c r="AA183" i="38"/>
  <c r="AM182" i="38"/>
  <c r="AK182" i="38" s="1"/>
  <c r="AG10" i="38"/>
  <c r="AH10" i="38" s="1"/>
  <c r="Q11" i="38"/>
  <c r="P11" i="38"/>
  <c r="AA136" i="38" l="1"/>
  <c r="AM135" i="38"/>
  <c r="AK135" i="38" s="1"/>
  <c r="AA196" i="38"/>
  <c r="AM195" i="38"/>
  <c r="AK195" i="38" s="1"/>
  <c r="AA232" i="38"/>
  <c r="AM231" i="38"/>
  <c r="AK231" i="38" s="1"/>
  <c r="AA124" i="38"/>
  <c r="AM123" i="38"/>
  <c r="AK123" i="38" s="1"/>
  <c r="AA52" i="38"/>
  <c r="AM51" i="38"/>
  <c r="AK51" i="38" s="1"/>
  <c r="AA244" i="38"/>
  <c r="AM243" i="38"/>
  <c r="AK243" i="38" s="1"/>
  <c r="AA148" i="38"/>
  <c r="AM147" i="38"/>
  <c r="AK147" i="38" s="1"/>
  <c r="AA256" i="38"/>
  <c r="AM255" i="38"/>
  <c r="AK255" i="38" s="1"/>
  <c r="AA40" i="38"/>
  <c r="AM39" i="38"/>
  <c r="AK39" i="38" s="1"/>
  <c r="AA88" i="38"/>
  <c r="AM87" i="38"/>
  <c r="AK87" i="38" s="1"/>
  <c r="AA64" i="38"/>
  <c r="AM63" i="38"/>
  <c r="AK63" i="38" s="1"/>
  <c r="AA76" i="38"/>
  <c r="AM75" i="38"/>
  <c r="AK75" i="38" s="1"/>
  <c r="AA100" i="38"/>
  <c r="AM99" i="38"/>
  <c r="AK99" i="38" s="1"/>
  <c r="AA16" i="38"/>
  <c r="AM15" i="38"/>
  <c r="AK15" i="38" s="1"/>
  <c r="AA184" i="38"/>
  <c r="AM183" i="38"/>
  <c r="AK183" i="38" s="1"/>
  <c r="AA28" i="38"/>
  <c r="AM27" i="38"/>
  <c r="AK27" i="38" s="1"/>
  <c r="AA220" i="38"/>
  <c r="AM219" i="38"/>
  <c r="AK219" i="38" s="1"/>
  <c r="AA172" i="38"/>
  <c r="AM171" i="38"/>
  <c r="AK171" i="38" s="1"/>
  <c r="AA208" i="38"/>
  <c r="AM207" i="38"/>
  <c r="AK207" i="38" s="1"/>
  <c r="AA112" i="38"/>
  <c r="AM111" i="38"/>
  <c r="AK111" i="38" s="1"/>
  <c r="AA160" i="38"/>
  <c r="AM159" i="38"/>
  <c r="AK159" i="38" s="1"/>
  <c r="AD11" i="38"/>
  <c r="AE11" i="38" s="1"/>
  <c r="T11" i="38"/>
  <c r="V11" i="38" s="1"/>
  <c r="AI10" i="38"/>
  <c r="AL10" i="38"/>
  <c r="AA113" i="38" l="1"/>
  <c r="AM112" i="38"/>
  <c r="AK112" i="38" s="1"/>
  <c r="AA173" i="38"/>
  <c r="AM172" i="38"/>
  <c r="AK172" i="38" s="1"/>
  <c r="AA29" i="38"/>
  <c r="AM28" i="38"/>
  <c r="AK28" i="38" s="1"/>
  <c r="AA17" i="38"/>
  <c r="AM16" i="38"/>
  <c r="AK16" i="38" s="1"/>
  <c r="AA77" i="38"/>
  <c r="AM76" i="38"/>
  <c r="AK76" i="38" s="1"/>
  <c r="AA89" i="38"/>
  <c r="AM88" i="38"/>
  <c r="AK88" i="38" s="1"/>
  <c r="AA257" i="38"/>
  <c r="AM256" i="38"/>
  <c r="AK256" i="38" s="1"/>
  <c r="AA245" i="38"/>
  <c r="AM244" i="38"/>
  <c r="AK244" i="38" s="1"/>
  <c r="AA125" i="38"/>
  <c r="AM124" i="38"/>
  <c r="AK124" i="38" s="1"/>
  <c r="AA197" i="38"/>
  <c r="AM196" i="38"/>
  <c r="AK196" i="38" s="1"/>
  <c r="AA161" i="38"/>
  <c r="AM160" i="38"/>
  <c r="AK160" i="38" s="1"/>
  <c r="AA209" i="38"/>
  <c r="AM208" i="38"/>
  <c r="AK208" i="38" s="1"/>
  <c r="AA221" i="38"/>
  <c r="AM220" i="38"/>
  <c r="AK220" i="38" s="1"/>
  <c r="AA185" i="38"/>
  <c r="AM184" i="38"/>
  <c r="AK184" i="38" s="1"/>
  <c r="AA101" i="38"/>
  <c r="AM100" i="38"/>
  <c r="AK100" i="38" s="1"/>
  <c r="AA65" i="38"/>
  <c r="AM64" i="38"/>
  <c r="AK64" i="38" s="1"/>
  <c r="AA41" i="38"/>
  <c r="AM40" i="38"/>
  <c r="AK40" i="38" s="1"/>
  <c r="AA149" i="38"/>
  <c r="AM148" i="38"/>
  <c r="AK148" i="38" s="1"/>
  <c r="AA53" i="38"/>
  <c r="AM52" i="38"/>
  <c r="AK52" i="38" s="1"/>
  <c r="AA233" i="38"/>
  <c r="AM232" i="38"/>
  <c r="AK232" i="38" s="1"/>
  <c r="AA137" i="38"/>
  <c r="AM136" i="38"/>
  <c r="AK136" i="38" s="1"/>
  <c r="AC12" i="38"/>
  <c r="AF11" i="38"/>
  <c r="U11" i="38"/>
  <c r="M12" i="38"/>
  <c r="AA66" i="38" l="1"/>
  <c r="AM65" i="38"/>
  <c r="AK65" i="38" s="1"/>
  <c r="AA198" i="38"/>
  <c r="AM197" i="38"/>
  <c r="AK197" i="38" s="1"/>
  <c r="AA18" i="38"/>
  <c r="AM17" i="38"/>
  <c r="AK17" i="38" s="1"/>
  <c r="AA150" i="38"/>
  <c r="AM149" i="38"/>
  <c r="AK149" i="38" s="1"/>
  <c r="AA210" i="38"/>
  <c r="AM209" i="38"/>
  <c r="AK209" i="38" s="1"/>
  <c r="AA174" i="38"/>
  <c r="AM173" i="38"/>
  <c r="AK173" i="38" s="1"/>
  <c r="AA234" i="38"/>
  <c r="AM233" i="38"/>
  <c r="AK233" i="38" s="1"/>
  <c r="AA186" i="38"/>
  <c r="AM185" i="38"/>
  <c r="AK185" i="38" s="1"/>
  <c r="AA246" i="38"/>
  <c r="AM245" i="38"/>
  <c r="AK245" i="38" s="1"/>
  <c r="AA90" i="38"/>
  <c r="AM89" i="38"/>
  <c r="AK89" i="38" s="1"/>
  <c r="AA138" i="38"/>
  <c r="AM137" i="38"/>
  <c r="AK137" i="38" s="1"/>
  <c r="AA54" i="38"/>
  <c r="AM53" i="38"/>
  <c r="AK53" i="38" s="1"/>
  <c r="AA42" i="38"/>
  <c r="AM41" i="38"/>
  <c r="AK41" i="38" s="1"/>
  <c r="AA102" i="38"/>
  <c r="AM101" i="38"/>
  <c r="AK101" i="38" s="1"/>
  <c r="AA222" i="38"/>
  <c r="AM221" i="38"/>
  <c r="AK221" i="38" s="1"/>
  <c r="AA162" i="38"/>
  <c r="AM161" i="38"/>
  <c r="AK161" i="38" s="1"/>
  <c r="AA126" i="38"/>
  <c r="AM125" i="38"/>
  <c r="AK125" i="38" s="1"/>
  <c r="AA258" i="38"/>
  <c r="AM257" i="38"/>
  <c r="AK257" i="38" s="1"/>
  <c r="AA78" i="38"/>
  <c r="AM77" i="38"/>
  <c r="AK77" i="38" s="1"/>
  <c r="AA30" i="38"/>
  <c r="AM29" i="38"/>
  <c r="AK29" i="38" s="1"/>
  <c r="AA114" i="38"/>
  <c r="AM113" i="38"/>
  <c r="AK113" i="38" s="1"/>
  <c r="AG11" i="38"/>
  <c r="AH11" i="38" s="1"/>
  <c r="Q12" i="38"/>
  <c r="T12" i="38" s="1"/>
  <c r="P12" i="38"/>
  <c r="AA31" i="38" l="1"/>
  <c r="AM30" i="38"/>
  <c r="AK30" i="38" s="1"/>
  <c r="AA163" i="38"/>
  <c r="AM162" i="38"/>
  <c r="AK162" i="38" s="1"/>
  <c r="AA115" i="38"/>
  <c r="AM114" i="38"/>
  <c r="AK114" i="38" s="1"/>
  <c r="AA79" i="38"/>
  <c r="AM78" i="38"/>
  <c r="AK78" i="38" s="1"/>
  <c r="AA127" i="38"/>
  <c r="AM126" i="38"/>
  <c r="AK126" i="38" s="1"/>
  <c r="AA223" i="38"/>
  <c r="AM222" i="38"/>
  <c r="AK222" i="38" s="1"/>
  <c r="AA43" i="38"/>
  <c r="AM42" i="38"/>
  <c r="AK42" i="38" s="1"/>
  <c r="AA139" i="38"/>
  <c r="AM138" i="38"/>
  <c r="AK138" i="38" s="1"/>
  <c r="AA247" i="38"/>
  <c r="AM246" i="38"/>
  <c r="AK246" i="38" s="1"/>
  <c r="AA235" i="38"/>
  <c r="AM234" i="38"/>
  <c r="AK234" i="38" s="1"/>
  <c r="AA211" i="38"/>
  <c r="AM210" i="38"/>
  <c r="AK210" i="38" s="1"/>
  <c r="AA19" i="38"/>
  <c r="AM18" i="38"/>
  <c r="AK18" i="38" s="1"/>
  <c r="AA67" i="38"/>
  <c r="AM66" i="38"/>
  <c r="AK66" i="38" s="1"/>
  <c r="AA259" i="38"/>
  <c r="AM259" i="38" s="1"/>
  <c r="AK259" i="38" s="1"/>
  <c r="AM258" i="38"/>
  <c r="AK258" i="38" s="1"/>
  <c r="AA103" i="38"/>
  <c r="AM102" i="38"/>
  <c r="AK102" i="38" s="1"/>
  <c r="AA55" i="38"/>
  <c r="AM54" i="38"/>
  <c r="AK54" i="38" s="1"/>
  <c r="AA91" i="38"/>
  <c r="AM90" i="38"/>
  <c r="AK90" i="38" s="1"/>
  <c r="AA187" i="38"/>
  <c r="AM186" i="38"/>
  <c r="AK186" i="38" s="1"/>
  <c r="AA175" i="38"/>
  <c r="AM174" i="38"/>
  <c r="AK174" i="38" s="1"/>
  <c r="AA151" i="38"/>
  <c r="AM150" i="38"/>
  <c r="AK150" i="38" s="1"/>
  <c r="AA199" i="38"/>
  <c r="AM198" i="38"/>
  <c r="AK198" i="38" s="1"/>
  <c r="AD12" i="38"/>
  <c r="AE12" i="38" s="1"/>
  <c r="U12" i="38" s="1"/>
  <c r="V12" i="38"/>
  <c r="M13" i="38" s="1"/>
  <c r="AL11" i="38"/>
  <c r="AI11" i="38"/>
  <c r="AM235" i="38" l="1"/>
  <c r="AK235" i="38" s="1"/>
  <c r="AK236" i="38"/>
  <c r="AM79" i="38"/>
  <c r="AK80" i="38"/>
  <c r="AM199" i="38"/>
  <c r="AK199" i="38" s="1"/>
  <c r="AK200" i="38"/>
  <c r="AC13" i="38"/>
  <c r="AM151" i="38"/>
  <c r="AK152" i="38"/>
  <c r="AM55" i="38"/>
  <c r="AK56" i="38"/>
  <c r="AM19" i="38"/>
  <c r="AK20" i="38"/>
  <c r="AM163" i="38"/>
  <c r="AK164" i="38"/>
  <c r="AM187" i="38"/>
  <c r="AK188" i="38"/>
  <c r="AM139" i="38"/>
  <c r="AK140" i="38"/>
  <c r="AM223" i="38"/>
  <c r="AK223" i="38" s="1"/>
  <c r="AK224" i="38"/>
  <c r="AM175" i="38"/>
  <c r="AK176" i="38"/>
  <c r="AM91" i="38"/>
  <c r="AK92" i="38"/>
  <c r="AM103" i="38"/>
  <c r="AK104" i="38"/>
  <c r="AM67" i="38"/>
  <c r="AK68" i="38"/>
  <c r="AM211" i="38"/>
  <c r="AK211" i="38" s="1"/>
  <c r="AK212" i="38"/>
  <c r="AM247" i="38"/>
  <c r="AK247" i="38" s="1"/>
  <c r="AK248" i="38"/>
  <c r="AM43" i="38"/>
  <c r="AK44" i="38"/>
  <c r="AM127" i="38"/>
  <c r="AK128" i="38"/>
  <c r="AM115" i="38"/>
  <c r="AK116" i="38"/>
  <c r="AM31" i="38"/>
  <c r="AK32" i="38"/>
  <c r="AF12" i="38"/>
  <c r="Q13" i="38"/>
  <c r="T13" i="38" s="1"/>
  <c r="P13" i="38"/>
  <c r="AD13" i="38" l="1"/>
  <c r="AE13" i="38" s="1"/>
  <c r="AG12" i="38"/>
  <c r="AH12" i="38" s="1"/>
  <c r="AI12" i="38" s="1"/>
  <c r="AC14" i="38" l="1"/>
  <c r="AL12" i="38"/>
  <c r="U13" i="38"/>
  <c r="V13" i="38"/>
  <c r="AF13" i="38" s="1"/>
  <c r="M14" i="38" l="1"/>
  <c r="AG13" i="38"/>
  <c r="AH13" i="38" s="1"/>
  <c r="Q14" i="38"/>
  <c r="P14" i="38" l="1"/>
  <c r="AD14" i="38" s="1"/>
  <c r="AI13" i="38"/>
  <c r="AL13" i="38"/>
  <c r="T14" i="38" l="1"/>
  <c r="AC15" i="38" s="1"/>
  <c r="AE14" i="38"/>
  <c r="V14" i="38"/>
  <c r="U14" i="38" l="1"/>
  <c r="AF14" i="38"/>
  <c r="M15" i="38"/>
  <c r="P15" i="38" l="1"/>
  <c r="AG14" i="38"/>
  <c r="AH14" i="38" s="1"/>
  <c r="AI14" i="38" s="1"/>
  <c r="Q15" i="38"/>
  <c r="AD15" i="38" s="1"/>
  <c r="AE15" i="38" s="1"/>
  <c r="T15" i="38" l="1"/>
  <c r="AL14" i="38"/>
  <c r="AC16" i="38"/>
  <c r="V15" i="38"/>
  <c r="AF15" i="38" s="1"/>
  <c r="U15" i="38"/>
  <c r="AG15" i="38" l="1"/>
  <c r="AH15" i="38" s="1"/>
  <c r="AI15" i="38" s="1"/>
  <c r="M16" i="38"/>
  <c r="T16" i="38" l="1"/>
  <c r="AL15" i="38"/>
  <c r="P16" i="38"/>
  <c r="Q16" i="38"/>
  <c r="AD16" i="38" l="1"/>
  <c r="AE16" i="38" s="1"/>
  <c r="U16" i="38" s="1"/>
  <c r="AC17" i="38" l="1"/>
  <c r="V16" i="38"/>
  <c r="AF16" i="38" s="1"/>
  <c r="M17" i="38" l="1"/>
  <c r="AG16" i="38"/>
  <c r="AH16" i="38" s="1"/>
  <c r="AI16" i="38" s="1"/>
  <c r="Q17" i="38" l="1"/>
  <c r="AD17" i="38" s="1"/>
  <c r="AE17" i="38" s="1"/>
  <c r="P17" i="38"/>
  <c r="AL16" i="38"/>
  <c r="T17" i="38" l="1"/>
  <c r="V17" i="38" s="1"/>
  <c r="AF17" i="38" s="1"/>
  <c r="U17" i="38" l="1"/>
  <c r="AC18" i="38"/>
  <c r="AG17" i="38"/>
  <c r="M18" i="38"/>
  <c r="AH17" i="38" l="1"/>
  <c r="AI17" i="38" s="1"/>
  <c r="AL17" i="38"/>
  <c r="Q18" i="38"/>
  <c r="P18" i="38"/>
  <c r="T18" i="38" s="1"/>
  <c r="AD18" i="38" l="1"/>
  <c r="AE18" i="38" s="1"/>
  <c r="AC19" i="38" l="1"/>
  <c r="V18" i="38"/>
  <c r="AF18" i="38" s="1"/>
  <c r="U18" i="38"/>
  <c r="AG18" i="38" l="1"/>
  <c r="M19" i="38"/>
  <c r="AH18" i="38" l="1"/>
  <c r="AI18" i="38" s="1"/>
  <c r="AL18" i="38"/>
  <c r="P19" i="38"/>
  <c r="T19" i="38" s="1"/>
  <c r="R19" i="38"/>
  <c r="AK19" i="38" s="1"/>
  <c r="Q19" i="38"/>
  <c r="S19" i="38"/>
  <c r="AD19" i="38" l="1"/>
  <c r="AE19" i="38" s="1"/>
  <c r="U19" i="38" s="1"/>
  <c r="V19" i="38"/>
  <c r="AC20" i="38" l="1"/>
  <c r="M20" i="38"/>
  <c r="AF19" i="38"/>
  <c r="T20" i="38" l="1"/>
  <c r="AG19" i="38"/>
  <c r="P20" i="38"/>
  <c r="Q20" i="38"/>
  <c r="AD20" i="38" l="1"/>
  <c r="AE20" i="38" s="1"/>
  <c r="AH19" i="38"/>
  <c r="AI19" i="38" s="1"/>
  <c r="AL19" i="38"/>
  <c r="V20" i="38"/>
  <c r="AC21" i="38" l="1"/>
  <c r="AF20" i="38"/>
  <c r="M21" i="38"/>
  <c r="U20" i="38"/>
  <c r="Q21" i="38" l="1"/>
  <c r="P21" i="38"/>
  <c r="T21" i="38" s="1"/>
  <c r="AG20" i="38"/>
  <c r="AD21" i="38" l="1"/>
  <c r="AE21" i="38" s="1"/>
  <c r="AH20" i="38"/>
  <c r="AI20" i="38" s="1"/>
  <c r="AL20" i="38"/>
  <c r="AC22" i="38" l="1"/>
  <c r="V21" i="38"/>
  <c r="AF21" i="38" s="1"/>
  <c r="U21" i="38"/>
  <c r="M22" i="38" l="1"/>
  <c r="Q22" i="38"/>
  <c r="AG21" i="38"/>
  <c r="P22" i="38" l="1"/>
  <c r="T22" i="38" s="1"/>
  <c r="AD22" i="38"/>
  <c r="AE22" i="38" s="1"/>
  <c r="AH21" i="38"/>
  <c r="AI21" i="38" s="1"/>
  <c r="AL21" i="38"/>
  <c r="V22" i="38" l="1"/>
  <c r="AF22" i="38" s="1"/>
  <c r="U22" i="38"/>
  <c r="AC23" i="38"/>
  <c r="M23" i="38"/>
  <c r="AG22" i="38" l="1"/>
  <c r="Q23" i="38"/>
  <c r="P23" i="38"/>
  <c r="AD23" i="38" s="1"/>
  <c r="AE23" i="38" s="1"/>
  <c r="T23" i="38" l="1"/>
  <c r="V23" i="38"/>
  <c r="AH22" i="38"/>
  <c r="AI22" i="38" s="1"/>
  <c r="AL22" i="38"/>
  <c r="AC24" i="38"/>
  <c r="U23" i="38" l="1"/>
  <c r="AF23" i="38" l="1"/>
  <c r="M24" i="38"/>
  <c r="P24" i="38" l="1"/>
  <c r="Q24" i="38"/>
  <c r="AG23" i="38"/>
  <c r="AD24" i="38" l="1"/>
  <c r="AE24" i="38" s="1"/>
  <c r="T24" i="38"/>
  <c r="AH23" i="38"/>
  <c r="AI23" i="38" s="1"/>
  <c r="AL23" i="38"/>
  <c r="AC25" i="38" l="1"/>
  <c r="U24" i="38"/>
  <c r="V24" i="38"/>
  <c r="AF24" i="38" s="1"/>
  <c r="M25" i="38" l="1"/>
  <c r="Q25" i="38"/>
  <c r="AG24" i="38"/>
  <c r="P25" i="38" l="1"/>
  <c r="T25" i="38"/>
  <c r="V25" i="38" s="1"/>
  <c r="AD25" i="38"/>
  <c r="AE25" i="38" s="1"/>
  <c r="U25" i="38" s="1"/>
  <c r="AH24" i="38"/>
  <c r="AI24" i="38" s="1"/>
  <c r="AL24" i="38"/>
  <c r="AC26" i="38" l="1"/>
  <c r="AF25" i="38"/>
  <c r="M26" i="38"/>
  <c r="Q26" i="38" l="1"/>
  <c r="P26" i="38"/>
  <c r="AG25" i="38"/>
  <c r="AD26" i="38" l="1"/>
  <c r="AE26" i="38" s="1"/>
  <c r="T26" i="38"/>
  <c r="AH25" i="38"/>
  <c r="AI25" i="38" s="1"/>
  <c r="AL25" i="38"/>
  <c r="AC27" i="38" l="1"/>
  <c r="U26" i="38"/>
  <c r="V26" i="38"/>
  <c r="M27" i="38" s="1"/>
  <c r="T27" i="38" l="1"/>
  <c r="AF26" i="38"/>
  <c r="AG26" i="38" s="1"/>
  <c r="Q27" i="38"/>
  <c r="P27" i="38"/>
  <c r="AD27" i="38" l="1"/>
  <c r="AE27" i="38" s="1"/>
  <c r="U27" i="38" s="1"/>
  <c r="V27" i="38"/>
  <c r="AH26" i="38"/>
  <c r="AI26" i="38" s="1"/>
  <c r="AL26" i="38"/>
  <c r="AC28" i="38" l="1"/>
  <c r="AF27" i="38"/>
  <c r="M28" i="38"/>
  <c r="Q28" i="38" l="1"/>
  <c r="T28" i="38" s="1"/>
  <c r="P28" i="38"/>
  <c r="AG27" i="38"/>
  <c r="AD28" i="38" l="1"/>
  <c r="AE28" i="38" s="1"/>
  <c r="AH27" i="38"/>
  <c r="AI27" i="38" s="1"/>
  <c r="AL27" i="38"/>
  <c r="AC29" i="38" l="1"/>
  <c r="U28" i="38"/>
  <c r="V28" i="38"/>
  <c r="AF28" i="38" s="1"/>
  <c r="M29" i="38" l="1"/>
  <c r="AG28" i="38"/>
  <c r="Q29" i="38" l="1"/>
  <c r="P29" i="38"/>
  <c r="AH28" i="38"/>
  <c r="AI28" i="38" s="1"/>
  <c r="AL28" i="38"/>
  <c r="AD29" i="38" l="1"/>
  <c r="AE29" i="38" s="1"/>
  <c r="T29" i="38"/>
  <c r="AC30" i="38" l="1"/>
  <c r="U29" i="38"/>
  <c r="V29" i="38"/>
  <c r="AF29" i="38" s="1"/>
  <c r="M30" i="38" l="1"/>
  <c r="Q30" i="38"/>
  <c r="AG29" i="38"/>
  <c r="P30" i="38" l="1"/>
  <c r="AD30" i="38" s="1"/>
  <c r="AE30" i="38" s="1"/>
  <c r="AH29" i="38"/>
  <c r="AI29" i="38" s="1"/>
  <c r="AL29" i="38"/>
  <c r="AC31" i="38" l="1"/>
  <c r="T30" i="38"/>
  <c r="V30" i="38" s="1"/>
  <c r="U30" i="38"/>
  <c r="M31" i="38" l="1"/>
  <c r="AF30" i="38"/>
  <c r="AG30" i="38" s="1"/>
  <c r="S31" i="38"/>
  <c r="Q31" i="38"/>
  <c r="R31" i="38" l="1"/>
  <c r="AK31" i="38" s="1"/>
  <c r="P31" i="38"/>
  <c r="AD31" i="38" s="1"/>
  <c r="AH30" i="38"/>
  <c r="AI30" i="38" s="1"/>
  <c r="AL30" i="38"/>
  <c r="AE31" i="38" l="1"/>
  <c r="U31" i="38" s="1"/>
  <c r="V31" i="38"/>
  <c r="T31" i="38"/>
  <c r="AC32" i="38" s="1"/>
  <c r="AF31" i="38" l="1"/>
  <c r="M32" i="38"/>
  <c r="Q32" i="38" l="1"/>
  <c r="P32" i="38"/>
  <c r="T32" i="38" s="1"/>
  <c r="AG31" i="38"/>
  <c r="AD32" i="38" l="1"/>
  <c r="AE32" i="38" s="1"/>
  <c r="V32" i="38"/>
  <c r="AH31" i="38"/>
  <c r="AI31" i="38" s="1"/>
  <c r="AL31" i="38"/>
  <c r="AC33" i="38" l="1"/>
  <c r="U32" i="38"/>
  <c r="AF32" i="38"/>
  <c r="M33" i="38"/>
  <c r="P33" i="38" l="1"/>
  <c r="AD33" i="38" s="1"/>
  <c r="AE33" i="38" s="1"/>
  <c r="Q33" i="38"/>
  <c r="AG32" i="38"/>
  <c r="T33" i="38" l="1"/>
  <c r="V33" i="38" s="1"/>
  <c r="AH32" i="38"/>
  <c r="AI32" i="38" s="1"/>
  <c r="AL32" i="38"/>
  <c r="U33" i="38"/>
  <c r="AC34" i="38" l="1"/>
  <c r="AF33" i="38"/>
  <c r="M34" i="38"/>
  <c r="P34" i="38" l="1"/>
  <c r="T34" i="38" s="1"/>
  <c r="Q34" i="38"/>
  <c r="AD34" i="38" s="1"/>
  <c r="AE34" i="38" s="1"/>
  <c r="AG33" i="38"/>
  <c r="AC35" i="38" l="1"/>
  <c r="AH33" i="38"/>
  <c r="AI33" i="38" s="1"/>
  <c r="AL33" i="38"/>
  <c r="U34" i="38" l="1"/>
  <c r="V34" i="38"/>
  <c r="AF34" i="38" s="1"/>
  <c r="M35" i="38" l="1"/>
  <c r="AG34" i="38"/>
  <c r="P35" i="38" l="1"/>
  <c r="T35" i="38" s="1"/>
  <c r="Q35" i="38"/>
  <c r="AH34" i="38"/>
  <c r="AI34" i="38" s="1"/>
  <c r="AL34" i="38"/>
  <c r="AD35" i="38" l="1"/>
  <c r="AE35" i="38" s="1"/>
  <c r="V35" i="38"/>
  <c r="M36" i="38"/>
  <c r="AF35" i="38" l="1"/>
  <c r="AG35" i="38" s="1"/>
  <c r="AC36" i="38"/>
  <c r="U35" i="38"/>
  <c r="P36" i="38"/>
  <c r="Q36" i="38"/>
  <c r="AD36" i="38" l="1"/>
  <c r="AE36" i="38" s="1"/>
  <c r="T36" i="38"/>
  <c r="AH35" i="38"/>
  <c r="AI35" i="38" s="1"/>
  <c r="AL35" i="38"/>
  <c r="AC37" i="38" l="1"/>
  <c r="V36" i="38"/>
  <c r="AF36" i="38" s="1"/>
  <c r="U36" i="38"/>
  <c r="M37" i="38"/>
  <c r="Q37" i="38" l="1"/>
  <c r="P37" i="38"/>
  <c r="AD37" i="38" s="1"/>
  <c r="AE37" i="38" s="1"/>
  <c r="AG36" i="38"/>
  <c r="T37" i="38" l="1"/>
  <c r="U37" i="38" s="1"/>
  <c r="AH36" i="38"/>
  <c r="AI36" i="38" s="1"/>
  <c r="AL36" i="38"/>
  <c r="V37" i="38" l="1"/>
  <c r="AF37" i="38" s="1"/>
  <c r="AC38" i="38"/>
  <c r="M38" i="38"/>
  <c r="P38" i="38" l="1"/>
  <c r="AD38" i="38" s="1"/>
  <c r="AE38" i="38" s="1"/>
  <c r="Q38" i="38"/>
  <c r="AG37" i="38"/>
  <c r="T38" i="38" l="1"/>
  <c r="V38" i="38" s="1"/>
  <c r="AC39" i="38"/>
  <c r="AH37" i="38"/>
  <c r="AI37" i="38" s="1"/>
  <c r="AL37" i="38"/>
  <c r="U38" i="38"/>
  <c r="AF38" i="38" l="1"/>
  <c r="M39" i="38"/>
  <c r="Q39" i="38" l="1"/>
  <c r="T39" i="38" s="1"/>
  <c r="P39" i="38"/>
  <c r="AG38" i="38"/>
  <c r="AD39" i="38" l="1"/>
  <c r="AE39" i="38" s="1"/>
  <c r="V39" i="38"/>
  <c r="AH38" i="38"/>
  <c r="AI38" i="38" s="1"/>
  <c r="AL38" i="38"/>
  <c r="AC40" i="38" l="1"/>
  <c r="U39" i="38"/>
  <c r="AF39" i="38"/>
  <c r="M40" i="38"/>
  <c r="T40" i="38" l="1"/>
  <c r="V40" i="38"/>
  <c r="P40" i="38"/>
  <c r="Q40" i="38"/>
  <c r="AG39" i="38"/>
  <c r="AD40" i="38" l="1"/>
  <c r="AE40" i="38" s="1"/>
  <c r="AF40" i="38" s="1"/>
  <c r="M41" i="38"/>
  <c r="AH39" i="38"/>
  <c r="AI39" i="38" s="1"/>
  <c r="AL39" i="38"/>
  <c r="AC41" i="38" l="1"/>
  <c r="AG40" i="38"/>
  <c r="U40" i="38"/>
  <c r="P41" i="38"/>
  <c r="AD41" i="38" s="1"/>
  <c r="Q41" i="38"/>
  <c r="T41" i="38" l="1"/>
  <c r="AC42" i="38" s="1"/>
  <c r="AE41" i="38"/>
  <c r="V41" i="38"/>
  <c r="M42" i="38" s="1"/>
  <c r="AH40" i="38"/>
  <c r="AI40" i="38" s="1"/>
  <c r="AL40" i="38"/>
  <c r="AF41" i="38" l="1"/>
  <c r="AG41" i="38" s="1"/>
  <c r="U41" i="38"/>
  <c r="P42" i="38"/>
  <c r="Q42" i="38"/>
  <c r="T42" i="38" s="1"/>
  <c r="V42" i="38" l="1"/>
  <c r="AD42" i="38"/>
  <c r="AH41" i="38"/>
  <c r="AI41" i="38" s="1"/>
  <c r="AL41" i="38"/>
  <c r="AC43" i="38" l="1"/>
  <c r="AE42" i="38"/>
  <c r="U42" i="38" s="1"/>
  <c r="M43" i="38"/>
  <c r="AF42" i="38" l="1"/>
  <c r="R43" i="38"/>
  <c r="AK43" i="38" s="1"/>
  <c r="S43" i="38"/>
  <c r="Q43" i="38"/>
  <c r="P43" i="38"/>
  <c r="AG42" i="38"/>
  <c r="AD43" i="38" l="1"/>
  <c r="AE43" i="38" s="1"/>
  <c r="T43" i="38"/>
  <c r="AH42" i="38"/>
  <c r="AI42" i="38" s="1"/>
  <c r="AL42" i="38"/>
  <c r="U43" i="38" l="1"/>
  <c r="AC44" i="38"/>
  <c r="V43" i="38"/>
  <c r="AF43" i="38" s="1"/>
  <c r="M44" i="38" l="1"/>
  <c r="AG43" i="38"/>
  <c r="AH43" i="38" s="1"/>
  <c r="AI43" i="38" s="1"/>
  <c r="Q44" i="38" l="1"/>
  <c r="AD44" i="38" s="1"/>
  <c r="AE44" i="38" s="1"/>
  <c r="P44" i="38"/>
  <c r="T44" i="38" s="1"/>
  <c r="AL43" i="38"/>
  <c r="V44" i="38" l="1"/>
  <c r="AC45" i="38"/>
  <c r="U44" i="38"/>
  <c r="AF44" i="38" l="1"/>
  <c r="M45" i="38"/>
  <c r="P45" i="38" l="1"/>
  <c r="AD45" i="38" s="1"/>
  <c r="AE45" i="38" s="1"/>
  <c r="Q45" i="38"/>
  <c r="AG44" i="38"/>
  <c r="T45" i="38" l="1"/>
  <c r="AC46" i="38"/>
  <c r="AH44" i="38"/>
  <c r="AI44" i="38" s="1"/>
  <c r="AL44" i="38"/>
  <c r="U45" i="38" l="1"/>
  <c r="V45" i="38"/>
  <c r="M46" i="38" s="1"/>
  <c r="T46" i="38" l="1"/>
  <c r="AF45" i="38"/>
  <c r="P46" i="38"/>
  <c r="Q46" i="38"/>
  <c r="V46" i="38" l="1"/>
  <c r="AD46" i="38"/>
  <c r="AC47" i="38" s="1"/>
  <c r="AG45" i="38"/>
  <c r="AL45" i="38" s="1"/>
  <c r="AE46" i="38" l="1"/>
  <c r="U46" i="38" s="1"/>
  <c r="AH45" i="38"/>
  <c r="AI45" i="38" s="1"/>
  <c r="M47" i="38"/>
  <c r="T47" i="38" l="1"/>
  <c r="AF46" i="38"/>
  <c r="AG46" i="38" s="1"/>
  <c r="Q47" i="38"/>
  <c r="P47" i="38"/>
  <c r="AD47" i="38" l="1"/>
  <c r="AH46" i="38"/>
  <c r="AI46" i="38" s="1"/>
  <c r="AL46" i="38"/>
  <c r="V47" i="38"/>
  <c r="AC48" i="38" l="1"/>
  <c r="AE47" i="38"/>
  <c r="U47" i="38" s="1"/>
  <c r="AF47" i="38" l="1"/>
  <c r="M48" i="38"/>
  <c r="P48" i="38" l="1"/>
  <c r="AD48" i="38" s="1"/>
  <c r="AE48" i="38" s="1"/>
  <c r="Q48" i="38"/>
  <c r="AG47" i="38"/>
  <c r="T48" i="38" l="1"/>
  <c r="V48" i="38" s="1"/>
  <c r="AH47" i="38"/>
  <c r="AI47" i="38" s="1"/>
  <c r="AL47" i="38"/>
  <c r="AC49" i="38" l="1"/>
  <c r="U48" i="38"/>
  <c r="AF48" i="38" l="1"/>
  <c r="M49" i="38"/>
  <c r="P49" i="38" l="1"/>
  <c r="Q49" i="38"/>
  <c r="AG48" i="38"/>
  <c r="AD49" i="38" l="1"/>
  <c r="AE49" i="38" s="1"/>
  <c r="T49" i="38"/>
  <c r="V49" i="38" s="1"/>
  <c r="AH48" i="38"/>
  <c r="AI48" i="38" s="1"/>
  <c r="AL48" i="38"/>
  <c r="AC50" i="38" l="1"/>
  <c r="U49" i="38"/>
  <c r="AF49" i="38" l="1"/>
  <c r="M50" i="38"/>
  <c r="Q50" i="38" l="1"/>
  <c r="P50" i="38"/>
  <c r="T50" i="38" s="1"/>
  <c r="AG49" i="38"/>
  <c r="V50" i="38" l="1"/>
  <c r="AD50" i="38"/>
  <c r="AE50" i="38" s="1"/>
  <c r="U50" i="38" s="1"/>
  <c r="AH49" i="38"/>
  <c r="AI49" i="38" s="1"/>
  <c r="AL49" i="38"/>
  <c r="AC51" i="38" l="1"/>
  <c r="AF50" i="38"/>
  <c r="M51" i="38"/>
  <c r="P51" i="38" l="1"/>
  <c r="AD51" i="38" s="1"/>
  <c r="AE51" i="38" s="1"/>
  <c r="Q51" i="38"/>
  <c r="AG50" i="38"/>
  <c r="T51" i="38" l="1"/>
  <c r="V51" i="38"/>
  <c r="AH50" i="38"/>
  <c r="AI50" i="38" s="1"/>
  <c r="AL50" i="38"/>
  <c r="AC52" i="38" l="1"/>
  <c r="AF51" i="38"/>
  <c r="M52" i="38"/>
  <c r="U51" i="38"/>
  <c r="P52" i="38" l="1"/>
  <c r="AD52" i="38" s="1"/>
  <c r="AE52" i="38" s="1"/>
  <c r="Q52" i="38"/>
  <c r="AG51" i="38"/>
  <c r="T52" i="38" l="1"/>
  <c r="V52" i="38" s="1"/>
  <c r="AH51" i="38"/>
  <c r="AI51" i="38" s="1"/>
  <c r="AL51" i="38"/>
  <c r="AC53" i="38" l="1"/>
  <c r="U52" i="38"/>
  <c r="AF52" i="38" l="1"/>
  <c r="M53" i="38"/>
  <c r="T53" i="38" l="1"/>
  <c r="V53" i="38"/>
  <c r="P53" i="38"/>
  <c r="Q53" i="38"/>
  <c r="AG52" i="38"/>
  <c r="AD53" i="38" l="1"/>
  <c r="AE53" i="38" s="1"/>
  <c r="U53" i="38" s="1"/>
  <c r="AH52" i="38"/>
  <c r="AI52" i="38" s="1"/>
  <c r="AL52" i="38"/>
  <c r="M54" i="38"/>
  <c r="AC54" i="38" l="1"/>
  <c r="T54" i="38"/>
  <c r="AF53" i="38"/>
  <c r="Q54" i="38"/>
  <c r="P54" i="38"/>
  <c r="AD54" i="38" l="1"/>
  <c r="AE54" i="38" s="1"/>
  <c r="V54" i="38"/>
  <c r="AG53" i="38"/>
  <c r="AC55" i="38" l="1"/>
  <c r="U54" i="38"/>
  <c r="AH53" i="38"/>
  <c r="AI53" i="38" s="1"/>
  <c r="AL53" i="38"/>
  <c r="AF54" i="38" l="1"/>
  <c r="M55" i="38"/>
  <c r="R55" i="38" l="1"/>
  <c r="AK55" i="38" s="1"/>
  <c r="Q55" i="38"/>
  <c r="P55" i="38"/>
  <c r="AD55" i="38" s="1"/>
  <c r="S55" i="38"/>
  <c r="AG54" i="38"/>
  <c r="T55" i="38" l="1"/>
  <c r="AE55" i="38"/>
  <c r="AH54" i="38"/>
  <c r="AI54" i="38" s="1"/>
  <c r="AL54" i="38"/>
  <c r="V55" i="38"/>
  <c r="AC56" i="38" l="1"/>
  <c r="U55" i="38"/>
  <c r="AF55" i="38" l="1"/>
  <c r="M56" i="38"/>
  <c r="Q56" i="38" l="1"/>
  <c r="P56" i="38"/>
  <c r="AG55" i="38"/>
  <c r="AD56" i="38" l="1"/>
  <c r="AE56" i="38" s="1"/>
  <c r="T56" i="38"/>
  <c r="AH55" i="38"/>
  <c r="AI55" i="38" s="1"/>
  <c r="AL55" i="38"/>
  <c r="AC57" i="38" l="1"/>
  <c r="U56" i="38"/>
  <c r="V56" i="38"/>
  <c r="AF56" i="38" s="1"/>
  <c r="M57" i="38"/>
  <c r="Q57" i="38" l="1"/>
  <c r="T57" i="38" s="1"/>
  <c r="P57" i="38"/>
  <c r="AG56" i="38"/>
  <c r="AD57" i="38" l="1"/>
  <c r="AE57" i="38" s="1"/>
  <c r="AH56" i="38"/>
  <c r="AI56" i="38" s="1"/>
  <c r="AL56" i="38"/>
  <c r="V57" i="38"/>
  <c r="AC58" i="38" l="1"/>
  <c r="U57" i="38"/>
  <c r="AF57" i="38" l="1"/>
  <c r="M58" i="38"/>
  <c r="Q58" i="38" l="1"/>
  <c r="T58" i="38" s="1"/>
  <c r="P58" i="38"/>
  <c r="AG57" i="38"/>
  <c r="AD58" i="38" l="1"/>
  <c r="AE58" i="38" s="1"/>
  <c r="AH57" i="38"/>
  <c r="AI57" i="38" s="1"/>
  <c r="AL57" i="38"/>
  <c r="V58" i="38"/>
  <c r="AC59" i="38" l="1"/>
  <c r="U58" i="38"/>
  <c r="AF58" i="38" l="1"/>
  <c r="M59" i="38"/>
  <c r="Q59" i="38" l="1"/>
  <c r="T59" i="38" s="1"/>
  <c r="P59" i="38"/>
  <c r="AG58" i="38"/>
  <c r="AD59" i="38" l="1"/>
  <c r="AE59" i="38" s="1"/>
  <c r="AH58" i="38"/>
  <c r="AI58" i="38" s="1"/>
  <c r="AL58" i="38"/>
  <c r="AC60" i="38" l="1"/>
  <c r="V59" i="38"/>
  <c r="AF59" i="38" s="1"/>
  <c r="U59" i="38"/>
  <c r="M60" i="38"/>
  <c r="P60" i="38" l="1"/>
  <c r="AD60" i="38" s="1"/>
  <c r="AE60" i="38" s="1"/>
  <c r="Q60" i="38"/>
  <c r="AG59" i="38"/>
  <c r="T60" i="38" l="1"/>
  <c r="AC61" i="38" s="1"/>
  <c r="AH59" i="38"/>
  <c r="AI59" i="38" s="1"/>
  <c r="AL59" i="38"/>
  <c r="U60" i="38" l="1"/>
  <c r="V60" i="38"/>
  <c r="AF60" i="38" s="1"/>
  <c r="M61" i="38" l="1"/>
  <c r="Q61" i="38"/>
  <c r="AG60" i="38"/>
  <c r="P61" i="38" l="1"/>
  <c r="AD61" i="38" s="1"/>
  <c r="AE61" i="38" s="1"/>
  <c r="AH60" i="38"/>
  <c r="AI60" i="38" s="1"/>
  <c r="AL60" i="38"/>
  <c r="T61" i="38" l="1"/>
  <c r="V61" i="38" s="1"/>
  <c r="U61" i="38" l="1"/>
  <c r="AC62" i="38"/>
  <c r="AF61" i="38"/>
  <c r="M62" i="38"/>
  <c r="Q62" i="38" l="1"/>
  <c r="T62" i="38" s="1"/>
  <c r="P62" i="38"/>
  <c r="AG61" i="38"/>
  <c r="AD62" i="38" l="1"/>
  <c r="AE62" i="38" s="1"/>
  <c r="AH61" i="38"/>
  <c r="AI61" i="38" s="1"/>
  <c r="AL61" i="38"/>
  <c r="V62" i="38"/>
  <c r="AC63" i="38" l="1"/>
  <c r="U62" i="38"/>
  <c r="AF62" i="38" l="1"/>
  <c r="M63" i="38"/>
  <c r="Q63" i="38" l="1"/>
  <c r="P63" i="38"/>
  <c r="AG62" i="38"/>
  <c r="AD63" i="38" l="1"/>
  <c r="AE63" i="38" s="1"/>
  <c r="T63" i="38"/>
  <c r="V63" i="38" s="1"/>
  <c r="AH62" i="38"/>
  <c r="AI62" i="38" s="1"/>
  <c r="AL62" i="38"/>
  <c r="AC64" i="38" l="1"/>
  <c r="U63" i="38"/>
  <c r="AF63" i="38" l="1"/>
  <c r="M64" i="38"/>
  <c r="Q64" i="38" l="1"/>
  <c r="T64" i="38" s="1"/>
  <c r="P64" i="38"/>
  <c r="AG63" i="38"/>
  <c r="AD64" i="38" l="1"/>
  <c r="AE64" i="38" s="1"/>
  <c r="AH63" i="38"/>
  <c r="AI63" i="38" s="1"/>
  <c r="AL63" i="38"/>
  <c r="V64" i="38"/>
  <c r="AC65" i="38" l="1"/>
  <c r="U64" i="38"/>
  <c r="AF64" i="38" l="1"/>
  <c r="M65" i="38"/>
  <c r="P65" i="38" l="1"/>
  <c r="Q65" i="38"/>
  <c r="T65" i="38" s="1"/>
  <c r="AG64" i="38"/>
  <c r="AD65" i="38" l="1"/>
  <c r="AE65" i="38" s="1"/>
  <c r="U65" i="38" s="1"/>
  <c r="V65" i="38"/>
  <c r="AH64" i="38"/>
  <c r="AI64" i="38" s="1"/>
  <c r="AL64" i="38"/>
  <c r="AC66" i="38" l="1"/>
  <c r="AF65" i="38"/>
  <c r="M66" i="38"/>
  <c r="P66" i="38" l="1"/>
  <c r="T66" i="38" s="1"/>
  <c r="Q66" i="38"/>
  <c r="AG65" i="38"/>
  <c r="AD66" i="38" l="1"/>
  <c r="AE66" i="38" s="1"/>
  <c r="AH65" i="38"/>
  <c r="AI65" i="38" s="1"/>
  <c r="AL65" i="38"/>
  <c r="V66" i="38"/>
  <c r="AC67" i="38" l="1"/>
  <c r="U66" i="38"/>
  <c r="AF66" i="38" l="1"/>
  <c r="M67" i="38"/>
  <c r="P67" i="38" l="1"/>
  <c r="T67" i="38" s="1"/>
  <c r="Q67" i="38"/>
  <c r="S67" i="38"/>
  <c r="R67" i="38"/>
  <c r="AK67" i="38" s="1"/>
  <c r="AG66" i="38"/>
  <c r="AD67" i="38" l="1"/>
  <c r="AE67" i="38" s="1"/>
  <c r="AH66" i="38"/>
  <c r="AI66" i="38" s="1"/>
  <c r="AL66" i="38"/>
  <c r="V67" i="38" l="1"/>
  <c r="AC68" i="38"/>
  <c r="U67" i="38"/>
  <c r="AF67" i="38" l="1"/>
  <c r="M68" i="38"/>
  <c r="P68" i="38" l="1"/>
  <c r="T68" i="38" s="1"/>
  <c r="Q68" i="38"/>
  <c r="AG67" i="38"/>
  <c r="AD68" i="38" l="1"/>
  <c r="AE68" i="38" s="1"/>
  <c r="AH67" i="38"/>
  <c r="AI67" i="38" s="1"/>
  <c r="AL67" i="38"/>
  <c r="AC69" i="38" l="1"/>
  <c r="V68" i="38"/>
  <c r="U68" i="38"/>
  <c r="AF68" i="38" l="1"/>
  <c r="M69" i="38"/>
  <c r="Q69" i="38" l="1"/>
  <c r="T69" i="38" s="1"/>
  <c r="P69" i="38"/>
  <c r="AG68" i="38"/>
  <c r="AD69" i="38" l="1"/>
  <c r="AE69" i="38" s="1"/>
  <c r="AH68" i="38"/>
  <c r="AI68" i="38" s="1"/>
  <c r="AL68" i="38"/>
  <c r="V69" i="38" l="1"/>
  <c r="AC70" i="38"/>
  <c r="U69" i="38"/>
  <c r="AF69" i="38" l="1"/>
  <c r="M70" i="38"/>
  <c r="Q70" i="38" l="1"/>
  <c r="P70" i="38"/>
  <c r="AD70" i="38" s="1"/>
  <c r="AE70" i="38" s="1"/>
  <c r="AG69" i="38"/>
  <c r="T70" i="38" l="1"/>
  <c r="AH69" i="38"/>
  <c r="AI69" i="38" s="1"/>
  <c r="AL69" i="38"/>
  <c r="V70" i="38" l="1"/>
  <c r="AC71" i="38"/>
  <c r="U70" i="38"/>
  <c r="AF70" i="38" l="1"/>
  <c r="M71" i="38"/>
  <c r="Q71" i="38" l="1"/>
  <c r="T71" i="38" s="1"/>
  <c r="P71" i="38"/>
  <c r="AG70" i="38"/>
  <c r="V71" i="38" l="1"/>
  <c r="AD71" i="38"/>
  <c r="AH70" i="38"/>
  <c r="AI70" i="38" s="1"/>
  <c r="AL70" i="38"/>
  <c r="AC72" i="38" l="1"/>
  <c r="AE71" i="38"/>
  <c r="U71" i="38" s="1"/>
  <c r="M72" i="38"/>
  <c r="T72" i="38" l="1"/>
  <c r="AF71" i="38"/>
  <c r="AG71" i="38" s="1"/>
  <c r="Q72" i="38"/>
  <c r="P72" i="38"/>
  <c r="AD72" i="38" l="1"/>
  <c r="AE72" i="38" s="1"/>
  <c r="AH71" i="38"/>
  <c r="AI71" i="38" s="1"/>
  <c r="AL71" i="38"/>
  <c r="V72" i="38"/>
  <c r="AC73" i="38" l="1"/>
  <c r="U72" i="38"/>
  <c r="AF72" i="38" l="1"/>
  <c r="M73" i="38"/>
  <c r="T73" i="38" l="1"/>
  <c r="AG72" i="38"/>
  <c r="P73" i="38"/>
  <c r="Q73" i="38"/>
  <c r="AD73" i="38" l="1"/>
  <c r="AE73" i="38" s="1"/>
  <c r="AH72" i="38"/>
  <c r="AI72" i="38" s="1"/>
  <c r="AL72" i="38"/>
  <c r="V73" i="38"/>
  <c r="AC74" i="38" l="1"/>
  <c r="U73" i="38"/>
  <c r="AF73" i="38" l="1"/>
  <c r="M74" i="38"/>
  <c r="P74" i="38" l="1"/>
  <c r="T74" i="38" s="1"/>
  <c r="Q74" i="38"/>
  <c r="AG73" i="38"/>
  <c r="AD74" i="38" l="1"/>
  <c r="AE74" i="38" s="1"/>
  <c r="AH73" i="38"/>
  <c r="AI73" i="38" s="1"/>
  <c r="AL73" i="38"/>
  <c r="V74" i="38" l="1"/>
  <c r="AC75" i="38"/>
  <c r="U74" i="38"/>
  <c r="AF74" i="38" l="1"/>
  <c r="M75" i="38"/>
  <c r="Q75" i="38" l="1"/>
  <c r="T75" i="38" s="1"/>
  <c r="P75" i="38"/>
  <c r="AG74" i="38"/>
  <c r="AD75" i="38" l="1"/>
  <c r="AE75" i="38" s="1"/>
  <c r="AH74" i="38"/>
  <c r="AI74" i="38" s="1"/>
  <c r="AL74" i="38"/>
  <c r="V75" i="38" l="1"/>
  <c r="AC76" i="38"/>
  <c r="U75" i="38"/>
  <c r="AF75" i="38" l="1"/>
  <c r="M76" i="38"/>
  <c r="P76" i="38" l="1"/>
  <c r="T76" i="38" s="1"/>
  <c r="Q76" i="38"/>
  <c r="AD76" i="38" s="1"/>
  <c r="AE76" i="38" s="1"/>
  <c r="AG75" i="38"/>
  <c r="AH75" i="38" l="1"/>
  <c r="AI75" i="38" s="1"/>
  <c r="AL75" i="38"/>
  <c r="V76" i="38" l="1"/>
  <c r="AC77" i="38"/>
  <c r="U76" i="38"/>
  <c r="AF76" i="38" l="1"/>
  <c r="M77" i="38"/>
  <c r="Q77" i="38" l="1"/>
  <c r="P77" i="38"/>
  <c r="AD77" i="38" s="1"/>
  <c r="AE77" i="38" s="1"/>
  <c r="AG76" i="38"/>
  <c r="T77" i="38" l="1"/>
  <c r="V77" i="38" s="1"/>
  <c r="AH76" i="38"/>
  <c r="AI76" i="38" s="1"/>
  <c r="AL76" i="38"/>
  <c r="U77" i="38" l="1"/>
  <c r="AC78" i="38"/>
  <c r="AF77" i="38"/>
  <c r="M78" i="38"/>
  <c r="P78" i="38" l="1"/>
  <c r="AD78" i="38" s="1"/>
  <c r="AE78" i="38" s="1"/>
  <c r="Q78" i="38"/>
  <c r="AG77" i="38"/>
  <c r="T78" i="38" l="1"/>
  <c r="AC79" i="38" s="1"/>
  <c r="AH77" i="38"/>
  <c r="AI77" i="38" s="1"/>
  <c r="AL77" i="38"/>
  <c r="U78" i="38" l="1"/>
  <c r="V78" i="38"/>
  <c r="M79" i="38" s="1"/>
  <c r="AF78" i="38" l="1"/>
  <c r="AG78" i="38" s="1"/>
  <c r="P79" i="38"/>
  <c r="Q79" i="38"/>
  <c r="S79" i="38"/>
  <c r="R79" i="38"/>
  <c r="AK79" i="38" s="1"/>
  <c r="T79" i="38" l="1"/>
  <c r="AD79" i="38"/>
  <c r="AE79" i="38" s="1"/>
  <c r="AH78" i="38"/>
  <c r="AI78" i="38" s="1"/>
  <c r="AL78" i="38"/>
  <c r="AC80" i="38" l="1"/>
  <c r="U79" i="38"/>
  <c r="V79" i="38"/>
  <c r="AF79" i="38" s="1"/>
  <c r="M80" i="38" l="1"/>
  <c r="Q80" i="38"/>
  <c r="AG79" i="38"/>
  <c r="P80" i="38" l="1"/>
  <c r="AD80" i="38" s="1"/>
  <c r="AE80" i="38" s="1"/>
  <c r="AH79" i="38"/>
  <c r="AI79" i="38" s="1"/>
  <c r="AL79" i="38"/>
  <c r="V80" i="38" l="1"/>
  <c r="AF80" i="38" s="1"/>
  <c r="AC81" i="38"/>
  <c r="T80" i="38"/>
  <c r="U80" i="38" s="1"/>
  <c r="M81" i="38"/>
  <c r="Q81" i="38" l="1"/>
  <c r="P81" i="38"/>
  <c r="T81" i="38" s="1"/>
  <c r="AG80" i="38"/>
  <c r="V81" i="38" l="1"/>
  <c r="AD81" i="38"/>
  <c r="AE81" i="38" s="1"/>
  <c r="U81" i="38" s="1"/>
  <c r="AH80" i="38"/>
  <c r="AI80" i="38" s="1"/>
  <c r="AL80" i="38"/>
  <c r="AC82" i="38" l="1"/>
  <c r="AF81" i="38"/>
  <c r="M82" i="38"/>
  <c r="P82" i="38" l="1"/>
  <c r="T82" i="38" s="1"/>
  <c r="Q82" i="38"/>
  <c r="AG81" i="38"/>
  <c r="V82" i="38" l="1"/>
  <c r="AD82" i="38"/>
  <c r="AE82" i="38" s="1"/>
  <c r="U82" i="38" s="1"/>
  <c r="AH81" i="38"/>
  <c r="AI81" i="38" s="1"/>
  <c r="AL81" i="38"/>
  <c r="AC83" i="38" l="1"/>
  <c r="AF82" i="38"/>
  <c r="M83" i="38"/>
  <c r="P83" i="38" l="1"/>
  <c r="AD83" i="38" s="1"/>
  <c r="AE83" i="38" s="1"/>
  <c r="Q83" i="38"/>
  <c r="AG82" i="38"/>
  <c r="T83" i="38" l="1"/>
  <c r="V83" i="38" s="1"/>
  <c r="AH82" i="38"/>
  <c r="AI82" i="38" s="1"/>
  <c r="AL82" i="38"/>
  <c r="AC84" i="38" l="1"/>
  <c r="U83" i="38"/>
  <c r="AF83" i="38"/>
  <c r="M84" i="38"/>
  <c r="Q84" i="38" l="1"/>
  <c r="P84" i="38"/>
  <c r="AG83" i="38"/>
  <c r="AD84" i="38" l="1"/>
  <c r="AE84" i="38" s="1"/>
  <c r="T84" i="38"/>
  <c r="AH83" i="38"/>
  <c r="AI83" i="38" s="1"/>
  <c r="AL83" i="38"/>
  <c r="V84" i="38" l="1"/>
  <c r="AC85" i="38"/>
  <c r="U84" i="38"/>
  <c r="AF84" i="38" l="1"/>
  <c r="M85" i="38"/>
  <c r="Q85" i="38" l="1"/>
  <c r="P85" i="38"/>
  <c r="AD85" i="38" s="1"/>
  <c r="AE85" i="38" s="1"/>
  <c r="AG84" i="38"/>
  <c r="T85" i="38" l="1"/>
  <c r="AH84" i="38"/>
  <c r="AI84" i="38" s="1"/>
  <c r="AL84" i="38"/>
  <c r="V85" i="38" l="1"/>
  <c r="AF85" i="38" s="1"/>
  <c r="AC86" i="38"/>
  <c r="U85" i="38"/>
  <c r="M86" i="38" l="1"/>
  <c r="P86" i="38"/>
  <c r="AG85" i="38"/>
  <c r="Q86" i="38" l="1"/>
  <c r="T86" i="38" s="1"/>
  <c r="AH85" i="38"/>
  <c r="AI85" i="38" s="1"/>
  <c r="AL85" i="38"/>
  <c r="AD86" i="38" l="1"/>
  <c r="AE86" i="38" s="1"/>
  <c r="U86" i="38" s="1"/>
  <c r="V86" i="38"/>
  <c r="M87" i="38" s="1"/>
  <c r="AF86" i="38" l="1"/>
  <c r="AC87" i="38"/>
  <c r="P87" i="38"/>
  <c r="Q87" i="38"/>
  <c r="AG86" i="38"/>
  <c r="AD87" i="38" l="1"/>
  <c r="AE87" i="38" s="1"/>
  <c r="T87" i="38"/>
  <c r="V87" i="38" s="1"/>
  <c r="AH86" i="38"/>
  <c r="AI86" i="38" s="1"/>
  <c r="AL86" i="38"/>
  <c r="AC88" i="38" l="1"/>
  <c r="AF87" i="38"/>
  <c r="M88" i="38"/>
  <c r="U87" i="38"/>
  <c r="Q88" i="38" l="1"/>
  <c r="P88" i="38"/>
  <c r="AD88" i="38" s="1"/>
  <c r="AE88" i="38" s="1"/>
  <c r="AG87" i="38"/>
  <c r="T88" i="38" l="1"/>
  <c r="AC89" i="38" s="1"/>
  <c r="AH87" i="38"/>
  <c r="AI87" i="38" s="1"/>
  <c r="AL87" i="38"/>
  <c r="V88" i="38"/>
  <c r="U88" i="38" l="1"/>
  <c r="AF88" i="38" l="1"/>
  <c r="M89" i="38"/>
  <c r="Q89" i="38" l="1"/>
  <c r="T89" i="38" s="1"/>
  <c r="P89" i="38"/>
  <c r="AG88" i="38"/>
  <c r="AD89" i="38" l="1"/>
  <c r="AE89" i="38" s="1"/>
  <c r="AH88" i="38"/>
  <c r="AI88" i="38" s="1"/>
  <c r="AL88" i="38"/>
  <c r="AC90" i="38" l="1"/>
  <c r="U89" i="38"/>
  <c r="V89" i="38"/>
  <c r="AF89" i="38" s="1"/>
  <c r="M90" i="38" l="1"/>
  <c r="AG89" i="38"/>
  <c r="P90" i="38" l="1"/>
  <c r="T90" i="38" s="1"/>
  <c r="Q90" i="38"/>
  <c r="AH89" i="38"/>
  <c r="AI89" i="38" s="1"/>
  <c r="AL89" i="38"/>
  <c r="AD90" i="38" l="1"/>
  <c r="AE90" i="38" s="1"/>
  <c r="U90" i="38" s="1"/>
  <c r="V90" i="38"/>
  <c r="M91" i="38" s="1"/>
  <c r="AC91" i="38" l="1"/>
  <c r="AF90" i="38"/>
  <c r="R91" i="38"/>
  <c r="AK91" i="38" s="1"/>
  <c r="Q91" i="38"/>
  <c r="S91" i="38"/>
  <c r="P91" i="38"/>
  <c r="T91" i="38" s="1"/>
  <c r="V91" i="38" l="1"/>
  <c r="M92" i="38" s="1"/>
  <c r="AD91" i="38"/>
  <c r="AC92" i="38" s="1"/>
  <c r="AG90" i="38"/>
  <c r="AL90" i="38" s="1"/>
  <c r="AE91" i="38" l="1"/>
  <c r="AF91" i="38" s="1"/>
  <c r="AH90" i="38"/>
  <c r="AI90" i="38" s="1"/>
  <c r="Q92" i="38"/>
  <c r="P92" i="38"/>
  <c r="T92" i="38" s="1"/>
  <c r="U91" i="38" l="1"/>
  <c r="AD92" i="38"/>
  <c r="AE92" i="38" s="1"/>
  <c r="AG91" i="38"/>
  <c r="AC93" i="38" l="1"/>
  <c r="AL91" i="38"/>
  <c r="AH91" i="38"/>
  <c r="AI91" i="38" s="1"/>
  <c r="U92" i="38"/>
  <c r="V92" i="38"/>
  <c r="M93" i="38" s="1"/>
  <c r="AF92" i="38" l="1"/>
  <c r="AG92" i="38" s="1"/>
  <c r="P93" i="38"/>
  <c r="Q93" i="38"/>
  <c r="T93" i="38" s="1"/>
  <c r="AD93" i="38" l="1"/>
  <c r="AE93" i="38" s="1"/>
  <c r="AH92" i="38"/>
  <c r="AI92" i="38" s="1"/>
  <c r="AL92" i="38"/>
  <c r="AC94" i="38" l="1"/>
  <c r="U93" i="38"/>
  <c r="V93" i="38"/>
  <c r="AF93" i="38" s="1"/>
  <c r="M94" i="38" l="1"/>
  <c r="AG93" i="38"/>
  <c r="P94" i="38" l="1"/>
  <c r="T94" i="38" s="1"/>
  <c r="Q94" i="38"/>
  <c r="AH93" i="38"/>
  <c r="AI93" i="38" s="1"/>
  <c r="AL93" i="38"/>
  <c r="AD94" i="38" l="1"/>
  <c r="AE94" i="38" s="1"/>
  <c r="U94" i="38" s="1"/>
  <c r="V94" i="38"/>
  <c r="AC95" i="38" l="1"/>
  <c r="AF94" i="38"/>
  <c r="M95" i="38"/>
  <c r="P95" i="38" l="1"/>
  <c r="T95" i="38" s="1"/>
  <c r="AG94" i="38"/>
  <c r="AH94" i="38" s="1"/>
  <c r="AI94" i="38" s="1"/>
  <c r="Q95" i="38"/>
  <c r="AD95" i="38" l="1"/>
  <c r="AL94" i="38"/>
  <c r="V95" i="38"/>
  <c r="M96" i="38" s="1"/>
  <c r="AE95" i="38" l="1"/>
  <c r="U95" i="38" s="1"/>
  <c r="AC96" i="38"/>
  <c r="P96" i="38"/>
  <c r="Q96" i="38"/>
  <c r="T96" i="38" s="1"/>
  <c r="AF95" i="38" l="1"/>
  <c r="V96" i="38"/>
  <c r="AD96" i="38" l="1"/>
  <c r="AG95" i="38"/>
  <c r="M97" i="38"/>
  <c r="AL95" i="38" l="1"/>
  <c r="AH95" i="38"/>
  <c r="AI95" i="38" s="1"/>
  <c r="AC97" i="38"/>
  <c r="AE96" i="38"/>
  <c r="P97" i="38"/>
  <c r="T97" i="38" s="1"/>
  <c r="Q97" i="38"/>
  <c r="U96" i="38" l="1"/>
  <c r="AF96" i="38"/>
  <c r="AD97" i="38" l="1"/>
  <c r="AE97" i="38" s="1"/>
  <c r="U97" i="38" s="1"/>
  <c r="AG96" i="38"/>
  <c r="V97" i="38"/>
  <c r="AH96" i="38" l="1"/>
  <c r="AI96" i="38" s="1"/>
  <c r="AL96" i="38"/>
  <c r="AC98" i="38"/>
  <c r="AF97" i="38"/>
  <c r="M98" i="38"/>
  <c r="AG97" i="38" l="1"/>
  <c r="Q98" i="38"/>
  <c r="P98" i="38"/>
  <c r="T98" i="38" s="1"/>
  <c r="V98" i="38" l="1"/>
  <c r="AD98" i="38"/>
  <c r="AE98" i="38" s="1"/>
  <c r="U98" i="38" s="1"/>
  <c r="AH97" i="38"/>
  <c r="AI97" i="38" s="1"/>
  <c r="AL97" i="38"/>
  <c r="AC99" i="38" l="1"/>
  <c r="AF98" i="38"/>
  <c r="M99" i="38"/>
  <c r="Q99" i="38" l="1"/>
  <c r="T99" i="38" s="1"/>
  <c r="P99" i="38"/>
  <c r="AG98" i="38"/>
  <c r="AD99" i="38" l="1"/>
  <c r="AE99" i="38" s="1"/>
  <c r="AH98" i="38"/>
  <c r="AI98" i="38" s="1"/>
  <c r="AL98" i="38"/>
  <c r="AC100" i="38" l="1"/>
  <c r="V99" i="38"/>
  <c r="U99" i="38"/>
  <c r="AF99" i="38" l="1"/>
  <c r="M100" i="38"/>
  <c r="Q100" i="38" l="1"/>
  <c r="T100" i="38" s="1"/>
  <c r="P100" i="38"/>
  <c r="AG99" i="38"/>
  <c r="AD100" i="38" l="1"/>
  <c r="AE100" i="38" s="1"/>
  <c r="V100" i="38"/>
  <c r="AH99" i="38"/>
  <c r="AI99" i="38" s="1"/>
  <c r="AL99" i="38"/>
  <c r="AC101" i="38" l="1"/>
  <c r="U100" i="38"/>
  <c r="AF100" i="38"/>
  <c r="M101" i="38"/>
  <c r="Q101" i="38" l="1"/>
  <c r="P101" i="38"/>
  <c r="AD101" i="38" s="1"/>
  <c r="AE101" i="38" s="1"/>
  <c r="AG100" i="38"/>
  <c r="T101" i="38" l="1"/>
  <c r="V101" i="38"/>
  <c r="AH100" i="38"/>
  <c r="AI100" i="38" s="1"/>
  <c r="AL100" i="38"/>
  <c r="AC102" i="38" l="1"/>
  <c r="AF101" i="38"/>
  <c r="M102" i="38"/>
  <c r="U101" i="38"/>
  <c r="P102" i="38" l="1"/>
  <c r="T102" i="38" s="1"/>
  <c r="Q102" i="38"/>
  <c r="AG101" i="38"/>
  <c r="AD102" i="38" l="1"/>
  <c r="AE102" i="38" s="1"/>
  <c r="U102" i="38" s="1"/>
  <c r="V102" i="38"/>
  <c r="AH101" i="38"/>
  <c r="AI101" i="38" s="1"/>
  <c r="AL101" i="38"/>
  <c r="AC103" i="38" l="1"/>
  <c r="AF102" i="38"/>
  <c r="M103" i="38"/>
  <c r="S103" i="38" l="1"/>
  <c r="Q103" i="38"/>
  <c r="R103" i="38"/>
  <c r="AK103" i="38" s="1"/>
  <c r="P103" i="38"/>
  <c r="T103" i="38" s="1"/>
  <c r="AG102" i="38"/>
  <c r="AD103" i="38" l="1"/>
  <c r="AE103" i="38" s="1"/>
  <c r="AH102" i="38"/>
  <c r="AI102" i="38" s="1"/>
  <c r="AL102" i="38"/>
  <c r="U103" i="38" l="1"/>
  <c r="AC104" i="38"/>
  <c r="V103" i="38"/>
  <c r="M104" i="38" s="1"/>
  <c r="AF103" i="38" l="1"/>
  <c r="AG103" i="38" s="1"/>
  <c r="P104" i="38"/>
  <c r="Q104" i="38"/>
  <c r="T104" i="38" s="1"/>
  <c r="AD104" i="38" l="1"/>
  <c r="AE104" i="38" s="1"/>
  <c r="U104" i="38" s="1"/>
  <c r="V104" i="38"/>
  <c r="AH103" i="38"/>
  <c r="AI103" i="38" s="1"/>
  <c r="AL103" i="38"/>
  <c r="AC105" i="38" l="1"/>
  <c r="AF104" i="38"/>
  <c r="M105" i="38"/>
  <c r="Q105" i="38" l="1"/>
  <c r="T105" i="38" s="1"/>
  <c r="P105" i="38"/>
  <c r="AG104" i="38"/>
  <c r="AD105" i="38" l="1"/>
  <c r="AE105" i="38" s="1"/>
  <c r="AH104" i="38"/>
  <c r="AI104" i="38" s="1"/>
  <c r="AL104" i="38"/>
  <c r="V105" i="38"/>
  <c r="AC106" i="38" l="1"/>
  <c r="U105" i="38"/>
  <c r="AF105" i="38" l="1"/>
  <c r="M106" i="38"/>
  <c r="P106" i="38" l="1"/>
  <c r="T106" i="38" s="1"/>
  <c r="Q106" i="38"/>
  <c r="AD106" i="38" s="1"/>
  <c r="AE106" i="38" s="1"/>
  <c r="AG105" i="38"/>
  <c r="AC107" i="38" l="1"/>
  <c r="V106" i="38"/>
  <c r="AH105" i="38"/>
  <c r="AI105" i="38" s="1"/>
  <c r="AL105" i="38"/>
  <c r="U106" i="38" l="1"/>
  <c r="AF106" i="38"/>
  <c r="M107" i="38"/>
  <c r="Q107" i="38" l="1"/>
  <c r="T107" i="38" s="1"/>
  <c r="P107" i="38"/>
  <c r="AG106" i="38"/>
  <c r="AD107" i="38" l="1"/>
  <c r="AE107" i="38" s="1"/>
  <c r="U107" i="38" s="1"/>
  <c r="V107" i="38"/>
  <c r="AH106" i="38"/>
  <c r="AI106" i="38" s="1"/>
  <c r="AL106" i="38"/>
  <c r="AC108" i="38" l="1"/>
  <c r="AF107" i="38"/>
  <c r="M108" i="38"/>
  <c r="P108" i="38" l="1"/>
  <c r="T108" i="38" s="1"/>
  <c r="Q108" i="38"/>
  <c r="AG107" i="38"/>
  <c r="AD108" i="38" l="1"/>
  <c r="AE108" i="38" s="1"/>
  <c r="AH107" i="38"/>
  <c r="AI107" i="38" s="1"/>
  <c r="AL107" i="38"/>
  <c r="V108" i="38" l="1"/>
  <c r="AC109" i="38"/>
  <c r="U108" i="38"/>
  <c r="AF108" i="38" l="1"/>
  <c r="M109" i="38"/>
  <c r="P109" i="38" l="1"/>
  <c r="AD109" i="38" s="1"/>
  <c r="AE109" i="38" s="1"/>
  <c r="Q109" i="38"/>
  <c r="AG108" i="38"/>
  <c r="T109" i="38" l="1"/>
  <c r="V109" i="38"/>
  <c r="AH108" i="38"/>
  <c r="AI108" i="38" s="1"/>
  <c r="AL108" i="38"/>
  <c r="AC110" i="38" l="1"/>
  <c r="AF109" i="38"/>
  <c r="M110" i="38"/>
  <c r="U109" i="38"/>
  <c r="Q110" i="38" l="1"/>
  <c r="P110" i="38"/>
  <c r="AG109" i="38"/>
  <c r="T110" i="38" l="1"/>
  <c r="AD110" i="38"/>
  <c r="AE110" i="38" s="1"/>
  <c r="AH109" i="38"/>
  <c r="AI109" i="38" s="1"/>
  <c r="AL109" i="38"/>
  <c r="U110" i="38" l="1"/>
  <c r="V110" i="38"/>
  <c r="AF110" i="38" s="1"/>
  <c r="AC111" i="38"/>
  <c r="M111" i="38" l="1"/>
  <c r="AG110" i="38"/>
  <c r="Q111" i="38" l="1"/>
  <c r="T111" i="38" s="1"/>
  <c r="V111" i="38" s="1"/>
  <c r="P111" i="38"/>
  <c r="AH110" i="38"/>
  <c r="AI110" i="38" s="1"/>
  <c r="AL110" i="38"/>
  <c r="AD111" i="38" l="1"/>
  <c r="AE111" i="38" s="1"/>
  <c r="U111" i="38" s="1"/>
  <c r="AC112" i="38" l="1"/>
  <c r="AF111" i="38"/>
  <c r="M112" i="38"/>
  <c r="P112" i="38" l="1"/>
  <c r="T112" i="38" s="1"/>
  <c r="Q112" i="38"/>
  <c r="AG111" i="38"/>
  <c r="AD112" i="38" l="1"/>
  <c r="AE112" i="38" s="1"/>
  <c r="AH111" i="38"/>
  <c r="AI111" i="38" s="1"/>
  <c r="AL111" i="38"/>
  <c r="V112" i="38"/>
  <c r="AC113" i="38" l="1"/>
  <c r="U112" i="38"/>
  <c r="AF112" i="38" l="1"/>
  <c r="M113" i="38"/>
  <c r="Q113" i="38" l="1"/>
  <c r="T113" i="38" s="1"/>
  <c r="P113" i="38"/>
  <c r="AG112" i="38"/>
  <c r="AD113" i="38" l="1"/>
  <c r="AE113" i="38" s="1"/>
  <c r="AH112" i="38"/>
  <c r="AI112" i="38" s="1"/>
  <c r="AL112" i="38"/>
  <c r="V113" i="38" l="1"/>
  <c r="AC114" i="38"/>
  <c r="U113" i="38"/>
  <c r="AF113" i="38" l="1"/>
  <c r="M114" i="38"/>
  <c r="Q114" i="38" l="1"/>
  <c r="T114" i="38" s="1"/>
  <c r="P114" i="38"/>
  <c r="AG113" i="38"/>
  <c r="AD114" i="38" l="1"/>
  <c r="AE114" i="38" s="1"/>
  <c r="V114" i="38"/>
  <c r="AH113" i="38"/>
  <c r="AI113" i="38" s="1"/>
  <c r="AL113" i="38"/>
  <c r="U114" i="38" l="1"/>
  <c r="AC115" i="38"/>
  <c r="AF114" i="38"/>
  <c r="M115" i="38"/>
  <c r="P115" i="38" l="1"/>
  <c r="S115" i="38"/>
  <c r="Q115" i="38"/>
  <c r="R115" i="38"/>
  <c r="AK115" i="38" s="1"/>
  <c r="AG114" i="38"/>
  <c r="AD115" i="38" l="1"/>
  <c r="AE115" i="38" s="1"/>
  <c r="T115" i="38"/>
  <c r="AH114" i="38"/>
  <c r="AI114" i="38" s="1"/>
  <c r="AL114" i="38"/>
  <c r="AC116" i="38" l="1"/>
  <c r="U115" i="38"/>
  <c r="V115" i="38"/>
  <c r="M116" i="38" s="1"/>
  <c r="T116" i="38" l="1"/>
  <c r="AF115" i="38"/>
  <c r="AG115" i="38" s="1"/>
  <c r="Q116" i="38"/>
  <c r="P116" i="38"/>
  <c r="AD116" i="38" l="1"/>
  <c r="AE116" i="38" s="1"/>
  <c r="U116" i="38" s="1"/>
  <c r="AH115" i="38"/>
  <c r="AI115" i="38" s="1"/>
  <c r="AL115" i="38"/>
  <c r="V116" i="38" l="1"/>
  <c r="AF116" i="38" s="1"/>
  <c r="AC117" i="38"/>
  <c r="M117" i="38" l="1"/>
  <c r="AG116" i="38"/>
  <c r="Q117" i="38" l="1"/>
  <c r="T117" i="38"/>
  <c r="P117" i="38"/>
  <c r="AH116" i="38"/>
  <c r="AI116" i="38" s="1"/>
  <c r="AL116" i="38"/>
  <c r="AD117" i="38" l="1"/>
  <c r="AE117" i="38" s="1"/>
  <c r="U117" i="38" s="1"/>
  <c r="V117" i="38"/>
  <c r="AF117" i="38" l="1"/>
  <c r="AG117" i="38" s="1"/>
  <c r="AC118" i="38"/>
  <c r="M118" i="38"/>
  <c r="P118" i="38" l="1"/>
  <c r="T118" i="38" s="1"/>
  <c r="Q118" i="38"/>
  <c r="AH117" i="38"/>
  <c r="AI117" i="38" s="1"/>
  <c r="AL117" i="38"/>
  <c r="AD118" i="38" l="1"/>
  <c r="AE118" i="38" s="1"/>
  <c r="AC119" i="38" l="1"/>
  <c r="U118" i="38"/>
  <c r="V118" i="38"/>
  <c r="AF118" i="38" l="1"/>
  <c r="M119" i="38"/>
  <c r="Q119" i="38" l="1"/>
  <c r="T119" i="38" s="1"/>
  <c r="P119" i="38"/>
  <c r="AG118" i="38"/>
  <c r="AD119" i="38" l="1"/>
  <c r="AE119" i="38" s="1"/>
  <c r="U119" i="38" s="1"/>
  <c r="AL118" i="38"/>
  <c r="AH118" i="38"/>
  <c r="AI118" i="38" s="1"/>
  <c r="AC120" i="38" l="1"/>
  <c r="V119" i="38"/>
  <c r="M120" i="38" l="1"/>
  <c r="AF119" i="38"/>
  <c r="T120" i="38" l="1"/>
  <c r="AG119" i="38"/>
  <c r="P120" i="38"/>
  <c r="Q120" i="38"/>
  <c r="AD120" i="38" s="1"/>
  <c r="AE120" i="38" s="1"/>
  <c r="AC121" i="38" l="1"/>
  <c r="AH119" i="38"/>
  <c r="AI119" i="38" s="1"/>
  <c r="AL119" i="38"/>
  <c r="U120" i="38" l="1"/>
  <c r="V120" i="38"/>
  <c r="AF120" i="38" l="1"/>
  <c r="M121" i="38"/>
  <c r="P121" i="38" l="1"/>
  <c r="Q121" i="38"/>
  <c r="AG120" i="38"/>
  <c r="V121" i="38" l="1"/>
  <c r="M122" i="38" s="1"/>
  <c r="T121" i="38"/>
  <c r="AD121" i="38"/>
  <c r="AE121" i="38" s="1"/>
  <c r="U121" i="38" s="1"/>
  <c r="AL120" i="38"/>
  <c r="AH120" i="38"/>
  <c r="AI120" i="38" s="1"/>
  <c r="AF121" i="38" l="1"/>
  <c r="AG121" i="38" s="1"/>
  <c r="AH121" i="38" s="1"/>
  <c r="AI121" i="38" s="1"/>
  <c r="AC122" i="38"/>
  <c r="Q122" i="38"/>
  <c r="P122" i="38"/>
  <c r="T122" i="38" s="1"/>
  <c r="AD122" i="38" l="1"/>
  <c r="AL121" i="38"/>
  <c r="V122" i="38"/>
  <c r="AC123" i="38" l="1"/>
  <c r="AE122" i="38"/>
  <c r="U122" i="38" s="1"/>
  <c r="M123" i="38"/>
  <c r="T123" i="38" l="1"/>
  <c r="AF122" i="38"/>
  <c r="AG122" i="38" s="1"/>
  <c r="P123" i="38"/>
  <c r="Q123" i="38"/>
  <c r="V123" i="38" l="1"/>
  <c r="AD123" i="38"/>
  <c r="AE123" i="38" s="1"/>
  <c r="U123" i="38" s="1"/>
  <c r="AL122" i="38"/>
  <c r="AH122" i="38"/>
  <c r="AI122" i="38" s="1"/>
  <c r="AC124" i="38" l="1"/>
  <c r="AF123" i="38"/>
  <c r="M124" i="38"/>
  <c r="AG123" i="38" l="1"/>
  <c r="AH123" i="38" s="1"/>
  <c r="AI123" i="38" s="1"/>
  <c r="P124" i="38"/>
  <c r="Q124" i="38"/>
  <c r="T124" i="38" s="1"/>
  <c r="AD124" i="38" l="1"/>
  <c r="AE124" i="38" s="1"/>
  <c r="AL123" i="38"/>
  <c r="AC125" i="38" l="1"/>
  <c r="U124" i="38"/>
  <c r="V124" i="38"/>
  <c r="M125" i="38" l="1"/>
  <c r="AF124" i="38"/>
  <c r="AG124" i="38" l="1"/>
  <c r="P125" i="38"/>
  <c r="Q125" i="38"/>
  <c r="AD125" i="38" l="1"/>
  <c r="AE125" i="38" s="1"/>
  <c r="T125" i="38"/>
  <c r="AH124" i="38"/>
  <c r="AI124" i="38" s="1"/>
  <c r="AL124" i="38"/>
  <c r="AC126" i="38" l="1"/>
  <c r="U125" i="38"/>
  <c r="V125" i="38"/>
  <c r="M126" i="38" l="1"/>
  <c r="AF125" i="38"/>
  <c r="T126" i="38" l="1"/>
  <c r="AG125" i="38"/>
  <c r="P126" i="38"/>
  <c r="Q126" i="38"/>
  <c r="AD126" i="38" l="1"/>
  <c r="AE126" i="38" s="1"/>
  <c r="AH125" i="38"/>
  <c r="AI125" i="38" s="1"/>
  <c r="AL125" i="38"/>
  <c r="AC127" i="38" l="1"/>
  <c r="U126" i="38"/>
  <c r="V126" i="38"/>
  <c r="AF126" i="38"/>
  <c r="M127" i="38"/>
  <c r="S127" i="38" l="1"/>
  <c r="P127" i="38"/>
  <c r="R127" i="38"/>
  <c r="AK127" i="38" s="1"/>
  <c r="Q127" i="38"/>
  <c r="T127" i="38" s="1"/>
  <c r="AG126" i="38"/>
  <c r="AD127" i="38" l="1"/>
  <c r="AE127" i="38" s="1"/>
  <c r="U127" i="38" s="1"/>
  <c r="AH126" i="38"/>
  <c r="AI126" i="38" s="1"/>
  <c r="AL126" i="38"/>
  <c r="AC128" i="38" l="1"/>
  <c r="V127" i="38"/>
  <c r="M128" i="38" l="1"/>
  <c r="AF127" i="38"/>
  <c r="AG127" i="38" l="1"/>
  <c r="Q128" i="38"/>
  <c r="P128" i="38"/>
  <c r="AD128" i="38" l="1"/>
  <c r="AE128" i="38" s="1"/>
  <c r="T128" i="38"/>
  <c r="V128" i="38"/>
  <c r="AL127" i="38"/>
  <c r="AH127" i="38"/>
  <c r="AI127" i="38" s="1"/>
  <c r="AC129" i="38" l="1"/>
  <c r="U128" i="38"/>
  <c r="AF128" i="38"/>
  <c r="M129" i="38"/>
  <c r="AG128" i="38" l="1"/>
  <c r="P129" i="38"/>
  <c r="Q129" i="38"/>
  <c r="T129" i="38" s="1"/>
  <c r="AD129" i="38" l="1"/>
  <c r="AE129" i="38" s="1"/>
  <c r="AL128" i="38"/>
  <c r="AH128" i="38"/>
  <c r="AI128" i="38" s="1"/>
  <c r="U129" i="38" l="1"/>
  <c r="AC130" i="38"/>
  <c r="V129" i="38"/>
  <c r="M130" i="38" s="1"/>
  <c r="AF129" i="38"/>
  <c r="Q130" i="38" l="1"/>
  <c r="T130" i="38" s="1"/>
  <c r="P130" i="38"/>
  <c r="AG129" i="38"/>
  <c r="AD130" i="38" l="1"/>
  <c r="AE130" i="38" s="1"/>
  <c r="AH129" i="38"/>
  <c r="AI129" i="38" s="1"/>
  <c r="AL129" i="38"/>
  <c r="AC131" i="38" l="1"/>
  <c r="U130" i="38"/>
  <c r="V130" i="38"/>
  <c r="M131" i="38" l="1"/>
  <c r="AF130" i="38"/>
  <c r="T131" i="38" l="1"/>
  <c r="AG130" i="38"/>
  <c r="Q131" i="38"/>
  <c r="P131" i="38"/>
  <c r="AD131" i="38" s="1"/>
  <c r="AE131" i="38" s="1"/>
  <c r="AC132" i="38" l="1"/>
  <c r="AH130" i="38"/>
  <c r="AI130" i="38" s="1"/>
  <c r="AL130" i="38"/>
  <c r="U131" i="38" l="1"/>
  <c r="V131" i="38"/>
  <c r="AF131" i="38" s="1"/>
  <c r="M132" i="38" l="1"/>
  <c r="AG131" i="38"/>
  <c r="P132" i="38" l="1"/>
  <c r="AD132" i="38" s="1"/>
  <c r="AE132" i="38" s="1"/>
  <c r="Q132" i="38"/>
  <c r="AH131" i="38"/>
  <c r="AI131" i="38" s="1"/>
  <c r="AL131" i="38"/>
  <c r="T132" i="38" l="1"/>
  <c r="U132" i="38" s="1"/>
  <c r="AC133" i="38"/>
  <c r="V132" i="38" l="1"/>
  <c r="AF132" i="38" s="1"/>
  <c r="M133" i="38"/>
  <c r="AG132" i="38" l="1"/>
  <c r="P133" i="38"/>
  <c r="AD133" i="38" s="1"/>
  <c r="AE133" i="38" s="1"/>
  <c r="Q133" i="38"/>
  <c r="T133" i="38" l="1"/>
  <c r="AC134" i="38"/>
  <c r="AH132" i="38"/>
  <c r="AI132" i="38" s="1"/>
  <c r="AL132" i="38"/>
  <c r="U133" i="38" l="1"/>
  <c r="V133" i="38"/>
  <c r="AF133" i="38" l="1"/>
  <c r="M134" i="38"/>
  <c r="Q134" i="38" l="1"/>
  <c r="P134" i="38"/>
  <c r="AD134" i="38" s="1"/>
  <c r="AE134" i="38" s="1"/>
  <c r="AG133" i="38"/>
  <c r="T134" i="38" l="1"/>
  <c r="AH133" i="38"/>
  <c r="AI133" i="38" s="1"/>
  <c r="AL133" i="38"/>
  <c r="AC135" i="38"/>
  <c r="V134" i="38"/>
  <c r="M135" i="38" l="1"/>
  <c r="AF134" i="38"/>
  <c r="U134" i="38"/>
  <c r="T135" i="38" l="1"/>
  <c r="AG134" i="38"/>
  <c r="Q135" i="38"/>
  <c r="P135" i="38"/>
  <c r="V135" i="38" l="1"/>
  <c r="M136" i="38" s="1"/>
  <c r="AD135" i="38"/>
  <c r="AE135" i="38" s="1"/>
  <c r="U135" i="38" s="1"/>
  <c r="AH134" i="38"/>
  <c r="AI134" i="38" s="1"/>
  <c r="AL134" i="38"/>
  <c r="AC136" i="38" l="1"/>
  <c r="AF135" i="38"/>
  <c r="P136" i="38"/>
  <c r="Q136" i="38"/>
  <c r="T136" i="38" s="1"/>
  <c r="V136" i="38" l="1"/>
  <c r="M137" i="38" s="1"/>
  <c r="AD136" i="38"/>
  <c r="AC137" i="38" s="1"/>
  <c r="AG135" i="38"/>
  <c r="AE136" i="38" l="1"/>
  <c r="AF136" i="38" s="1"/>
  <c r="AG136" i="38" s="1"/>
  <c r="AH136" i="38" s="1"/>
  <c r="AI136" i="38" s="1"/>
  <c r="Q137" i="38"/>
  <c r="AL135" i="38"/>
  <c r="AH135" i="38"/>
  <c r="AI135" i="38" s="1"/>
  <c r="P137" i="38"/>
  <c r="T137" i="38" s="1"/>
  <c r="U136" i="38" l="1"/>
  <c r="V137" i="38"/>
  <c r="M138" i="38" s="1"/>
  <c r="AD137" i="38"/>
  <c r="AL136" i="38"/>
  <c r="AC138" i="38" l="1"/>
  <c r="AE137" i="38"/>
  <c r="U137" i="38" s="1"/>
  <c r="P138" i="38"/>
  <c r="T138" i="38" s="1"/>
  <c r="Q138" i="38"/>
  <c r="AF137" i="38" l="1"/>
  <c r="AD138" i="38" s="1"/>
  <c r="AC139" i="38" s="1"/>
  <c r="V138" i="38"/>
  <c r="AG137" i="38" l="1"/>
  <c r="AL137" i="38" s="1"/>
  <c r="AE138" i="38"/>
  <c r="U138" i="38" s="1"/>
  <c r="M139" i="38"/>
  <c r="AH137" i="38" l="1"/>
  <c r="AI137" i="38" s="1"/>
  <c r="AF138" i="38"/>
  <c r="AG138" i="38" s="1"/>
  <c r="Q139" i="38"/>
  <c r="S139" i="38"/>
  <c r="P139" i="38"/>
  <c r="T139" i="38" s="1"/>
  <c r="R139" i="38"/>
  <c r="AK139" i="38" s="1"/>
  <c r="AD139" i="38" l="1"/>
  <c r="V139" i="38"/>
  <c r="AH138" i="38"/>
  <c r="AI138" i="38" s="1"/>
  <c r="AL138" i="38"/>
  <c r="AC140" i="38" l="1"/>
  <c r="AE139" i="38"/>
  <c r="U139" i="38" s="1"/>
  <c r="M140" i="38"/>
  <c r="T140" i="38" l="1"/>
  <c r="AF139" i="38"/>
  <c r="AG139" i="38" s="1"/>
  <c r="Q140" i="38"/>
  <c r="P140" i="38"/>
  <c r="AD140" i="38" l="1"/>
  <c r="AE140" i="38" s="1"/>
  <c r="AH139" i="38"/>
  <c r="AI139" i="38" s="1"/>
  <c r="AL139" i="38"/>
  <c r="V140" i="38" l="1"/>
  <c r="AF140" i="38" s="1"/>
  <c r="AC141" i="38"/>
  <c r="U140" i="38"/>
  <c r="M141" i="38" l="1"/>
  <c r="P141" i="38"/>
  <c r="Q141" i="38"/>
  <c r="AD141" i="38" s="1"/>
  <c r="AE141" i="38" s="1"/>
  <c r="AG140" i="38"/>
  <c r="T141" i="38" l="1"/>
  <c r="AC142" i="38"/>
  <c r="AH140" i="38"/>
  <c r="AI140" i="38" s="1"/>
  <c r="AL140" i="38"/>
  <c r="U141" i="38" l="1"/>
  <c r="V141" i="38"/>
  <c r="AF141" i="38" s="1"/>
  <c r="M142" i="38" l="1"/>
  <c r="AG141" i="38"/>
  <c r="P142" i="38" l="1"/>
  <c r="T142" i="38" s="1"/>
  <c r="Q142" i="38"/>
  <c r="AH141" i="38"/>
  <c r="AI141" i="38" s="1"/>
  <c r="AL141" i="38"/>
  <c r="AD142" i="38" l="1"/>
  <c r="AE142" i="38" s="1"/>
  <c r="AC143" i="38" l="1"/>
  <c r="U142" i="38"/>
  <c r="V142" i="38"/>
  <c r="AF142" i="38" l="1"/>
  <c r="M143" i="38"/>
  <c r="T143" i="38" l="1"/>
  <c r="AG142" i="38"/>
  <c r="AH142" i="38" s="1"/>
  <c r="P143" i="38"/>
  <c r="Q143" i="38"/>
  <c r="AD143" i="38" l="1"/>
  <c r="AE143" i="38" s="1"/>
  <c r="V143" i="38"/>
  <c r="M144" i="38" s="1"/>
  <c r="AI142" i="38"/>
  <c r="AL142" i="38"/>
  <c r="AC144" i="38" l="1"/>
  <c r="Q144" i="38"/>
  <c r="T144" i="38"/>
  <c r="P144" i="38"/>
  <c r="U143" i="38"/>
  <c r="AF143" i="38"/>
  <c r="V144" i="38" l="1"/>
  <c r="AD144" i="38"/>
  <c r="AC145" i="38" s="1"/>
  <c r="AG143" i="38"/>
  <c r="M145" i="38"/>
  <c r="AE144" i="38" l="1"/>
  <c r="U144" i="38" s="1"/>
  <c r="AH143" i="38"/>
  <c r="AI143" i="38" s="1"/>
  <c r="AL143" i="38"/>
  <c r="P145" i="38"/>
  <c r="Q145" i="38"/>
  <c r="T145" i="38" s="1"/>
  <c r="AF144" i="38" l="1"/>
  <c r="AG144" i="38" s="1"/>
  <c r="AH144" i="38" s="1"/>
  <c r="AI144" i="38" s="1"/>
  <c r="AD145" i="38" l="1"/>
  <c r="AC146" i="38" s="1"/>
  <c r="AE145" i="38"/>
  <c r="AL144" i="38"/>
  <c r="V145" i="38"/>
  <c r="AF145" i="38" l="1"/>
  <c r="U145" i="38"/>
  <c r="M146" i="38"/>
  <c r="P146" i="38"/>
  <c r="Q146" i="38" l="1"/>
  <c r="T146" i="38"/>
  <c r="V146" i="38" s="1"/>
  <c r="AD146" i="38"/>
  <c r="AG145" i="38"/>
  <c r="AH145" i="38" s="1"/>
  <c r="AI145" i="38" s="1"/>
  <c r="AL145" i="38" l="1"/>
  <c r="AC147" i="38"/>
  <c r="AE146" i="38"/>
  <c r="AF146" i="38" s="1"/>
  <c r="M147" i="38"/>
  <c r="T147" i="38" l="1"/>
  <c r="U146" i="38"/>
  <c r="Q147" i="38"/>
  <c r="P147" i="38"/>
  <c r="AG146" i="38"/>
  <c r="V147" i="38" l="1"/>
  <c r="M148" i="38" s="1"/>
  <c r="AD147" i="38"/>
  <c r="AE147" i="38" s="1"/>
  <c r="AH146" i="38"/>
  <c r="AI146" i="38" s="1"/>
  <c r="AL146" i="38"/>
  <c r="U147" i="38" l="1"/>
  <c r="AC148" i="38"/>
  <c r="AF147" i="38"/>
  <c r="Q148" i="38"/>
  <c r="P148" i="38"/>
  <c r="T148" i="38" s="1"/>
  <c r="AD148" i="38" l="1"/>
  <c r="AC149" i="38" s="1"/>
  <c r="V148" i="38"/>
  <c r="AG147" i="38"/>
  <c r="AH147" i="38" s="1"/>
  <c r="AI147" i="38" s="1"/>
  <c r="AE148" i="38" l="1"/>
  <c r="U148" i="38" s="1"/>
  <c r="AL147" i="38"/>
  <c r="M149" i="38"/>
  <c r="AF148" i="38" l="1"/>
  <c r="AG148" i="38" s="1"/>
  <c r="Q149" i="38"/>
  <c r="P149" i="38"/>
  <c r="AD149" i="38" l="1"/>
  <c r="AE149" i="38" s="1"/>
  <c r="T149" i="38"/>
  <c r="V149" i="38" s="1"/>
  <c r="AH148" i="38"/>
  <c r="AI148" i="38" s="1"/>
  <c r="AL148" i="38"/>
  <c r="U149" i="38" l="1"/>
  <c r="AC150" i="38"/>
  <c r="AF149" i="38"/>
  <c r="M150" i="38"/>
  <c r="P150" i="38" l="1"/>
  <c r="Q150" i="38"/>
  <c r="AG149" i="38"/>
  <c r="AD150" i="38" l="1"/>
  <c r="AE150" i="38" s="1"/>
  <c r="T150" i="38"/>
  <c r="V150" i="38" s="1"/>
  <c r="AH149" i="38"/>
  <c r="AI149" i="38" s="1"/>
  <c r="AL149" i="38"/>
  <c r="AC151" i="38" l="1"/>
  <c r="U150" i="38"/>
  <c r="AF150" i="38" l="1"/>
  <c r="M151" i="38"/>
  <c r="P151" i="38" l="1"/>
  <c r="AD151" i="38" s="1"/>
  <c r="AE151" i="38" s="1"/>
  <c r="R151" i="38"/>
  <c r="AK151" i="38" s="1"/>
  <c r="S151" i="38"/>
  <c r="Q151" i="38"/>
  <c r="AG150" i="38"/>
  <c r="T151" i="38" l="1"/>
  <c r="AC152" i="38" s="1"/>
  <c r="AH150" i="38"/>
  <c r="AI150" i="38" s="1"/>
  <c r="AL150" i="38"/>
  <c r="U151" i="38" l="1"/>
  <c r="V151" i="38"/>
  <c r="AF151" i="38" s="1"/>
  <c r="M152" i="38" l="1"/>
  <c r="AG151" i="38"/>
  <c r="Q152" i="38" l="1"/>
  <c r="T152" i="38"/>
  <c r="P152" i="38"/>
  <c r="AH151" i="38"/>
  <c r="AI151" i="38" s="1"/>
  <c r="AL151" i="38"/>
  <c r="V152" i="38" l="1"/>
  <c r="AD152" i="38"/>
  <c r="AE152" i="38" s="1"/>
  <c r="U152" i="38" s="1"/>
  <c r="AC153" i="38" l="1"/>
  <c r="AF152" i="38"/>
  <c r="AG152" i="38" s="1"/>
  <c r="M153" i="38"/>
  <c r="P153" i="38"/>
  <c r="AD153" i="38" l="1"/>
  <c r="AE153" i="38" s="1"/>
  <c r="T153" i="38"/>
  <c r="Q153" i="38"/>
  <c r="AH152" i="38"/>
  <c r="AI152" i="38" s="1"/>
  <c r="AL152" i="38"/>
  <c r="AC154" i="38" l="1"/>
  <c r="U153" i="38"/>
  <c r="V153" i="38"/>
  <c r="AF153" i="38" s="1"/>
  <c r="M154" i="38" l="1"/>
  <c r="AG153" i="38"/>
  <c r="P154" i="38" l="1"/>
  <c r="T154" i="38" s="1"/>
  <c r="Q154" i="38"/>
  <c r="AH153" i="38"/>
  <c r="AI153" i="38" s="1"/>
  <c r="AL153" i="38"/>
  <c r="AD154" i="38" l="1"/>
  <c r="AE154" i="38" s="1"/>
  <c r="U154" i="38" s="1"/>
  <c r="V154" i="38"/>
  <c r="AC155" i="38" l="1"/>
  <c r="AF154" i="38"/>
  <c r="AD155" i="38" s="1"/>
  <c r="M155" i="38"/>
  <c r="P155" i="38"/>
  <c r="Q155" i="38"/>
  <c r="T155" i="38" l="1"/>
  <c r="AC156" i="38" s="1"/>
  <c r="AE155" i="38"/>
  <c r="AG154" i="38"/>
  <c r="AH154" i="38" s="1"/>
  <c r="AI154" i="38" s="1"/>
  <c r="AL154" i="38" l="1"/>
  <c r="U155" i="38"/>
  <c r="V155" i="38"/>
  <c r="AF155" i="38" s="1"/>
  <c r="M156" i="38" l="1"/>
  <c r="AG155" i="38"/>
  <c r="P156" i="38" l="1"/>
  <c r="T156" i="38" s="1"/>
  <c r="Q156" i="38"/>
  <c r="AH155" i="38"/>
  <c r="AI155" i="38" s="1"/>
  <c r="AL155" i="38"/>
  <c r="AD156" i="38" l="1"/>
  <c r="V156" i="38"/>
  <c r="AC157" i="38" l="1"/>
  <c r="AE156" i="38"/>
  <c r="AF156" i="38" s="1"/>
  <c r="M157" i="38"/>
  <c r="AG156" i="38" l="1"/>
  <c r="AH156" i="38" s="1"/>
  <c r="AI156" i="38" s="1"/>
  <c r="U156" i="38"/>
  <c r="Q157" i="38"/>
  <c r="P157" i="38"/>
  <c r="T157" i="38" s="1"/>
  <c r="AL156" i="38"/>
  <c r="AD157" i="38" l="1"/>
  <c r="AE157" i="38" s="1"/>
  <c r="U157" i="38" s="1"/>
  <c r="V157" i="38"/>
  <c r="AC158" i="38" l="1"/>
  <c r="AF157" i="38"/>
  <c r="M158" i="38"/>
  <c r="AG157" i="38" l="1"/>
  <c r="AH157" i="38" s="1"/>
  <c r="AI157" i="38" s="1"/>
  <c r="Q158" i="38"/>
  <c r="T158" i="38" s="1"/>
  <c r="P158" i="38"/>
  <c r="AD158" i="38" l="1"/>
  <c r="AE158" i="38" s="1"/>
  <c r="AL157" i="38"/>
  <c r="AC159" i="38" l="1"/>
  <c r="U158" i="38"/>
  <c r="V158" i="38"/>
  <c r="AF158" i="38" s="1"/>
  <c r="M159" i="38" l="1"/>
  <c r="P159" i="38" s="1"/>
  <c r="AG158" i="38"/>
  <c r="Q159" i="38" l="1"/>
  <c r="AD159" i="38" s="1"/>
  <c r="AE159" i="38" s="1"/>
  <c r="AH158" i="38"/>
  <c r="AI158" i="38" s="1"/>
  <c r="AL158" i="38"/>
  <c r="T159" i="38" l="1"/>
  <c r="V159" i="38" s="1"/>
  <c r="AF159" i="38" s="1"/>
  <c r="U159" i="38" l="1"/>
  <c r="AC160" i="38"/>
  <c r="M160" i="38"/>
  <c r="AG159" i="38"/>
  <c r="P160" i="38" l="1"/>
  <c r="Q160" i="38"/>
  <c r="T160" i="38" s="1"/>
  <c r="AD160" i="38"/>
  <c r="AE160" i="38" s="1"/>
  <c r="AH159" i="38"/>
  <c r="AI159" i="38" s="1"/>
  <c r="AL159" i="38"/>
  <c r="AC161" i="38" l="1"/>
  <c r="U160" i="38"/>
  <c r="V160" i="38"/>
  <c r="AF160" i="38" s="1"/>
  <c r="M161" i="38" l="1"/>
  <c r="AG160" i="38"/>
  <c r="P161" i="38" l="1"/>
  <c r="T161" i="38" s="1"/>
  <c r="Q161" i="38"/>
  <c r="AH160" i="38"/>
  <c r="AI160" i="38" s="1"/>
  <c r="AL160" i="38"/>
  <c r="AD161" i="38" l="1"/>
  <c r="AE161" i="38" s="1"/>
  <c r="U161" i="38" s="1"/>
  <c r="V161" i="38"/>
  <c r="AC162" i="38" l="1"/>
  <c r="AF161" i="38"/>
  <c r="M162" i="38"/>
  <c r="AG161" i="38" l="1"/>
  <c r="AH161" i="38" s="1"/>
  <c r="AI161" i="38" s="1"/>
  <c r="P162" i="38"/>
  <c r="Q162" i="38"/>
  <c r="AD162" i="38" l="1"/>
  <c r="AE162" i="38" s="1"/>
  <c r="T162" i="38"/>
  <c r="AL161" i="38"/>
  <c r="V162" i="38"/>
  <c r="AC163" i="38" l="1"/>
  <c r="AF162" i="38"/>
  <c r="M163" i="38"/>
  <c r="U162" i="38"/>
  <c r="Q163" i="38"/>
  <c r="AG162" i="38" l="1"/>
  <c r="AH162" i="38" s="1"/>
  <c r="AI162" i="38" s="1"/>
  <c r="R163" i="38"/>
  <c r="AK163" i="38" s="1"/>
  <c r="S163" i="38"/>
  <c r="P163" i="38"/>
  <c r="T163" i="38" s="1"/>
  <c r="AD163" i="38" l="1"/>
  <c r="AE163" i="38" s="1"/>
  <c r="U163" i="38" s="1"/>
  <c r="AL162" i="38"/>
  <c r="V163" i="38"/>
  <c r="M164" i="38" s="1"/>
  <c r="AC164" i="38" l="1"/>
  <c r="AF163" i="38"/>
  <c r="AG163" i="38" s="1"/>
  <c r="Q164" i="38"/>
  <c r="P164" i="38"/>
  <c r="T164" i="38" s="1"/>
  <c r="AD164" i="38" l="1"/>
  <c r="AE164" i="38" s="1"/>
  <c r="U164" i="38" s="1"/>
  <c r="AH163" i="38"/>
  <c r="AI163" i="38" s="1"/>
  <c r="AL163" i="38"/>
  <c r="AC165" i="38" l="1"/>
  <c r="V164" i="38"/>
  <c r="AF164" i="38" s="1"/>
  <c r="M165" i="38" l="1"/>
  <c r="Q165" i="38"/>
  <c r="AG164" i="38"/>
  <c r="AD165" i="38" l="1"/>
  <c r="AE165" i="38" s="1"/>
  <c r="T165" i="38"/>
  <c r="P165" i="38"/>
  <c r="AH164" i="38"/>
  <c r="AI164" i="38" s="1"/>
  <c r="AL164" i="38"/>
  <c r="AC166" i="38" l="1"/>
  <c r="V165" i="38"/>
  <c r="U165" i="38"/>
  <c r="AF165" i="38"/>
  <c r="M166" i="38"/>
  <c r="AG165" i="38" l="1"/>
  <c r="Q166" i="38"/>
  <c r="P166" i="38"/>
  <c r="T166" i="38" s="1"/>
  <c r="AD166" i="38" l="1"/>
  <c r="AE166" i="38" s="1"/>
  <c r="U166" i="38" s="1"/>
  <c r="V166" i="38"/>
  <c r="AH165" i="38"/>
  <c r="AI165" i="38" s="1"/>
  <c r="AL165" i="38"/>
  <c r="AC167" i="38" l="1"/>
  <c r="AF166" i="38"/>
  <c r="M167" i="38"/>
  <c r="Q167" i="38" l="1"/>
  <c r="T167" i="38" s="1"/>
  <c r="P167" i="38"/>
  <c r="AG166" i="38"/>
  <c r="AD167" i="38" l="1"/>
  <c r="AE167" i="38" s="1"/>
  <c r="AH166" i="38"/>
  <c r="AI166" i="38" s="1"/>
  <c r="AL166" i="38"/>
  <c r="AC168" i="38" l="1"/>
  <c r="U167" i="38"/>
  <c r="V167" i="38"/>
  <c r="AF167" i="38" s="1"/>
  <c r="AG167" i="38" l="1"/>
  <c r="AH167" i="38" s="1"/>
  <c r="AI167" i="38" s="1"/>
  <c r="M168" i="38"/>
  <c r="P168" i="38"/>
  <c r="AL167" i="38" l="1"/>
  <c r="Q168" i="38"/>
  <c r="T168" i="38" s="1"/>
  <c r="AD168" i="38" l="1"/>
  <c r="AE168" i="38" s="1"/>
  <c r="U168" i="38" s="1"/>
  <c r="V168" i="38"/>
  <c r="AC169" i="38" l="1"/>
  <c r="M169" i="38"/>
  <c r="AF168" i="38"/>
  <c r="AG168" i="38" l="1"/>
  <c r="AH168" i="38" s="1"/>
  <c r="Q169" i="38"/>
  <c r="AD169" i="38" s="1"/>
  <c r="AE169" i="38" s="1"/>
  <c r="P169" i="38"/>
  <c r="T169" i="38" s="1"/>
  <c r="AL168" i="38" l="1"/>
  <c r="AI168" i="38"/>
  <c r="V169" i="38"/>
  <c r="U169" i="38" l="1"/>
  <c r="AC170" i="38"/>
  <c r="AF169" i="38"/>
  <c r="M170" i="38"/>
  <c r="AG169" i="38" l="1"/>
  <c r="AH169" i="38" s="1"/>
  <c r="AI169" i="38" s="1"/>
  <c r="P170" i="38"/>
  <c r="Q170" i="38"/>
  <c r="AD170" i="38" l="1"/>
  <c r="AE170" i="38" s="1"/>
  <c r="T170" i="38"/>
  <c r="V170" i="38" s="1"/>
  <c r="M171" i="38" s="1"/>
  <c r="AL169" i="38"/>
  <c r="AC171" i="38" l="1"/>
  <c r="AF170" i="38"/>
  <c r="U170" i="38"/>
  <c r="P171" i="38"/>
  <c r="T171" i="38" s="1"/>
  <c r="Q171" i="38"/>
  <c r="AD171" i="38" l="1"/>
  <c r="AE171" i="38" s="1"/>
  <c r="U171" i="38" s="1"/>
  <c r="AC172" i="38"/>
  <c r="AG170" i="38"/>
  <c r="AH170" i="38" s="1"/>
  <c r="AI170" i="38" s="1"/>
  <c r="V171" i="38"/>
  <c r="AL170" i="38" l="1"/>
  <c r="AF171" i="38"/>
  <c r="M172" i="38"/>
  <c r="Q172" i="38" l="1"/>
  <c r="AD172" i="38" s="1"/>
  <c r="P172" i="38"/>
  <c r="AG171" i="38"/>
  <c r="T172" i="38" l="1"/>
  <c r="V172" i="38" s="1"/>
  <c r="AC173" i="38"/>
  <c r="AE172" i="38"/>
  <c r="AH171" i="38"/>
  <c r="AI171" i="38" s="1"/>
  <c r="AL171" i="38"/>
  <c r="U172" i="38" l="1"/>
  <c r="AF172" i="38"/>
  <c r="M173" i="38"/>
  <c r="P173" i="38" l="1"/>
  <c r="Q173" i="38"/>
  <c r="AG172" i="38"/>
  <c r="T173" i="38" l="1"/>
  <c r="V173" i="38" s="1"/>
  <c r="AD173" i="38"/>
  <c r="AE173" i="38" s="1"/>
  <c r="U173" i="38" s="1"/>
  <c r="AH172" i="38"/>
  <c r="AI172" i="38" s="1"/>
  <c r="AL172" i="38"/>
  <c r="AC174" i="38" l="1"/>
  <c r="AF173" i="38"/>
  <c r="M174" i="38"/>
  <c r="Q174" i="38" l="1"/>
  <c r="P174" i="38"/>
  <c r="AG173" i="38"/>
  <c r="AD174" i="38" l="1"/>
  <c r="AE174" i="38" s="1"/>
  <c r="T174" i="38"/>
  <c r="AH173" i="38"/>
  <c r="AI173" i="38" s="1"/>
  <c r="AL173" i="38"/>
  <c r="U174" i="38" l="1"/>
  <c r="V174" i="38"/>
  <c r="AF174" i="38" s="1"/>
  <c r="AC175" i="38"/>
  <c r="M175" i="38" l="1"/>
  <c r="AG174" i="38"/>
  <c r="S175" i="38"/>
  <c r="P175" i="38"/>
  <c r="AD175" i="38" l="1"/>
  <c r="AE175" i="38" s="1"/>
  <c r="T175" i="38"/>
  <c r="V175" i="38" s="1"/>
  <c r="R175" i="38"/>
  <c r="AK175" i="38" s="1"/>
  <c r="Q175" i="38"/>
  <c r="AH174" i="38"/>
  <c r="AI174" i="38" s="1"/>
  <c r="AL174" i="38"/>
  <c r="AC176" i="38" l="1"/>
  <c r="U175" i="38"/>
  <c r="AF175" i="38" l="1"/>
  <c r="M176" i="38"/>
  <c r="P176" i="38" l="1"/>
  <c r="AD176" i="38" s="1"/>
  <c r="AE176" i="38" s="1"/>
  <c r="Q176" i="38"/>
  <c r="AG175" i="38"/>
  <c r="T176" i="38" l="1"/>
  <c r="AC177" i="38"/>
  <c r="AH175" i="38"/>
  <c r="AI175" i="38" s="1"/>
  <c r="AL175" i="38"/>
  <c r="V176" i="38"/>
  <c r="U176" i="38" l="1"/>
  <c r="AF176" i="38" l="1"/>
  <c r="M177" i="38"/>
  <c r="Q177" i="38" l="1"/>
  <c r="P177" i="38"/>
  <c r="AD177" i="38" s="1"/>
  <c r="AE177" i="38" s="1"/>
  <c r="AG176" i="38"/>
  <c r="T177" i="38" l="1"/>
  <c r="V177" i="38"/>
  <c r="AH176" i="38"/>
  <c r="AI176" i="38" s="1"/>
  <c r="AL176" i="38"/>
  <c r="U177" i="38" l="1"/>
  <c r="AC178" i="38"/>
  <c r="AF177" i="38"/>
  <c r="M178" i="38"/>
  <c r="P178" i="38" l="1"/>
  <c r="T178" i="38" s="1"/>
  <c r="Q178" i="38"/>
  <c r="AG177" i="38"/>
  <c r="AD178" i="38" l="1"/>
  <c r="AE178" i="38" s="1"/>
  <c r="AH177" i="38"/>
  <c r="AI177" i="38" s="1"/>
  <c r="AL177" i="38"/>
  <c r="V178" i="38"/>
  <c r="AC179" i="38" l="1"/>
  <c r="U178" i="38"/>
  <c r="AF178" i="38" l="1"/>
  <c r="M179" i="38"/>
  <c r="P179" i="38" l="1"/>
  <c r="T179" i="38" s="1"/>
  <c r="Q179" i="38"/>
  <c r="AG178" i="38"/>
  <c r="AD179" i="38" l="1"/>
  <c r="AE179" i="38" s="1"/>
  <c r="AH178" i="38"/>
  <c r="AI178" i="38" s="1"/>
  <c r="AL178" i="38"/>
  <c r="AC180" i="38" l="1"/>
  <c r="U179" i="38"/>
  <c r="V179" i="38"/>
  <c r="AF179" i="38" s="1"/>
  <c r="M180" i="38" l="1"/>
  <c r="AG179" i="38"/>
  <c r="P180" i="38" l="1"/>
  <c r="T180" i="38" s="1"/>
  <c r="Q180" i="38"/>
  <c r="AH179" i="38"/>
  <c r="AI179" i="38" s="1"/>
  <c r="AL179" i="38"/>
  <c r="AD180" i="38" l="1"/>
  <c r="AE180" i="38" s="1"/>
  <c r="AC181" i="38" l="1"/>
  <c r="U180" i="38"/>
  <c r="V180" i="38"/>
  <c r="AF180" i="38" s="1"/>
  <c r="M181" i="38" l="1"/>
  <c r="Q181" i="38"/>
  <c r="AG180" i="38"/>
  <c r="P181" i="38" l="1"/>
  <c r="AH180" i="38"/>
  <c r="AI180" i="38" s="1"/>
  <c r="AL180" i="38"/>
  <c r="T181" i="38" l="1"/>
  <c r="AD181" i="38"/>
  <c r="AE181" i="38" s="1"/>
  <c r="U181" i="38" l="1"/>
  <c r="V181" i="38"/>
  <c r="AF181" i="38" s="1"/>
  <c r="AG181" i="38" s="1"/>
  <c r="AC182" i="38"/>
  <c r="M182" i="38" l="1"/>
  <c r="AH181" i="38"/>
  <c r="AI181" i="38" s="1"/>
  <c r="AL181" i="38"/>
  <c r="Q182" i="38" l="1"/>
  <c r="P182" i="38"/>
  <c r="AD182" i="38" l="1"/>
  <c r="AE182" i="38" s="1"/>
  <c r="T182" i="38"/>
  <c r="V182" i="38" l="1"/>
  <c r="AC183" i="38"/>
  <c r="U182" i="38"/>
  <c r="M183" i="38" l="1"/>
  <c r="AF182" i="38"/>
  <c r="Q183" i="38" l="1"/>
  <c r="P183" i="38"/>
  <c r="AG182" i="38"/>
  <c r="AD183" i="38"/>
  <c r="AE183" i="38" s="1"/>
  <c r="U183" i="38" l="1"/>
  <c r="AH182" i="38"/>
  <c r="AI182" i="38" s="1"/>
  <c r="AL182" i="38"/>
  <c r="T183" i="38"/>
  <c r="AC184" i="38"/>
  <c r="V183" i="38" l="1"/>
  <c r="AF183" i="38" l="1"/>
  <c r="AG183" i="38" s="1"/>
  <c r="M184" i="38"/>
  <c r="P184" i="38" l="1"/>
  <c r="Q184" i="38"/>
  <c r="AH183" i="38"/>
  <c r="AI183" i="38" s="1"/>
  <c r="AL183" i="38"/>
  <c r="AD184" i="38" l="1"/>
  <c r="AE184" i="38" s="1"/>
  <c r="T184" i="38"/>
  <c r="V184" i="38"/>
  <c r="AC185" i="38" l="1"/>
  <c r="AF184" i="38"/>
  <c r="AG184" i="38" s="1"/>
  <c r="M185" i="38"/>
  <c r="U184" i="38"/>
  <c r="AH184" i="38" l="1"/>
  <c r="AI184" i="38" s="1"/>
  <c r="AL184" i="38"/>
  <c r="P185" i="38"/>
  <c r="Q185" i="38"/>
  <c r="AD185" i="38" s="1"/>
  <c r="AE185" i="38" s="1"/>
  <c r="T185" i="38" l="1"/>
  <c r="AC186" i="38"/>
  <c r="U185" i="38" l="1"/>
  <c r="V185" i="38"/>
  <c r="AF185" i="38" l="1"/>
  <c r="AG185" i="38" s="1"/>
  <c r="M186" i="38"/>
  <c r="AH185" i="38" l="1"/>
  <c r="AI185" i="38" s="1"/>
  <c r="AL185" i="38"/>
  <c r="P186" i="38"/>
  <c r="Q186" i="38"/>
  <c r="AD186" i="38" l="1"/>
  <c r="AE186" i="38" s="1"/>
  <c r="T186" i="38"/>
  <c r="AC187" i="38" l="1"/>
  <c r="U186" i="38"/>
  <c r="V186" i="38"/>
  <c r="AF186" i="38" l="1"/>
  <c r="AG186" i="38" s="1"/>
  <c r="M187" i="38"/>
  <c r="P187" i="38" l="1"/>
  <c r="R187" i="38"/>
  <c r="Q187" i="38"/>
  <c r="AD187" i="38" s="1"/>
  <c r="S187" i="38"/>
  <c r="AH186" i="38"/>
  <c r="AI186" i="38" s="1"/>
  <c r="AL186" i="38"/>
  <c r="AE187" i="38" l="1"/>
  <c r="AK187" i="38"/>
  <c r="R3" i="38"/>
  <c r="V187" i="38"/>
  <c r="T187" i="38"/>
  <c r="U187" i="38" l="1"/>
  <c r="AF187" i="38"/>
  <c r="M188" i="38"/>
  <c r="AC188" i="38"/>
  <c r="AK3" i="38"/>
  <c r="AG187" i="38"/>
  <c r="AH187" i="38" s="1"/>
  <c r="AI187" i="38" s="1"/>
  <c r="P188" i="38" l="1"/>
  <c r="Q188" i="38"/>
  <c r="AD188" i="38" s="1"/>
  <c r="AE188" i="38" s="1"/>
  <c r="AL187" i="38"/>
  <c r="T188" i="38" l="1"/>
  <c r="V188" i="38" s="1"/>
  <c r="AC189" i="38" l="1"/>
  <c r="U188" i="38"/>
  <c r="AF188" i="38"/>
  <c r="M189" i="38"/>
  <c r="P189" i="38" l="1"/>
  <c r="Q189" i="38"/>
  <c r="AG188" i="38"/>
  <c r="AD189" i="38" l="1"/>
  <c r="AE189" i="38" s="1"/>
  <c r="AH188" i="38"/>
  <c r="AI188" i="38" s="1"/>
  <c r="AL188" i="38"/>
  <c r="T189" i="38"/>
  <c r="V189" i="38" s="1"/>
  <c r="AF189" i="38" l="1"/>
  <c r="AG189" i="38" s="1"/>
  <c r="M190" i="38"/>
  <c r="U189" i="38"/>
  <c r="AC190" i="38"/>
  <c r="AH189" i="38" l="1"/>
  <c r="AI189" i="38" s="1"/>
  <c r="AL189" i="38"/>
  <c r="P190" i="38"/>
  <c r="Q190" i="38"/>
  <c r="AD190" i="38" s="1"/>
  <c r="AE190" i="38" s="1"/>
  <c r="T190" i="38" l="1"/>
  <c r="U190" i="38" s="1"/>
  <c r="V190" i="38" l="1"/>
  <c r="M191" i="38" s="1"/>
  <c r="AC191" i="38"/>
  <c r="AF190" i="38" l="1"/>
  <c r="AG190" i="38" s="1"/>
  <c r="Q191" i="38"/>
  <c r="P191" i="38"/>
  <c r="AD191" i="38" l="1"/>
  <c r="AE191" i="38" s="1"/>
  <c r="AL190" i="38"/>
  <c r="AH190" i="38"/>
  <c r="AI190" i="38" s="1"/>
  <c r="T191" i="38"/>
  <c r="U191" i="38" l="1"/>
  <c r="AC192" i="38"/>
  <c r="V191" i="38"/>
  <c r="AF191" i="38" l="1"/>
  <c r="M192" i="38"/>
  <c r="AG191" i="38" l="1"/>
  <c r="P192" i="38"/>
  <c r="Q192" i="38"/>
  <c r="AD192" i="38" l="1"/>
  <c r="AE192" i="38" s="1"/>
  <c r="AL191" i="38"/>
  <c r="AH191" i="38"/>
  <c r="AI191" i="38" s="1"/>
  <c r="T192" i="38"/>
  <c r="U192" i="38" l="1"/>
  <c r="V192" i="38"/>
  <c r="AC193" i="38"/>
  <c r="AF192" i="38" l="1"/>
  <c r="M193" i="38"/>
  <c r="Q193" i="38" l="1"/>
  <c r="P193" i="38"/>
  <c r="AG192" i="38"/>
  <c r="AL192" i="38" l="1"/>
  <c r="AH192" i="38"/>
  <c r="AI192" i="38" s="1"/>
  <c r="AD193" i="38"/>
  <c r="AE193" i="38" s="1"/>
  <c r="T193" i="38"/>
  <c r="U193" i="38" l="1"/>
  <c r="V193" i="38"/>
  <c r="AC194" i="38"/>
  <c r="AF193" i="38" l="1"/>
  <c r="M194" i="38"/>
  <c r="AG193" i="38" l="1"/>
  <c r="P194" i="38"/>
  <c r="Q194" i="38"/>
  <c r="AD194" i="38" l="1"/>
  <c r="AE194" i="38" s="1"/>
  <c r="T194" i="38"/>
  <c r="V194" i="38" s="1"/>
  <c r="AH193" i="38"/>
  <c r="AI193" i="38" s="1"/>
  <c r="AL193" i="38"/>
  <c r="M195" i="38" l="1"/>
  <c r="AF194" i="38"/>
  <c r="AC195" i="38"/>
  <c r="U194" i="38"/>
  <c r="AG194" i="38" l="1"/>
  <c r="P195" i="38"/>
  <c r="Q195" i="38"/>
  <c r="AL194" i="38" l="1"/>
  <c r="AH194" i="38"/>
  <c r="AI194" i="38" s="1"/>
  <c r="T195" i="38"/>
  <c r="V195" i="38" s="1"/>
  <c r="AD195" i="38"/>
  <c r="AE195" i="38" s="1"/>
  <c r="AC196" i="38" l="1"/>
  <c r="U195" i="38"/>
  <c r="AF195" i="38"/>
  <c r="AG195" i="38" s="1"/>
  <c r="M196" i="38"/>
  <c r="P196" i="38" l="1"/>
  <c r="Q196" i="38"/>
  <c r="AL195" i="38"/>
  <c r="AH195" i="38"/>
  <c r="AI195" i="38" s="1"/>
  <c r="T196" i="38" l="1"/>
  <c r="AD196" i="38"/>
  <c r="AE196" i="38" s="1"/>
  <c r="AC197" i="38" l="1"/>
  <c r="U196" i="38"/>
  <c r="V196" i="38"/>
  <c r="AF196" i="38" s="1"/>
  <c r="M197" i="38" l="1"/>
  <c r="P197" i="38"/>
  <c r="Q197" i="38"/>
  <c r="AG196" i="38"/>
  <c r="AD197" i="38" l="1"/>
  <c r="AE197" i="38" s="1"/>
  <c r="T197" i="38"/>
  <c r="AH196" i="38"/>
  <c r="AI196" i="38" s="1"/>
  <c r="AL196" i="38"/>
  <c r="U197" i="38" l="1"/>
  <c r="AC198" i="38"/>
  <c r="V197" i="38"/>
  <c r="AF197" i="38" l="1"/>
  <c r="M198" i="38"/>
  <c r="P198" i="38" l="1"/>
  <c r="Q198" i="38"/>
  <c r="AD198" i="38" s="1"/>
  <c r="AE198" i="38" s="1"/>
  <c r="AG197" i="38"/>
  <c r="T198" i="38" l="1"/>
  <c r="AC199" i="38" s="1"/>
  <c r="AH197" i="38"/>
  <c r="AI197" i="38" s="1"/>
  <c r="AL197" i="38"/>
  <c r="V198" i="38"/>
  <c r="U198" i="38" l="1"/>
  <c r="M199" i="38"/>
  <c r="AF198" i="38"/>
  <c r="S199" i="38" l="1"/>
  <c r="P199" i="38"/>
  <c r="Q199" i="38"/>
  <c r="AG198" i="38"/>
  <c r="AD199" i="38" l="1"/>
  <c r="AE199" i="38" s="1"/>
  <c r="T199" i="38"/>
  <c r="V199" i="38" s="1"/>
  <c r="AH198" i="38"/>
  <c r="AI198" i="38" s="1"/>
  <c r="AL198" i="38"/>
  <c r="AC200" i="38" l="1"/>
  <c r="U199" i="38"/>
  <c r="AF199" i="38"/>
  <c r="M200" i="38"/>
  <c r="Q200" i="38" l="1"/>
  <c r="P200" i="38"/>
  <c r="AG199" i="38"/>
  <c r="AL199" i="38" l="1"/>
  <c r="AH199" i="38"/>
  <c r="AI199" i="38" s="1"/>
  <c r="T200" i="38"/>
  <c r="AD200" i="38"/>
  <c r="AE200" i="38" s="1"/>
  <c r="AC201" i="38" l="1"/>
  <c r="U200" i="38"/>
  <c r="V200" i="38"/>
  <c r="M201" i="38" s="1"/>
  <c r="AF200" i="38"/>
  <c r="Q201" i="38" l="1"/>
  <c r="P201" i="38"/>
  <c r="AG200" i="38"/>
  <c r="AD201" i="38" l="1"/>
  <c r="AE201" i="38" s="1"/>
  <c r="AH200" i="38"/>
  <c r="AI200" i="38" s="1"/>
  <c r="AL200" i="38"/>
  <c r="T201" i="38"/>
  <c r="U201" i="38" l="1"/>
  <c r="AC202" i="38"/>
  <c r="V201" i="38"/>
  <c r="AF201" i="38" l="1"/>
  <c r="M202" i="38"/>
  <c r="AG201" i="38" l="1"/>
  <c r="P202" i="38"/>
  <c r="Q202" i="38"/>
  <c r="T202" i="38" l="1"/>
  <c r="AH201" i="38"/>
  <c r="AI201" i="38" s="1"/>
  <c r="AL201" i="38"/>
  <c r="AD202" i="38"/>
  <c r="AE202" i="38" s="1"/>
  <c r="U202" i="38" l="1"/>
  <c r="AC203" i="38"/>
  <c r="V202" i="38"/>
  <c r="M203" i="38" l="1"/>
  <c r="AF202" i="38"/>
  <c r="AG202" i="38" l="1"/>
  <c r="Q203" i="38"/>
  <c r="P203" i="38"/>
  <c r="AL202" i="38" l="1"/>
  <c r="AH202" i="38"/>
  <c r="AI202" i="38" s="1"/>
  <c r="AD203" i="38"/>
  <c r="AE203" i="38" s="1"/>
  <c r="T203" i="38"/>
  <c r="U203" i="38" l="1"/>
  <c r="V203" i="38"/>
  <c r="AC204" i="38"/>
  <c r="AF203" i="38" l="1"/>
  <c r="M204" i="38"/>
  <c r="AG203" i="38" l="1"/>
  <c r="Q204" i="38"/>
  <c r="P204" i="38"/>
  <c r="T204" i="38" l="1"/>
  <c r="V204" i="38" s="1"/>
  <c r="AL203" i="38"/>
  <c r="AH203" i="38"/>
  <c r="AI203" i="38" s="1"/>
  <c r="AD204" i="38"/>
  <c r="AE204" i="38" s="1"/>
  <c r="U204" i="38" l="1"/>
  <c r="AC205" i="38"/>
  <c r="AF204" i="38"/>
  <c r="M205" i="38"/>
  <c r="AG204" i="38" l="1"/>
  <c r="P205" i="38"/>
  <c r="Q205" i="38"/>
  <c r="AL204" i="38" l="1"/>
  <c r="AH204" i="38"/>
  <c r="AI204" i="38" s="1"/>
  <c r="AD205" i="38"/>
  <c r="AE205" i="38" s="1"/>
  <c r="T205" i="38"/>
  <c r="U205" i="38" s="1"/>
  <c r="V205" i="38" l="1"/>
  <c r="M206" i="38" s="1"/>
  <c r="AC206" i="38"/>
  <c r="AF205" i="38" l="1"/>
  <c r="AG205" i="38" s="1"/>
  <c r="Q206" i="38"/>
  <c r="P206" i="38"/>
  <c r="T206" i="38" l="1"/>
  <c r="V206" i="38" s="1"/>
  <c r="M207" i="38" s="1"/>
  <c r="AD206" i="38"/>
  <c r="AE206" i="38" s="1"/>
  <c r="AH205" i="38"/>
  <c r="AI205" i="38" s="1"/>
  <c r="AL205" i="38"/>
  <c r="U206" i="38" l="1"/>
  <c r="AC207" i="38"/>
  <c r="AF206" i="38"/>
  <c r="AG206" i="38" s="1"/>
  <c r="P207" i="38"/>
  <c r="Q207" i="38"/>
  <c r="AL206" i="38" l="1"/>
  <c r="AH206" i="38"/>
  <c r="AI206" i="38" s="1"/>
  <c r="T207" i="38"/>
  <c r="V207" i="38" s="1"/>
  <c r="AD207" i="38"/>
  <c r="AE207" i="38" s="1"/>
  <c r="M208" i="38" l="1"/>
  <c r="AF207" i="38"/>
  <c r="AC208" i="38"/>
  <c r="U207" i="38"/>
  <c r="Q208" i="38" l="1"/>
  <c r="P208" i="38"/>
  <c r="AG207" i="38"/>
  <c r="AD208" i="38" l="1"/>
  <c r="AE208" i="38" s="1"/>
  <c r="AL207" i="38"/>
  <c r="AH207" i="38"/>
  <c r="AI207" i="38" s="1"/>
  <c r="T208" i="38"/>
  <c r="U208" i="38" l="1"/>
  <c r="V208" i="38"/>
  <c r="M209" i="38" s="1"/>
  <c r="AC209" i="38"/>
  <c r="AF208" i="38" l="1"/>
  <c r="AG208" i="38" s="1"/>
  <c r="Q209" i="38"/>
  <c r="AD209" i="38" s="1"/>
  <c r="AE209" i="38" s="1"/>
  <c r="P209" i="38"/>
  <c r="T209" i="38" l="1"/>
  <c r="V209" i="38" s="1"/>
  <c r="AH208" i="38"/>
  <c r="AI208" i="38" s="1"/>
  <c r="AL208" i="38"/>
  <c r="U209" i="38" l="1"/>
  <c r="AC210" i="38"/>
  <c r="M210" i="38"/>
  <c r="AF209" i="38"/>
  <c r="AG209" i="38" l="1"/>
  <c r="Q210" i="38"/>
  <c r="P210" i="38"/>
  <c r="T210" i="38" l="1"/>
  <c r="V210" i="38" s="1"/>
  <c r="AD210" i="38"/>
  <c r="AE210" i="38" s="1"/>
  <c r="AH209" i="38"/>
  <c r="AI209" i="38" s="1"/>
  <c r="AL209" i="38"/>
  <c r="U210" i="38" l="1"/>
  <c r="AC211" i="38"/>
  <c r="AF210" i="38"/>
  <c r="M211" i="38"/>
  <c r="Q211" i="38" l="1"/>
  <c r="S211" i="38"/>
  <c r="P211" i="38"/>
  <c r="AG210" i="38"/>
  <c r="AD211" i="38" l="1"/>
  <c r="AE211" i="38"/>
  <c r="T211" i="38"/>
  <c r="U211" i="38" s="1"/>
  <c r="AH210" i="38"/>
  <c r="AI210" i="38" s="1"/>
  <c r="AL210" i="38"/>
  <c r="V211" i="38" l="1"/>
  <c r="M212" i="38" s="1"/>
  <c r="AC212" i="38"/>
  <c r="AF211" i="38" l="1"/>
  <c r="AG211" i="38" s="1"/>
  <c r="AH211" i="38" s="1"/>
  <c r="AI211" i="38" s="1"/>
  <c r="P212" i="38"/>
  <c r="Q212" i="38"/>
  <c r="AD212" i="38" l="1"/>
  <c r="AE212" i="38" s="1"/>
  <c r="AL211" i="38"/>
  <c r="T212" i="38"/>
  <c r="U212" i="38" l="1"/>
  <c r="AC213" i="38"/>
  <c r="V212" i="38"/>
  <c r="M213" i="38" l="1"/>
  <c r="AF212" i="38"/>
  <c r="AG212" i="38" s="1"/>
  <c r="Q213" i="38" l="1"/>
  <c r="P213" i="38"/>
  <c r="AH212" i="38"/>
  <c r="AI212" i="38" s="1"/>
  <c r="AL212" i="38"/>
  <c r="AD213" i="38" l="1"/>
  <c r="AE213" i="38" s="1"/>
  <c r="T213" i="38"/>
  <c r="V213" i="38" s="1"/>
  <c r="U213" i="38" l="1"/>
  <c r="AC214" i="38"/>
  <c r="M214" i="38"/>
  <c r="AF213" i="38"/>
  <c r="AG213" i="38" l="1"/>
  <c r="P214" i="38"/>
  <c r="Q214" i="38"/>
  <c r="T214" i="38" l="1"/>
  <c r="V214" i="38" s="1"/>
  <c r="AL213" i="38"/>
  <c r="AH213" i="38"/>
  <c r="AI213" i="38" s="1"/>
  <c r="AD214" i="38"/>
  <c r="AE214" i="38" s="1"/>
  <c r="U214" i="38" s="1"/>
  <c r="AF214" i="38" l="1"/>
  <c r="M215" i="38"/>
  <c r="AC215" i="38"/>
  <c r="Q215" i="38" l="1"/>
  <c r="P215" i="38"/>
  <c r="AG214" i="38"/>
  <c r="T215" i="38" l="1"/>
  <c r="V215" i="38" s="1"/>
  <c r="AD215" i="38"/>
  <c r="AE215" i="38" s="1"/>
  <c r="AL214" i="38"/>
  <c r="AH214" i="38"/>
  <c r="AI214" i="38" s="1"/>
  <c r="AC216" i="38" l="1"/>
  <c r="U215" i="38"/>
  <c r="AF215" i="38"/>
  <c r="M216" i="38"/>
  <c r="Q216" i="38" l="1"/>
  <c r="P216" i="38"/>
  <c r="AG215" i="38"/>
  <c r="AH215" i="38" l="1"/>
  <c r="AI215" i="38" s="1"/>
  <c r="AL215" i="38"/>
  <c r="AD216" i="38"/>
  <c r="AE216" i="38" s="1"/>
  <c r="T216" i="38"/>
  <c r="U216" i="38" l="1"/>
  <c r="V216" i="38"/>
  <c r="AC217" i="38"/>
  <c r="AF216" i="38" l="1"/>
  <c r="M217" i="38"/>
  <c r="AG216" i="38" l="1"/>
  <c r="Q217" i="38"/>
  <c r="P217" i="38"/>
  <c r="AL216" i="38" l="1"/>
  <c r="AH216" i="38"/>
  <c r="AI216" i="38" s="1"/>
  <c r="AD217" i="38"/>
  <c r="AE217" i="38" s="1"/>
  <c r="T217" i="38"/>
  <c r="V217" i="38" s="1"/>
  <c r="AF217" i="38" l="1"/>
  <c r="M218" i="38"/>
  <c r="U217" i="38"/>
  <c r="AC218" i="38"/>
  <c r="AG217" i="38"/>
  <c r="Q218" i="38" l="1"/>
  <c r="P218" i="38"/>
  <c r="AH217" i="38"/>
  <c r="AI217" i="38" s="1"/>
  <c r="AL217" i="38"/>
  <c r="T218" i="38" l="1"/>
  <c r="AD218" i="38"/>
  <c r="AE218" i="38" s="1"/>
  <c r="U218" i="38" l="1"/>
  <c r="AC219" i="38"/>
  <c r="V218" i="38"/>
  <c r="AF218" i="38" l="1"/>
  <c r="M219" i="38"/>
  <c r="P219" i="38" l="1"/>
  <c r="Q219" i="38"/>
  <c r="AG218" i="38"/>
  <c r="T219" i="38" l="1"/>
  <c r="V219" i="38" s="1"/>
  <c r="M220" i="38" s="1"/>
  <c r="AD219" i="38"/>
  <c r="AE219" i="38" s="1"/>
  <c r="AH218" i="38"/>
  <c r="AI218" i="38" s="1"/>
  <c r="AL218" i="38"/>
  <c r="U219" i="38" l="1"/>
  <c r="AC220" i="38"/>
  <c r="AF219" i="38"/>
  <c r="AG219" i="38" s="1"/>
  <c r="Q220" i="38"/>
  <c r="P220" i="38"/>
  <c r="AD220" i="38" l="1"/>
  <c r="AE220" i="38" s="1"/>
  <c r="AH219" i="38"/>
  <c r="AI219" i="38" s="1"/>
  <c r="AL219" i="38"/>
  <c r="T220" i="38"/>
  <c r="V220" i="38" s="1"/>
  <c r="AF220" i="38" l="1"/>
  <c r="AG220" i="38" s="1"/>
  <c r="M221" i="38"/>
  <c r="U220" i="38"/>
  <c r="AC221" i="38"/>
  <c r="P221" i="38" l="1"/>
  <c r="Q221" i="38"/>
  <c r="AH220" i="38"/>
  <c r="AI220" i="38" s="1"/>
  <c r="AL220" i="38"/>
  <c r="T221" i="38" l="1"/>
  <c r="AD221" i="38"/>
  <c r="AE221" i="38" s="1"/>
  <c r="U221" i="38" l="1"/>
  <c r="AC222" i="38"/>
  <c r="V221" i="38"/>
  <c r="M222" i="38" l="1"/>
  <c r="AF221" i="38"/>
  <c r="AG221" i="38" l="1"/>
  <c r="Q222" i="38"/>
  <c r="AD222" i="38" s="1"/>
  <c r="AE222" i="38" s="1"/>
  <c r="P222" i="38"/>
  <c r="T222" i="38" l="1"/>
  <c r="V222" i="38" s="1"/>
  <c r="AH221" i="38"/>
  <c r="AI221" i="38" s="1"/>
  <c r="AL221" i="38"/>
  <c r="U222" i="38" l="1"/>
  <c r="AC223" i="38"/>
  <c r="M223" i="38"/>
  <c r="AF222" i="38"/>
  <c r="AG222" i="38" l="1"/>
  <c r="Q223" i="38"/>
  <c r="P223" i="38"/>
  <c r="S223" i="38"/>
  <c r="AH222" i="38" l="1"/>
  <c r="AI222" i="38" s="1"/>
  <c r="AL222" i="38"/>
  <c r="AD223" i="38"/>
  <c r="AE223" i="38" s="1"/>
  <c r="T223" i="38"/>
  <c r="U223" i="38" l="1"/>
  <c r="AC224" i="38"/>
  <c r="V223" i="38"/>
  <c r="AF223" i="38" l="1"/>
  <c r="M224" i="38"/>
  <c r="P224" i="38" l="1"/>
  <c r="Q224" i="38"/>
  <c r="AG223" i="38"/>
  <c r="AH223" i="38" l="1"/>
  <c r="AI223" i="38" s="1"/>
  <c r="AL223" i="38"/>
  <c r="AD224" i="38"/>
  <c r="AE224" i="38" s="1"/>
  <c r="T224" i="38"/>
  <c r="U224" i="38" l="1"/>
  <c r="AC225" i="38"/>
  <c r="V224" i="38"/>
  <c r="AF224" i="38" l="1"/>
  <c r="AG224" i="38" s="1"/>
  <c r="M225" i="38"/>
  <c r="Q225" i="38" l="1"/>
  <c r="P225" i="38"/>
  <c r="AH224" i="38"/>
  <c r="AI224" i="38" s="1"/>
  <c r="AL224" i="38"/>
  <c r="T225" i="38" l="1"/>
  <c r="V225" i="38" s="1"/>
  <c r="AD225" i="38"/>
  <c r="AE225" i="38" s="1"/>
  <c r="U225" i="38" l="1"/>
  <c r="AF225" i="38"/>
  <c r="AG225" i="38" s="1"/>
  <c r="AC226" i="38"/>
  <c r="M226" i="38"/>
  <c r="P226" i="38" s="1"/>
  <c r="Q226" i="38" l="1"/>
  <c r="AD226" i="38" s="1"/>
  <c r="AE226" i="38" s="1"/>
  <c r="AH225" i="38"/>
  <c r="AI225" i="38" s="1"/>
  <c r="AL225" i="38"/>
  <c r="T226" i="38" l="1"/>
  <c r="V226" i="38" s="1"/>
  <c r="M227" i="38" s="1"/>
  <c r="U226" i="38" l="1"/>
  <c r="AC227" i="38"/>
  <c r="AF226" i="38"/>
  <c r="AG226" i="38" s="1"/>
  <c r="Q227" i="38"/>
  <c r="P227" i="38"/>
  <c r="AH226" i="38" l="1"/>
  <c r="AI226" i="38" s="1"/>
  <c r="AL226" i="38"/>
  <c r="AD227" i="38"/>
  <c r="AE227" i="38" s="1"/>
  <c r="T227" i="38"/>
  <c r="AC228" i="38" s="1"/>
  <c r="V227" i="38" l="1"/>
  <c r="AF227" i="38" s="1"/>
  <c r="U227" i="38"/>
  <c r="M228" i="38" l="1"/>
  <c r="Q228" i="38" s="1"/>
  <c r="AG227" i="38"/>
  <c r="P228" i="38" l="1"/>
  <c r="T228" i="38" s="1"/>
  <c r="V228" i="38" s="1"/>
  <c r="AL227" i="38"/>
  <c r="AH227" i="38"/>
  <c r="AI227" i="38" s="1"/>
  <c r="AD228" i="38" l="1"/>
  <c r="AE228" i="38" s="1"/>
  <c r="U228" i="38" s="1"/>
  <c r="AC229" i="38"/>
  <c r="AF228" i="38"/>
  <c r="AG228" i="38" s="1"/>
  <c r="M229" i="38"/>
  <c r="Q229" i="38" l="1"/>
  <c r="P229" i="38"/>
  <c r="AL228" i="38"/>
  <c r="AH228" i="38"/>
  <c r="AI228" i="38" s="1"/>
  <c r="T229" i="38" l="1"/>
  <c r="AC230" i="38" s="1"/>
  <c r="AD229" i="38"/>
  <c r="AE229" i="38" s="1"/>
  <c r="V229" i="38" l="1"/>
  <c r="U229" i="38"/>
  <c r="AF229" i="38" l="1"/>
  <c r="AG229" i="38" s="1"/>
  <c r="AL229" i="38" s="1"/>
  <c r="M230" i="38"/>
  <c r="AH229" i="38" l="1"/>
  <c r="AI229" i="38" s="1"/>
  <c r="P230" i="38"/>
  <c r="Q230" i="38"/>
  <c r="T230" i="38" l="1"/>
  <c r="V230" i="38"/>
  <c r="AD230" i="38"/>
  <c r="AE230" i="38" s="1"/>
  <c r="U230" i="38" l="1"/>
  <c r="AC231" i="38"/>
  <c r="M231" i="38"/>
  <c r="AF230" i="38"/>
  <c r="AG230" i="38" l="1"/>
  <c r="P231" i="38"/>
  <c r="T231" i="38" s="1"/>
  <c r="Q231" i="38"/>
  <c r="AD231" i="38" l="1"/>
  <c r="AE231" i="38" s="1"/>
  <c r="U231" i="38" s="1"/>
  <c r="AH230" i="38"/>
  <c r="AI230" i="38" s="1"/>
  <c r="AL230" i="38"/>
  <c r="V231" i="38"/>
  <c r="AC232" i="38"/>
  <c r="AF231" i="38" l="1"/>
  <c r="AG231" i="38" s="1"/>
  <c r="M232" i="38"/>
  <c r="Q232" i="38" l="1"/>
  <c r="P232" i="38"/>
  <c r="AH231" i="38"/>
  <c r="AI231" i="38" s="1"/>
  <c r="AL231" i="38"/>
  <c r="AD232" i="38" l="1"/>
  <c r="AE232" i="38" s="1"/>
  <c r="T232" i="38"/>
  <c r="AC233" i="38" s="1"/>
  <c r="V232" i="38" l="1"/>
  <c r="M233" i="38" s="1"/>
  <c r="U232" i="38"/>
  <c r="AF232" i="38" l="1"/>
  <c r="AG232" i="38" s="1"/>
  <c r="Q233" i="38"/>
  <c r="P233" i="38"/>
  <c r="AH232" i="38" l="1"/>
  <c r="AI232" i="38" s="1"/>
  <c r="AL232" i="38"/>
  <c r="T233" i="38"/>
  <c r="V233" i="38" s="1"/>
  <c r="AD233" i="38"/>
  <c r="AE233" i="38" s="1"/>
  <c r="M234" i="38" l="1"/>
  <c r="AF233" i="38"/>
  <c r="AG233" i="38" s="1"/>
  <c r="U233" i="38"/>
  <c r="AC234" i="38"/>
  <c r="AL233" i="38" l="1"/>
  <c r="AH233" i="38"/>
  <c r="AI233" i="38" s="1"/>
  <c r="Q234" i="38"/>
  <c r="P234" i="38"/>
  <c r="T234" i="38" s="1"/>
  <c r="AD234" i="38" l="1"/>
  <c r="AE234" i="38" s="1"/>
  <c r="U234" i="38"/>
  <c r="V234" i="38"/>
  <c r="AC235" i="38" l="1"/>
  <c r="M235" i="38"/>
  <c r="AF234" i="38"/>
  <c r="P235" i="38" l="1"/>
  <c r="AD235" i="38" s="1"/>
  <c r="AE235" i="38" s="1"/>
  <c r="Q235" i="38"/>
  <c r="S235" i="38"/>
  <c r="AG234" i="38"/>
  <c r="T235" i="38" l="1"/>
  <c r="AL234" i="38"/>
  <c r="AH234" i="38"/>
  <c r="AI234" i="38" s="1"/>
  <c r="V235" i="38" l="1"/>
  <c r="U235" i="38"/>
  <c r="AC236" i="38"/>
  <c r="M236" i="38" l="1"/>
  <c r="AF235" i="38"/>
  <c r="AG235" i="38" l="1"/>
  <c r="Q236" i="38"/>
  <c r="P236" i="38"/>
  <c r="T236" i="38" l="1"/>
  <c r="AH235" i="38"/>
  <c r="AI235" i="38" s="1"/>
  <c r="AL235" i="38"/>
  <c r="AD236" i="38"/>
  <c r="AE236" i="38" s="1"/>
  <c r="U236" i="38" s="1"/>
  <c r="AC237" i="38" l="1"/>
  <c r="V236" i="38"/>
  <c r="M237" i="38" s="1"/>
  <c r="AF236" i="38"/>
  <c r="Q237" i="38" l="1"/>
  <c r="P237" i="38"/>
  <c r="AG236" i="38"/>
  <c r="AD237" i="38" l="1"/>
  <c r="AE237" i="38" s="1"/>
  <c r="AL236" i="38"/>
  <c r="AH236" i="38"/>
  <c r="AI236" i="38" s="1"/>
  <c r="T237" i="38"/>
  <c r="AC238" i="38" l="1"/>
  <c r="U237" i="38"/>
  <c r="V237" i="38"/>
  <c r="AF237" i="38" l="1"/>
  <c r="M238" i="38"/>
  <c r="AD238" i="38" l="1"/>
  <c r="AE238" i="38" s="1"/>
  <c r="AG237" i="38"/>
  <c r="P238" i="38"/>
  <c r="Q238" i="38"/>
  <c r="T238" i="38"/>
  <c r="AL237" i="38" l="1"/>
  <c r="AH237" i="38"/>
  <c r="AI237" i="38" s="1"/>
  <c r="V238" i="38"/>
  <c r="U238" i="38"/>
  <c r="AC239" i="38"/>
  <c r="M239" i="38" l="1"/>
  <c r="AF238" i="38"/>
  <c r="AG238" i="38" l="1"/>
  <c r="P239" i="38"/>
  <c r="Q239" i="38"/>
  <c r="AD239" i="38" l="1"/>
  <c r="AE239" i="38" s="1"/>
  <c r="AH238" i="38"/>
  <c r="AI238" i="38" s="1"/>
  <c r="AL238" i="38"/>
  <c r="T239" i="38"/>
  <c r="U239" i="38" l="1"/>
  <c r="V239" i="38"/>
  <c r="AC240" i="38"/>
  <c r="M240" i="38" l="1"/>
  <c r="AF239" i="38"/>
  <c r="AG239" i="38" l="1"/>
  <c r="AD240" i="38"/>
  <c r="AE240" i="38" s="1"/>
  <c r="P240" i="38"/>
  <c r="Q240" i="38"/>
  <c r="T240" i="38"/>
  <c r="V240" i="38" l="1"/>
  <c r="U240" i="38"/>
  <c r="AL239" i="38"/>
  <c r="AH239" i="38"/>
  <c r="AI239" i="38" s="1"/>
  <c r="AC241" i="38"/>
  <c r="AF240" i="38" l="1"/>
  <c r="M241" i="38"/>
  <c r="AD241" i="38" l="1"/>
  <c r="AE241" i="38" s="1"/>
  <c r="AG240" i="38"/>
  <c r="P241" i="38"/>
  <c r="Q241" i="38"/>
  <c r="T241" i="38"/>
  <c r="V241" i="38"/>
  <c r="U241" i="38" l="1"/>
  <c r="M242" i="38"/>
  <c r="AF241" i="38"/>
  <c r="AL240" i="38"/>
  <c r="AH240" i="38"/>
  <c r="AI240" i="38" s="1"/>
  <c r="AC242" i="38"/>
  <c r="AG241" i="38"/>
  <c r="AH241" i="38" l="1"/>
  <c r="AI241" i="38" s="1"/>
  <c r="AL241" i="38"/>
  <c r="Q242" i="38"/>
  <c r="P242" i="38"/>
  <c r="AD242" i="38" l="1"/>
  <c r="AE242" i="38" s="1"/>
  <c r="T242" i="38"/>
  <c r="U242" i="38" l="1"/>
  <c r="AC243" i="38"/>
  <c r="V242" i="38"/>
  <c r="AF242" i="38" s="1"/>
  <c r="AG242" i="38" s="1"/>
  <c r="M243" i="38" l="1"/>
  <c r="AL242" i="38"/>
  <c r="AH242" i="38"/>
  <c r="AI242" i="38" s="1"/>
  <c r="Q243" i="38"/>
  <c r="P243" i="38"/>
  <c r="AD243" i="38" l="1"/>
  <c r="AE243" i="38" s="1"/>
  <c r="T243" i="38"/>
  <c r="V243" i="38" s="1"/>
  <c r="AC244" i="38"/>
  <c r="M244" i="38" l="1"/>
  <c r="AF243" i="38"/>
  <c r="AG243" i="38" s="1"/>
  <c r="U243" i="38"/>
  <c r="AL243" i="38" l="1"/>
  <c r="AH243" i="38"/>
  <c r="AI243" i="38" s="1"/>
  <c r="Q244" i="38"/>
  <c r="AD244" i="38" s="1"/>
  <c r="AE244" i="38" s="1"/>
  <c r="P244" i="38"/>
  <c r="T244" i="38" s="1"/>
  <c r="V244" i="38" s="1"/>
  <c r="M245" i="38" l="1"/>
  <c r="P245" i="38" s="1"/>
  <c r="AF244" i="38"/>
  <c r="AG244" i="38" s="1"/>
  <c r="AC245" i="38"/>
  <c r="U244" i="38"/>
  <c r="Q245" i="38"/>
  <c r="AL244" i="38"/>
  <c r="AH244" i="38"/>
  <c r="AI244" i="38" s="1"/>
  <c r="AD245" i="38" l="1"/>
  <c r="AE245" i="38" s="1"/>
  <c r="T245" i="38"/>
  <c r="V245" i="38" s="1"/>
  <c r="AF245" i="38" l="1"/>
  <c r="M246" i="38"/>
  <c r="U245" i="38"/>
  <c r="AC246" i="38"/>
  <c r="Q246" i="38" l="1"/>
  <c r="P246" i="38"/>
  <c r="AG245" i="38"/>
  <c r="T246" i="38" l="1"/>
  <c r="AD246" i="38"/>
  <c r="AE246" i="38" s="1"/>
  <c r="U246" i="38" s="1"/>
  <c r="AL245" i="38"/>
  <c r="AH245" i="38"/>
  <c r="AI245" i="38" s="1"/>
  <c r="V246" i="38"/>
  <c r="AC247" i="38" l="1"/>
  <c r="AF246" i="38"/>
  <c r="AG246" i="38" s="1"/>
  <c r="M247" i="38"/>
  <c r="Q247" i="38" l="1"/>
  <c r="P247" i="38"/>
  <c r="S247" i="38"/>
  <c r="AL246" i="38"/>
  <c r="AH246" i="38"/>
  <c r="AI246" i="38" s="1"/>
  <c r="T247" i="38" l="1"/>
  <c r="V247" i="38" s="1"/>
  <c r="AD247" i="38"/>
  <c r="AE247" i="38" s="1"/>
  <c r="U247" i="38" s="1"/>
  <c r="AC248" i="38" l="1"/>
  <c r="AF247" i="38"/>
  <c r="M248" i="38"/>
  <c r="P248" i="38" l="1"/>
  <c r="Q248" i="38"/>
  <c r="AG247" i="38"/>
  <c r="AD248" i="38" l="1"/>
  <c r="AE248" i="38" s="1"/>
  <c r="T248" i="38"/>
  <c r="U248" i="38" s="1"/>
  <c r="AL247" i="38"/>
  <c r="AH247" i="38"/>
  <c r="AI247" i="38" s="1"/>
  <c r="AC249" i="38" l="1"/>
  <c r="V248" i="38"/>
  <c r="AF248" i="38" s="1"/>
  <c r="AG248" i="38" s="1"/>
  <c r="M249" i="38" l="1"/>
  <c r="Q249" i="38" s="1"/>
  <c r="AH248" i="38"/>
  <c r="AI248" i="38" s="1"/>
  <c r="AL248" i="38"/>
  <c r="P249" i="38" l="1"/>
  <c r="T249" i="38"/>
  <c r="V249" i="38"/>
  <c r="AD249" i="38"/>
  <c r="AE249" i="38" s="1"/>
  <c r="U249" i="38" l="1"/>
  <c r="AC250" i="38"/>
  <c r="AF249" i="38"/>
  <c r="AG249" i="38" s="1"/>
  <c r="M250" i="38"/>
  <c r="AL249" i="38" l="1"/>
  <c r="AH249" i="38"/>
  <c r="AI249" i="38" s="1"/>
  <c r="Q250" i="38"/>
  <c r="P250" i="38"/>
  <c r="AD250" i="38" l="1"/>
  <c r="AE250" i="38" s="1"/>
  <c r="T250" i="38"/>
  <c r="AC251" i="38" l="1"/>
  <c r="U250" i="38"/>
  <c r="V250" i="38"/>
  <c r="M251" i="38" l="1"/>
  <c r="AF250" i="38"/>
  <c r="AG250" i="38" l="1"/>
  <c r="Q251" i="38"/>
  <c r="P251" i="38"/>
  <c r="T251" i="38" l="1"/>
  <c r="AD251" i="38"/>
  <c r="AE251" i="38" s="1"/>
  <c r="AH250" i="38"/>
  <c r="AI250" i="38" s="1"/>
  <c r="AL250" i="38"/>
  <c r="U251" i="38" l="1"/>
  <c r="V251" i="38"/>
  <c r="M252" i="38" s="1"/>
  <c r="AC252" i="38"/>
  <c r="AF251" i="38" l="1"/>
  <c r="AG251" i="38" s="1"/>
  <c r="P252" i="38"/>
  <c r="Q252" i="38"/>
  <c r="AD252" i="38" l="1"/>
  <c r="AE252" i="38" s="1"/>
  <c r="AH251" i="38"/>
  <c r="AI251" i="38" s="1"/>
  <c r="AL251" i="38"/>
  <c r="T252" i="38"/>
  <c r="U252" i="38" l="1"/>
  <c r="V252" i="38"/>
  <c r="AC253" i="38"/>
  <c r="M253" i="38" l="1"/>
  <c r="AF252" i="38"/>
  <c r="AG252" i="38" l="1"/>
  <c r="P253" i="38"/>
  <c r="Q253" i="38"/>
  <c r="T253" i="38" l="1"/>
  <c r="AD253" i="38"/>
  <c r="AE253" i="38" s="1"/>
  <c r="AH252" i="38"/>
  <c r="AI252" i="38" s="1"/>
  <c r="AL252" i="38"/>
  <c r="U253" i="38" l="1"/>
  <c r="V253" i="38"/>
  <c r="M254" i="38" s="1"/>
  <c r="AC254" i="38"/>
  <c r="AF253" i="38" l="1"/>
  <c r="AG253" i="38" s="1"/>
  <c r="Q254" i="38"/>
  <c r="P254" i="38"/>
  <c r="AL253" i="38" l="1"/>
  <c r="AH253" i="38"/>
  <c r="AI253" i="38" s="1"/>
  <c r="AD254" i="38"/>
  <c r="AE254" i="38" s="1"/>
  <c r="T254" i="38"/>
  <c r="AC255" i="38" l="1"/>
  <c r="U254" i="38"/>
  <c r="V254" i="38"/>
  <c r="M255" i="38" s="1"/>
  <c r="AF254" i="38" l="1"/>
  <c r="AG254" i="38" s="1"/>
  <c r="AH254" i="38" s="1"/>
  <c r="AI254" i="38" s="1"/>
  <c r="P255" i="38"/>
  <c r="Q255" i="38"/>
  <c r="AL254" i="38" l="1"/>
  <c r="AD255" i="38"/>
  <c r="AE255" i="38" s="1"/>
  <c r="T255" i="38"/>
  <c r="U255" i="38" l="1"/>
  <c r="AC256" i="38"/>
  <c r="V255" i="38"/>
  <c r="AF255" i="38" s="1"/>
  <c r="M256" i="38" l="1"/>
  <c r="AG255" i="38"/>
  <c r="Q256" i="38"/>
  <c r="P256" i="38"/>
  <c r="AD256" i="38" l="1"/>
  <c r="AE256" i="38" s="1"/>
  <c r="AH255" i="38"/>
  <c r="AI255" i="38" s="1"/>
  <c r="AL255" i="38"/>
  <c r="T256" i="38"/>
  <c r="V256" i="38" s="1"/>
  <c r="U256" i="38" l="1"/>
  <c r="AC257" i="38"/>
  <c r="M257" i="38"/>
  <c r="AF256" i="38"/>
  <c r="AG256" i="38" s="1"/>
  <c r="P257" i="38" l="1"/>
  <c r="Q257" i="38"/>
  <c r="AH256" i="38"/>
  <c r="AI256" i="38" s="1"/>
  <c r="AL256" i="38"/>
  <c r="AD257" i="38" l="1"/>
  <c r="AE257" i="38" s="1"/>
  <c r="T257" i="38"/>
  <c r="U257" i="38" s="1"/>
  <c r="V257" i="38" l="1"/>
  <c r="AF257" i="38" s="1"/>
  <c r="AC258" i="38"/>
  <c r="M258" i="38" l="1"/>
  <c r="P258" i="38"/>
  <c r="Q258" i="38"/>
  <c r="AG257" i="38"/>
  <c r="AH257" i="38" l="1"/>
  <c r="AI257" i="38" s="1"/>
  <c r="AL257" i="38"/>
  <c r="AD258" i="38"/>
  <c r="AE258" i="38" s="1"/>
  <c r="T258" i="38"/>
  <c r="U258" i="38" l="1"/>
  <c r="V258" i="38"/>
  <c r="AC259" i="38"/>
  <c r="AF258" i="38" l="1"/>
  <c r="M259" i="38"/>
  <c r="S259" i="38" l="1"/>
  <c r="P259" i="38"/>
  <c r="P3" i="38" s="1"/>
  <c r="Q259" i="38"/>
  <c r="Q3" i="38" s="1"/>
  <c r="AG258" i="38"/>
  <c r="T259" i="38" l="1"/>
  <c r="V259" i="38" s="1"/>
  <c r="AL258" i="38"/>
  <c r="AH258" i="38"/>
  <c r="AI258" i="38" s="1"/>
  <c r="AD259" i="38"/>
  <c r="AE259" i="38" s="1"/>
  <c r="U259" i="38" l="1"/>
  <c r="AF259" i="38"/>
  <c r="AG259" i="38" s="1"/>
  <c r="AH259" i="38" l="1"/>
  <c r="AH3" i="38" s="1"/>
  <c r="AL259" i="38"/>
  <c r="AL3" i="38" s="1"/>
  <c r="AG3" i="38"/>
  <c r="AI259" i="38" l="1"/>
  <c r="AI3" i="38" s="1"/>
</calcChain>
</file>

<file path=xl/sharedStrings.xml><?xml version="1.0" encoding="utf-8"?>
<sst xmlns="http://schemas.openxmlformats.org/spreadsheetml/2006/main" count="127" uniqueCount="111">
  <si>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</si>
  <si>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</si>
  <si>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</si>
  <si>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</si>
  <si>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</si>
  <si>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</si>
  <si>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</si>
  <si>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</si>
  <si>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</si>
  <si>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</si>
  <si>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</si>
  <si>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</si>
  <si>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</si>
  <si>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</si>
  <si>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</si>
  <si>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</si>
  <si>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</si>
  <si>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</si>
  <si>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</si>
  <si>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</si>
  <si>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</si>
  <si>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</si>
  <si>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</si>
  <si>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</si>
  <si>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</si>
  <si>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</si>
  <si>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</si>
  <si>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</si>
  <si>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</si>
  <si>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</si>
  <si>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</si>
  <si>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</si>
  <si>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</si>
  <si>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</si>
  <si>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</si>
  <si>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</si>
  <si>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</si>
  <si>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</si>
  <si>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</si>
  <si>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</si>
  <si>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</si>
  <si>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</si>
  <si>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</si>
  <si>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</si>
  <si>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</si>
  <si>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</si>
  <si>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</si>
  <si>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</si>
  <si>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</si>
  <si>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</si>
  <si>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</si>
  <si>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</si>
  <si>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</si>
  <si>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</si>
  <si>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</si>
  <si>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</si>
  <si>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</si>
  <si>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</si>
  <si>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</si>
  <si>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</si>
  <si>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</si>
  <si>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</si>
  <si>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</si>
  <si>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</si>
  <si>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</si>
  <si>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</si>
  <si>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</si>
  <si>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</si>
  <si>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</si>
  <si>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</si>
  <si>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</si>
  <si>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</si>
  <si>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</si>
  <si>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</si>
  <si>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</si>
  <si>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</si>
  <si>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</si>
  <si>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</si>
  <si>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</si>
  <si>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</si>
  <si>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</si>
  <si>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</si>
  <si>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</si>
  <si>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</si>
  <si>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</si>
  <si>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</si>
  <si>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</si>
  <si>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</si>
  <si>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</si>
  <si>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</si>
  <si>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</si>
  <si>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</si>
  <si>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</si>
  <si>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</si>
  <si>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</si>
  <si>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</si>
  <si>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</si>
  <si>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</si>
  <si>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</si>
  <si>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</si>
  <si>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</si>
  <si>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</si>
  <si>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</si>
  <si>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</si>
  <si>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Monthly Fees (Before Crediting Rate)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</si>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</sst>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_);_(* \(#,##0.0000\);_(* &quot;-&quot;??_);_(@_)"/>
  </numFmts>
  <fonts count="11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2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9" fontId="1" fillId="0" borderId="1" xfId="3" applyNumberFormat="1" applyFont="1" applyBorder="1"/>
    <xf numFmtId="171" fontId="7" fillId="0" borderId="1" xfId="0" applyNumberFormat="1" applyFont="1" applyBorder="1" applyAlignment="1">
      <alignment horizontal="right" vertical="center" wrapText="1"/>
    </xf>
    <xf numFmtId="171" fontId="1" fillId="0" borderId="1" xfId="3" applyNumberFormat="1" applyFont="1" applyFill="1" applyBorder="1"/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70" fontId="1" fillId="0" borderId="1" xfId="0" applyNumberFormat="1" applyFont="1" applyFill="1" applyBorder="1" applyAlignment="1">
      <alignment horizontal="center" vertical="top" wrapText="1"/>
    </xf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170" fontId="1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2" fontId="1" fillId="3" borderId="1" xfId="1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77" fontId="1" fillId="3" borderId="1" xfId="1" applyNumberFormat="1" applyFont="1" applyFill="1" applyBorder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71" fontId="1" fillId="5" borderId="1" xfId="3" applyNumberFormat="1" applyFont="1" applyFill="1" applyBorder="1"/>
    <xf numFmtId="172" fontId="7" fillId="3" borderId="1" xfId="1" applyNumberFormat="1" applyFont="1" applyFill="1" applyBorder="1"/>
    <xf numFmtId="43" fontId="1" fillId="3" borderId="1" xfId="0" applyNumberFormat="1" applyFont="1" applyFill="1" applyBorder="1"/>
    <xf numFmtId="10" fontId="1" fillId="3" borderId="1" xfId="3" applyNumberFormat="1" applyFont="1" applyFill="1" applyBorder="1"/>
    <xf numFmtId="172" fontId="1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70" fontId="10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="130" zoomScaleNormal="130" workbookViewId="0">
      <selection activeCell="D19" sqref="D19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109</v>
      </c>
    </row>
    <row r="2" spans="1:12" x14ac:dyDescent="0.2">
      <c r="K2" s="1" t="s">
        <v>108</v>
      </c>
      <c r="L2" s="71"/>
    </row>
    <row r="3" spans="1:12" x14ac:dyDescent="0.2">
      <c r="B3" s="10" t="s">
        <v>18</v>
      </c>
      <c r="C3" s="8">
        <v>43830</v>
      </c>
      <c r="G3" s="5" t="s">
        <v>41</v>
      </c>
      <c r="H3" s="76">
        <v>5000</v>
      </c>
      <c r="I3" s="5"/>
    </row>
    <row r="4" spans="1:12" x14ac:dyDescent="0.2">
      <c r="G4" s="16" t="s">
        <v>42</v>
      </c>
      <c r="H4" s="77">
        <v>2500</v>
      </c>
      <c r="I4" s="16" t="s">
        <v>106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75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85">
        <v>5.0000000000000001E-4</v>
      </c>
      <c r="D7" s="5" t="s">
        <v>107</v>
      </c>
      <c r="G7" s="5" t="s">
        <v>19</v>
      </c>
      <c r="H7" s="78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8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79">
        <v>15</v>
      </c>
      <c r="I9" s="5" t="s">
        <v>58</v>
      </c>
    </row>
    <row r="10" spans="1:12" x14ac:dyDescent="0.2">
      <c r="B10" s="5" t="s">
        <v>101</v>
      </c>
      <c r="C10" s="81">
        <v>0.01</v>
      </c>
      <c r="D10" s="81">
        <v>5.0000000000000001E-3</v>
      </c>
    </row>
    <row r="11" spans="1:12" x14ac:dyDescent="0.2">
      <c r="B11" s="5" t="s">
        <v>1</v>
      </c>
      <c r="C11" s="82">
        <v>150</v>
      </c>
      <c r="D11" s="83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84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4" t="s">
        <v>33</v>
      </c>
      <c r="D15" s="44" t="s">
        <v>34</v>
      </c>
    </row>
    <row r="16" spans="1:12" x14ac:dyDescent="0.2">
      <c r="B16" s="10" t="s">
        <v>5</v>
      </c>
      <c r="C16" s="6">
        <v>0.02</v>
      </c>
      <c r="D16" s="81">
        <f>(1+C16)^(1/12)-1</f>
        <v>1.6515813019202241E-3</v>
      </c>
      <c r="E16" s="86" t="s">
        <v>64</v>
      </c>
    </row>
    <row r="17" spans="2:4" x14ac:dyDescent="0.2">
      <c r="B17" s="10" t="s">
        <v>88</v>
      </c>
      <c r="C17" s="81">
        <v>0.05</v>
      </c>
      <c r="D17" s="87">
        <f>(1+C17)^(1/12)-1</f>
        <v>4.0741237836483535E-3</v>
      </c>
    </row>
    <row r="18" spans="2:4" x14ac:dyDescent="0.2">
      <c r="B18" s="10" t="s">
        <v>61</v>
      </c>
      <c r="C18" s="40">
        <v>0.3</v>
      </c>
      <c r="D18" s="7"/>
    </row>
    <row r="19" spans="2:4" x14ac:dyDescent="0.2">
      <c r="B19" s="10" t="s">
        <v>3</v>
      </c>
      <c r="C19" s="42">
        <f>'(a)'!C9</f>
        <v>5.2750000000000005E-2</v>
      </c>
      <c r="D19" s="7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4" t="s">
        <v>33</v>
      </c>
    </row>
    <row r="22" spans="2:4" x14ac:dyDescent="0.2">
      <c r="B22" s="5" t="s">
        <v>73</v>
      </c>
      <c r="C22" s="5">
        <v>1</v>
      </c>
      <c r="D22" s="90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90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90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90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90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90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90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90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90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90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90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90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93" t="s">
        <v>37</v>
      </c>
      <c r="C3" s="92" t="s">
        <v>7</v>
      </c>
      <c r="D3" s="92"/>
      <c r="E3" s="92"/>
      <c r="F3" s="92" t="s">
        <v>8</v>
      </c>
      <c r="G3" s="92"/>
      <c r="H3" s="92"/>
    </row>
    <row r="4" spans="1:8" x14ac:dyDescent="0.2">
      <c r="B4" s="94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7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5"/>
      <c r="M51" s="46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7"/>
      <c r="M52" s="46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7"/>
      <c r="M53" s="46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7"/>
      <c r="M54" s="46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7"/>
      <c r="M55" s="46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7"/>
      <c r="M56" s="46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7"/>
      <c r="M57" s="46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7"/>
      <c r="M58" s="46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7"/>
      <c r="M59" s="46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7"/>
      <c r="M60" s="46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7"/>
      <c r="M61" s="46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7"/>
      <c r="M62" s="46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7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/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109</v>
      </c>
      <c r="O1" s="1"/>
    </row>
    <row r="2" spans="1:15" x14ac:dyDescent="0.2">
      <c r="N2" s="1" t="s">
        <v>108</v>
      </c>
      <c r="O2" s="71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1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72"/>
    </row>
    <row r="5" spans="1:15" x14ac:dyDescent="0.2">
      <c r="B5" s="28" t="s">
        <v>47</v>
      </c>
      <c r="C5" s="41">
        <v>7.0000000000000007E-2</v>
      </c>
      <c r="D5" s="29">
        <v>0.15</v>
      </c>
      <c r="E5" s="29">
        <v>0.15</v>
      </c>
      <c r="F5" s="31">
        <f>D5*E5</f>
        <v>2.2499999999999999E-2</v>
      </c>
      <c r="H5" s="72"/>
      <c r="I5" s="72"/>
    </row>
    <row r="6" spans="1:15" ht="25.5" x14ac:dyDescent="0.2">
      <c r="B6" s="28" t="s">
        <v>48</v>
      </c>
      <c r="C6" s="41">
        <v>6.5000000000000002E-2</v>
      </c>
      <c r="D6" s="29">
        <v>0.1</v>
      </c>
      <c r="E6" s="29">
        <v>0.2</v>
      </c>
      <c r="F6" s="31">
        <f>D6*E6</f>
        <v>2.0000000000000004E-2</v>
      </c>
      <c r="H6" s="72"/>
    </row>
    <row r="7" spans="1:15" ht="25.5" x14ac:dyDescent="0.2">
      <c r="B7" s="28" t="s">
        <v>49</v>
      </c>
      <c r="C7" s="41">
        <v>4.4999999999999998E-2</v>
      </c>
      <c r="D7" s="29">
        <v>0.06</v>
      </c>
      <c r="E7" s="29">
        <v>0.2</v>
      </c>
      <c r="F7" s="31">
        <f>D7*E7</f>
        <v>1.2E-2</v>
      </c>
      <c r="H7" s="72"/>
      <c r="I7" s="73"/>
    </row>
    <row r="8" spans="1:15" x14ac:dyDescent="0.2">
      <c r="B8" s="28" t="s">
        <v>50</v>
      </c>
      <c r="C8" s="41">
        <v>2.5000000000000001E-2</v>
      </c>
      <c r="D8" s="29">
        <v>0.01</v>
      </c>
      <c r="E8" s="29">
        <v>0.3</v>
      </c>
      <c r="F8" s="31">
        <f>D8*E8</f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3"/>
      <c r="E10" s="43"/>
      <c r="F10" s="43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259"/>
  <sheetViews>
    <sheetView showGridLines="0" tabSelected="1" zoomScale="115" zoomScaleNormal="115" workbookViewId="0">
      <pane xSplit="2" ySplit="6" topLeftCell="H176" activePane="bottomRight" state="frozen"/>
      <selection pane="topRight"/>
      <selection pane="bottomLeft"/>
      <selection pane="bottomRight" activeCell="Q187" sqref="Q187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6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10.75" style="1" bestFit="1" customWidth="1"/>
    <col min="29" max="29" width="11.125" style="1" bestFit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39" width="9" style="1" bestFit="1" customWidth="1"/>
    <col min="40" max="16384" width="8.625" style="1"/>
  </cols>
  <sheetData>
    <row r="1" spans="1:39" x14ac:dyDescent="0.2">
      <c r="A1" s="50" t="s">
        <v>39</v>
      </c>
      <c r="C1" s="51"/>
      <c r="D1" s="51"/>
      <c r="E1" s="51"/>
      <c r="F1" s="51"/>
      <c r="G1" s="2" t="s">
        <v>109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spans="1:39" x14ac:dyDescent="0.2">
      <c r="C2" s="52"/>
      <c r="D2" s="52"/>
      <c r="E2" s="52"/>
      <c r="F2" s="52"/>
      <c r="G2" s="1" t="s">
        <v>108</v>
      </c>
      <c r="H2" s="71"/>
      <c r="I2" s="52"/>
      <c r="J2" s="52"/>
      <c r="K2" s="52"/>
      <c r="L2" s="52"/>
      <c r="M2" s="52"/>
      <c r="N2" s="53"/>
      <c r="O2" s="53"/>
      <c r="P2" s="53"/>
      <c r="Q2" s="52"/>
      <c r="R2" s="53"/>
      <c r="S2" s="52"/>
      <c r="T2" s="52"/>
      <c r="U2" s="52"/>
      <c r="V2" s="52"/>
      <c r="W2" s="53"/>
      <c r="X2" s="52"/>
      <c r="Y2" s="53"/>
      <c r="Z2" s="52"/>
      <c r="AA2" s="54"/>
      <c r="AB2" s="52"/>
      <c r="AC2" s="52"/>
      <c r="AD2" s="52"/>
      <c r="AE2" s="52"/>
      <c r="AF2" s="52"/>
      <c r="AG2" s="53"/>
      <c r="AH2" s="52"/>
      <c r="AI2" s="52"/>
      <c r="AJ2" s="52"/>
      <c r="AK2" s="52"/>
      <c r="AL2" s="52"/>
    </row>
    <row r="3" spans="1:39" ht="25.5" x14ac:dyDescent="0.2">
      <c r="B3" s="5"/>
      <c r="C3" s="14" t="s">
        <v>24</v>
      </c>
      <c r="D3" s="5"/>
      <c r="E3" s="14" t="s">
        <v>29</v>
      </c>
      <c r="L3" s="55" t="s">
        <v>35</v>
      </c>
      <c r="M3" s="56"/>
      <c r="N3" s="57">
        <f>NPV(Assumptions!$D$19,N8:N259)*(1+Assumptions!$D$19)</f>
        <v>95165524.236628339</v>
      </c>
      <c r="O3" s="57">
        <f>NPV(Assumptions!$D$19,O8:O259)*(1+Assumptions!$D$19)</f>
        <v>125000</v>
      </c>
      <c r="P3" s="57">
        <f>NPV(Assumptions!$D$19,P8:P259)</f>
        <v>20149459.517096028</v>
      </c>
      <c r="Q3" s="57">
        <f>NPV(Assumptions!$D$19,Q8:Q259)</f>
        <v>403095.68393485126</v>
      </c>
      <c r="R3" s="57">
        <f>NPV(Assumptions!$D$19,R8:R259)*(1+Assumptions!$D$19)</f>
        <v>278411.83191138192</v>
      </c>
      <c r="S3" s="56"/>
      <c r="T3" s="58"/>
      <c r="U3" s="58"/>
      <c r="V3" s="57"/>
      <c r="W3" s="57">
        <f>NPV(Assumptions!$D$19,W8:W259)*(1+Assumptions!$D$19)</f>
        <v>875000</v>
      </c>
      <c r="X3" s="57">
        <f>NPV(Assumptions!$D$19,X8:X259)*(1+Assumptions!$D$19)</f>
        <v>691086.90902059642</v>
      </c>
      <c r="Y3" s="57">
        <f>NPV(Assumptions!$D$19,Y8:Y259)*(1+Assumptions!$D$19)</f>
        <v>475827.62118314177</v>
      </c>
      <c r="Z3" s="56"/>
      <c r="AA3" s="56"/>
      <c r="AC3" s="56"/>
      <c r="AD3" s="56"/>
      <c r="AE3" s="56"/>
      <c r="AF3" s="56"/>
      <c r="AG3" s="57">
        <f>NPV(Assumptions!$D$19,AG8:AG259)</f>
        <v>26231196.402522307</v>
      </c>
      <c r="AH3" s="57">
        <f>NPV(Assumptions!$D$19,AH8:AH259)</f>
        <v>7869358.9207566921</v>
      </c>
      <c r="AI3" s="57">
        <f>NPV(Assumptions!$D$19,AI8:AI259)</f>
        <v>18361837.481765617</v>
      </c>
      <c r="AK3" s="57">
        <f>NPV(Assumptions!$D$19,AK8:AK259)</f>
        <v>-1605146.9623462402</v>
      </c>
      <c r="AL3" s="57">
        <f>NPV(Assumptions!$D$19,AL8:AL259)</f>
        <v>-27836343.362268567</v>
      </c>
    </row>
    <row r="4" spans="1:39" x14ac:dyDescent="0.2">
      <c r="B4" s="59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Z4" s="5" t="s">
        <v>60</v>
      </c>
      <c r="AA4" s="60">
        <f>W8/N3</f>
        <v>9.1945061724697623E-3</v>
      </c>
      <c r="AL4" s="52"/>
    </row>
    <row r="5" spans="1:39" x14ac:dyDescent="0.2">
      <c r="I5" s="95" t="s">
        <v>41</v>
      </c>
      <c r="J5" s="95"/>
      <c r="K5" s="95"/>
      <c r="AL5" s="52"/>
    </row>
    <row r="6" spans="1:39" ht="51" x14ac:dyDescent="0.2">
      <c r="B6" s="61" t="s">
        <v>23</v>
      </c>
      <c r="C6" s="14" t="s">
        <v>24</v>
      </c>
      <c r="D6" s="14" t="s">
        <v>26</v>
      </c>
      <c r="E6" s="14" t="s">
        <v>37</v>
      </c>
      <c r="F6" s="14" t="s">
        <v>25</v>
      </c>
      <c r="G6" s="14" t="s">
        <v>6</v>
      </c>
      <c r="I6" s="14" t="s">
        <v>31</v>
      </c>
      <c r="J6" s="14" t="s">
        <v>28</v>
      </c>
      <c r="K6" s="14" t="s">
        <v>27</v>
      </c>
      <c r="M6" s="62" t="s">
        <v>85</v>
      </c>
      <c r="N6" s="62" t="s">
        <v>30</v>
      </c>
      <c r="O6" s="62" t="s">
        <v>65</v>
      </c>
      <c r="P6" s="62" t="s">
        <v>95</v>
      </c>
      <c r="Q6" s="62" t="s">
        <v>96</v>
      </c>
      <c r="R6" s="62" t="s">
        <v>104</v>
      </c>
      <c r="S6" s="62" t="s">
        <v>105</v>
      </c>
      <c r="T6" s="62" t="s">
        <v>97</v>
      </c>
      <c r="U6" s="62" t="s">
        <v>98</v>
      </c>
      <c r="V6" s="62" t="s">
        <v>94</v>
      </c>
      <c r="W6" s="62" t="s">
        <v>99</v>
      </c>
      <c r="X6" s="62" t="s">
        <v>100</v>
      </c>
      <c r="Y6" s="62" t="s">
        <v>59</v>
      </c>
      <c r="Z6" s="62" t="s">
        <v>87</v>
      </c>
      <c r="AA6" s="62" t="s">
        <v>103</v>
      </c>
      <c r="AC6" s="62" t="s">
        <v>56</v>
      </c>
      <c r="AD6" s="62" t="s">
        <v>67</v>
      </c>
      <c r="AE6" s="62" t="s">
        <v>57</v>
      </c>
      <c r="AF6" s="62" t="s">
        <v>102</v>
      </c>
      <c r="AG6" s="62" t="s">
        <v>69</v>
      </c>
      <c r="AH6" s="62" t="s">
        <v>86</v>
      </c>
      <c r="AI6" s="62" t="s">
        <v>68</v>
      </c>
      <c r="AK6" s="62" t="s">
        <v>90</v>
      </c>
      <c r="AL6" s="62" t="s">
        <v>91</v>
      </c>
    </row>
    <row r="7" spans="1:39" x14ac:dyDescent="0.2">
      <c r="B7" s="5">
        <v>0</v>
      </c>
      <c r="C7" s="14"/>
      <c r="D7" s="14"/>
      <c r="E7" s="14"/>
      <c r="F7" s="14"/>
      <c r="G7" s="14"/>
      <c r="I7" s="63">
        <f>Assumptions!H3</f>
        <v>5000</v>
      </c>
      <c r="J7" s="14"/>
      <c r="K7" s="14"/>
      <c r="M7" s="62"/>
      <c r="N7" s="62"/>
      <c r="O7" s="62"/>
      <c r="P7" s="48"/>
      <c r="Q7" s="62"/>
      <c r="R7" s="49"/>
      <c r="S7" s="62"/>
      <c r="T7" s="62"/>
      <c r="U7" s="62"/>
      <c r="V7" s="49"/>
      <c r="W7" s="62"/>
      <c r="X7" s="62"/>
      <c r="Y7" s="62"/>
      <c r="Z7" s="62"/>
      <c r="AA7" s="62"/>
      <c r="AC7" s="62"/>
      <c r="AD7" s="62"/>
      <c r="AE7" s="62"/>
      <c r="AF7" s="62"/>
      <c r="AG7" s="62"/>
      <c r="AH7" s="62"/>
      <c r="AI7" s="62"/>
      <c r="AK7" s="62"/>
      <c r="AL7" s="62"/>
      <c r="AM7" s="1" t="s">
        <v>110</v>
      </c>
    </row>
    <row r="8" spans="1:39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4">
        <f>1-(1-VLOOKUP($E8,'Annual Mortality Rates'!$B$5:$C$105,2,FALSE))^(1/12)</f>
        <v>7.7533054016254432E-5</v>
      </c>
      <c r="G8" s="74">
        <f>1-(1-IF(D8&gt;=7,2%,VLOOKUP($D8,'Annual Lapse Rates'!$B$4:$C$14,2,FALSE)))^(1/12)</f>
        <v>8.7416109546967213E-3</v>
      </c>
      <c r="H8" s="80">
        <f>MOD(C8,12)+(MOD(C8,12)=0)*12</f>
        <v>1</v>
      </c>
      <c r="I8" s="65">
        <f>I7-J7-K7</f>
        <v>5000</v>
      </c>
      <c r="J8" s="66">
        <f>$I8*F8</f>
        <v>0.38766527008127216</v>
      </c>
      <c r="K8" s="66">
        <f>IF(G8=100%,I8-J8,$I7*G8)</f>
        <v>43.70805477348361</v>
      </c>
      <c r="M8" s="63">
        <v>0</v>
      </c>
      <c r="N8" s="67">
        <f>IF(AND(MOD(C8,12)=1,D8&lt;15),Assumptions!$H$4*I8,0)</f>
        <v>12500000</v>
      </c>
      <c r="O8" s="67">
        <f>Assumptions!$C$6*N8</f>
        <v>125000</v>
      </c>
      <c r="P8" s="88">
        <f>(M8+N8-O8)*(F8+G8)</f>
        <v>109136.90710782308</v>
      </c>
      <c r="Q8" s="88">
        <f>(M8+N8-O8)*VLOOKUP(MOD(C8,12)+(MOD(C8,12)=0)*12,Assumptions!$C$22:$D$33,2,FALSE)*(F8+G8)</f>
        <v>341.05283471194713</v>
      </c>
      <c r="R8" s="67">
        <f>IF(AND(MOD(C8,12)=0,D8&lt;15),Assumptions!$C$7*M8,0)</f>
        <v>0</v>
      </c>
      <c r="S8" s="68">
        <f>IF(MOD(C8,12)=0,(M8+N8-O8)*Assumptions!$D$17,0)</f>
        <v>0</v>
      </c>
      <c r="T8" s="68">
        <f>(M8+N8-O8-P8-Q8-R8+S8)*(D9=Assumptions!$H$9)</f>
        <v>0</v>
      </c>
      <c r="U8" s="89">
        <f>T8+AE8*(1+Assumptions!$D$19)</f>
        <v>-76264.187947984057</v>
      </c>
      <c r="V8" s="67">
        <f>M8+N8-O8-P8-Q8-R8+S8-T8</f>
        <v>12265522.040057465</v>
      </c>
      <c r="W8" s="67">
        <f>Assumptions!$C$10*N8+Assumptions!$C$11*$I$7</f>
        <v>875000</v>
      </c>
      <c r="X8" s="67"/>
      <c r="Y8" s="65">
        <f>Assumptions!$C$13*N8</f>
        <v>62500</v>
      </c>
      <c r="Z8" s="65">
        <f>NPV(Assumptions!$D$19,N9:$N$259)</f>
        <v>82665524.236628354</v>
      </c>
      <c r="AA8" s="68">
        <f>IF(MOD(C8,12)=1,Z8*$AA$4/12,AA7)</f>
        <v>63339.056070344006</v>
      </c>
      <c r="AB8" s="69"/>
      <c r="AC8" s="67">
        <f>0*IF(D9=Assumptions!$H$9,0,1)</f>
        <v>0</v>
      </c>
      <c r="AD8" s="91">
        <f>(AF7+N8-W8-X8-Y8)*Assumptions!$D$19-(P8+Q8)*Assumptions!$D$19/2</f>
        <v>49402.867843416388</v>
      </c>
      <c r="AE8" s="67">
        <f>(AE7+(AD8-O8-R8-Q8-S8))*IF(D8=Assumptions!$H$9,0,1)</f>
        <v>-75938.184991295566</v>
      </c>
      <c r="AF8" s="91">
        <f>V8+AE8-AA8</f>
        <v>12126244.798995825</v>
      </c>
      <c r="AG8" s="67">
        <f>(N8-P8-T8-W8-X8-Y8)+(AF7-AF8)+AD8</f>
        <v>-623478.83826023072</v>
      </c>
      <c r="AH8" s="89">
        <f>AG8*Assumptions!$C$18</f>
        <v>-187043.65147806922</v>
      </c>
      <c r="AI8" s="67">
        <f>AG8-AH8</f>
        <v>-436435.18678216147</v>
      </c>
      <c r="AK8" s="67">
        <f>O8+R8-W8-X8-Y8+AM8+AA8-AA7</f>
        <v>-752920.92478638713</v>
      </c>
      <c r="AL8" s="70">
        <f t="shared" ref="AL8:AL71" si="4">ROUND(AK8-AG8,3)</f>
        <v>-129442.087</v>
      </c>
      <c r="AM8" s="80">
        <f>(O8-W8-X8-Y8-AA8)*Assumptions!$D$19</f>
        <v>-3759.9808567312189</v>
      </c>
    </row>
    <row r="9" spans="1:39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4">
        <f>1-(1-VLOOKUP($E9,'Annual Mortality Rates'!$B$5:$C$105,2,FALSE))^(1/12)</f>
        <v>7.7533054016254432E-5</v>
      </c>
      <c r="G9" s="74">
        <f>1-(1-IF(D9&gt;=7,2%,VLOOKUP($D9,'Annual Lapse Rates'!$B$4:$C$14,2,FALSE)))^(1/12)</f>
        <v>8.7416109546967213E-3</v>
      </c>
      <c r="H9" s="80">
        <f t="shared" ref="H9:H72" si="5">MOD(C9,12)+(MOD(C9,12)=0)*12</f>
        <v>2</v>
      </c>
      <c r="I9" s="65">
        <f t="shared" ref="I9:I72" si="6">I8-J8-K8</f>
        <v>4955.9042799564349</v>
      </c>
      <c r="J9" s="66">
        <f t="shared" ref="J9:J72" si="7">$I9*F9</f>
        <v>0.38424639423724882</v>
      </c>
      <c r="K9" s="66">
        <f t="shared" ref="K9:K72" si="8">IF(G9=100%,I9-J9,$I8*G9)</f>
        <v>43.70805477348361</v>
      </c>
      <c r="M9" s="67">
        <f>V8</f>
        <v>12265522.040057465</v>
      </c>
      <c r="N9" s="67">
        <f>IF(AND(MOD(C9,12)=1,D9&lt;15),Assumptions!$H$4*I9,0)</f>
        <v>0</v>
      </c>
      <c r="O9" s="67"/>
      <c r="P9" s="88">
        <f t="shared" ref="P9:P72" si="9">(M9+N9-O9)*(F9+G9)</f>
        <v>108171.40521330976</v>
      </c>
      <c r="Q9" s="88">
        <f>(M9+N9-O9)*VLOOKUP(MOD(C9,12)+(MOD(C9,12)=0)*12,Assumptions!$C$22:$D$33,2,FALSE)*(F9+G9)</f>
        <v>676.07128258318596</v>
      </c>
      <c r="R9" s="67">
        <f>IF(AND(MOD(C9,12)=0,D9&lt;15),Assumptions!$C$7*M9,0)</f>
        <v>0</v>
      </c>
      <c r="S9" s="68">
        <f>IF(MOD(C9,12)=0,M9*Assumptions!$D$17,0)</f>
        <v>0</v>
      </c>
      <c r="T9" s="68">
        <f>(M9+N9-O9-P9-Q9-R9+S9)*(D10=Assumptions!$H$9)</f>
        <v>0</v>
      </c>
      <c r="U9" s="67">
        <f>T9+AE9*(1+Assumptions!$D$17)</f>
        <v>-24890.873259804735</v>
      </c>
      <c r="V9" s="67">
        <f t="shared" ref="V9:V72" si="10">M9+N9-O9-P9-Q9-R9+S9-T9</f>
        <v>12156674.563561574</v>
      </c>
      <c r="W9" s="67"/>
      <c r="X9" s="67"/>
      <c r="Y9" s="65">
        <f>Assumptions!$C$13*N9</f>
        <v>0</v>
      </c>
      <c r="Z9" s="65">
        <f>NPV(Assumptions!$D$19,N10:$N$259)</f>
        <v>83020407.689800635</v>
      </c>
      <c r="AA9" s="68">
        <f t="shared" ref="AA9:AA72" si="11">IF(MOD(C9,12)=1,Z9*$AA$4/12,AA8)</f>
        <v>63339.056070344006</v>
      </c>
      <c r="AB9" s="69"/>
      <c r="AC9" s="67">
        <f>(AC8+N8-P8-Q8-T8-W8-X8-Y8+AD8)*IF(D9=Assumptions!$H$9,0,1)</f>
        <v>11502424.907900881</v>
      </c>
      <c r="AD9" s="91">
        <f>(AF8+N9-W9-X9-Y9)*Assumptions!$D$19-(P9+Q9)*Assumptions!$D$19/2</f>
        <v>51824.380038438525</v>
      </c>
      <c r="AE9" s="67">
        <f>(AE8+(AD9-O9-R9-Q9-S9))*IF(D9=Assumptions!$H$9,0,1)</f>
        <v>-24789.876235440228</v>
      </c>
      <c r="AF9" s="91">
        <f t="shared" ref="AF9:AF72" si="12">V9+AE9-AA9</f>
        <v>12068545.631255789</v>
      </c>
      <c r="AG9" s="67">
        <f t="shared" ref="AG9:AG72" si="13">(N9-P9-T9-W9-X9-Y9)+(AF8-AF9)+AD9</f>
        <v>1352.1425651645695</v>
      </c>
      <c r="AH9" s="89">
        <f>AG9*Assumptions!$C$18</f>
        <v>405.64276954937083</v>
      </c>
      <c r="AI9" s="67">
        <f t="shared" ref="AI9:AI72" si="14">AG9-AH9</f>
        <v>946.49979561519876</v>
      </c>
      <c r="AK9" s="67">
        <f t="shared" ref="AK9:AK72" si="15">O9+R9-W9-X9-Y9+AM9+AA9-AA8</f>
        <v>-271.91484172497439</v>
      </c>
      <c r="AL9" s="70">
        <f t="shared" si="4"/>
        <v>-1624.057</v>
      </c>
      <c r="AM9" s="80">
        <f>(O9-W9-X9-Y9-AA9)*Assumptions!$D$19</f>
        <v>-271.91484172497462</v>
      </c>
    </row>
    <row r="10" spans="1:39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4">
        <f>1-(1-VLOOKUP($E10,'Annual Mortality Rates'!$B$5:$C$105,2,FALSE))^(1/12)</f>
        <v>7.7533054016254432E-5</v>
      </c>
      <c r="G10" s="74">
        <f>1-(1-IF(D10&gt;=7,2%,VLOOKUP($D10,'Annual Lapse Rates'!$B$4:$C$14,2,FALSE)))^(1/12)</f>
        <v>8.7416109546967213E-3</v>
      </c>
      <c r="H10" s="80">
        <f t="shared" si="5"/>
        <v>3</v>
      </c>
      <c r="I10" s="65">
        <f t="shared" si="6"/>
        <v>4911.8119787887135</v>
      </c>
      <c r="J10" s="66">
        <f t="shared" si="7"/>
        <v>0.38082778346911089</v>
      </c>
      <c r="K10" s="66">
        <f t="shared" si="8"/>
        <v>43.322587144095536</v>
      </c>
      <c r="M10" s="67">
        <f t="shared" ref="M10:M73" si="16">V9</f>
        <v>12156674.563561574</v>
      </c>
      <c r="N10" s="67">
        <f>IF(AND(MOD(C10,12)=1,D10&lt;15),Assumptions!$H$4*I10,0)</f>
        <v>0</v>
      </c>
      <c r="O10" s="67"/>
      <c r="P10" s="88">
        <f t="shared" si="9"/>
        <v>107211.46364310748</v>
      </c>
      <c r="Q10" s="88">
        <f>(M10+N10-O10)*VLOOKUP(MOD(C10,12)+(MOD(C10,12)=0)*12,Assumptions!$C$22:$D$33,2,FALSE)*(F10+G10)</f>
        <v>1005.1074716541328</v>
      </c>
      <c r="R10" s="67">
        <f>IF(AND(MOD(C10,12)=0,D10&lt;15),Assumptions!$C$7*M10,0)</f>
        <v>0</v>
      </c>
      <c r="S10" s="68">
        <f>IF(MOD(C10,12)=0,M10*Assumptions!$D$17,0)</f>
        <v>0</v>
      </c>
      <c r="T10" s="68">
        <f>(M10+N10-O10-P10-Q10-R10+S10)*(D11=Assumptions!$H$9)</f>
        <v>0</v>
      </c>
      <c r="U10" s="67">
        <f>T10+AE10*(1+Assumptions!$D$17)</f>
        <v>25888.091122619622</v>
      </c>
      <c r="V10" s="67">
        <f t="shared" si="10"/>
        <v>12048457.992446812</v>
      </c>
      <c r="W10" s="67"/>
      <c r="X10" s="67"/>
      <c r="Y10" s="65">
        <f>Assumptions!$C$13*N10</f>
        <v>0</v>
      </c>
      <c r="Z10" s="65">
        <f>NPV(Assumptions!$D$19,N11:$N$259)</f>
        <v>83376814.659172624</v>
      </c>
      <c r="AA10" s="68">
        <f t="shared" si="11"/>
        <v>63339.056070344006</v>
      </c>
      <c r="AB10" s="96"/>
      <c r="AC10" s="67">
        <f>(AC9+N9-P9-Q9-T9-W9-X9-Y9+AD9)*IF(D10=Assumptions!$H$9,0,1)</f>
        <v>11445401.811443428</v>
      </c>
      <c r="AD10" s="91">
        <f>(AF9+N10-W10-X10-Y10)*Assumptions!$D$19-(P10+Q10)*Assumptions!$D$19/2</f>
        <v>51578.031501479934</v>
      </c>
      <c r="AE10" s="67">
        <f>(AE9+(AD10-O10-R10-Q10-S10))*IF(D10=Assumptions!$H$9,0,1)</f>
        <v>25783.047794385573</v>
      </c>
      <c r="AF10" s="91">
        <f t="shared" si="12"/>
        <v>12010901.984170852</v>
      </c>
      <c r="AG10" s="67">
        <f t="shared" si="13"/>
        <v>2010.214943308958</v>
      </c>
      <c r="AH10" s="89">
        <f>AG10*Assumptions!$C$18</f>
        <v>603.06448299268743</v>
      </c>
      <c r="AI10" s="67">
        <f t="shared" si="14"/>
        <v>1407.1504603162707</v>
      </c>
      <c r="AK10" s="67">
        <f t="shared" si="15"/>
        <v>-271.91484172497439</v>
      </c>
      <c r="AL10" s="70">
        <f t="shared" si="4"/>
        <v>-2282.13</v>
      </c>
      <c r="AM10" s="80">
        <f>(O10-W10-X10-Y10-AA10)*Assumptions!$D$19</f>
        <v>-271.91484172497462</v>
      </c>
    </row>
    <row r="11" spans="1:39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4">
        <f>1-(1-VLOOKUP($E11,'Annual Mortality Rates'!$B$5:$C$105,2,FALSE))^(1/12)</f>
        <v>7.7533054016254432E-5</v>
      </c>
      <c r="G11" s="74">
        <f>1-(1-IF(D11&gt;=7,2%,VLOOKUP($D11,'Annual Lapse Rates'!$B$4:$C$14,2,FALSE)))^(1/12)</f>
        <v>8.7416109546967213E-3</v>
      </c>
      <c r="H11" s="80">
        <f t="shared" si="5"/>
        <v>4</v>
      </c>
      <c r="I11" s="65">
        <f t="shared" si="6"/>
        <v>4868.1085638611494</v>
      </c>
      <c r="J11" s="66">
        <f t="shared" si="7"/>
        <v>0.3774393242388373</v>
      </c>
      <c r="K11" s="66">
        <f t="shared" si="8"/>
        <v>42.937149401189998</v>
      </c>
      <c r="M11" s="67">
        <f t="shared" si="16"/>
        <v>12048457.992446812</v>
      </c>
      <c r="N11" s="67">
        <f>IF(AND(MOD(C11,12)=1,D11&lt;15),Assumptions!$H$4*I11,0)</f>
        <v>0</v>
      </c>
      <c r="O11" s="67"/>
      <c r="P11" s="88">
        <f t="shared" si="9"/>
        <v>106257.08611831727</v>
      </c>
      <c r="Q11" s="88">
        <f>(M11+N11-O11)*VLOOKUP(MOD(C11,12)+(MOD(C11,12)=0)*12,Assumptions!$C$22:$D$33,2,FALSE)*(F11+G11)</f>
        <v>1328.2135764789657</v>
      </c>
      <c r="R11" s="67">
        <f>IF(AND(MOD(C11,12)=0,D11&lt;15),Assumptions!$C$7*M11,0)</f>
        <v>0</v>
      </c>
      <c r="S11" s="68">
        <f>IF(MOD(C11,12)=0,M11*Assumptions!$D$17,0)</f>
        <v>0</v>
      </c>
      <c r="T11" s="68">
        <f>(M11+N11-O11-P11-Q11-R11+S11)*(D12=Assumptions!$H$9)</f>
        <v>0</v>
      </c>
      <c r="U11" s="67">
        <f>T11+AE11*(1+Assumptions!$D$17)</f>
        <v>76095.520944946576</v>
      </c>
      <c r="V11" s="67">
        <f t="shared" si="10"/>
        <v>11940872.692752015</v>
      </c>
      <c r="W11" s="67"/>
      <c r="X11" s="67"/>
      <c r="Y11" s="65">
        <f>Assumptions!$C$13*N11</f>
        <v>0</v>
      </c>
      <c r="Z11" s="65">
        <f>NPV(Assumptions!$D$19,N12:$N$259)</f>
        <v>83734751.685205996</v>
      </c>
      <c r="AA11" s="68">
        <f t="shared" si="11"/>
        <v>63339.056070344006</v>
      </c>
      <c r="AB11" s="96"/>
      <c r="AC11" s="67">
        <f>(AC10+N10-P10-Q10-T10-W10-X10-Y10+AD10)*IF(D11=Assumptions!$H$9,0,1)</f>
        <v>11388763.271830145</v>
      </c>
      <c r="AD11" s="91">
        <f>(AF10+N11-W11-X11-Y11)*Assumptions!$D$19-(P11+Q11)*Assumptions!$D$19/2</f>
        <v>51331.922100637014</v>
      </c>
      <c r="AE11" s="67">
        <f>(AE10+(AD11-O11-R11-Q11-S11))*IF(D11=Assumptions!$H$9,0,1)</f>
        <v>75786.75631854363</v>
      </c>
      <c r="AF11" s="91">
        <f t="shared" si="12"/>
        <v>11953320.393000213</v>
      </c>
      <c r="AG11" s="67">
        <f t="shared" si="13"/>
        <v>2656.4271529585458</v>
      </c>
      <c r="AH11" s="89">
        <f>AG11*Assumptions!$C$18</f>
        <v>796.92814588756369</v>
      </c>
      <c r="AI11" s="67">
        <f t="shared" si="14"/>
        <v>1859.4990070709821</v>
      </c>
      <c r="AK11" s="67">
        <f t="shared" si="15"/>
        <v>-271.91484172497439</v>
      </c>
      <c r="AL11" s="70">
        <f t="shared" si="4"/>
        <v>-2928.3420000000001</v>
      </c>
      <c r="AM11" s="80">
        <f>(O11-W11-X11-Y11-AA11)*Assumptions!$D$19</f>
        <v>-271.91484172497462</v>
      </c>
    </row>
    <row r="12" spans="1:39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4">
        <f>1-(1-VLOOKUP($E12,'Annual Mortality Rates'!$B$5:$C$105,2,FALSE))^(1/12)</f>
        <v>7.7533054016254432E-5</v>
      </c>
      <c r="G12" s="74">
        <f>1-(1-IF(D12&gt;=7,2%,VLOOKUP($D12,'Annual Lapse Rates'!$B$4:$C$14,2,FALSE)))^(1/12)</f>
        <v>8.7416109546967213E-3</v>
      </c>
      <c r="H12" s="80">
        <f t="shared" si="5"/>
        <v>5</v>
      </c>
      <c r="I12" s="65">
        <f t="shared" si="6"/>
        <v>4824.7939751357198</v>
      </c>
      <c r="J12" s="66">
        <f t="shared" si="7"/>
        <v>0.37408101189149673</v>
      </c>
      <c r="K12" s="66">
        <f t="shared" si="8"/>
        <v>42.555111150501546</v>
      </c>
      <c r="M12" s="67">
        <f t="shared" si="16"/>
        <v>11940872.692752015</v>
      </c>
      <c r="N12" s="67">
        <f>IF(AND(MOD(C12,12)=1,D12&lt;15),Assumptions!$H$4*I12,0)</f>
        <v>0</v>
      </c>
      <c r="O12" s="67"/>
      <c r="P12" s="88">
        <f t="shared" si="9"/>
        <v>105308.2758670883</v>
      </c>
      <c r="Q12" s="88">
        <f>(M12+N12-O12)*VLOOKUP(MOD(C12,12)+(MOD(C12,12)=0)*12,Assumptions!$C$22:$D$33,2,FALSE)*(F12+G12)</f>
        <v>1645.4418104232548</v>
      </c>
      <c r="R12" s="67">
        <f>IF(AND(MOD(C12,12)=0,D12&lt;15),Assumptions!$C$7*M12,0)</f>
        <v>0</v>
      </c>
      <c r="S12" s="68">
        <f>IF(MOD(C12,12)=0,M12*Assumptions!$D$17,0)</f>
        <v>0</v>
      </c>
      <c r="T12" s="68">
        <f>(M12+N12-O12-P12-Q12-R12+S12)*(D13=Assumptions!$H$9)</f>
        <v>0</v>
      </c>
      <c r="U12" s="67">
        <f>T12+AE12*(1+Assumptions!$D$17)</f>
        <v>125737.58618632506</v>
      </c>
      <c r="V12" s="67">
        <f t="shared" si="10"/>
        <v>11833918.975074504</v>
      </c>
      <c r="W12" s="67"/>
      <c r="X12" s="67"/>
      <c r="Y12" s="65">
        <f>Assumptions!$C$13*N12</f>
        <v>0</v>
      </c>
      <c r="Z12" s="65">
        <f>NPV(Assumptions!$D$19,N13:$N$259)</f>
        <v>84094225.336440653</v>
      </c>
      <c r="AA12" s="68">
        <f t="shared" si="11"/>
        <v>63339.056070344006</v>
      </c>
      <c r="AB12" s="96"/>
      <c r="AC12" s="67">
        <f>(AC11+N11-P11-Q11-T11-W11-X11-Y11+AD11)*IF(D12=Assumptions!$H$9,0,1)</f>
        <v>11332509.894235985</v>
      </c>
      <c r="AD12" s="91">
        <f>(AF11+N12-W12-X12-Y12)*Assumptions!$D$19-(P12+Q12)*Assumptions!$D$19/2</f>
        <v>51086.079772800469</v>
      </c>
      <c r="AE12" s="67">
        <f>(AE11+(AD12-O12-R12-Q12-S12))*IF(D12=Assumptions!$H$9,0,1)</f>
        <v>125227.39428092085</v>
      </c>
      <c r="AF12" s="91">
        <f t="shared" si="12"/>
        <v>11895807.313285081</v>
      </c>
      <c r="AG12" s="67">
        <f t="shared" si="13"/>
        <v>3290.8836208448774</v>
      </c>
      <c r="AH12" s="89">
        <f>AG12*Assumptions!$C$18</f>
        <v>987.26508625346321</v>
      </c>
      <c r="AI12" s="67">
        <f t="shared" si="14"/>
        <v>2303.6185345914141</v>
      </c>
      <c r="AK12" s="67">
        <f t="shared" si="15"/>
        <v>-271.91484172497439</v>
      </c>
      <c r="AL12" s="70">
        <f t="shared" si="4"/>
        <v>-3562.7979999999998</v>
      </c>
      <c r="AM12" s="80">
        <f>(O12-W12-X12-Y12-AA12)*Assumptions!$D$19</f>
        <v>-271.91484172497462</v>
      </c>
    </row>
    <row r="13" spans="1:39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4">
        <f>1-(1-VLOOKUP($E13,'Annual Mortality Rates'!$B$5:$C$105,2,FALSE))^(1/12)</f>
        <v>7.7533054016254432E-5</v>
      </c>
      <c r="G13" s="74">
        <f>1-(1-IF(D13&gt;=7,2%,VLOOKUP($D13,'Annual Lapse Rates'!$B$4:$C$14,2,FALSE)))^(1/12)</f>
        <v>8.7416109546967213E-3</v>
      </c>
      <c r="H13" s="80">
        <f t="shared" si="5"/>
        <v>6</v>
      </c>
      <c r="I13" s="65">
        <f t="shared" si="6"/>
        <v>4781.8647829733263</v>
      </c>
      <c r="J13" s="66">
        <f t="shared" si="7"/>
        <v>0.37075258051669568</v>
      </c>
      <c r="K13" s="66">
        <f t="shared" si="8"/>
        <v>42.176471867201151</v>
      </c>
      <c r="M13" s="67">
        <f t="shared" si="16"/>
        <v>11833918.975074504</v>
      </c>
      <c r="N13" s="67">
        <f>IF(AND(MOD(C13,12)=1,D13&lt;15),Assumptions!$H$4*I13,0)</f>
        <v>0</v>
      </c>
      <c r="O13" s="67"/>
      <c r="P13" s="88">
        <f t="shared" si="9"/>
        <v>104365.03562862311</v>
      </c>
      <c r="Q13" s="88">
        <f>(M13+N13-O13)*VLOOKUP(MOD(C13,12)+(MOD(C13,12)=0)*12,Assumptions!$C$22:$D$33,2,FALSE)*(F13+G13)</f>
        <v>1956.8444180366835</v>
      </c>
      <c r="R13" s="67">
        <f>IF(AND(MOD(C13,12)=0,D13&lt;15),Assumptions!$C$7*M13,0)</f>
        <v>0</v>
      </c>
      <c r="S13" s="68">
        <f>IF(MOD(C13,12)=0,M13*Assumptions!$D$17,0)</f>
        <v>0</v>
      </c>
      <c r="T13" s="68">
        <f>(M13+N13-O13-P13-Q13-R13+S13)*(D14=Assumptions!$H$9)</f>
        <v>0</v>
      </c>
      <c r="U13" s="67">
        <f>T13+AE13*(1+Assumptions!$D$17)</f>
        <v>174820.43207657523</v>
      </c>
      <c r="V13" s="67">
        <f t="shared" si="10"/>
        <v>11727597.095027845</v>
      </c>
      <c r="W13" s="67"/>
      <c r="X13" s="67"/>
      <c r="Y13" s="65">
        <f>Assumptions!$C$13*N13</f>
        <v>0</v>
      </c>
      <c r="Z13" s="65">
        <f>NPV(Assumptions!$D$19,N14:$N$259)</f>
        <v>84455242.209615216</v>
      </c>
      <c r="AA13" s="68">
        <f t="shared" si="11"/>
        <v>63339.056070344006</v>
      </c>
      <c r="AB13" s="96"/>
      <c r="AC13" s="67">
        <f>(AC12+N12-P12-Q12-T12-W12-X12-Y12+AD12)*IF(D13=Assumptions!$H$9,0,1)</f>
        <v>11276642.256331274</v>
      </c>
      <c r="AD13" s="91">
        <f>(AF12+N13-W13-X13-Y13)*Assumptions!$D$19-(P13+Q13)*Assumptions!$D$19/2</f>
        <v>50840.532113613866</v>
      </c>
      <c r="AE13" s="67">
        <f>(AE12+(AD13-O13-R13-Q13-S13))*IF(D13=Assumptions!$H$9,0,1)</f>
        <v>174111.08197649804</v>
      </c>
      <c r="AF13" s="91">
        <f t="shared" si="12"/>
        <v>11838369.120933998</v>
      </c>
      <c r="AG13" s="67">
        <f t="shared" si="13"/>
        <v>3913.6888360730954</v>
      </c>
      <c r="AH13" s="89">
        <f>AG13*Assumptions!$C$18</f>
        <v>1174.1066508219285</v>
      </c>
      <c r="AI13" s="67">
        <f t="shared" si="14"/>
        <v>2739.5821852511672</v>
      </c>
      <c r="AK13" s="67">
        <f t="shared" si="15"/>
        <v>-271.91484172497439</v>
      </c>
      <c r="AL13" s="70">
        <f t="shared" si="4"/>
        <v>-4185.6040000000003</v>
      </c>
      <c r="AM13" s="80">
        <f>(O13-W13-X13-Y13-AA13)*Assumptions!$D$19</f>
        <v>-271.91484172497462</v>
      </c>
    </row>
    <row r="14" spans="1:39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4">
        <f>1-(1-VLOOKUP($E14,'Annual Mortality Rates'!$B$5:$C$105,2,FALSE))^(1/12)</f>
        <v>7.7533054016254432E-5</v>
      </c>
      <c r="G14" s="74">
        <f>1-(1-IF(D14&gt;=7,2%,VLOOKUP($D14,'Annual Lapse Rates'!$B$4:$C$14,2,FALSE)))^(1/12)</f>
        <v>8.7416109546967213E-3</v>
      </c>
      <c r="H14" s="80">
        <f t="shared" si="5"/>
        <v>7</v>
      </c>
      <c r="I14" s="65">
        <f t="shared" si="6"/>
        <v>4739.3175585256085</v>
      </c>
      <c r="J14" s="66">
        <f t="shared" si="7"/>
        <v>0.36745376426534909</v>
      </c>
      <c r="K14" s="66">
        <f t="shared" si="8"/>
        <v>41.801201570718092</v>
      </c>
      <c r="M14" s="67">
        <f t="shared" si="16"/>
        <v>11727597.095027845</v>
      </c>
      <c r="N14" s="67">
        <f>IF(AND(MOD(C14,12)=1,D14&lt;15),Assumptions!$H$4*I14,0)</f>
        <v>0</v>
      </c>
      <c r="O14" s="67"/>
      <c r="P14" s="88">
        <f t="shared" si="9"/>
        <v>103427.36765721452</v>
      </c>
      <c r="Q14" s="88">
        <f>(M14+N14-O14)*VLOOKUP(MOD(C14,12)+(MOD(C14,12)=0)*12,Assumptions!$C$22:$D$33,2,FALSE)*(F14+G14)</f>
        <v>2262.4736675015679</v>
      </c>
      <c r="R14" s="67">
        <f>IF(AND(MOD(C14,12)=0,D14&lt;15),Assumptions!$C$7*M14,0)</f>
        <v>0</v>
      </c>
      <c r="S14" s="68">
        <f>IF(MOD(C14,12)=0,M14*Assumptions!$D$17,0)</f>
        <v>0</v>
      </c>
      <c r="T14" s="68">
        <f>(M14+N14-O14-P14-Q14-R14+S14)*(D15=Assumptions!$H$9)</f>
        <v>0</v>
      </c>
      <c r="U14" s="67">
        <f>T14+AE14*(1+Assumptions!$D$17)</f>
        <v>223350.17873019757</v>
      </c>
      <c r="V14" s="67">
        <f t="shared" si="10"/>
        <v>11621907.253703129</v>
      </c>
      <c r="W14" s="67"/>
      <c r="X14" s="67"/>
      <c r="Y14" s="65">
        <f>Assumptions!$C$13*N14</f>
        <v>0</v>
      </c>
      <c r="Z14" s="65">
        <f>NPV(Assumptions!$D$19,N15:$N$259)</f>
        <v>84817808.929788113</v>
      </c>
      <c r="AA14" s="68">
        <f t="shared" si="11"/>
        <v>63339.056070344006</v>
      </c>
      <c r="AB14" s="96"/>
      <c r="AC14" s="67">
        <f>(AC13+N13-P13-Q13-T13-W13-X13-Y13+AD13)*IF(D14=Assumptions!$H$9,0,1)</f>
        <v>11221160.90839823</v>
      </c>
      <c r="AD14" s="91">
        <f>(AF13+N14-W14-X14-Y14)*Assumptions!$D$19-(P14+Q14)*Assumptions!$D$19/2</f>
        <v>50595.306377847577</v>
      </c>
      <c r="AE14" s="67">
        <f>(AE13+(AD14-O14-R14-Q14-S14))*IF(D14=Assumptions!$H$9,0,1)</f>
        <v>222443.91468684404</v>
      </c>
      <c r="AF14" s="91">
        <f t="shared" si="12"/>
        <v>11781012.112319628</v>
      </c>
      <c r="AG14" s="67">
        <f t="shared" si="13"/>
        <v>4524.9473350036569</v>
      </c>
      <c r="AH14" s="89">
        <f>AG14*Assumptions!$C$18</f>
        <v>1357.4842005010971</v>
      </c>
      <c r="AI14" s="67">
        <f t="shared" si="14"/>
        <v>3167.46313450256</v>
      </c>
      <c r="AK14" s="67">
        <f t="shared" si="15"/>
        <v>-271.91484172497439</v>
      </c>
      <c r="AL14" s="70">
        <f t="shared" si="4"/>
        <v>-4796.8620000000001</v>
      </c>
      <c r="AM14" s="80">
        <f>(O14-W14-X14-Y14-AA14)*Assumptions!$D$19</f>
        <v>-271.91484172497462</v>
      </c>
    </row>
    <row r="15" spans="1:39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4">
        <f>1-(1-VLOOKUP($E15,'Annual Mortality Rates'!$B$5:$C$105,2,FALSE))^(1/12)</f>
        <v>7.7533054016254432E-5</v>
      </c>
      <c r="G15" s="74">
        <f>1-(1-IF(D15&gt;=7,2%,VLOOKUP($D15,'Annual Lapse Rates'!$B$4:$C$14,2,FALSE)))^(1/12)</f>
        <v>8.7416109546967213E-3</v>
      </c>
      <c r="H15" s="80">
        <f t="shared" si="5"/>
        <v>8</v>
      </c>
      <c r="I15" s="65">
        <f t="shared" si="6"/>
        <v>4697.1489031906249</v>
      </c>
      <c r="J15" s="66">
        <f t="shared" si="7"/>
        <v>0.36418429963346899</v>
      </c>
      <c r="K15" s="66">
        <f t="shared" si="8"/>
        <v>41.429270287393976</v>
      </c>
      <c r="M15" s="67">
        <f t="shared" si="16"/>
        <v>11621907.253703129</v>
      </c>
      <c r="N15" s="67">
        <f>IF(AND(MOD(C15,12)=1,D15&lt;15),Assumptions!$H$4*I15,0)</f>
        <v>0</v>
      </c>
      <c r="O15" s="67"/>
      <c r="P15" s="88">
        <f t="shared" si="9"/>
        <v>102495.27372631383</v>
      </c>
      <c r="Q15" s="88">
        <f>(M15+N15-O15)*VLOOKUP(MOD(C15,12)+(MOD(C15,12)=0)*12,Assumptions!$C$22:$D$33,2,FALSE)*(F15+G15)</f>
        <v>2562.3818431578452</v>
      </c>
      <c r="R15" s="67">
        <f>IF(AND(MOD(C15,12)=0,D15&lt;15),Assumptions!$C$7*M15,0)</f>
        <v>0</v>
      </c>
      <c r="S15" s="68">
        <f>IF(MOD(C15,12)=0,M15*Assumptions!$D$17,0)</f>
        <v>0</v>
      </c>
      <c r="T15" s="68">
        <f>(M15+N15-O15-P15-Q15-R15+S15)*(D16=Assumptions!$H$9)</f>
        <v>0</v>
      </c>
      <c r="U15" s="67">
        <f>T15+AE15*(1+Assumptions!$D$17)</f>
        <v>271332.92078831187</v>
      </c>
      <c r="V15" s="67">
        <f t="shared" si="10"/>
        <v>11516849.598133657</v>
      </c>
      <c r="W15" s="67"/>
      <c r="X15" s="67"/>
      <c r="Y15" s="65">
        <f>Assumptions!$C$13*N15</f>
        <v>0</v>
      </c>
      <c r="Z15" s="65">
        <f>NPV(Assumptions!$D$19,N16:$N$259)</f>
        <v>85181932.15045923</v>
      </c>
      <c r="AA15" s="68">
        <f t="shared" si="11"/>
        <v>63339.056070344006</v>
      </c>
      <c r="AB15" s="96"/>
      <c r="AC15" s="67">
        <f>(AC14+N14-P14-Q14-T14-W14-X14-Y14+AD14)*IF(D15=Assumptions!$H$9,0,1)</f>
        <v>11166066.37345136</v>
      </c>
      <c r="AD15" s="91">
        <f>(AF14+N15-W15-X15-Y15)*Assumptions!$D$19-(P15+Q15)*Assumptions!$D$19/2</f>
        <v>50350.429479821498</v>
      </c>
      <c r="AE15" s="67">
        <f>(AE14+(AD15-O15-R15-Q15-S15))*IF(D15=Assumptions!$H$9,0,1)</f>
        <v>270231.9623235077</v>
      </c>
      <c r="AF15" s="91">
        <f t="shared" si="12"/>
        <v>11723742.50438682</v>
      </c>
      <c r="AG15" s="67">
        <f t="shared" si="13"/>
        <v>5124.7636863155494</v>
      </c>
      <c r="AH15" s="89">
        <f>AG15*Assumptions!$C$18</f>
        <v>1537.4291058946649</v>
      </c>
      <c r="AI15" s="67">
        <f t="shared" si="14"/>
        <v>3587.3345804208848</v>
      </c>
      <c r="AK15" s="67">
        <f t="shared" si="15"/>
        <v>-271.91484172497439</v>
      </c>
      <c r="AL15" s="70">
        <f t="shared" si="4"/>
        <v>-5396.6790000000001</v>
      </c>
      <c r="AM15" s="80">
        <f>(O15-W15-X15-Y15-AA15)*Assumptions!$D$19</f>
        <v>-271.91484172497462</v>
      </c>
    </row>
    <row r="16" spans="1:39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4">
        <f>1-(1-VLOOKUP($E16,'Annual Mortality Rates'!$B$5:$C$105,2,FALSE))^(1/12)</f>
        <v>7.7533054016254432E-5</v>
      </c>
      <c r="G16" s="74">
        <f>1-(1-IF(D16&gt;=7,2%,VLOOKUP($D16,'Annual Lapse Rates'!$B$4:$C$14,2,FALSE)))^(1/12)</f>
        <v>8.7416109546967213E-3</v>
      </c>
      <c r="H16" s="80">
        <f t="shared" si="5"/>
        <v>9</v>
      </c>
      <c r="I16" s="65">
        <f t="shared" si="6"/>
        <v>4655.3554486035982</v>
      </c>
      <c r="J16" s="66">
        <f t="shared" si="7"/>
        <v>0.36094392546144716</v>
      </c>
      <c r="K16" s="66">
        <f t="shared" si="8"/>
        <v>41.060648307972855</v>
      </c>
      <c r="M16" s="67">
        <f t="shared" si="16"/>
        <v>11516849.598133657</v>
      </c>
      <c r="N16" s="67">
        <f>IF(AND(MOD(C16,12)=1,D16&lt;15),Assumptions!$H$4*I16,0)</f>
        <v>0</v>
      </c>
      <c r="O16" s="67"/>
      <c r="P16" s="88">
        <f t="shared" si="9"/>
        <v>101568.75513262888</v>
      </c>
      <c r="Q16" s="88">
        <f>(M16+N16-O16)*VLOOKUP(MOD(C16,12)+(MOD(C16,12)=0)*12,Assumptions!$C$22:$D$33,2,FALSE)*(F16+G16)</f>
        <v>2856.6212381051873</v>
      </c>
      <c r="R16" s="67">
        <f>IF(AND(MOD(C16,12)=0,D16&lt;15),Assumptions!$C$7*M16,0)</f>
        <v>0</v>
      </c>
      <c r="S16" s="68">
        <f>IF(MOD(C16,12)=0,M16*Assumptions!$D$17,0)</f>
        <v>0</v>
      </c>
      <c r="T16" s="68">
        <f>(M16+N16-O16-P16-Q16-R16+S16)*(D17=Assumptions!$H$9)</f>
        <v>0</v>
      </c>
      <c r="U16" s="67">
        <f>T16+AE16*(1+Assumptions!$D$17)</f>
        <v>318774.72706849745</v>
      </c>
      <c r="V16" s="67">
        <f t="shared" si="10"/>
        <v>11412424.221762924</v>
      </c>
      <c r="W16" s="67"/>
      <c r="X16" s="67"/>
      <c r="Y16" s="65">
        <f>Assumptions!$C$13*N16</f>
        <v>0</v>
      </c>
      <c r="Z16" s="65">
        <f>NPV(Assumptions!$D$19,N17:$N$259)</f>
        <v>85547618.553691924</v>
      </c>
      <c r="AA16" s="68">
        <f t="shared" si="11"/>
        <v>63339.056070344006</v>
      </c>
      <c r="AB16" s="96"/>
      <c r="AC16" s="67">
        <f>(AC15+N15-P15-Q15-T15-W15-X15-Y15+AD15)*IF(D16=Assumptions!$H$9,0,1)</f>
        <v>11111359.147361709</v>
      </c>
      <c r="AD16" s="91">
        <f>(AF15+N16-W16-X16-Y16)*Assumptions!$D$19-(P16+Q16)*Assumptions!$D$19/2</f>
        <v>50105.927993876147</v>
      </c>
      <c r="AE16" s="67">
        <f>(AE15+(AD16-O16-R16-Q16-S16))*IF(D16=Assumptions!$H$9,0,1)</f>
        <v>317481.26907927869</v>
      </c>
      <c r="AF16" s="91">
        <f t="shared" si="12"/>
        <v>11666566.434771858</v>
      </c>
      <c r="AG16" s="67">
        <f t="shared" si="13"/>
        <v>5713.2424762090086</v>
      </c>
      <c r="AH16" s="89">
        <f>AG16*Assumptions!$C$18</f>
        <v>1713.9727428627025</v>
      </c>
      <c r="AI16" s="67">
        <f t="shared" si="14"/>
        <v>3999.2697333463061</v>
      </c>
      <c r="AK16" s="67">
        <f t="shared" si="15"/>
        <v>-271.91484172497439</v>
      </c>
      <c r="AL16" s="70">
        <f t="shared" si="4"/>
        <v>-5985.1570000000002</v>
      </c>
      <c r="AM16" s="80">
        <f>(O16-W16-X16-Y16-AA16)*Assumptions!$D$19</f>
        <v>-271.91484172497462</v>
      </c>
    </row>
    <row r="17" spans="2:39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4">
        <f>1-(1-VLOOKUP($E17,'Annual Mortality Rates'!$B$5:$C$105,2,FALSE))^(1/12)</f>
        <v>7.7533054016254432E-5</v>
      </c>
      <c r="G17" s="74">
        <f>1-(1-IF(D17&gt;=7,2%,VLOOKUP($D17,'Annual Lapse Rates'!$B$4:$C$14,2,FALSE)))^(1/12)</f>
        <v>8.7416109546967213E-3</v>
      </c>
      <c r="H17" s="80">
        <f t="shared" si="5"/>
        <v>10</v>
      </c>
      <c r="I17" s="65">
        <f t="shared" si="6"/>
        <v>4613.933856370164</v>
      </c>
      <c r="J17" s="66">
        <f t="shared" si="7"/>
        <v>0.35773238291337306</v>
      </c>
      <c r="K17" s="66">
        <f t="shared" si="8"/>
        <v>40.695306187520281</v>
      </c>
      <c r="M17" s="67">
        <f t="shared" si="16"/>
        <v>11412424.221762924</v>
      </c>
      <c r="N17" s="67">
        <f>IF(AND(MOD(C17,12)=1,D17&lt;15),Assumptions!$H$4*I17,0)</f>
        <v>0</v>
      </c>
      <c r="O17" s="67"/>
      <c r="P17" s="88">
        <f t="shared" si="9"/>
        <v>100647.81270025134</v>
      </c>
      <c r="Q17" s="88">
        <f>(M17+N17-O17)*VLOOKUP(MOD(C17,12)+(MOD(C17,12)=0)*12,Assumptions!$C$22:$D$33,2,FALSE)*(F17+G17)</f>
        <v>3145.2441468828542</v>
      </c>
      <c r="R17" s="67">
        <f>IF(AND(MOD(C17,12)=0,D17&lt;15),Assumptions!$C$7*M17,0)</f>
        <v>0</v>
      </c>
      <c r="S17" s="68">
        <f>IF(MOD(C17,12)=0,M17*Assumptions!$D$17,0)</f>
        <v>0</v>
      </c>
      <c r="T17" s="68">
        <f>(M17+N17-O17-P17-Q17-R17+S17)*(D18=Assumptions!$H$9)</f>
        <v>0</v>
      </c>
      <c r="U17" s="67">
        <f>T17+AE17*(1+Assumptions!$D$17)</f>
        <v>365681.6402225038</v>
      </c>
      <c r="V17" s="67">
        <f t="shared" si="10"/>
        <v>11308631.164915789</v>
      </c>
      <c r="W17" s="67"/>
      <c r="X17" s="67"/>
      <c r="Y17" s="65">
        <f>Assumptions!$C$13*N17</f>
        <v>0</v>
      </c>
      <c r="Z17" s="65">
        <f>NPV(Assumptions!$D$19,N18:$N$259)</f>
        <v>85914874.850235745</v>
      </c>
      <c r="AA17" s="68">
        <f t="shared" si="11"/>
        <v>63339.056070344006</v>
      </c>
      <c r="AB17" s="96"/>
      <c r="AC17" s="67">
        <f>(AC16+N16-P16-Q16-T16-W16-X16-Y16+AD16)*IF(D17=Assumptions!$H$9,0,1)</f>
        <v>11057039.698984852</v>
      </c>
      <c r="AD17" s="91">
        <f>(AF16+N17-W17-X17-Y17)*Assumptions!$D$19-(P17+Q17)*Assumptions!$D$19/2</f>
        <v>49861.828154891366</v>
      </c>
      <c r="AE17" s="67">
        <f>(AE16+(AD17-O17-R17-Q17-S17))*IF(D17=Assumptions!$H$9,0,1)</f>
        <v>364197.85308728722</v>
      </c>
      <c r="AF17" s="91">
        <f t="shared" si="12"/>
        <v>11609489.961932732</v>
      </c>
      <c r="AG17" s="67">
        <f t="shared" si="13"/>
        <v>6290.4882937663933</v>
      </c>
      <c r="AH17" s="89">
        <f>AG17*Assumptions!$C$18</f>
        <v>1887.146488129918</v>
      </c>
      <c r="AI17" s="67">
        <f t="shared" si="14"/>
        <v>4403.3418056364753</v>
      </c>
      <c r="AK17" s="67">
        <f t="shared" si="15"/>
        <v>-271.91484172497439</v>
      </c>
      <c r="AL17" s="70">
        <f t="shared" si="4"/>
        <v>-6562.4030000000002</v>
      </c>
      <c r="AM17" s="80">
        <f>(O17-W17-X17-Y17-AA17)*Assumptions!$D$19</f>
        <v>-271.91484172497462</v>
      </c>
    </row>
    <row r="18" spans="2:39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4">
        <f>1-(1-VLOOKUP($E18,'Annual Mortality Rates'!$B$5:$C$105,2,FALSE))^(1/12)</f>
        <v>7.7533054016254432E-5</v>
      </c>
      <c r="G18" s="74">
        <f>1-(1-IF(D18&gt;=7,2%,VLOOKUP($D18,'Annual Lapse Rates'!$B$4:$C$14,2,FALSE)))^(1/12)</f>
        <v>8.7416109546967213E-3</v>
      </c>
      <c r="H18" s="80">
        <f t="shared" si="5"/>
        <v>11</v>
      </c>
      <c r="I18" s="65">
        <f t="shared" si="6"/>
        <v>4572.8808177997307</v>
      </c>
      <c r="J18" s="66">
        <f t="shared" si="7"/>
        <v>0.35454941545636026</v>
      </c>
      <c r="K18" s="66">
        <f t="shared" si="8"/>
        <v>40.333214743091517</v>
      </c>
      <c r="M18" s="67">
        <f t="shared" si="16"/>
        <v>11308631.164915789</v>
      </c>
      <c r="N18" s="67">
        <f>IF(AND(MOD(C18,12)=1,D18&lt;15),Assumptions!$H$4*I18,0)</f>
        <v>0</v>
      </c>
      <c r="O18" s="67"/>
      <c r="P18" s="88">
        <f t="shared" si="9"/>
        <v>99732.446784811924</v>
      </c>
      <c r="Q18" s="88">
        <f>(M18+N18-O18)*VLOOKUP(MOD(C18,12)+(MOD(C18,12)=0)*12,Assumptions!$C$22:$D$33,2,FALSE)*(F18+G18)</f>
        <v>3428.3028582279103</v>
      </c>
      <c r="R18" s="67">
        <f>IF(AND(MOD(C18,12)=0,D18&lt;15),Assumptions!$C$7*M18,0)</f>
        <v>0</v>
      </c>
      <c r="S18" s="68">
        <f>IF(MOD(C18,12)=0,M18*Assumptions!$D$17,0)</f>
        <v>0</v>
      </c>
      <c r="T18" s="68">
        <f>(M18+N18-O18-P18-Q18-R18+S18)*(D19=Assumptions!$H$9)</f>
        <v>0</v>
      </c>
      <c r="U18" s="67">
        <f>T18+AE18*(1+Assumptions!$D$17)</f>
        <v>412059.67640180129</v>
      </c>
      <c r="V18" s="67">
        <f t="shared" si="10"/>
        <v>11205470.41527275</v>
      </c>
      <c r="W18" s="67"/>
      <c r="X18" s="67"/>
      <c r="Y18" s="65">
        <f>Assumptions!$C$13*N18</f>
        <v>0</v>
      </c>
      <c r="Z18" s="65">
        <f>NPV(Assumptions!$D$19,N19:$N$259)</f>
        <v>86283707.779649451</v>
      </c>
      <c r="AA18" s="68">
        <f t="shared" si="11"/>
        <v>63339.056070344006</v>
      </c>
      <c r="AB18" s="96"/>
      <c r="AC18" s="67">
        <f>(AC17+N17-P17-Q17-T17-W17-X17-Y17+AD17)*IF(D18=Assumptions!$H$9,0,1)</f>
        <v>11003108.470292609</v>
      </c>
      <c r="AD18" s="91">
        <f>(AF17+N18-W18-X18-Y18)*Assumptions!$D$19-(P18+Q18)*Assumptions!$D$19/2</f>
        <v>49618.155858852275</v>
      </c>
      <c r="AE18" s="67">
        <f>(AE17+(AD18-O18-R18-Q18-S18))*IF(D18=Assumptions!$H$9,0,1)</f>
        <v>410387.70608791162</v>
      </c>
      <c r="AF18" s="91">
        <f t="shared" si="12"/>
        <v>11552519.065290317</v>
      </c>
      <c r="AG18" s="67">
        <f t="shared" si="13"/>
        <v>6856.6057164552039</v>
      </c>
      <c r="AH18" s="89">
        <f>AG18*Assumptions!$C$18</f>
        <v>2056.9817149365613</v>
      </c>
      <c r="AI18" s="67">
        <f t="shared" si="14"/>
        <v>4799.6240015186431</v>
      </c>
      <c r="AK18" s="67">
        <f t="shared" si="15"/>
        <v>-271.91484172497439</v>
      </c>
      <c r="AL18" s="70">
        <f t="shared" si="4"/>
        <v>-7128.5209999999997</v>
      </c>
      <c r="AM18" s="80">
        <f>(O18-W18-X18-Y18-AA18)*Assumptions!$D$19</f>
        <v>-271.91484172497462</v>
      </c>
    </row>
    <row r="19" spans="2:39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4">
        <f>1-(1-VLOOKUP($E19,'Annual Mortality Rates'!$B$5:$C$105,2,FALSE))^(1/12)</f>
        <v>7.7533054016254432E-5</v>
      </c>
      <c r="G19" s="74">
        <f>1-(1-IF(D19&gt;=7,2%,VLOOKUP($D19,'Annual Lapse Rates'!$B$4:$C$14,2,FALSE)))^(1/12)</f>
        <v>8.7416109546967213E-3</v>
      </c>
      <c r="H19" s="80">
        <f t="shared" si="5"/>
        <v>12</v>
      </c>
      <c r="I19" s="65">
        <f t="shared" si="6"/>
        <v>4532.1930536411828</v>
      </c>
      <c r="J19" s="66">
        <f t="shared" si="7"/>
        <v>0.35139476884005494</v>
      </c>
      <c r="K19" s="66">
        <f t="shared" si="8"/>
        <v>39.974345051400626</v>
      </c>
      <c r="M19" s="67">
        <f t="shared" si="16"/>
        <v>11205470.41527275</v>
      </c>
      <c r="N19" s="67">
        <f>IF(AND(MOD(C19,12)=1,D19&lt;15),Assumptions!$H$4*I19,0)</f>
        <v>0</v>
      </c>
      <c r="O19" s="67"/>
      <c r="P19" s="88">
        <f t="shared" si="9"/>
        <v>98822.65727766318</v>
      </c>
      <c r="Q19" s="88">
        <f>(M19+N19-O19)*VLOOKUP(MOD(C19,12)+(MOD(C19,12)=0)*12,Assumptions!$C$22:$D$33,2,FALSE)*(F19+G19)</f>
        <v>3705.8496479123696</v>
      </c>
      <c r="R19" s="67">
        <f>IF(AND(MOD(C19,12)=0,D19&lt;15),Assumptions!$C$7*M19,0)</f>
        <v>5602.735207636375</v>
      </c>
      <c r="S19" s="68">
        <f>IF(MOD(C19,12)=0,M19*Assumptions!$D$17,0)</f>
        <v>45652.473525830705</v>
      </c>
      <c r="T19" s="68">
        <f>(M19+N19-O19-P19-Q19-R19+S19)*(D20=Assumptions!$H$9)</f>
        <v>0</v>
      </c>
      <c r="U19" s="67">
        <f>T19+AE19*(1+Assumptions!$D$17)</f>
        <v>406450.79613253422</v>
      </c>
      <c r="V19" s="67">
        <f t="shared" si="10"/>
        <v>11142991.64666537</v>
      </c>
      <c r="W19" s="67"/>
      <c r="X19" s="67"/>
      <c r="Y19" s="65">
        <f>Assumptions!$C$13*N19</f>
        <v>0</v>
      </c>
      <c r="Z19" s="65">
        <f>NPV(Assumptions!$D$19,N20:$N$259)</f>
        <v>86654124.110424742</v>
      </c>
      <c r="AA19" s="68">
        <f t="shared" si="11"/>
        <v>63339.056070344006</v>
      </c>
      <c r="AB19" s="96"/>
      <c r="AC19" s="67">
        <f>(AC18+N18-P18-Q18-T18-W18-X18-Y18+AD18)*IF(D19=Assumptions!$H$9,0,1)</f>
        <v>10949565.876508422</v>
      </c>
      <c r="AD19" s="91">
        <f>(AF18+N19-W19-X19-Y19)*Assumptions!$D$19-(P19+Q19)*Assumptions!$D$19/2</f>
        <v>49374.936663461711</v>
      </c>
      <c r="AE19" s="67">
        <f>(AE18+(AD19-O19-R19-Q19-S19))*IF(D19=Assumptions!$H$9,0,1)</f>
        <v>404801.58436999389</v>
      </c>
      <c r="AF19" s="91">
        <f t="shared" si="12"/>
        <v>11484454.17496502</v>
      </c>
      <c r="AG19" s="67">
        <f t="shared" si="13"/>
        <v>18617.169711095201</v>
      </c>
      <c r="AH19" s="89">
        <f>AG19*Assumptions!$C$18</f>
        <v>5585.1509133285599</v>
      </c>
      <c r="AI19" s="67">
        <f t="shared" si="14"/>
        <v>13032.018797766641</v>
      </c>
      <c r="AK19" s="67">
        <f t="shared" si="15"/>
        <v>5330.8203659114006</v>
      </c>
      <c r="AL19" s="70">
        <f t="shared" si="4"/>
        <v>-13286.349</v>
      </c>
      <c r="AM19" s="80">
        <f>(O19-W19-X19-Y19-AA19)*Assumptions!$D$19</f>
        <v>-271.91484172497462</v>
      </c>
    </row>
    <row r="20" spans="2:39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4">
        <f>1-(1-VLOOKUP($E20,'Annual Mortality Rates'!$B$5:$C$105,2,FALSE))^(1/12)</f>
        <v>8.5873880504183653E-5</v>
      </c>
      <c r="G20" s="74">
        <f>1-(1-IF(D20&gt;=7,2%,VLOOKUP($D20,'Annual Lapse Rates'!$B$4:$C$14,2,FALSE)))^(1/12)</f>
        <v>6.9243826282994192E-3</v>
      </c>
      <c r="H20" s="80">
        <f t="shared" si="5"/>
        <v>1</v>
      </c>
      <c r="I20" s="65">
        <f t="shared" si="6"/>
        <v>4491.8673138209424</v>
      </c>
      <c r="J20" s="66">
        <f t="shared" si="7"/>
        <v>0.385734076947708</v>
      </c>
      <c r="K20" s="66">
        <f t="shared" si="8"/>
        <v>31.382638848732302</v>
      </c>
      <c r="M20" s="67">
        <f t="shared" si="16"/>
        <v>11142991.64666537</v>
      </c>
      <c r="N20" s="67">
        <f>IF(AND(MOD(C20,12)=1,D20&lt;15),Assumptions!$H$4*I20,0)</f>
        <v>11229668.284552356</v>
      </c>
      <c r="O20" s="67"/>
      <c r="P20" s="88">
        <f t="shared" si="9"/>
        <v>156838.08490206863</v>
      </c>
      <c r="Q20" s="88">
        <f>(M20+N20-O20)*VLOOKUP(MOD(C20,12)+(MOD(C20,12)=0)*12,Assumptions!$C$22:$D$33,2,FALSE)*(F20+G20)</f>
        <v>490.11901531896444</v>
      </c>
      <c r="R20" s="67">
        <f>IF(AND(MOD(C20,12)=0,D20&lt;15),Assumptions!$C$7*M20,0)</f>
        <v>0</v>
      </c>
      <c r="S20" s="68">
        <f>IF(MOD(C20,12)=0,M20*Assumptions!$D$17,0)</f>
        <v>0</v>
      </c>
      <c r="T20" s="68">
        <f>(M20+N20-O20-P20-Q20-R20+S20)*(D21=Assumptions!$H$9)</f>
        <v>0</v>
      </c>
      <c r="U20" s="67">
        <f>T20+AE20*(1+Assumptions!$D$17)</f>
        <v>502916.27493674069</v>
      </c>
      <c r="V20" s="67">
        <f t="shared" si="10"/>
        <v>22215331.727300338</v>
      </c>
      <c r="W20" s="67"/>
      <c r="X20" s="67">
        <f>IF(AND(MOD(C20,12)=1,D20&lt;15),Assumptions!$D$10*N20+Assumptions!$D$11*(1+Assumptions!$D$16)^(B20-1)*I20,0)</f>
        <v>85929.421713394637</v>
      </c>
      <c r="Y20" s="65">
        <f>Assumptions!$C$13*N20</f>
        <v>56148.341422761783</v>
      </c>
      <c r="Z20" s="65">
        <f>NPV(Assumptions!$D$19,N21:$N$259)</f>
        <v>75796462.355558172</v>
      </c>
      <c r="AA20" s="68">
        <f t="shared" si="11"/>
        <v>58075.920081629301</v>
      </c>
      <c r="AB20" s="96"/>
      <c r="AC20" s="67">
        <f>(AC19+N19-P19-Q19-T19-W19-X19-Y19+AD19)*IF(D20=Assumptions!$H$9,0,1)</f>
        <v>10896412.306246309</v>
      </c>
      <c r="AD20" s="91">
        <f>(AF19+N20-W20-X20-Y20)*Assumptions!$D$19-(P20+Q20)*Assumptions!$D$19/2</f>
        <v>96564.180201853727</v>
      </c>
      <c r="AE20" s="67">
        <f>(AE19+(AD20-O20-R20-Q20-S20))*IF(D20=Assumptions!$H$9,0,1)</f>
        <v>500875.64555652865</v>
      </c>
      <c r="AF20" s="91">
        <f t="shared" si="12"/>
        <v>22658131.452775236</v>
      </c>
      <c r="AG20" s="67">
        <f t="shared" si="13"/>
        <v>-146360.66109423048</v>
      </c>
      <c r="AH20" s="89">
        <f>AG20*Assumptions!$C$18</f>
        <v>-43908.198328269144</v>
      </c>
      <c r="AI20" s="67">
        <f t="shared" si="14"/>
        <v>-102452.46276596133</v>
      </c>
      <c r="AK20" s="67">
        <f t="shared" si="15"/>
        <v>-148200.15975282225</v>
      </c>
      <c r="AL20" s="70">
        <f t="shared" si="4"/>
        <v>-1839.499</v>
      </c>
      <c r="AM20" s="80">
        <f>(O20-W20-X20-Y20-AA20)*Assumptions!$D$19</f>
        <v>-859.26062795111886</v>
      </c>
    </row>
    <row r="21" spans="2:39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4">
        <f>1-(1-VLOOKUP($E21,'Annual Mortality Rates'!$B$5:$C$105,2,FALSE))^(1/12)</f>
        <v>8.5873880504183653E-5</v>
      </c>
      <c r="G21" s="74">
        <f>1-(1-IF(D21&gt;=7,2%,VLOOKUP($D21,'Annual Lapse Rates'!$B$4:$C$14,2,FALSE)))^(1/12)</f>
        <v>6.9243826282994192E-3</v>
      </c>
      <c r="H21" s="80">
        <f t="shared" si="5"/>
        <v>2</v>
      </c>
      <c r="I21" s="65">
        <f t="shared" si="6"/>
        <v>4460.0989408952628</v>
      </c>
      <c r="J21" s="66">
        <f t="shared" si="7"/>
        <v>0.38300600348727587</v>
      </c>
      <c r="K21" s="66">
        <f t="shared" si="8"/>
        <v>31.103407996447711</v>
      </c>
      <c r="M21" s="67">
        <f t="shared" si="16"/>
        <v>22215331.727300338</v>
      </c>
      <c r="N21" s="67">
        <f>IF(AND(MOD(C21,12)=1,D21&lt;15),Assumptions!$H$4*I21,0)</f>
        <v>0</v>
      </c>
      <c r="O21" s="67"/>
      <c r="P21" s="88">
        <f t="shared" si="9"/>
        <v>155735.17383653839</v>
      </c>
      <c r="Q21" s="88">
        <f>(M21+N21-O21)*VLOOKUP(MOD(C21,12)+(MOD(C21,12)=0)*12,Assumptions!$C$22:$D$33,2,FALSE)*(F21+G21)</f>
        <v>973.34483647836487</v>
      </c>
      <c r="R21" s="67">
        <f>IF(AND(MOD(C21,12)=0,D21&lt;15),Assumptions!$C$7*M21,0)</f>
        <v>0</v>
      </c>
      <c r="S21" s="68">
        <f>IF(MOD(C21,12)=0,M21*Assumptions!$D$17,0)</f>
        <v>0</v>
      </c>
      <c r="T21" s="68">
        <f>(M21+N21-O21-P21-Q21-R21+S21)*(D22=Assumptions!$H$9)</f>
        <v>0</v>
      </c>
      <c r="U21" s="67">
        <f>T21+AE21*(1+Assumptions!$D$17)</f>
        <v>599268.97126779601</v>
      </c>
      <c r="V21" s="67">
        <f t="shared" si="10"/>
        <v>22058623.208627325</v>
      </c>
      <c r="W21" s="67"/>
      <c r="X21" s="67">
        <f>IF(AND(MOD(C21,12)=1,D21&lt;15),Assumptions!$D$10*N21+Assumptions!$D$11*(1+Assumptions!$D$16)^(B21-1)*I21,0)</f>
        <v>0</v>
      </c>
      <c r="Y21" s="65">
        <f>Assumptions!$C$13*N21</f>
        <v>0</v>
      </c>
      <c r="Z21" s="65">
        <f>NPV(Assumptions!$D$19,N22:$N$259)</f>
        <v>76121856.896358326</v>
      </c>
      <c r="AA21" s="68">
        <f t="shared" si="11"/>
        <v>58075.920081629301</v>
      </c>
      <c r="AB21" s="96"/>
      <c r="AC21" s="67">
        <f>(AC20+N20-P20-Q20-T20-W20-X20-Y20+AD20)*IF(D21=Assumptions!$H$9,0,1)</f>
        <v>21923238.803946976</v>
      </c>
      <c r="AD21" s="91">
        <f>(AF20+N21-W21-X21-Y21)*Assumptions!$D$19-(P21+Q21)*Assumptions!$D$19/2</f>
        <v>96935.081175195926</v>
      </c>
      <c r="AE21" s="67">
        <f>(AE20+(AD21-O21-R21-Q21-S21))*IF(D21=Assumptions!$H$9,0,1)</f>
        <v>596837.38189524622</v>
      </c>
      <c r="AF21" s="91">
        <f t="shared" si="12"/>
        <v>22597384.670440942</v>
      </c>
      <c r="AG21" s="67">
        <f t="shared" si="13"/>
        <v>1946.689672951703</v>
      </c>
      <c r="AH21" s="89">
        <f>AG21*Assumptions!$C$18</f>
        <v>584.00690188551084</v>
      </c>
      <c r="AI21" s="67">
        <f t="shared" si="14"/>
        <v>1362.6827710661921</v>
      </c>
      <c r="AK21" s="67">
        <f t="shared" si="15"/>
        <v>-249.320176156245</v>
      </c>
      <c r="AL21" s="70">
        <f t="shared" si="4"/>
        <v>-2196.0100000000002</v>
      </c>
      <c r="AM21" s="80">
        <f>(O21-W21-X21-Y21-AA21)*Assumptions!$D$19</f>
        <v>-249.32017615624594</v>
      </c>
    </row>
    <row r="22" spans="2:39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4">
        <f>1-(1-VLOOKUP($E22,'Annual Mortality Rates'!$B$5:$C$105,2,FALSE))^(1/12)</f>
        <v>8.5873880504183653E-5</v>
      </c>
      <c r="G22" s="74">
        <f>1-(1-IF(D22&gt;=7,2%,VLOOKUP($D22,'Annual Lapse Rates'!$B$4:$C$14,2,FALSE)))^(1/12)</f>
        <v>6.9243826282994192E-3</v>
      </c>
      <c r="H22" s="80">
        <f t="shared" si="5"/>
        <v>3</v>
      </c>
      <c r="I22" s="65">
        <f t="shared" si="6"/>
        <v>4428.6125268953283</v>
      </c>
      <c r="J22" s="66">
        <f t="shared" si="7"/>
        <v>0.38030214293394021</v>
      </c>
      <c r="K22" s="66">
        <f t="shared" si="8"/>
        <v>30.883431626831797</v>
      </c>
      <c r="M22" s="67">
        <f t="shared" si="16"/>
        <v>22058623.208627325</v>
      </c>
      <c r="N22" s="67">
        <f>IF(AND(MOD(C22,12)=1,D22&lt;15),Assumptions!$H$4*I22,0)</f>
        <v>0</v>
      </c>
      <c r="O22" s="67"/>
      <c r="P22" s="88">
        <f t="shared" si="9"/>
        <v>154636.60692352592</v>
      </c>
      <c r="Q22" s="88">
        <f>(M22+N22-O22)*VLOOKUP(MOD(C22,12)+(MOD(C22,12)=0)*12,Assumptions!$C$22:$D$33,2,FALSE)*(F22+G22)</f>
        <v>1449.7181899080558</v>
      </c>
      <c r="R22" s="67">
        <f>IF(AND(MOD(C22,12)=0,D22&lt;15),Assumptions!$C$7*M22,0)</f>
        <v>0</v>
      </c>
      <c r="S22" s="68">
        <f>IF(MOD(C22,12)=0,M22*Assumptions!$D$17,0)</f>
        <v>0</v>
      </c>
      <c r="T22" s="68">
        <f>(M22+N22-O22-P22-Q22-R22+S22)*(D23=Assumptions!$H$9)</f>
        <v>0</v>
      </c>
      <c r="U22" s="67">
        <f>T22+AE22*(1+Assumptions!$D$17)</f>
        <v>694882.84574776993</v>
      </c>
      <c r="V22" s="67">
        <f t="shared" si="10"/>
        <v>21902536.883513894</v>
      </c>
      <c r="W22" s="67"/>
      <c r="X22" s="67">
        <f>IF(AND(MOD(C22,12)=1,D22&lt;15),Assumptions!$D$10*N22+Assumptions!$D$11*(1+Assumptions!$D$16)^(B22-1)*I22,0)</f>
        <v>0</v>
      </c>
      <c r="Y22" s="65">
        <f>Assumptions!$C$13*N22</f>
        <v>0</v>
      </c>
      <c r="Z22" s="65">
        <f>NPV(Assumptions!$D$19,N23:$N$259)</f>
        <v>76448648.357329831</v>
      </c>
      <c r="AA22" s="68">
        <f t="shared" si="11"/>
        <v>58075.920081629301</v>
      </c>
      <c r="AB22" s="96"/>
      <c r="AC22" s="67">
        <f>(AC21+N21-P21-Q21-T21-W21-X21-Y21+AD21)*IF(D22=Assumptions!$H$9,0,1)</f>
        <v>21863465.366449159</v>
      </c>
      <c r="AD22" s="91">
        <f>(AF21+N22-W22-X22-Y22)*Assumptions!$D$19-(P22+Q22)*Assumptions!$D$19/2</f>
        <v>96675.630515655925</v>
      </c>
      <c r="AE22" s="67">
        <f>(AE21+(AD22-O22-R22-Q22-S22))*IF(D22=Assumptions!$H$9,0,1)</f>
        <v>692063.29422099411</v>
      </c>
      <c r="AF22" s="91">
        <f t="shared" si="12"/>
        <v>22536524.257653259</v>
      </c>
      <c r="AG22" s="67">
        <f t="shared" si="13"/>
        <v>2899.4363798133127</v>
      </c>
      <c r="AH22" s="89">
        <f>AG22*Assumptions!$C$18</f>
        <v>869.83091394399378</v>
      </c>
      <c r="AI22" s="67">
        <f t="shared" si="14"/>
        <v>2029.6054658693188</v>
      </c>
      <c r="AK22" s="67">
        <f t="shared" si="15"/>
        <v>-249.320176156245</v>
      </c>
      <c r="AL22" s="70">
        <f t="shared" si="4"/>
        <v>-3148.7570000000001</v>
      </c>
      <c r="AM22" s="80">
        <f>(O22-W22-X22-Y22-AA22)*Assumptions!$D$19</f>
        <v>-249.32017615624594</v>
      </c>
    </row>
    <row r="23" spans="2:39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4">
        <f>1-(1-VLOOKUP($E23,'Annual Mortality Rates'!$B$5:$C$105,2,FALSE))^(1/12)</f>
        <v>8.5873880504183653E-5</v>
      </c>
      <c r="G23" s="74">
        <f>1-(1-IF(D23&gt;=7,2%,VLOOKUP($D23,'Annual Lapse Rates'!$B$4:$C$14,2,FALSE)))^(1/12)</f>
        <v>6.9243826282994192E-3</v>
      </c>
      <c r="H23" s="80">
        <f t="shared" si="5"/>
        <v>4</v>
      </c>
      <c r="I23" s="65">
        <f t="shared" si="6"/>
        <v>4397.3487931255622</v>
      </c>
      <c r="J23" s="66">
        <f t="shared" si="7"/>
        <v>0.37761740479608075</v>
      </c>
      <c r="K23" s="66">
        <f t="shared" si="8"/>
        <v>30.665407648703205</v>
      </c>
      <c r="M23" s="67">
        <f t="shared" si="16"/>
        <v>21902536.883513894</v>
      </c>
      <c r="N23" s="67">
        <f>IF(AND(MOD(C23,12)=1,D23&lt;15),Assumptions!$H$4*I23,0)</f>
        <v>0</v>
      </c>
      <c r="O23" s="67"/>
      <c r="P23" s="88">
        <f t="shared" si="9"/>
        <v>153542.40174696426</v>
      </c>
      <c r="Q23" s="88">
        <f>(M23+N23-O23)*VLOOKUP(MOD(C23,12)+(MOD(C23,12)=0)*12,Assumptions!$C$22:$D$33,2,FALSE)*(F23+G23)</f>
        <v>1919.2800218370533</v>
      </c>
      <c r="R23" s="67">
        <f>IF(AND(MOD(C23,12)=0,D23&lt;15),Assumptions!$C$7*M23,0)</f>
        <v>0</v>
      </c>
      <c r="S23" s="68">
        <f>IF(MOD(C23,12)=0,M23*Assumptions!$D$17,0)</f>
        <v>0</v>
      </c>
      <c r="T23" s="68">
        <f>(M23+N23-O23-P23-Q23-R23+S23)*(D24=Assumptions!$H$9)</f>
        <v>0</v>
      </c>
      <c r="U23" s="67">
        <f>T23+AE23*(1+Assumptions!$D$17)</f>
        <v>789764.25312558631</v>
      </c>
      <c r="V23" s="67">
        <f t="shared" si="10"/>
        <v>21747075.201745089</v>
      </c>
      <c r="W23" s="67"/>
      <c r="X23" s="67">
        <f>IF(AND(MOD(C23,12)=1,D23&lt;15),Assumptions!$D$10*N23+Assumptions!$D$11*(1+Assumptions!$D$16)^(B23-1)*I23,0)</f>
        <v>0</v>
      </c>
      <c r="Y23" s="65">
        <f>Assumptions!$C$13*N23</f>
        <v>0</v>
      </c>
      <c r="Z23" s="65">
        <f>NPV(Assumptions!$D$19,N24:$N$259)</f>
        <v>76776842.735457063</v>
      </c>
      <c r="AA23" s="68">
        <f t="shared" si="11"/>
        <v>58075.920081629301</v>
      </c>
      <c r="AB23" s="96"/>
      <c r="AC23" s="67">
        <f>(AC22+N22-P22-Q22-T22-W22-X22-Y22+AD22)*IF(D23=Assumptions!$H$9,0,1)</f>
        <v>21804054.671851385</v>
      </c>
      <c r="AD23" s="91">
        <f>(AF22+N23-W23-X23-Y23)*Assumptions!$D$19-(P23+Q23)*Assumptions!$D$19/2</f>
        <v>96415.697298556828</v>
      </c>
      <c r="AE23" s="67">
        <f>(AE22+(AD23-O23-R23-Q23-S23))*IF(D23=Assumptions!$H$9,0,1)</f>
        <v>786559.71149771393</v>
      </c>
      <c r="AF23" s="91">
        <f t="shared" si="12"/>
        <v>22475558.993161172</v>
      </c>
      <c r="AG23" s="67">
        <f t="shared" si="13"/>
        <v>3838.5600436796376</v>
      </c>
      <c r="AH23" s="89">
        <f>AG23*Assumptions!$C$18</f>
        <v>1151.5680131038912</v>
      </c>
      <c r="AI23" s="67">
        <f t="shared" si="14"/>
        <v>2686.9920305757464</v>
      </c>
      <c r="AK23" s="67">
        <f t="shared" si="15"/>
        <v>-249.320176156245</v>
      </c>
      <c r="AL23" s="70">
        <f t="shared" si="4"/>
        <v>-4087.88</v>
      </c>
      <c r="AM23" s="80">
        <f>(O23-W23-X23-Y23-AA23)*Assumptions!$D$19</f>
        <v>-249.32017615624594</v>
      </c>
    </row>
    <row r="24" spans="2:39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4">
        <f>1-(1-VLOOKUP($E24,'Annual Mortality Rates'!$B$5:$C$105,2,FALSE))^(1/12)</f>
        <v>8.5873880504183653E-5</v>
      </c>
      <c r="G24" s="74">
        <f>1-(1-IF(D24&gt;=7,2%,VLOOKUP($D24,'Annual Lapse Rates'!$B$4:$C$14,2,FALSE)))^(1/12)</f>
        <v>6.9243826282994192E-3</v>
      </c>
      <c r="H24" s="80">
        <f t="shared" si="5"/>
        <v>5</v>
      </c>
      <c r="I24" s="65">
        <f t="shared" si="6"/>
        <v>4366.3057680720631</v>
      </c>
      <c r="J24" s="66">
        <f t="shared" si="7"/>
        <v>0.37495161977214819</v>
      </c>
      <c r="K24" s="66">
        <f t="shared" si="8"/>
        <v>30.44892559369206</v>
      </c>
      <c r="M24" s="67">
        <f t="shared" si="16"/>
        <v>21747075.201745089</v>
      </c>
      <c r="N24" s="67">
        <f>IF(AND(MOD(C24,12)=1,D24&lt;15),Assumptions!$H$4*I24,0)</f>
        <v>0</v>
      </c>
      <c r="O24" s="67"/>
      <c r="P24" s="88">
        <f t="shared" si="9"/>
        <v>152452.57548047494</v>
      </c>
      <c r="Q24" s="88">
        <f>(M24+N24-O24)*VLOOKUP(MOD(C24,12)+(MOD(C24,12)=0)*12,Assumptions!$C$22:$D$33,2,FALSE)*(F24+G24)</f>
        <v>2382.071491882421</v>
      </c>
      <c r="R24" s="67">
        <f>IF(AND(MOD(C24,12)=0,D24&lt;15),Assumptions!$C$7*M24,0)</f>
        <v>0</v>
      </c>
      <c r="S24" s="68">
        <f>IF(MOD(C24,12)=0,M24*Assumptions!$D$17,0)</f>
        <v>0</v>
      </c>
      <c r="T24" s="68">
        <f>(M24+N24-O24-P24-Q24-R24+S24)*(D25=Assumptions!$H$9)</f>
        <v>0</v>
      </c>
      <c r="U24" s="67">
        <f>T24+AE24*(1+Assumptions!$D$17)</f>
        <v>883919.54453789024</v>
      </c>
      <c r="V24" s="67">
        <f t="shared" si="10"/>
        <v>21592240.554772731</v>
      </c>
      <c r="W24" s="67"/>
      <c r="X24" s="67">
        <f>IF(AND(MOD(C24,12)=1,D24&lt;15),Assumptions!$D$10*N24+Assumptions!$D$11*(1+Assumptions!$D$16)^(B24-1)*I24,0)</f>
        <v>0</v>
      </c>
      <c r="Y24" s="65">
        <f>Assumptions!$C$13*N24</f>
        <v>0</v>
      </c>
      <c r="Z24" s="65">
        <f>NPV(Assumptions!$D$19,N25:$N$259)</f>
        <v>77106446.053469405</v>
      </c>
      <c r="AA24" s="68">
        <f t="shared" si="11"/>
        <v>58075.920081629301</v>
      </c>
      <c r="AB24" s="96"/>
      <c r="AC24" s="67">
        <f>(AC23+N23-P23-Q23-T23-W23-X23-Y23+AD23)*IF(D24=Assumptions!$H$9,0,1)</f>
        <v>21745008.687381137</v>
      </c>
      <c r="AD24" s="91">
        <f>(AF23+N24-W24-X24-Y24)*Assumptions!$D$19-(P24+Q24)*Assumptions!$D$19/2</f>
        <v>96155.3190858936</v>
      </c>
      <c r="AE24" s="67">
        <f>(AE23+(AD24-O24-R24-Q24-S24))*IF(D24=Assumptions!$H$9,0,1)</f>
        <v>880332.95909172506</v>
      </c>
      <c r="AF24" s="91">
        <f t="shared" si="12"/>
        <v>22414497.593782827</v>
      </c>
      <c r="AG24" s="67">
        <f t="shared" si="13"/>
        <v>4764.1429837630712</v>
      </c>
      <c r="AH24" s="89">
        <f>AG24*Assumptions!$C$18</f>
        <v>1429.2428951289214</v>
      </c>
      <c r="AI24" s="67">
        <f t="shared" si="14"/>
        <v>3334.9000886341501</v>
      </c>
      <c r="AK24" s="67">
        <f t="shared" si="15"/>
        <v>-249.320176156245</v>
      </c>
      <c r="AL24" s="70">
        <f t="shared" si="4"/>
        <v>-5013.4629999999997</v>
      </c>
      <c r="AM24" s="80">
        <f>(O24-W24-X24-Y24-AA24)*Assumptions!$D$19</f>
        <v>-249.32017615624594</v>
      </c>
    </row>
    <row r="25" spans="2:39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4">
        <f>1-(1-VLOOKUP($E25,'Annual Mortality Rates'!$B$5:$C$105,2,FALSE))^(1/12)</f>
        <v>8.5873880504183653E-5</v>
      </c>
      <c r="G25" s="74">
        <f>1-(1-IF(D25&gt;=7,2%,VLOOKUP($D25,'Annual Lapse Rates'!$B$4:$C$14,2,FALSE)))^(1/12)</f>
        <v>6.9243826282994192E-3</v>
      </c>
      <c r="H25" s="80">
        <f t="shared" si="5"/>
        <v>6</v>
      </c>
      <c r="I25" s="65">
        <f t="shared" si="6"/>
        <v>4335.4818908585985</v>
      </c>
      <c r="J25" s="66">
        <f t="shared" si="7"/>
        <v>0.37230465382364347</v>
      </c>
      <c r="K25" s="66">
        <f t="shared" si="8"/>
        <v>30.233971810281748</v>
      </c>
      <c r="M25" s="67">
        <f t="shared" si="16"/>
        <v>21592240.554772731</v>
      </c>
      <c r="N25" s="67">
        <f>IF(AND(MOD(C25,12)=1,D25&lt;15),Assumptions!$H$4*I25,0)</f>
        <v>0</v>
      </c>
      <c r="O25" s="67"/>
      <c r="P25" s="88">
        <f t="shared" si="9"/>
        <v>151367.14488874865</v>
      </c>
      <c r="Q25" s="88">
        <f>(M25+N25-O25)*VLOOKUP(MOD(C25,12)+(MOD(C25,12)=0)*12,Assumptions!$C$22:$D$33,2,FALSE)*(F25+G25)</f>
        <v>2838.1339666640374</v>
      </c>
      <c r="R25" s="67">
        <f>IF(AND(MOD(C25,12)=0,D25&lt;15),Assumptions!$C$7*M25,0)</f>
        <v>0</v>
      </c>
      <c r="S25" s="68">
        <f>IF(MOD(C25,12)=0,M25*Assumptions!$D$17,0)</f>
        <v>0</v>
      </c>
      <c r="T25" s="68">
        <f>(M25+N25-O25-P25-Q25-R25+S25)*(D26=Assumptions!$H$9)</f>
        <v>0</v>
      </c>
      <c r="U25" s="67">
        <f>T25+AE25*(1+Assumptions!$D$17)</f>
        <v>977355.06703468366</v>
      </c>
      <c r="V25" s="67">
        <f t="shared" si="10"/>
        <v>21438035.275917318</v>
      </c>
      <c r="W25" s="67"/>
      <c r="X25" s="67">
        <f>IF(AND(MOD(C25,12)=1,D25&lt;15),Assumptions!$D$10*N25+Assumptions!$D$11*(1+Assumptions!$D$16)^(B25-1)*I25,0)</f>
        <v>0</v>
      </c>
      <c r="Y25" s="65">
        <f>Assumptions!$C$13*N25</f>
        <v>0</v>
      </c>
      <c r="Z25" s="65">
        <f>NPV(Assumptions!$D$19,N26:$N$259)</f>
        <v>77437464.359951869</v>
      </c>
      <c r="AA25" s="68">
        <f t="shared" si="11"/>
        <v>58075.920081629301</v>
      </c>
      <c r="AB25" s="96"/>
      <c r="AC25" s="67">
        <f>(AC24+N24-P24-Q24-T24-W24-X24-Y24+AD24)*IF(D25=Assumptions!$H$9,0,1)</f>
        <v>21686329.359494671</v>
      </c>
      <c r="AD25" s="91">
        <f>(AF24+N25-W25-X25-Y25)*Assumptions!$D$19-(P25+Q25)*Assumptions!$D$19/2</f>
        <v>95894.533174225304</v>
      </c>
      <c r="AE25" s="67">
        <f>(AE24+(AD25-O25-R25-Q25-S25))*IF(D25=Assumptions!$H$9,0,1)</f>
        <v>973389.35829928634</v>
      </c>
      <c r="AF25" s="91">
        <f t="shared" si="12"/>
        <v>22353348.714134973</v>
      </c>
      <c r="AG25" s="67">
        <f t="shared" si="13"/>
        <v>5676.2679333313718</v>
      </c>
      <c r="AH25" s="89">
        <f>AG25*Assumptions!$C$18</f>
        <v>1702.8803799994114</v>
      </c>
      <c r="AI25" s="67">
        <f t="shared" si="14"/>
        <v>3973.3875533319606</v>
      </c>
      <c r="AK25" s="67">
        <f t="shared" si="15"/>
        <v>-249.320176156245</v>
      </c>
      <c r="AL25" s="70">
        <f t="shared" si="4"/>
        <v>-5925.5879999999997</v>
      </c>
      <c r="AM25" s="80">
        <f>(O25-W25-X25-Y25-AA25)*Assumptions!$D$19</f>
        <v>-249.32017615624594</v>
      </c>
    </row>
    <row r="26" spans="2:39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4">
        <f>1-(1-VLOOKUP($E26,'Annual Mortality Rates'!$B$5:$C$105,2,FALSE))^(1/12)</f>
        <v>8.5873880504183653E-5</v>
      </c>
      <c r="G26" s="74">
        <f>1-(1-IF(D26&gt;=7,2%,VLOOKUP($D26,'Annual Lapse Rates'!$B$4:$C$14,2,FALSE)))^(1/12)</f>
        <v>6.9243826282994192E-3</v>
      </c>
      <c r="H26" s="80">
        <f t="shared" si="5"/>
        <v>7</v>
      </c>
      <c r="I26" s="65">
        <f t="shared" si="6"/>
        <v>4304.8756143944929</v>
      </c>
      <c r="J26" s="66">
        <f t="shared" si="7"/>
        <v>0.36967637409588688</v>
      </c>
      <c r="K26" s="66">
        <f t="shared" si="8"/>
        <v>30.020535490367998</v>
      </c>
      <c r="M26" s="67">
        <f t="shared" si="16"/>
        <v>21438035.275917318</v>
      </c>
      <c r="N26" s="67">
        <f>IF(AND(MOD(C26,12)=1,D26&lt;15),Assumptions!$H$4*I26,0)</f>
        <v>0</v>
      </c>
      <c r="O26" s="67"/>
      <c r="P26" s="88">
        <f t="shared" si="9"/>
        <v>150286.12632896061</v>
      </c>
      <c r="Q26" s="88">
        <f>(M26+N26-O26)*VLOOKUP(MOD(C26,12)+(MOD(C26,12)=0)*12,Assumptions!$C$22:$D$33,2,FALSE)*(F26+G26)</f>
        <v>3287.5090134460138</v>
      </c>
      <c r="R26" s="67">
        <f>IF(AND(MOD(C26,12)=0,D26&lt;15),Assumptions!$C$7*M26,0)</f>
        <v>0</v>
      </c>
      <c r="S26" s="68">
        <f>IF(MOD(C26,12)=0,M26*Assumptions!$D$17,0)</f>
        <v>0</v>
      </c>
      <c r="T26" s="68">
        <f>(M26+N26-O26-P26-Q26-R26+S26)*(D27=Assumptions!$H$9)</f>
        <v>0</v>
      </c>
      <c r="U26" s="67">
        <f>T26+AE26*(1+Assumptions!$D$17)</f>
        <v>1070077.1631101915</v>
      </c>
      <c r="V26" s="67">
        <f t="shared" si="10"/>
        <v>21284461.640574913</v>
      </c>
      <c r="W26" s="67"/>
      <c r="X26" s="67">
        <f>IF(AND(MOD(C26,12)=1,D26&lt;15),Assumptions!$D$10*N26+Assumptions!$D$11*(1+Assumptions!$D$16)^(B26-1)*I26,0)</f>
        <v>0</v>
      </c>
      <c r="Y26" s="65">
        <f>Assumptions!$C$13*N26</f>
        <v>0</v>
      </c>
      <c r="Z26" s="65">
        <f>NPV(Assumptions!$D$19,N27:$N$259)</f>
        <v>77769903.729456112</v>
      </c>
      <c r="AA26" s="68">
        <f t="shared" si="11"/>
        <v>58075.920081629301</v>
      </c>
      <c r="AB26" s="96"/>
      <c r="AC26" s="67">
        <f>(AC25+N25-P25-Q25-T25-W25-X25-Y25+AD25)*IF(D26=Assumptions!$H$9,0,1)</f>
        <v>21628018.613813482</v>
      </c>
      <c r="AD26" s="91">
        <f>(AF25+N26-W26-X26-Y26)*Assumptions!$D$19-(P26+Q26)*Assumptions!$D$19/2</f>
        <v>95633.376593524081</v>
      </c>
      <c r="AE26" s="67">
        <f>(AE25+(AD26-O26-R26-Q26-S26))*IF(D26=Assumptions!$H$9,0,1)</f>
        <v>1065735.2258793644</v>
      </c>
      <c r="AF26" s="91">
        <f t="shared" si="12"/>
        <v>22292120.946372647</v>
      </c>
      <c r="AG26" s="67">
        <f t="shared" si="13"/>
        <v>6575.0180268891709</v>
      </c>
      <c r="AH26" s="89">
        <f>AG26*Assumptions!$C$18</f>
        <v>1972.5054080667512</v>
      </c>
      <c r="AI26" s="67">
        <f t="shared" si="14"/>
        <v>4602.5126188224194</v>
      </c>
      <c r="AK26" s="67">
        <f t="shared" si="15"/>
        <v>-249.320176156245</v>
      </c>
      <c r="AL26" s="70">
        <f t="shared" si="4"/>
        <v>-6824.3379999999997</v>
      </c>
      <c r="AM26" s="80">
        <f>(O26-W26-X26-Y26-AA26)*Assumptions!$D$19</f>
        <v>-249.32017615624594</v>
      </c>
    </row>
    <row r="27" spans="2:39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4">
        <f>1-(1-VLOOKUP($E27,'Annual Mortality Rates'!$B$5:$C$105,2,FALSE))^(1/12)</f>
        <v>8.5873880504183653E-5</v>
      </c>
      <c r="G27" s="74">
        <f>1-(1-IF(D27&gt;=7,2%,VLOOKUP($D27,'Annual Lapse Rates'!$B$4:$C$14,2,FALSE)))^(1/12)</f>
        <v>6.9243826282994192E-3</v>
      </c>
      <c r="H27" s="80">
        <f t="shared" si="5"/>
        <v>8</v>
      </c>
      <c r="I27" s="65">
        <f t="shared" si="6"/>
        <v>4274.4854025300292</v>
      </c>
      <c r="J27" s="66">
        <f t="shared" si="7"/>
        <v>0.36706664867374111</v>
      </c>
      <c r="K27" s="66">
        <f t="shared" si="8"/>
        <v>29.808605921303016</v>
      </c>
      <c r="M27" s="67">
        <f t="shared" si="16"/>
        <v>21284461.640574913</v>
      </c>
      <c r="N27" s="67">
        <f>IF(AND(MOD(C27,12)=1,D27&lt;15),Assumptions!$H$4*I27,0)</f>
        <v>0</v>
      </c>
      <c r="O27" s="67"/>
      <c r="P27" s="88">
        <f t="shared" si="9"/>
        <v>149209.53575222089</v>
      </c>
      <c r="Q27" s="88">
        <f>(M27+N27-O27)*VLOOKUP(MOD(C27,12)+(MOD(C27,12)=0)*12,Assumptions!$C$22:$D$33,2,FALSE)*(F27+G27)</f>
        <v>3730.2383938055223</v>
      </c>
      <c r="R27" s="67">
        <f>IF(AND(MOD(C27,12)=0,D27&lt;15),Assumptions!$C$7*M27,0)</f>
        <v>0</v>
      </c>
      <c r="S27" s="68">
        <f>IF(MOD(C27,12)=0,M27*Assumptions!$D$17,0)</f>
        <v>0</v>
      </c>
      <c r="T27" s="68">
        <f>(M27+N27-O27-P27-Q27-R27+S27)*(D28=Assumptions!$H$9)</f>
        <v>0</v>
      </c>
      <c r="U27" s="67">
        <f>T27+AE27*(1+Assumptions!$D$17)</f>
        <v>1162092.1702389715</v>
      </c>
      <c r="V27" s="67">
        <f t="shared" si="10"/>
        <v>21131521.866428886</v>
      </c>
      <c r="W27" s="67"/>
      <c r="X27" s="67">
        <f>IF(AND(MOD(C27,12)=1,D27&lt;15),Assumptions!$D$10*N27+Assumptions!$D$11*(1+Assumptions!$D$16)^(B27-1)*I27,0)</f>
        <v>0</v>
      </c>
      <c r="Y27" s="65">
        <f>Assumptions!$C$13*N27</f>
        <v>0</v>
      </c>
      <c r="Z27" s="65">
        <f>NPV(Assumptions!$D$19,N28:$N$259)</f>
        <v>78103770.262611866</v>
      </c>
      <c r="AA27" s="68">
        <f t="shared" si="11"/>
        <v>58075.920081629301</v>
      </c>
      <c r="AB27" s="96"/>
      <c r="AC27" s="67">
        <f>(AC26+N26-P26-Q26-T26-W26-X26-Y26+AD26)*IF(D27=Assumptions!$H$9,0,1)</f>
        <v>21570078.355064601</v>
      </c>
      <c r="AD27" s="91">
        <f>(AF26+N27-W27-X27-Y27)*Assumptions!$D$19-(P27+Q27)*Assumptions!$D$19/2</f>
        <v>95371.886106068341</v>
      </c>
      <c r="AE27" s="67">
        <f>(AE26+(AD27-O27-R27-Q27-S27))*IF(D27=Assumptions!$H$9,0,1)</f>
        <v>1157376.8735916272</v>
      </c>
      <c r="AF27" s="91">
        <f t="shared" si="12"/>
        <v>22230822.819938883</v>
      </c>
      <c r="AG27" s="67">
        <f t="shared" si="13"/>
        <v>7460.4767876111</v>
      </c>
      <c r="AH27" s="89">
        <f>AG27*Assumptions!$C$18</f>
        <v>2238.1430362833298</v>
      </c>
      <c r="AI27" s="67">
        <f t="shared" si="14"/>
        <v>5222.3337513277702</v>
      </c>
      <c r="AK27" s="67">
        <f t="shared" si="15"/>
        <v>-249.320176156245</v>
      </c>
      <c r="AL27" s="70">
        <f t="shared" si="4"/>
        <v>-7709.7969999999996</v>
      </c>
      <c r="AM27" s="80">
        <f>(O27-W27-X27-Y27-AA27)*Assumptions!$D$19</f>
        <v>-249.32017615624594</v>
      </c>
    </row>
    <row r="28" spans="2:39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4">
        <f>1-(1-VLOOKUP($E28,'Annual Mortality Rates'!$B$5:$C$105,2,FALSE))^(1/12)</f>
        <v>8.5873880504183653E-5</v>
      </c>
      <c r="G28" s="74">
        <f>1-(1-IF(D28&gt;=7,2%,VLOOKUP($D28,'Annual Lapse Rates'!$B$4:$C$14,2,FALSE)))^(1/12)</f>
        <v>6.9243826282994192E-3</v>
      </c>
      <c r="H28" s="80">
        <f t="shared" si="5"/>
        <v>9</v>
      </c>
      <c r="I28" s="65">
        <f t="shared" si="6"/>
        <v>4244.3097299600522</v>
      </c>
      <c r="J28" s="66">
        <f t="shared" si="7"/>
        <v>0.36447534657333353</v>
      </c>
      <c r="K28" s="66">
        <f t="shared" si="8"/>
        <v>29.598172466198385</v>
      </c>
      <c r="M28" s="67">
        <f t="shared" si="16"/>
        <v>21131521.866428886</v>
      </c>
      <c r="N28" s="67">
        <f>IF(AND(MOD(C28,12)=1,D28&lt;15),Assumptions!$H$4*I28,0)</f>
        <v>0</v>
      </c>
      <c r="O28" s="67"/>
      <c r="P28" s="88">
        <f t="shared" si="9"/>
        <v>148137.38870505875</v>
      </c>
      <c r="Q28" s="88">
        <f>(M28+N28-O28)*VLOOKUP(MOD(C28,12)+(MOD(C28,12)=0)*12,Assumptions!$C$22:$D$33,2,FALSE)*(F28+G28)</f>
        <v>4166.3640573297771</v>
      </c>
      <c r="R28" s="67">
        <f>IF(AND(MOD(C28,12)=0,D28&lt;15),Assumptions!$C$7*M28,0)</f>
        <v>0</v>
      </c>
      <c r="S28" s="68">
        <f>IF(MOD(C28,12)=0,M28*Assumptions!$D$17,0)</f>
        <v>0</v>
      </c>
      <c r="T28" s="68">
        <f>(M28+N28-O28-P28-Q28-R28+S28)*(D29=Assumptions!$H$9)</f>
        <v>0</v>
      </c>
      <c r="U28" s="67">
        <f>T28+AE28*(1+Assumptions!$D$17)</f>
        <v>1253406.4204172865</v>
      </c>
      <c r="V28" s="67">
        <f t="shared" si="10"/>
        <v>20979218.113666497</v>
      </c>
      <c r="W28" s="67"/>
      <c r="X28" s="67">
        <f>IF(AND(MOD(C28,12)=1,D28&lt;15),Assumptions!$D$10*N28+Assumptions!$D$11*(1+Assumptions!$D$16)^(B28-1)*I28,0)</f>
        <v>0</v>
      </c>
      <c r="Y28" s="65">
        <f>Assumptions!$C$13*N28</f>
        <v>0</v>
      </c>
      <c r="Z28" s="65">
        <f>NPV(Assumptions!$D$19,N29:$N$259)</f>
        <v>78439070.086238787</v>
      </c>
      <c r="AA28" s="68">
        <f t="shared" si="11"/>
        <v>58075.920081629301</v>
      </c>
      <c r="AB28" s="96"/>
      <c r="AC28" s="67">
        <f>(AC27+N27-P27-Q27-T27-W27-X27-Y27+AD27)*IF(D28=Assumptions!$H$9,0,1)</f>
        <v>21512510.467024643</v>
      </c>
      <c r="AD28" s="91">
        <f>(AF27+N28-W28-X28-Y28)*Assumptions!$D$19-(P28+Q28)*Assumptions!$D$19/2</f>
        <v>95110.098205378337</v>
      </c>
      <c r="AE28" s="67">
        <f>(AE27+(AD28-O28-R28-Q28-S28))*IF(D28=Assumptions!$H$9,0,1)</f>
        <v>1248320.6077396758</v>
      </c>
      <c r="AF28" s="91">
        <f t="shared" si="12"/>
        <v>22169462.801324543</v>
      </c>
      <c r="AG28" s="67">
        <f t="shared" si="13"/>
        <v>8332.7281146601599</v>
      </c>
      <c r="AH28" s="89">
        <f>AG28*Assumptions!$C$18</f>
        <v>2499.8184343980479</v>
      </c>
      <c r="AI28" s="67">
        <f t="shared" si="14"/>
        <v>5832.9096802621116</v>
      </c>
      <c r="AK28" s="67">
        <f t="shared" si="15"/>
        <v>-249.320176156245</v>
      </c>
      <c r="AL28" s="70">
        <f t="shared" si="4"/>
        <v>-8582.0480000000007</v>
      </c>
      <c r="AM28" s="80">
        <f>(O28-W28-X28-Y28-AA28)*Assumptions!$D$19</f>
        <v>-249.32017615624594</v>
      </c>
    </row>
    <row r="29" spans="2:39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4">
        <f>1-(1-VLOOKUP($E29,'Annual Mortality Rates'!$B$5:$C$105,2,FALSE))^(1/12)</f>
        <v>8.5873880504183653E-5</v>
      </c>
      <c r="G29" s="74">
        <f>1-(1-IF(D29&gt;=7,2%,VLOOKUP($D29,'Annual Lapse Rates'!$B$4:$C$14,2,FALSE)))^(1/12)</f>
        <v>6.9243826282994192E-3</v>
      </c>
      <c r="H29" s="80">
        <f t="shared" si="5"/>
        <v>10</v>
      </c>
      <c r="I29" s="65">
        <f t="shared" si="6"/>
        <v>4214.3470821472802</v>
      </c>
      <c r="J29" s="66">
        <f t="shared" si="7"/>
        <v>0.36190233773547059</v>
      </c>
      <c r="K29" s="66">
        <f t="shared" si="8"/>
        <v>29.389224563257585</v>
      </c>
      <c r="M29" s="67">
        <f t="shared" si="16"/>
        <v>20979218.113666497</v>
      </c>
      <c r="N29" s="67">
        <f>IF(AND(MOD(C29,12)=1,D29&lt;15),Assumptions!$H$4*I29,0)</f>
        <v>0</v>
      </c>
      <c r="O29" s="67"/>
      <c r="P29" s="88">
        <f t="shared" si="9"/>
        <v>147069.70033094101</v>
      </c>
      <c r="Q29" s="88">
        <f>(M29+N29-O29)*VLOOKUP(MOD(C29,12)+(MOD(C29,12)=0)*12,Assumptions!$C$22:$D$33,2,FALSE)*(F29+G29)</f>
        <v>4595.9281353419065</v>
      </c>
      <c r="R29" s="67">
        <f>IF(AND(MOD(C29,12)=0,D29&lt;15),Assumptions!$C$7*M29,0)</f>
        <v>0</v>
      </c>
      <c r="S29" s="68">
        <f>IF(MOD(C29,12)=0,M29*Assumptions!$D$17,0)</f>
        <v>0</v>
      </c>
      <c r="T29" s="68">
        <f>(M29+N29-O29-P29-Q29-R29+S29)*(D30=Assumptions!$H$9)</f>
        <v>0</v>
      </c>
      <c r="U29" s="67">
        <f>T29+AE29*(1+Assumptions!$D$17)</f>
        <v>1344026.2397097489</v>
      </c>
      <c r="V29" s="67">
        <f t="shared" si="10"/>
        <v>20827552.485200211</v>
      </c>
      <c r="W29" s="67"/>
      <c r="X29" s="67">
        <f>IF(AND(MOD(C29,12)=1,D29&lt;15),Assumptions!$D$10*N29+Assumptions!$D$11*(1+Assumptions!$D$16)^(B29-1)*I29,0)</f>
        <v>0</v>
      </c>
      <c r="Y29" s="65">
        <f>Assumptions!$C$13*N29</f>
        <v>0</v>
      </c>
      <c r="Z29" s="65">
        <f>NPV(Assumptions!$D$19,N30:$N$259)</f>
        <v>78775809.353459105</v>
      </c>
      <c r="AA29" s="68">
        <f t="shared" si="11"/>
        <v>58075.920081629301</v>
      </c>
      <c r="AB29" s="96"/>
      <c r="AC29" s="67">
        <f>(AC28+N28-P28-Q28-T28-W28-X28-Y28+AD28)*IF(D29=Assumptions!$H$9,0,1)</f>
        <v>21455316.812467635</v>
      </c>
      <c r="AD29" s="91">
        <f>(AF28+N29-W29-X29-Y29)*Assumptions!$D$19-(P29+Q29)*Assumptions!$D$19/2</f>
        <v>94848.049115195521</v>
      </c>
      <c r="AE29" s="67">
        <f>(AE28+(AD29-O29-R29-Q29-S29))*IF(D29=Assumptions!$H$9,0,1)</f>
        <v>1338572.7287195295</v>
      </c>
      <c r="AF29" s="91">
        <f t="shared" si="12"/>
        <v>22108049.29383811</v>
      </c>
      <c r="AG29" s="67">
        <f t="shared" si="13"/>
        <v>9191.8562706873054</v>
      </c>
      <c r="AH29" s="89">
        <f>AG29*Assumptions!$C$18</f>
        <v>2757.5568812061915</v>
      </c>
      <c r="AI29" s="67">
        <f t="shared" si="14"/>
        <v>6434.2993894811134</v>
      </c>
      <c r="AK29" s="67">
        <f t="shared" si="15"/>
        <v>-249.320176156245</v>
      </c>
      <c r="AL29" s="70">
        <f t="shared" si="4"/>
        <v>-9441.1759999999995</v>
      </c>
      <c r="AM29" s="80">
        <f>(O29-W29-X29-Y29-AA29)*Assumptions!$D$19</f>
        <v>-249.32017615624594</v>
      </c>
    </row>
    <row r="30" spans="2:39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4">
        <f>1-(1-VLOOKUP($E30,'Annual Mortality Rates'!$B$5:$C$105,2,FALSE))^(1/12)</f>
        <v>8.5873880504183653E-5</v>
      </c>
      <c r="G30" s="74">
        <f>1-(1-IF(D30&gt;=7,2%,VLOOKUP($D30,'Annual Lapse Rates'!$B$4:$C$14,2,FALSE)))^(1/12)</f>
        <v>6.9243826282994192E-3</v>
      </c>
      <c r="H30" s="80">
        <f t="shared" si="5"/>
        <v>11</v>
      </c>
      <c r="I30" s="65">
        <f t="shared" si="6"/>
        <v>4184.5959552462873</v>
      </c>
      <c r="J30" s="66">
        <f t="shared" si="7"/>
        <v>0.3593474930191099</v>
      </c>
      <c r="K30" s="66">
        <f t="shared" si="8"/>
        <v>29.181751725244972</v>
      </c>
      <c r="M30" s="67">
        <f t="shared" si="16"/>
        <v>20827552.485200211</v>
      </c>
      <c r="N30" s="67">
        <f>IF(AND(MOD(C30,12)=1,D30&lt;15),Assumptions!$H$4*I30,0)</f>
        <v>0</v>
      </c>
      <c r="O30" s="67"/>
      <c r="P30" s="88">
        <f t="shared" si="9"/>
        <v>146006.48537182342</v>
      </c>
      <c r="Q30" s="88">
        <f>(M30+N30-O30)*VLOOKUP(MOD(C30,12)+(MOD(C30,12)=0)*12,Assumptions!$C$22:$D$33,2,FALSE)*(F30+G30)</f>
        <v>5018.9729346564309</v>
      </c>
      <c r="R30" s="67">
        <f>IF(AND(MOD(C30,12)=0,D30&lt;15),Assumptions!$C$7*M30,0)</f>
        <v>0</v>
      </c>
      <c r="S30" s="68">
        <f>IF(MOD(C30,12)=0,M30*Assumptions!$D$17,0)</f>
        <v>0</v>
      </c>
      <c r="T30" s="68">
        <f>(M30+N30-O30-P30-Q30-R30+S30)*(D31=Assumptions!$H$9)</f>
        <v>0</v>
      </c>
      <c r="U30" s="67">
        <f>T30+AE30*(1+Assumptions!$D$17)</f>
        <v>1433957.9478012547</v>
      </c>
      <c r="V30" s="67">
        <f t="shared" si="10"/>
        <v>20676527.026893731</v>
      </c>
      <c r="W30" s="67"/>
      <c r="X30" s="67">
        <f>IF(AND(MOD(C30,12)=1,D30&lt;15),Assumptions!$D$10*N30+Assumptions!$D$11*(1+Assumptions!$D$16)^(B30-1)*I30,0)</f>
        <v>0</v>
      </c>
      <c r="Y30" s="65">
        <f>Assumptions!$C$13*N30</f>
        <v>0</v>
      </c>
      <c r="Z30" s="65">
        <f>NPV(Assumptions!$D$19,N31:$N$259)</f>
        <v>79113994.243810356</v>
      </c>
      <c r="AA30" s="68">
        <f t="shared" si="11"/>
        <v>58075.920081629301</v>
      </c>
      <c r="AB30" s="96"/>
      <c r="AC30" s="67">
        <f>(AC29+N29-P29-Q29-T29-W29-X29-Y29+AD29)*IF(D30=Assumptions!$H$9,0,1)</f>
        <v>21398499.233116545</v>
      </c>
      <c r="AD30" s="91">
        <f>(AF29+N30-W30-X30-Y30)*Assumptions!$D$19-(P30+Q30)*Assumptions!$D$19/2</f>
        <v>94585.774788504263</v>
      </c>
      <c r="AE30" s="67">
        <f>(AE29+(AD30-O30-R30-Q30-S30))*IF(D30=Assumptions!$H$9,0,1)</f>
        <v>1428139.5305733774</v>
      </c>
      <c r="AF30" s="91">
        <f t="shared" si="12"/>
        <v>22046590.63738548</v>
      </c>
      <c r="AG30" s="67">
        <f t="shared" si="13"/>
        <v>10037.945869310555</v>
      </c>
      <c r="AH30" s="89">
        <f>AG30*Assumptions!$C$18</f>
        <v>3011.3837607931664</v>
      </c>
      <c r="AI30" s="67">
        <f t="shared" si="14"/>
        <v>7026.5621085173889</v>
      </c>
      <c r="AK30" s="67">
        <f t="shared" si="15"/>
        <v>-249.320176156245</v>
      </c>
      <c r="AL30" s="70">
        <f t="shared" si="4"/>
        <v>-10287.266</v>
      </c>
      <c r="AM30" s="80">
        <f>(O30-W30-X30-Y30-AA30)*Assumptions!$D$19</f>
        <v>-249.32017615624594</v>
      </c>
    </row>
    <row r="31" spans="2:39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4">
        <f>1-(1-VLOOKUP($E31,'Annual Mortality Rates'!$B$5:$C$105,2,FALSE))^(1/12)</f>
        <v>8.5873880504183653E-5</v>
      </c>
      <c r="G31" s="74">
        <f>1-(1-IF(D31&gt;=7,2%,VLOOKUP($D31,'Annual Lapse Rates'!$B$4:$C$14,2,FALSE)))^(1/12)</f>
        <v>6.9243826282994192E-3</v>
      </c>
      <c r="H31" s="80">
        <f t="shared" si="5"/>
        <v>12</v>
      </c>
      <c r="I31" s="65">
        <f t="shared" si="6"/>
        <v>4155.0548560280231</v>
      </c>
      <c r="J31" s="66">
        <f t="shared" si="7"/>
        <v>0.35681068419487849</v>
      </c>
      <c r="K31" s="66">
        <f t="shared" si="8"/>
        <v>28.975743538959406</v>
      </c>
      <c r="M31" s="67">
        <f t="shared" si="16"/>
        <v>20676527.026893731</v>
      </c>
      <c r="N31" s="67">
        <f>IF(AND(MOD(C31,12)=1,D31&lt;15),Assumptions!$H$4*I31,0)</f>
        <v>0</v>
      </c>
      <c r="O31" s="67"/>
      <c r="P31" s="88">
        <f t="shared" si="9"/>
        <v>144947.75816973537</v>
      </c>
      <c r="Q31" s="88">
        <f>(M31+N31-O31)*VLOOKUP(MOD(C31,12)+(MOD(C31,12)=0)*12,Assumptions!$C$22:$D$33,2,FALSE)*(F31+G31)</f>
        <v>5435.540931365078</v>
      </c>
      <c r="R31" s="67">
        <f>IF(AND(MOD(C31,12)=0,D31&lt;15),Assumptions!$C$7*M31,0)</f>
        <v>10338.263513446866</v>
      </c>
      <c r="S31" s="68">
        <f>IF(MOD(C31,12)=0,M31*Assumptions!$D$17,0)</f>
        <v>84238.730523515726</v>
      </c>
      <c r="T31" s="68">
        <f>(M31+N31-O31-P31-Q31-R31+S31)*(D32=Assumptions!$H$9)</f>
        <v>0</v>
      </c>
      <c r="U31" s="67">
        <f>T31+AE31*(1+Assumptions!$D$17)</f>
        <v>1428245.5451364631</v>
      </c>
      <c r="V31" s="67">
        <f t="shared" si="10"/>
        <v>20600044.194802698</v>
      </c>
      <c r="W31" s="67"/>
      <c r="X31" s="67">
        <f>IF(AND(MOD(C31,12)=1,D31&lt;15),Assumptions!$D$10*N31+Assumptions!$D$11*(1+Assumptions!$D$16)^(B31-1)*I31,0)</f>
        <v>0</v>
      </c>
      <c r="Y31" s="65">
        <f>Assumptions!$C$13*N31</f>
        <v>0</v>
      </c>
      <c r="Z31" s="65">
        <f>NPV(Assumptions!$D$19,N32:$N$259)</f>
        <v>79453630.963358968</v>
      </c>
      <c r="AA31" s="68">
        <f t="shared" si="11"/>
        <v>58075.920081629301</v>
      </c>
      <c r="AB31" s="96"/>
      <c r="AC31" s="67">
        <f>(AC30+N30-P30-Q30-T30-W30-X30-Y30+AD30)*IF(D31=Assumptions!$H$9,0,1)</f>
        <v>21342059.549598567</v>
      </c>
      <c r="AD31" s="91">
        <f>(AF30+N31-W31-X31-Y31)*Assumptions!$D$19-(P31+Q31)*Assumptions!$D$19/2</f>
        <v>94323.310906596453</v>
      </c>
      <c r="AE31" s="67">
        <f>(AE30+(AD31-O31-R31-Q31-S31))*IF(D31=Assumptions!$H$9,0,1)</f>
        <v>1422450.3065116461</v>
      </c>
      <c r="AF31" s="91">
        <f t="shared" si="12"/>
        <v>21964418.581232712</v>
      </c>
      <c r="AG31" s="67">
        <f t="shared" si="13"/>
        <v>31547.608889629511</v>
      </c>
      <c r="AH31" s="89">
        <f>AG31*Assumptions!$C$18</f>
        <v>9464.2826668888538</v>
      </c>
      <c r="AI31" s="67">
        <f t="shared" si="14"/>
        <v>22083.326222740659</v>
      </c>
      <c r="AK31" s="67">
        <f t="shared" si="15"/>
        <v>10088.943337290621</v>
      </c>
      <c r="AL31" s="70">
        <f t="shared" si="4"/>
        <v>-21458.666000000001</v>
      </c>
      <c r="AM31" s="80">
        <f>(O31-W31-X31-Y31-AA31)*Assumptions!$D$19</f>
        <v>-249.32017615624594</v>
      </c>
    </row>
    <row r="32" spans="2:39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4">
        <f>1-(1-VLOOKUP($E32,'Annual Mortality Rates'!$B$5:$C$105,2,FALSE))^(1/12)</f>
        <v>9.5883882629710371E-5</v>
      </c>
      <c r="G32" s="74">
        <f>1-(1-IF(D32&gt;=7,2%,VLOOKUP($D32,'Annual Lapse Rates'!$B$4:$C$14,2,FALSE)))^(1/12)</f>
        <v>6.0293080661268927E-3</v>
      </c>
      <c r="H32" s="80">
        <f t="shared" si="5"/>
        <v>1</v>
      </c>
      <c r="I32" s="65">
        <f t="shared" si="6"/>
        <v>4125.7223018048689</v>
      </c>
      <c r="J32" s="66">
        <f t="shared" si="7"/>
        <v>0.39559027294903654</v>
      </c>
      <c r="K32" s="66">
        <f t="shared" si="8"/>
        <v>25.052105758649475</v>
      </c>
      <c r="M32" s="67">
        <f t="shared" si="16"/>
        <v>20600044.194802698</v>
      </c>
      <c r="N32" s="67">
        <f>IF(AND(MOD(C32,12)=1,D32&lt;15),Assumptions!$H$4*I32,0)</f>
        <v>10314305.754512172</v>
      </c>
      <c r="O32" s="67"/>
      <c r="P32" s="88">
        <f t="shared" si="9"/>
        <v>189356.32741058755</v>
      </c>
      <c r="Q32" s="88">
        <f>(M32+N32-O32)*VLOOKUP(MOD(C32,12)+(MOD(C32,12)=0)*12,Assumptions!$C$22:$D$33,2,FALSE)*(F32+G32)</f>
        <v>591.7385231580862</v>
      </c>
      <c r="R32" s="67">
        <f>IF(AND(MOD(C32,12)=0,D32&lt;15),Assumptions!$C$7*M32,0)</f>
        <v>0</v>
      </c>
      <c r="S32" s="68">
        <f>IF(MOD(C32,12)=0,M32*Assumptions!$D$17,0)</f>
        <v>0</v>
      </c>
      <c r="T32" s="68">
        <f>(M32+N32-O32-P32-Q32-R32+S32)*(D33=Assumptions!$H$9)</f>
        <v>0</v>
      </c>
      <c r="U32" s="67">
        <f>T32+AE32*(1+Assumptions!$D$17)</f>
        <v>1565814.4132932543</v>
      </c>
      <c r="V32" s="67">
        <f t="shared" si="10"/>
        <v>30724401.883381125</v>
      </c>
      <c r="W32" s="67"/>
      <c r="X32" s="67">
        <f>IF(AND(MOD(C32,12)=1,D32&lt;15),Assumptions!$D$10*N32+Assumptions!$D$11*(1+Assumptions!$D$16)^(B32-1)*I32,0)</f>
        <v>79472.138410746498</v>
      </c>
      <c r="Y32" s="65">
        <f>Assumptions!$C$13*N32</f>
        <v>51571.528772560865</v>
      </c>
      <c r="Z32" s="65">
        <f>NPV(Assumptions!$D$19,N33:$N$259)</f>
        <v>69480419.990301728</v>
      </c>
      <c r="AA32" s="68">
        <f t="shared" si="11"/>
        <v>53236.512538885057</v>
      </c>
      <c r="AB32" s="96"/>
      <c r="AC32" s="67">
        <f>(AC31+N31-P31-Q31-T31-W31-X31-Y31+AD31)*IF(D32=Assumptions!$H$9,0,1)</f>
        <v>21285999.561404061</v>
      </c>
      <c r="AD32" s="91">
        <f>(AF31+N32-W32-X32-Y32)*Assumptions!$D$19-(P32+Q32)*Assumptions!$D$19/2</f>
        <v>137602.40825179449</v>
      </c>
      <c r="AE32" s="67">
        <f>(AE31+(AD32-O32-R32-Q32-S32))*IF(D32=Assumptions!$H$9,0,1)</f>
        <v>1559460.9762402824</v>
      </c>
      <c r="AF32" s="91">
        <f t="shared" si="12"/>
        <v>32230626.347082522</v>
      </c>
      <c r="AG32" s="67">
        <f t="shared" si="13"/>
        <v>-134699.59767973938</v>
      </c>
      <c r="AH32" s="89">
        <f>AG32*Assumptions!$C$18</f>
        <v>-40409.879303921814</v>
      </c>
      <c r="AI32" s="67">
        <f t="shared" si="14"/>
        <v>-94289.718375817567</v>
      </c>
      <c r="AK32" s="67">
        <f t="shared" si="15"/>
        <v>-136674.19033482482</v>
      </c>
      <c r="AL32" s="70">
        <f t="shared" si="4"/>
        <v>-1974.5930000000001</v>
      </c>
      <c r="AM32" s="80">
        <f>(O32-W32-X32-Y32-AA32)*Assumptions!$D$19</f>
        <v>-791.11560877319653</v>
      </c>
    </row>
    <row r="33" spans="2:39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4">
        <f>1-(1-VLOOKUP($E33,'Annual Mortality Rates'!$B$5:$C$105,2,FALSE))^(1/12)</f>
        <v>9.5883882629710371E-5</v>
      </c>
      <c r="G33" s="74">
        <f>1-(1-IF(D33&gt;=7,2%,VLOOKUP($D33,'Annual Lapse Rates'!$B$4:$C$14,2,FALSE)))^(1/12)</f>
        <v>6.0293080661268927E-3</v>
      </c>
      <c r="H33" s="80">
        <f t="shared" si="5"/>
        <v>2</v>
      </c>
      <c r="I33" s="65">
        <f t="shared" si="6"/>
        <v>4100.2746057732702</v>
      </c>
      <c r="J33" s="66">
        <f t="shared" si="7"/>
        <v>0.39315024904954621</v>
      </c>
      <c r="K33" s="66">
        <f t="shared" si="8"/>
        <v>24.875250752871708</v>
      </c>
      <c r="M33" s="67">
        <f t="shared" si="16"/>
        <v>30724401.883381125</v>
      </c>
      <c r="N33" s="67">
        <f>IF(AND(MOD(C33,12)=1,D33&lt;15),Assumptions!$H$4*I33,0)</f>
        <v>0</v>
      </c>
      <c r="O33" s="67"/>
      <c r="P33" s="88">
        <f t="shared" si="9"/>
        <v>188192.85904644828</v>
      </c>
      <c r="Q33" s="88">
        <f>(M33+N33-O33)*VLOOKUP(MOD(C33,12)+(MOD(C33,12)=0)*12,Assumptions!$C$22:$D$33,2,FALSE)*(F33+G33)</f>
        <v>1176.2053690403018</v>
      </c>
      <c r="R33" s="67">
        <f>IF(AND(MOD(C33,12)=0,D33&lt;15),Assumptions!$C$7*M33,0)</f>
        <v>0</v>
      </c>
      <c r="S33" s="68">
        <f>IF(MOD(C33,12)=0,M33*Assumptions!$D$17,0)</f>
        <v>0</v>
      </c>
      <c r="T33" s="68">
        <f>(M33+N33-O33-P33-Q33-R33+S33)*(D34=Assumptions!$H$9)</f>
        <v>0</v>
      </c>
      <c r="U33" s="67">
        <f>T33+AE33*(1+Assumptions!$D$17)</f>
        <v>1703155.2182011397</v>
      </c>
      <c r="V33" s="67">
        <f t="shared" si="10"/>
        <v>30535032.818965636</v>
      </c>
      <c r="W33" s="67"/>
      <c r="X33" s="67">
        <f>IF(AND(MOD(C33,12)=1,D33&lt;15),Assumptions!$D$10*N33+Assumptions!$D$11*(1+Assumptions!$D$16)^(B33-1)*I33,0)</f>
        <v>0</v>
      </c>
      <c r="Y33" s="65">
        <f>Assumptions!$C$13*N33</f>
        <v>0</v>
      </c>
      <c r="Z33" s="65">
        <f>NPV(Assumptions!$D$19,N34:$N$259)</f>
        <v>69778699.733903617</v>
      </c>
      <c r="AA33" s="68">
        <f t="shared" si="11"/>
        <v>53236.512538885057</v>
      </c>
      <c r="AB33" s="96"/>
      <c r="AC33" s="67">
        <f>(AC32+N32-P32-Q32-T32-W32-X32-Y32+AD32)*IF(D33=Assumptions!$H$9,0,1)</f>
        <v>31416915.991050977</v>
      </c>
      <c r="AD33" s="91">
        <f>(AF32+N33-W33-X33-Y33)*Assumptions!$D$19-(P33+Q33)*Assumptions!$D$19/2</f>
        <v>137959.73723653267</v>
      </c>
      <c r="AE33" s="67">
        <f>(AE32+(AD33-O33-R33-Q33-S33))*IF(D33=Assumptions!$H$9,0,1)</f>
        <v>1696244.5081077749</v>
      </c>
      <c r="AF33" s="91">
        <f t="shared" si="12"/>
        <v>32178040.814534526</v>
      </c>
      <c r="AG33" s="67">
        <f t="shared" si="13"/>
        <v>2352.4107380798378</v>
      </c>
      <c r="AH33" s="89">
        <f>AG33*Assumptions!$C$18</f>
        <v>705.72322142395126</v>
      </c>
      <c r="AI33" s="67">
        <f t="shared" si="14"/>
        <v>1646.6875166558866</v>
      </c>
      <c r="AK33" s="67">
        <f t="shared" si="15"/>
        <v>-228.54457863918651</v>
      </c>
      <c r="AL33" s="70">
        <f t="shared" si="4"/>
        <v>-2580.9549999999999</v>
      </c>
      <c r="AM33" s="80">
        <f>(O33-W33-X33-Y33-AA33)*Assumptions!$D$19</f>
        <v>-228.54457863918617</v>
      </c>
    </row>
    <row r="34" spans="2:39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4">
        <f>1-(1-VLOOKUP($E34,'Annual Mortality Rates'!$B$5:$C$105,2,FALSE))^(1/12)</f>
        <v>9.5883882629710371E-5</v>
      </c>
      <c r="G34" s="74">
        <f>1-(1-IF(D34&gt;=7,2%,VLOOKUP($D34,'Annual Lapse Rates'!$B$4:$C$14,2,FALSE)))^(1/12)</f>
        <v>6.0293080661268927E-3</v>
      </c>
      <c r="H34" s="80">
        <f t="shared" si="5"/>
        <v>3</v>
      </c>
      <c r="I34" s="65">
        <f t="shared" si="6"/>
        <v>4075.0062047713491</v>
      </c>
      <c r="J34" s="66">
        <f t="shared" si="7"/>
        <v>0.39072741665363753</v>
      </c>
      <c r="K34" s="66">
        <f t="shared" si="8"/>
        <v>24.721818753924044</v>
      </c>
      <c r="M34" s="67">
        <f t="shared" si="16"/>
        <v>30535032.818965636</v>
      </c>
      <c r="N34" s="67">
        <f>IF(AND(MOD(C34,12)=1,D34&lt;15),Assumptions!$H$4*I34,0)</f>
        <v>0</v>
      </c>
      <c r="O34" s="67"/>
      <c r="P34" s="88">
        <f t="shared" si="9"/>
        <v>187032.93717774696</v>
      </c>
      <c r="Q34" s="88">
        <f>(M34+N34-O34)*VLOOKUP(MOD(C34,12)+(MOD(C34,12)=0)*12,Assumptions!$C$22:$D$33,2,FALSE)*(F34+G34)</f>
        <v>1753.433786041378</v>
      </c>
      <c r="R34" s="67">
        <f>IF(AND(MOD(C34,12)=0,D34&lt;15),Assumptions!$C$7*M34,0)</f>
        <v>0</v>
      </c>
      <c r="S34" s="68">
        <f>IF(MOD(C34,12)=0,M34*Assumptions!$D$17,0)</f>
        <v>0</v>
      </c>
      <c r="T34" s="68">
        <f>(M34+N34-O34-P34-Q34-R34+S34)*(D35=Assumptions!$H$9)</f>
        <v>0</v>
      </c>
      <c r="U34" s="67">
        <f>T34+AE34*(1+Assumptions!$D$17)</f>
        <v>1839691.0291886423</v>
      </c>
      <c r="V34" s="67">
        <f t="shared" si="10"/>
        <v>30346246.448001847</v>
      </c>
      <c r="W34" s="67"/>
      <c r="X34" s="67">
        <f>IF(AND(MOD(C34,12)=1,D34&lt;15),Assumptions!$D$10*N34+Assumptions!$D$11*(1+Assumptions!$D$16)^(B34-1)*I34,0)</f>
        <v>0</v>
      </c>
      <c r="Y34" s="65">
        <f>Assumptions!$C$13*N34</f>
        <v>0</v>
      </c>
      <c r="Z34" s="65">
        <f>NPV(Assumptions!$D$19,N35:$N$259)</f>
        <v>70078259.993735194</v>
      </c>
      <c r="AA34" s="68">
        <f t="shared" si="11"/>
        <v>53236.512538885057</v>
      </c>
      <c r="AB34" s="96"/>
      <c r="AC34" s="67">
        <f>(AC33+N33-P33-Q33-T33-W33-X33-Y33+AD33)*IF(D34=Assumptions!$H$9,0,1)</f>
        <v>31365506.663872022</v>
      </c>
      <c r="AD34" s="91">
        <f>(AF33+N34-W34-X34-Y34)*Assumptions!$D$19-(P34+Q34)*Assumptions!$D$19/2</f>
        <v>137735.23807056513</v>
      </c>
      <c r="AE34" s="67">
        <f>(AE33+(AD34-O34-R34-Q34-S34))*IF(D34=Assumptions!$H$9,0,1)</f>
        <v>1832226.3123922986</v>
      </c>
      <c r="AF34" s="91">
        <f t="shared" si="12"/>
        <v>32125236.247855261</v>
      </c>
      <c r="AG34" s="67">
        <f t="shared" si="13"/>
        <v>3506.8675720835163</v>
      </c>
      <c r="AH34" s="89">
        <f>AG34*Assumptions!$C$18</f>
        <v>1052.0602716250548</v>
      </c>
      <c r="AI34" s="67">
        <f t="shared" si="14"/>
        <v>2454.8073004584612</v>
      </c>
      <c r="AK34" s="67">
        <f t="shared" si="15"/>
        <v>-228.54457863918651</v>
      </c>
      <c r="AL34" s="70">
        <f t="shared" si="4"/>
        <v>-3735.4119999999998</v>
      </c>
      <c r="AM34" s="80">
        <f>(O34-W34-X34-Y34-AA34)*Assumptions!$D$19</f>
        <v>-228.54457863918617</v>
      </c>
    </row>
    <row r="35" spans="2:39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4">
        <f>1-(1-VLOOKUP($E35,'Annual Mortality Rates'!$B$5:$C$105,2,FALSE))^(1/12)</f>
        <v>9.5883882629710371E-5</v>
      </c>
      <c r="G35" s="74">
        <f>1-(1-IF(D35&gt;=7,2%,VLOOKUP($D35,'Annual Lapse Rates'!$B$4:$C$14,2,FALSE)))^(1/12)</f>
        <v>6.0293080661268927E-3</v>
      </c>
      <c r="H35" s="80">
        <f t="shared" si="5"/>
        <v>4</v>
      </c>
      <c r="I35" s="65">
        <f t="shared" si="6"/>
        <v>4049.8936586007712</v>
      </c>
      <c r="J35" s="66">
        <f t="shared" si="7"/>
        <v>0.38831952822408466</v>
      </c>
      <c r="K35" s="66">
        <f t="shared" si="8"/>
        <v>24.569467779945033</v>
      </c>
      <c r="M35" s="67">
        <f t="shared" si="16"/>
        <v>30346246.448001847</v>
      </c>
      <c r="N35" s="67">
        <f>IF(AND(MOD(C35,12)=1,D35&lt;15),Assumptions!$H$4*I35,0)</f>
        <v>0</v>
      </c>
      <c r="O35" s="67"/>
      <c r="P35" s="88">
        <f t="shared" si="9"/>
        <v>185876.58441828459</v>
      </c>
      <c r="Q35" s="88">
        <f>(M35+N35-O35)*VLOOKUP(MOD(C35,12)+(MOD(C35,12)=0)*12,Assumptions!$C$22:$D$33,2,FALSE)*(F35+G35)</f>
        <v>2323.4573052285573</v>
      </c>
      <c r="R35" s="67">
        <f>IF(AND(MOD(C35,12)=0,D35&lt;15),Assumptions!$C$7*M35,0)</f>
        <v>0</v>
      </c>
      <c r="S35" s="68">
        <f>IF(MOD(C35,12)=0,M35*Assumptions!$D$17,0)</f>
        <v>0</v>
      </c>
      <c r="T35" s="68">
        <f>(M35+N35-O35-P35-Q35-R35+S35)*(D36=Assumptions!$H$9)</f>
        <v>0</v>
      </c>
      <c r="U35" s="67">
        <f>T35+AE35*(1+Assumptions!$D$17)</f>
        <v>1975428.1441978149</v>
      </c>
      <c r="V35" s="67">
        <f t="shared" si="10"/>
        <v>30158046.406278331</v>
      </c>
      <c r="W35" s="67"/>
      <c r="X35" s="67">
        <f>IF(AND(MOD(C35,12)=1,D35&lt;15),Assumptions!$D$10*N35+Assumptions!$D$11*(1+Assumptions!$D$16)^(B35-1)*I35,0)</f>
        <v>0</v>
      </c>
      <c r="Y35" s="65">
        <f>Assumptions!$C$13*N35</f>
        <v>0</v>
      </c>
      <c r="Z35" s="65">
        <f>NPV(Assumptions!$D$19,N36:$N$259)</f>
        <v>70379106.267058149</v>
      </c>
      <c r="AA35" s="68">
        <f t="shared" si="11"/>
        <v>53236.512538885057</v>
      </c>
      <c r="AB35" s="96"/>
      <c r="AC35" s="67">
        <f>(AC34+N34-P34-Q34-T34-W34-X34-Y34+AD34)*IF(D35=Assumptions!$H$9,0,1)</f>
        <v>31314455.530978799</v>
      </c>
      <c r="AD35" s="91">
        <f>(AF34+N35-W35-X35-Y35)*Assumptions!$D$19-(P35+Q35)*Assumptions!$D$19/2</f>
        <v>137509.80639435249</v>
      </c>
      <c r="AE35" s="67">
        <f>(AE34+(AD35-O35-R35-Q35-S35))*IF(D35=Assumptions!$H$9,0,1)</f>
        <v>1967412.6614814226</v>
      </c>
      <c r="AF35" s="91">
        <f t="shared" si="12"/>
        <v>32072222.555220868</v>
      </c>
      <c r="AG35" s="67">
        <f t="shared" si="13"/>
        <v>4646.9146104604297</v>
      </c>
      <c r="AH35" s="89">
        <f>AG35*Assumptions!$C$18</f>
        <v>1394.074383138129</v>
      </c>
      <c r="AI35" s="67">
        <f t="shared" si="14"/>
        <v>3252.840227322301</v>
      </c>
      <c r="AK35" s="67">
        <f t="shared" si="15"/>
        <v>-228.54457863918651</v>
      </c>
      <c r="AL35" s="70">
        <f t="shared" si="4"/>
        <v>-4875.4589999999998</v>
      </c>
      <c r="AM35" s="80">
        <f>(O35-W35-X35-Y35-AA35)*Assumptions!$D$19</f>
        <v>-228.54457863918617</v>
      </c>
    </row>
    <row r="36" spans="2:39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4">
        <f>1-(1-VLOOKUP($E36,'Annual Mortality Rates'!$B$5:$C$105,2,FALSE))^(1/12)</f>
        <v>9.5883882629710371E-5</v>
      </c>
      <c r="G36" s="74">
        <f>1-(1-IF(D36&gt;=7,2%,VLOOKUP($D36,'Annual Lapse Rates'!$B$4:$C$14,2,FALSE)))^(1/12)</f>
        <v>6.0293080661268927E-3</v>
      </c>
      <c r="H36" s="80">
        <f t="shared" si="5"/>
        <v>5</v>
      </c>
      <c r="I36" s="65">
        <f t="shared" si="6"/>
        <v>4024.9358712926019</v>
      </c>
      <c r="J36" s="66">
        <f t="shared" si="7"/>
        <v>0.38592647867513086</v>
      </c>
      <c r="K36" s="66">
        <f t="shared" si="8"/>
        <v>24.418056502757782</v>
      </c>
      <c r="M36" s="67">
        <f t="shared" si="16"/>
        <v>30158046.406278331</v>
      </c>
      <c r="N36" s="67">
        <f>IF(AND(MOD(C36,12)=1,D36&lt;15),Assumptions!$H$4*I36,0)</f>
        <v>0</v>
      </c>
      <c r="O36" s="67"/>
      <c r="P36" s="88">
        <f t="shared" si="9"/>
        <v>184723.82303796403</v>
      </c>
      <c r="Q36" s="88">
        <f>(M36+N36-O36)*VLOOKUP(MOD(C36,12)+(MOD(C36,12)=0)*12,Assumptions!$C$22:$D$33,2,FALSE)*(F36+G36)</f>
        <v>2886.309734968188</v>
      </c>
      <c r="R36" s="67">
        <f>IF(AND(MOD(C36,12)=0,D36&lt;15),Assumptions!$C$7*M36,0)</f>
        <v>0</v>
      </c>
      <c r="S36" s="68">
        <f>IF(MOD(C36,12)=0,M36*Assumptions!$D$17,0)</f>
        <v>0</v>
      </c>
      <c r="T36" s="68">
        <f>(M36+N36-O36-P36-Q36-R36+S36)*(D37=Assumptions!$H$9)</f>
        <v>0</v>
      </c>
      <c r="U36" s="67">
        <f>T36+AE36*(1+Assumptions!$D$17)</f>
        <v>2110372.8698128802</v>
      </c>
      <c r="V36" s="67">
        <f t="shared" si="10"/>
        <v>29970436.273505401</v>
      </c>
      <c r="W36" s="67"/>
      <c r="X36" s="67">
        <f>IF(AND(MOD(C36,12)=1,D36&lt;15),Assumptions!$D$10*N36+Assumptions!$D$11*(1+Assumptions!$D$16)^(B36-1)*I36,0)</f>
        <v>0</v>
      </c>
      <c r="Y36" s="65">
        <f>Assumptions!$C$13*N36</f>
        <v>0</v>
      </c>
      <c r="Z36" s="65">
        <f>NPV(Assumptions!$D$19,N37:$N$259)</f>
        <v>70681244.074734032</v>
      </c>
      <c r="AA36" s="68">
        <f t="shared" si="11"/>
        <v>53236.512538885057</v>
      </c>
      <c r="AB36" s="96"/>
      <c r="AC36" s="67">
        <f>(AC35+N35-P35-Q35-T35-W35-X35-Y35+AD35)*IF(D36=Assumptions!$H$9,0,1)</f>
        <v>31263765.295649637</v>
      </c>
      <c r="AD36" s="91">
        <f>(AF35+N36-W36-X36-Y36)*Assumptions!$D$19-(P36+Q36)*Assumptions!$D$19/2</f>
        <v>137283.48462336566</v>
      </c>
      <c r="AE36" s="67">
        <f>(AE35+(AD36-O36-R36-Q36-S36))*IF(D36=Assumptions!$H$9,0,1)</f>
        <v>2101809.8363698199</v>
      </c>
      <c r="AF36" s="91">
        <f t="shared" si="12"/>
        <v>32019009.597336337</v>
      </c>
      <c r="AG36" s="67">
        <f t="shared" si="13"/>
        <v>5772.6194699330954</v>
      </c>
      <c r="AH36" s="89">
        <f>AG36*Assumptions!$C$18</f>
        <v>1731.7858409799285</v>
      </c>
      <c r="AI36" s="67">
        <f t="shared" si="14"/>
        <v>4040.8336289531671</v>
      </c>
      <c r="AK36" s="67">
        <f t="shared" si="15"/>
        <v>-228.54457863918651</v>
      </c>
      <c r="AL36" s="70">
        <f t="shared" si="4"/>
        <v>-6001.1639999999998</v>
      </c>
      <c r="AM36" s="80">
        <f>(O36-W36-X36-Y36-AA36)*Assumptions!$D$19</f>
        <v>-228.54457863918617</v>
      </c>
    </row>
    <row r="37" spans="2:39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4">
        <f>1-(1-VLOOKUP($E37,'Annual Mortality Rates'!$B$5:$C$105,2,FALSE))^(1/12)</f>
        <v>9.5883882629710371E-5</v>
      </c>
      <c r="G37" s="74">
        <f>1-(1-IF(D37&gt;=7,2%,VLOOKUP($D37,'Annual Lapse Rates'!$B$4:$C$14,2,FALSE)))^(1/12)</f>
        <v>6.0293080661268927E-3</v>
      </c>
      <c r="H37" s="80">
        <f t="shared" si="5"/>
        <v>6</v>
      </c>
      <c r="I37" s="65">
        <f t="shared" si="6"/>
        <v>4000.131888311169</v>
      </c>
      <c r="J37" s="66">
        <f t="shared" si="7"/>
        <v>0.38354817648218986</v>
      </c>
      <c r="K37" s="66">
        <f t="shared" si="8"/>
        <v>24.267578314427958</v>
      </c>
      <c r="M37" s="67">
        <f t="shared" si="16"/>
        <v>29970436.273505401</v>
      </c>
      <c r="N37" s="67">
        <f>IF(AND(MOD(C37,12)=1,D37&lt;15),Assumptions!$H$4*I37,0)</f>
        <v>0</v>
      </c>
      <c r="O37" s="67"/>
      <c r="P37" s="88">
        <f t="shared" si="9"/>
        <v>183574.67496319814</v>
      </c>
      <c r="Q37" s="88">
        <f>(M37+N37-O37)*VLOOKUP(MOD(C37,12)+(MOD(C37,12)=0)*12,Assumptions!$C$22:$D$33,2,FALSE)*(F37+G37)</f>
        <v>3442.0251555599657</v>
      </c>
      <c r="R37" s="67">
        <f>IF(AND(MOD(C37,12)=0,D37&lt;15),Assumptions!$C$7*M37,0)</f>
        <v>0</v>
      </c>
      <c r="S37" s="68">
        <f>IF(MOD(C37,12)=0,M37*Assumptions!$D$17,0)</f>
        <v>0</v>
      </c>
      <c r="T37" s="68">
        <f>(M37+N37-O37-P37-Q37-R37+S37)*(D38=Assumptions!$H$9)</f>
        <v>0</v>
      </c>
      <c r="U37" s="67">
        <f>T37+AE37*(1+Assumptions!$D$17)</f>
        <v>2244531.5207827217</v>
      </c>
      <c r="V37" s="67">
        <f t="shared" si="10"/>
        <v>29783419.573386643</v>
      </c>
      <c r="W37" s="67"/>
      <c r="X37" s="67">
        <f>IF(AND(MOD(C37,12)=1,D37&lt;15),Assumptions!$D$10*N37+Assumptions!$D$11*(1+Assumptions!$D$16)^(B37-1)*I37,0)</f>
        <v>0</v>
      </c>
      <c r="Y37" s="65">
        <f>Assumptions!$C$13*N37</f>
        <v>0</v>
      </c>
      <c r="Z37" s="65">
        <f>NPV(Assumptions!$D$19,N38:$N$259)</f>
        <v>70984678.961325347</v>
      </c>
      <c r="AA37" s="68">
        <f t="shared" si="11"/>
        <v>53236.512538885057</v>
      </c>
      <c r="AB37" s="96"/>
      <c r="AC37" s="67">
        <f>(AC36+N36-P36-Q36-T36-W36-X36-Y36+AD36)*IF(D37=Assumptions!$H$9,0,1)</f>
        <v>31213438.647500072</v>
      </c>
      <c r="AD37" s="91">
        <f>(AF36+N37-W37-X37-Y37)*Assumptions!$D$19-(P37+Q37)*Assumptions!$D$19/2</f>
        <v>137056.31496943536</v>
      </c>
      <c r="AE37" s="67">
        <f>(AE36+(AD37-O37-R37-Q37-S37))*IF(D37=Assumptions!$H$9,0,1)</f>
        <v>2235424.1261836952</v>
      </c>
      <c r="AF37" s="91">
        <f t="shared" si="12"/>
        <v>31965607.187031455</v>
      </c>
      <c r="AG37" s="67">
        <f t="shared" si="13"/>
        <v>6884.0503111188591</v>
      </c>
      <c r="AH37" s="89">
        <f>AG37*Assumptions!$C$18</f>
        <v>2065.2150933356575</v>
      </c>
      <c r="AI37" s="67">
        <f t="shared" si="14"/>
        <v>4818.8352177832021</v>
      </c>
      <c r="AK37" s="67">
        <f t="shared" si="15"/>
        <v>-228.54457863918651</v>
      </c>
      <c r="AL37" s="70">
        <f t="shared" si="4"/>
        <v>-7112.5950000000003</v>
      </c>
      <c r="AM37" s="80">
        <f>(O37-W37-X37-Y37-AA37)*Assumptions!$D$19</f>
        <v>-228.54457863918617</v>
      </c>
    </row>
    <row r="38" spans="2:39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4">
        <f>1-(1-VLOOKUP($E38,'Annual Mortality Rates'!$B$5:$C$105,2,FALSE))^(1/12)</f>
        <v>9.5883882629710371E-5</v>
      </c>
      <c r="G38" s="74">
        <f>1-(1-IF(D38&gt;=7,2%,VLOOKUP($D38,'Annual Lapse Rates'!$B$4:$C$14,2,FALSE)))^(1/12)</f>
        <v>6.0293080661268927E-3</v>
      </c>
      <c r="H38" s="80">
        <f t="shared" si="5"/>
        <v>7</v>
      </c>
      <c r="I38" s="65">
        <f t="shared" si="6"/>
        <v>3975.480761820259</v>
      </c>
      <c r="J38" s="66">
        <f t="shared" si="7"/>
        <v>0.38118453076304526</v>
      </c>
      <c r="K38" s="66">
        <f t="shared" si="8"/>
        <v>24.11802745976593</v>
      </c>
      <c r="M38" s="67">
        <f t="shared" si="16"/>
        <v>29783419.573386643</v>
      </c>
      <c r="N38" s="67">
        <f>IF(AND(MOD(C38,12)=1,D38&lt;15),Assumptions!$H$4*I38,0)</f>
        <v>0</v>
      </c>
      <c r="O38" s="67"/>
      <c r="P38" s="88">
        <f t="shared" si="9"/>
        <v>182429.16177734768</v>
      </c>
      <c r="Q38" s="88">
        <f>(M38+N38-O38)*VLOOKUP(MOD(C38,12)+(MOD(C38,12)=0)*12,Assumptions!$C$22:$D$33,2,FALSE)*(F38+G38)</f>
        <v>3990.6379138794814</v>
      </c>
      <c r="R38" s="67">
        <f>IF(AND(MOD(C38,12)=0,D38&lt;15),Assumptions!$C$7*M38,0)</f>
        <v>0</v>
      </c>
      <c r="S38" s="68">
        <f>IF(MOD(C38,12)=0,M38*Assumptions!$D$17,0)</f>
        <v>0</v>
      </c>
      <c r="T38" s="68">
        <f>(M38+N38-O38-P38-Q38-R38+S38)*(D39=Assumptions!$H$9)</f>
        <v>0</v>
      </c>
      <c r="U38" s="67">
        <f>T38+AE38*(1+Assumptions!$D$17)</f>
        <v>2377910.4195470186</v>
      </c>
      <c r="V38" s="67">
        <f t="shared" si="10"/>
        <v>29596999.773695417</v>
      </c>
      <c r="W38" s="67"/>
      <c r="X38" s="67">
        <f>IF(AND(MOD(C38,12)=1,D38&lt;15),Assumptions!$D$10*N38+Assumptions!$D$11*(1+Assumptions!$D$16)^(B38-1)*I38,0)</f>
        <v>0</v>
      </c>
      <c r="Y38" s="65">
        <f>Assumptions!$C$13*N38</f>
        <v>0</v>
      </c>
      <c r="Z38" s="65">
        <f>NPV(Assumptions!$D$19,N39:$N$259)</f>
        <v>71289416.49519749</v>
      </c>
      <c r="AA38" s="68">
        <f t="shared" si="11"/>
        <v>53236.512538885057</v>
      </c>
      <c r="AB38" s="96"/>
      <c r="AC38" s="67">
        <f>(AC37+N37-P37-Q37-T37-W37-X37-Y37+AD37)*IF(D38=Assumptions!$H$9,0,1)</f>
        <v>31163478.262350749</v>
      </c>
      <c r="AD38" s="91">
        <f>(AF37+N38-W38-X38-Y38)*Assumptions!$D$19-(P38+Q38)*Assumptions!$D$19/2</f>
        <v>136828.33943902788</v>
      </c>
      <c r="AE38" s="67">
        <f>(AE37+(AD38-O38-R38-Q38-S38))*IF(D38=Assumptions!$H$9,0,1)</f>
        <v>2368261.8277088436</v>
      </c>
      <c r="AF38" s="91">
        <f t="shared" si="12"/>
        <v>31912025.088865377</v>
      </c>
      <c r="AG38" s="67">
        <f t="shared" si="13"/>
        <v>7981.2758277585381</v>
      </c>
      <c r="AH38" s="89">
        <f>AG38*Assumptions!$C$18</f>
        <v>2394.3827483275613</v>
      </c>
      <c r="AI38" s="67">
        <f t="shared" si="14"/>
        <v>5586.8930794309763</v>
      </c>
      <c r="AK38" s="67">
        <f t="shared" si="15"/>
        <v>-228.54457863918651</v>
      </c>
      <c r="AL38" s="70">
        <f t="shared" si="4"/>
        <v>-8209.82</v>
      </c>
      <c r="AM38" s="80">
        <f>(O38-W38-X38-Y38-AA38)*Assumptions!$D$19</f>
        <v>-228.54457863918617</v>
      </c>
    </row>
    <row r="39" spans="2:39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4">
        <f>1-(1-VLOOKUP($E39,'Annual Mortality Rates'!$B$5:$C$105,2,FALSE))^(1/12)</f>
        <v>9.5883882629710371E-5</v>
      </c>
      <c r="G39" s="74">
        <f>1-(1-IF(D39&gt;=7,2%,VLOOKUP($D39,'Annual Lapse Rates'!$B$4:$C$14,2,FALSE)))^(1/12)</f>
        <v>6.0293080661268927E-3</v>
      </c>
      <c r="H39" s="80">
        <f t="shared" si="5"/>
        <v>8</v>
      </c>
      <c r="I39" s="65">
        <f t="shared" si="6"/>
        <v>3950.9815498297298</v>
      </c>
      <c r="J39" s="66">
        <f t="shared" si="7"/>
        <v>0.37883545119602502</v>
      </c>
      <c r="K39" s="66">
        <f t="shared" si="8"/>
        <v>23.969398223975173</v>
      </c>
      <c r="M39" s="67">
        <f t="shared" si="16"/>
        <v>29596999.773695417</v>
      </c>
      <c r="N39" s="67">
        <f>IF(AND(MOD(C39,12)=1,D39&lt;15),Assumptions!$H$4*I39,0)</f>
        <v>0</v>
      </c>
      <c r="O39" s="67"/>
      <c r="P39" s="88">
        <f t="shared" si="9"/>
        <v>181287.30472119016</v>
      </c>
      <c r="Q39" s="88">
        <f>(M39+N39-O39)*VLOOKUP(MOD(C39,12)+(MOD(C39,12)=0)*12,Assumptions!$C$22:$D$33,2,FALSE)*(F39+G39)</f>
        <v>4532.1826180297548</v>
      </c>
      <c r="R39" s="67">
        <f>IF(AND(MOD(C39,12)=0,D39&lt;15),Assumptions!$C$7*M39,0)</f>
        <v>0</v>
      </c>
      <c r="S39" s="68">
        <f>IF(MOD(C39,12)=0,M39*Assumptions!$D$17,0)</f>
        <v>0</v>
      </c>
      <c r="T39" s="68">
        <f>(M39+N39-O39-P39-Q39-R39+S39)*(D40=Assumptions!$H$9)</f>
        <v>0</v>
      </c>
      <c r="U39" s="67">
        <f>T39+AE39*(1+Assumptions!$D$17)</f>
        <v>2510515.8957660617</v>
      </c>
      <c r="V39" s="67">
        <f t="shared" si="10"/>
        <v>29411180.286356196</v>
      </c>
      <c r="W39" s="67"/>
      <c r="X39" s="67">
        <f>IF(AND(MOD(C39,12)=1,D39&lt;15),Assumptions!$D$10*N39+Assumptions!$D$11*(1+Assumptions!$D$16)^(B39-1)*I39,0)</f>
        <v>0</v>
      </c>
      <c r="Y39" s="65">
        <f>Assumptions!$C$13*N39</f>
        <v>0</v>
      </c>
      <c r="Z39" s="65">
        <f>NPV(Assumptions!$D$19,N40:$N$259)</f>
        <v>71595462.268620938</v>
      </c>
      <c r="AA39" s="68">
        <f t="shared" si="11"/>
        <v>53236.512538885057</v>
      </c>
      <c r="AB39" s="96"/>
      <c r="AC39" s="67">
        <f>(AC38+N38-P38-Q38-T38-W38-X38-Y38+AD38)*IF(D39=Assumptions!$H$9,0,1)</f>
        <v>31113886.80209855</v>
      </c>
      <c r="AD39" s="91">
        <f>(AF38+N39-W39-X39-Y39)*Assumptions!$D$19-(P39+Q39)*Assumptions!$D$19/2</f>
        <v>136599.59983155818</v>
      </c>
      <c r="AE39" s="67">
        <f>(AE38+(AD39-O39-R39-Q39-S39))*IF(D39=Assumptions!$H$9,0,1)</f>
        <v>2500329.244922372</v>
      </c>
      <c r="AF39" s="91">
        <f t="shared" si="12"/>
        <v>31858273.018739685</v>
      </c>
      <c r="AG39" s="67">
        <f t="shared" si="13"/>
        <v>9064.365236059617</v>
      </c>
      <c r="AH39" s="89">
        <f>AG39*Assumptions!$C$18</f>
        <v>2719.3095708178848</v>
      </c>
      <c r="AI39" s="67">
        <f t="shared" si="14"/>
        <v>6345.0556652417326</v>
      </c>
      <c r="AK39" s="67">
        <f t="shared" si="15"/>
        <v>-228.54457863918651</v>
      </c>
      <c r="AL39" s="70">
        <f t="shared" si="4"/>
        <v>-9292.91</v>
      </c>
      <c r="AM39" s="80">
        <f>(O39-W39-X39-Y39-AA39)*Assumptions!$D$19</f>
        <v>-228.54457863918617</v>
      </c>
    </row>
    <row r="40" spans="2:39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4">
        <f>1-(1-VLOOKUP($E40,'Annual Mortality Rates'!$B$5:$C$105,2,FALSE))^(1/12)</f>
        <v>9.5883882629710371E-5</v>
      </c>
      <c r="G40" s="74">
        <f>1-(1-IF(D40&gt;=7,2%,VLOOKUP($D40,'Annual Lapse Rates'!$B$4:$C$14,2,FALSE)))^(1/12)</f>
        <v>6.0293080661268927E-3</v>
      </c>
      <c r="H40" s="80">
        <f t="shared" si="5"/>
        <v>9</v>
      </c>
      <c r="I40" s="65">
        <f t="shared" si="6"/>
        <v>3926.6333161545585</v>
      </c>
      <c r="J40" s="66">
        <f t="shared" si="7"/>
        <v>0.37650084801607409</v>
      </c>
      <c r="K40" s="66">
        <f t="shared" si="8"/>
        <v>23.821684927506922</v>
      </c>
      <c r="M40" s="67">
        <f t="shared" si="16"/>
        <v>29411180.286356196</v>
      </c>
      <c r="N40" s="67">
        <f>IF(AND(MOD(C40,12)=1,D40&lt;15),Assumptions!$H$4*I40,0)</f>
        <v>0</v>
      </c>
      <c r="O40" s="67"/>
      <c r="P40" s="88">
        <f t="shared" si="9"/>
        <v>180149.12469341789</v>
      </c>
      <c r="Q40" s="88">
        <f>(M40+N40-O40)*VLOOKUP(MOD(C40,12)+(MOD(C40,12)=0)*12,Assumptions!$C$22:$D$33,2,FALSE)*(F40+G40)</f>
        <v>5066.6941320023789</v>
      </c>
      <c r="R40" s="67">
        <f>IF(AND(MOD(C40,12)=0,D40&lt;15),Assumptions!$C$7*M40,0)</f>
        <v>0</v>
      </c>
      <c r="S40" s="68">
        <f>IF(MOD(C40,12)=0,M40*Assumptions!$D$17,0)</f>
        <v>0</v>
      </c>
      <c r="T40" s="68">
        <f>(M40+N40-O40-P40-Q40-R40+S40)*(D41=Assumptions!$H$9)</f>
        <v>0</v>
      </c>
      <c r="U40" s="67">
        <f>T40+AE40*(1+Assumptions!$D$17)</f>
        <v>2642354.2858542679</v>
      </c>
      <c r="V40" s="67">
        <f t="shared" si="10"/>
        <v>29225964.467530776</v>
      </c>
      <c r="W40" s="67"/>
      <c r="X40" s="67">
        <f>IF(AND(MOD(C40,12)=1,D40&lt;15),Assumptions!$D$10*N40+Assumptions!$D$11*(1+Assumptions!$D$16)^(B40-1)*I40,0)</f>
        <v>0</v>
      </c>
      <c r="Y40" s="65">
        <f>Assumptions!$C$13*N40</f>
        <v>0</v>
      </c>
      <c r="Z40" s="65">
        <f>NPV(Assumptions!$D$19,N41:$N$259)</f>
        <v>71902821.897873655</v>
      </c>
      <c r="AA40" s="68">
        <f t="shared" si="11"/>
        <v>53236.512538885057</v>
      </c>
      <c r="AB40" s="96"/>
      <c r="AC40" s="67">
        <f>(AC39+N39-P39-Q39-T39-W39-X39-Y39+AD39)*IF(D40=Assumptions!$H$9,0,1)</f>
        <v>31064666.914590888</v>
      </c>
      <c r="AD40" s="91">
        <f>(AF39+N40-W40-X40-Y40)*Assumptions!$D$19-(P40+Q40)*Assumptions!$D$19/2</f>
        <v>136370.13773773913</v>
      </c>
      <c r="AE40" s="67">
        <f>(AE39+(AD40-O40-R40-Q40-S40))*IF(D40=Assumptions!$H$9,0,1)</f>
        <v>2631632.6885281089</v>
      </c>
      <c r="AF40" s="91">
        <f t="shared" si="12"/>
        <v>31804360.643520001</v>
      </c>
      <c r="AG40" s="67">
        <f t="shared" si="13"/>
        <v>10133.388264005334</v>
      </c>
      <c r="AH40" s="89">
        <f>AG40*Assumptions!$C$18</f>
        <v>3040.0164792016003</v>
      </c>
      <c r="AI40" s="67">
        <f t="shared" si="14"/>
        <v>7093.371784803734</v>
      </c>
      <c r="AK40" s="67">
        <f t="shared" si="15"/>
        <v>-228.54457863918651</v>
      </c>
      <c r="AL40" s="70">
        <f t="shared" si="4"/>
        <v>-10361.933000000001</v>
      </c>
      <c r="AM40" s="80">
        <f>(O40-W40-X40-Y40-AA40)*Assumptions!$D$19</f>
        <v>-228.54457863918617</v>
      </c>
    </row>
    <row r="41" spans="2:39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4">
        <f>1-(1-VLOOKUP($E41,'Annual Mortality Rates'!$B$5:$C$105,2,FALSE))^(1/12)</f>
        <v>9.5883882629710371E-5</v>
      </c>
      <c r="G41" s="74">
        <f>1-(1-IF(D41&gt;=7,2%,VLOOKUP($D41,'Annual Lapse Rates'!$B$4:$C$14,2,FALSE)))^(1/12)</f>
        <v>6.0293080661268927E-3</v>
      </c>
      <c r="H41" s="80">
        <f t="shared" si="5"/>
        <v>10</v>
      </c>
      <c r="I41" s="65">
        <f t="shared" si="6"/>
        <v>3902.4351303790359</v>
      </c>
      <c r="J41" s="66">
        <f t="shared" si="7"/>
        <v>0.37418063201132196</v>
      </c>
      <c r="K41" s="66">
        <f t="shared" si="8"/>
        <v>23.674881925813271</v>
      </c>
      <c r="M41" s="67">
        <f t="shared" si="16"/>
        <v>29225964.467530776</v>
      </c>
      <c r="N41" s="67">
        <f>IF(AND(MOD(C41,12)=1,D41&lt;15),Assumptions!$H$4*I41,0)</f>
        <v>0</v>
      </c>
      <c r="O41" s="67"/>
      <c r="P41" s="88">
        <f t="shared" si="9"/>
        <v>179014.64225116608</v>
      </c>
      <c r="Q41" s="88">
        <f>(M41+N41-O41)*VLOOKUP(MOD(C41,12)+(MOD(C41,12)=0)*12,Assumptions!$C$22:$D$33,2,FALSE)*(F41+G41)</f>
        <v>5594.20757034894</v>
      </c>
      <c r="R41" s="67">
        <f>IF(AND(MOD(C41,12)=0,D41&lt;15),Assumptions!$C$7*M41,0)</f>
        <v>0</v>
      </c>
      <c r="S41" s="68">
        <f>IF(MOD(C41,12)=0,M41*Assumptions!$D$17,0)</f>
        <v>0</v>
      </c>
      <c r="T41" s="68">
        <f>(M41+N41-O41-P41-Q41-R41+S41)*(D42=Assumptions!$H$9)</f>
        <v>0</v>
      </c>
      <c r="U41" s="67">
        <f>T41+AE41*(1+Assumptions!$D$17)</f>
        <v>2773431.9325174261</v>
      </c>
      <c r="V41" s="67">
        <f t="shared" si="10"/>
        <v>29041355.61770926</v>
      </c>
      <c r="W41" s="67"/>
      <c r="X41" s="67">
        <f>IF(AND(MOD(C41,12)=1,D41&lt;15),Assumptions!$D$10*N41+Assumptions!$D$11*(1+Assumptions!$D$16)^(B41-1)*I41,0)</f>
        <v>0</v>
      </c>
      <c r="Y41" s="65">
        <f>Assumptions!$C$13*N41</f>
        <v>0</v>
      </c>
      <c r="Z41" s="65">
        <f>NPV(Assumptions!$D$19,N42:$N$259)</f>
        <v>72211501.023344442</v>
      </c>
      <c r="AA41" s="68">
        <f t="shared" si="11"/>
        <v>53236.512538885057</v>
      </c>
      <c r="AB41" s="96"/>
      <c r="AC41" s="67">
        <f>(AC40+N40-P40-Q40-T40-W40-X40-Y40+AD40)*IF(D41=Assumptions!$H$9,0,1)</f>
        <v>31015821.233503208</v>
      </c>
      <c r="AD41" s="91">
        <f>(AF40+N41-W41-X41-Y41)*Assumptions!$D$19-(P41+Q41)*Assumptions!$D$19/2</f>
        <v>136139.99453796717</v>
      </c>
      <c r="AE41" s="67">
        <f>(AE40+(AD41-O41-R41-Q41-S41))*IF(D41=Assumptions!$H$9,0,1)</f>
        <v>2762178.4754957273</v>
      </c>
      <c r="AF41" s="91">
        <f t="shared" si="12"/>
        <v>31750297.580666102</v>
      </c>
      <c r="AG41" s="67">
        <f t="shared" si="13"/>
        <v>11188.415140699944</v>
      </c>
      <c r="AH41" s="89">
        <f>AG41*Assumptions!$C$18</f>
        <v>3356.5245422099833</v>
      </c>
      <c r="AI41" s="67">
        <f t="shared" si="14"/>
        <v>7831.8905984899611</v>
      </c>
      <c r="AK41" s="67">
        <f t="shared" si="15"/>
        <v>-228.54457863918651</v>
      </c>
      <c r="AL41" s="70">
        <f t="shared" si="4"/>
        <v>-11416.96</v>
      </c>
      <c r="AM41" s="80">
        <f>(O41-W41-X41-Y41-AA41)*Assumptions!$D$19</f>
        <v>-228.54457863918617</v>
      </c>
    </row>
    <row r="42" spans="2:39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4">
        <f>1-(1-VLOOKUP($E42,'Annual Mortality Rates'!$B$5:$C$105,2,FALSE))^(1/12)</f>
        <v>9.5883882629710371E-5</v>
      </c>
      <c r="G42" s="74">
        <f>1-(1-IF(D42&gt;=7,2%,VLOOKUP($D42,'Annual Lapse Rates'!$B$4:$C$14,2,FALSE)))^(1/12)</f>
        <v>6.0293080661268927E-3</v>
      </c>
      <c r="H42" s="80">
        <f t="shared" si="5"/>
        <v>11</v>
      </c>
      <c r="I42" s="65">
        <f t="shared" si="6"/>
        <v>3878.3860678212113</v>
      </c>
      <c r="J42" s="66">
        <f t="shared" si="7"/>
        <v>0.37187471451967297</v>
      </c>
      <c r="K42" s="66">
        <f t="shared" si="8"/>
        <v>23.528983609131274</v>
      </c>
      <c r="M42" s="67">
        <f t="shared" si="16"/>
        <v>29041355.61770926</v>
      </c>
      <c r="N42" s="67">
        <f>IF(AND(MOD(C42,12)=1,D42&lt;15),Assumptions!$H$4*I42,0)</f>
        <v>0</v>
      </c>
      <c r="O42" s="67"/>
      <c r="P42" s="88">
        <f t="shared" si="9"/>
        <v>177883.87761057011</v>
      </c>
      <c r="Q42" s="88">
        <f>(M42+N42-O42)*VLOOKUP(MOD(C42,12)+(MOD(C42,12)=0)*12,Assumptions!$C$22:$D$33,2,FALSE)*(F42+G42)</f>
        <v>6114.7582928633474</v>
      </c>
      <c r="R42" s="67">
        <f>IF(AND(MOD(C42,12)=0,D42&lt;15),Assumptions!$C$7*M42,0)</f>
        <v>0</v>
      </c>
      <c r="S42" s="68">
        <f>IF(MOD(C42,12)=0,M42*Assumptions!$D$17,0)</f>
        <v>0</v>
      </c>
      <c r="T42" s="68">
        <f>(M42+N42-O42-P42-Q42-R42+S42)*(D43=Assumptions!$H$9)</f>
        <v>0</v>
      </c>
      <c r="U42" s="67">
        <f>T42+AE42*(1+Assumptions!$D$17)</f>
        <v>2903755.1842937004</v>
      </c>
      <c r="V42" s="67">
        <f t="shared" si="10"/>
        <v>28857356.981805824</v>
      </c>
      <c r="W42" s="67"/>
      <c r="X42" s="67">
        <f>IF(AND(MOD(C42,12)=1,D42&lt;15),Assumptions!$D$10*N42+Assumptions!$D$11*(1+Assumptions!$D$16)^(B42-1)*I42,0)</f>
        <v>0</v>
      </c>
      <c r="Y42" s="65">
        <f>Assumptions!$C$13*N42</f>
        <v>0</v>
      </c>
      <c r="Z42" s="65">
        <f>NPV(Assumptions!$D$19,N43:$N$259)</f>
        <v>72521505.30963628</v>
      </c>
      <c r="AA42" s="68">
        <f t="shared" si="11"/>
        <v>53236.512538885057</v>
      </c>
      <c r="AB42" s="96"/>
      <c r="AC42" s="67">
        <f>(AC41+N41-P41-Q41-T41-W41-X41-Y41+AD41)*IF(D42=Assumptions!$H$9,0,1)</f>
        <v>30967352.37821966</v>
      </c>
      <c r="AD42" s="91">
        <f>(AF41+N42-W42-X42-Y42)*Assumptions!$D$19-(P42+Q42)*Assumptions!$D$19/2</f>
        <v>135909.21140074494</v>
      </c>
      <c r="AE42" s="67">
        <f>(AE41+(AD42-O42-R42-Q42-S42))*IF(D42=Assumptions!$H$9,0,1)</f>
        <v>2891972.9286036091</v>
      </c>
      <c r="AF42" s="91">
        <f t="shared" si="12"/>
        <v>31696093.397870548</v>
      </c>
      <c r="AG42" s="67">
        <f t="shared" si="13"/>
        <v>12229.51658572923</v>
      </c>
      <c r="AH42" s="89">
        <f>AG42*Assumptions!$C$18</f>
        <v>3668.8549757187689</v>
      </c>
      <c r="AI42" s="67">
        <f t="shared" si="14"/>
        <v>8560.661610010462</v>
      </c>
      <c r="AK42" s="67">
        <f t="shared" si="15"/>
        <v>-228.54457863918651</v>
      </c>
      <c r="AL42" s="70">
        <f t="shared" si="4"/>
        <v>-12458.061</v>
      </c>
      <c r="AM42" s="80">
        <f>(O42-W42-X42-Y42-AA42)*Assumptions!$D$19</f>
        <v>-228.54457863918617</v>
      </c>
    </row>
    <row r="43" spans="2:39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4">
        <f>1-(1-VLOOKUP($E43,'Annual Mortality Rates'!$B$5:$C$105,2,FALSE))^(1/12)</f>
        <v>9.5883882629710371E-5</v>
      </c>
      <c r="G43" s="74">
        <f>1-(1-IF(D43&gt;=7,2%,VLOOKUP($D43,'Annual Lapse Rates'!$B$4:$C$14,2,FALSE)))^(1/12)</f>
        <v>6.0293080661268927E-3</v>
      </c>
      <c r="H43" s="80">
        <f t="shared" si="5"/>
        <v>12</v>
      </c>
      <c r="I43" s="65">
        <f t="shared" si="6"/>
        <v>3854.4852094975604</v>
      </c>
      <c r="J43" s="66">
        <f t="shared" si="7"/>
        <v>0.36958300742541866</v>
      </c>
      <c r="K43" s="66">
        <f t="shared" si="8"/>
        <v>23.383984402268592</v>
      </c>
      <c r="M43" s="67">
        <f t="shared" si="16"/>
        <v>28857356.981805824</v>
      </c>
      <c r="N43" s="67">
        <f>IF(AND(MOD(C43,12)=1,D43&lt;15),Assumptions!$H$4*I43,0)</f>
        <v>0</v>
      </c>
      <c r="O43" s="67"/>
      <c r="P43" s="88">
        <f t="shared" si="9"/>
        <v>176756.85064735217</v>
      </c>
      <c r="Q43" s="88">
        <f>(M43+N43-O43)*VLOOKUP(MOD(C43,12)+(MOD(C43,12)=0)*12,Assumptions!$C$22:$D$33,2,FALSE)*(F43+G43)</f>
        <v>6628.3818992757078</v>
      </c>
      <c r="R43" s="67">
        <f>IF(AND(MOD(C43,12)=0,D43&lt;15),Assumptions!$C$7*M43,0)</f>
        <v>14428.678490902912</v>
      </c>
      <c r="S43" s="68">
        <f>IF(MOD(C43,12)=0,M43*Assumptions!$D$17,0)</f>
        <v>117568.44441280597</v>
      </c>
      <c r="T43" s="68">
        <f>(M43+N43-O43-P43-Q43-R43+S43)*(D44=Assumptions!$H$9)</f>
        <v>0</v>
      </c>
      <c r="U43" s="67">
        <f>T43+AE43*(1+Assumptions!$D$17)</f>
        <v>2900795.4995769053</v>
      </c>
      <c r="V43" s="67">
        <f t="shared" si="10"/>
        <v>28777111.515181098</v>
      </c>
      <c r="W43" s="67"/>
      <c r="X43" s="67">
        <f>IF(AND(MOD(C43,12)=1,D43&lt;15),Assumptions!$D$10*N43+Assumptions!$D$11*(1+Assumptions!$D$16)^(B43-1)*I43,0)</f>
        <v>0</v>
      </c>
      <c r="Y43" s="65">
        <f>Assumptions!$C$13*N43</f>
        <v>0</v>
      </c>
      <c r="Z43" s="65">
        <f>NPV(Assumptions!$D$19,N44:$N$259)</f>
        <v>72832840.445670277</v>
      </c>
      <c r="AA43" s="68">
        <f t="shared" si="11"/>
        <v>53236.512538885057</v>
      </c>
      <c r="AB43" s="96"/>
      <c r="AC43" s="67">
        <f>(AC42+N42-P42-Q42-T42-W42-X42-Y42+AD42)*IF(D43=Assumptions!$H$9,0,1)</f>
        <v>30919262.953716967</v>
      </c>
      <c r="AD43" s="91">
        <f>(AF42+N43-W43-X43-Y43)*Assumptions!$D$19-(P43+Q43)*Assumptions!$D$19/2</f>
        <v>135677.8292811398</v>
      </c>
      <c r="AE43" s="67">
        <f>(AE42+(AD43-O43-R43-Q43-S43))*IF(D43=Assumptions!$H$9,0,1)</f>
        <v>2889025.2530817641</v>
      </c>
      <c r="AF43" s="91">
        <f t="shared" si="12"/>
        <v>31612900.255723979</v>
      </c>
      <c r="AG43" s="67">
        <f t="shared" si="13"/>
        <v>42114.120780356374</v>
      </c>
      <c r="AH43" s="89">
        <f>AG43*Assumptions!$C$18</f>
        <v>12634.236234106911</v>
      </c>
      <c r="AI43" s="67">
        <f t="shared" si="14"/>
        <v>29479.884546249465</v>
      </c>
      <c r="AK43" s="67">
        <f t="shared" si="15"/>
        <v>14200.133912263729</v>
      </c>
      <c r="AL43" s="70">
        <f t="shared" si="4"/>
        <v>-27913.987000000001</v>
      </c>
      <c r="AM43" s="80">
        <f>(O43-W43-X43-Y43-AA43)*Assumptions!$D$19</f>
        <v>-228.54457863918617</v>
      </c>
    </row>
    <row r="44" spans="2:39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4">
        <f>1-(1-VLOOKUP($E44,'Annual Mortality Rates'!$B$5:$C$105,2,FALSE))^(1/12)</f>
        <v>1.067292956670185E-4</v>
      </c>
      <c r="G44" s="74">
        <f>1-(1-IF(D44&gt;=7,2%,VLOOKUP($D44,'Annual Lapse Rates'!$B$4:$C$14,2,FALSE)))^(1/12)</f>
        <v>5.1430128318229462E-3</v>
      </c>
      <c r="H44" s="80">
        <f t="shared" si="5"/>
        <v>1</v>
      </c>
      <c r="I44" s="65">
        <f t="shared" si="6"/>
        <v>3830.7316420878665</v>
      </c>
      <c r="J44" s="66">
        <f t="shared" si="7"/>
        <v>0.40885129004939919</v>
      </c>
      <c r="K44" s="66">
        <f t="shared" si="8"/>
        <v>19.823666892517711</v>
      </c>
      <c r="M44" s="67">
        <f t="shared" si="16"/>
        <v>28777111.515181098</v>
      </c>
      <c r="N44" s="67">
        <f>IF(AND(MOD(C44,12)=1,D44&lt;15),Assumptions!$H$4*I44,0)</f>
        <v>9576829.1052196659</v>
      </c>
      <c r="O44" s="67"/>
      <c r="P44" s="88">
        <f t="shared" si="9"/>
        <v>201348.29783016647</v>
      </c>
      <c r="Q44" s="88">
        <f>(M44+N44-O44)*VLOOKUP(MOD(C44,12)+(MOD(C44,12)=0)*12,Assumptions!$C$22:$D$33,2,FALSE)*(F44+G44)</f>
        <v>629.21343071927026</v>
      </c>
      <c r="R44" s="67">
        <f>IF(AND(MOD(C44,12)=0,D44&lt;15),Assumptions!$C$7*M44,0)</f>
        <v>0</v>
      </c>
      <c r="S44" s="68">
        <f>IF(MOD(C44,12)=0,M44*Assumptions!$D$17,0)</f>
        <v>0</v>
      </c>
      <c r="T44" s="68">
        <f>(M44+N44-O44-P44-Q44-R44+S44)*(D45=Assumptions!$H$9)</f>
        <v>0</v>
      </c>
      <c r="U44" s="67">
        <f>T44+AE44*(1+Assumptions!$D$17)</f>
        <v>3076749.8069645073</v>
      </c>
      <c r="V44" s="67">
        <f t="shared" si="10"/>
        <v>38151963.109139882</v>
      </c>
      <c r="W44" s="67"/>
      <c r="X44" s="67">
        <f>IF(AND(MOD(C44,12)=1,D44&lt;15),Assumptions!$D$10*N44+Assumptions!$D$11*(1+Assumptions!$D$16)^(B44-1)*I44,0)</f>
        <v>74307.965444937436</v>
      </c>
      <c r="Y44" s="65">
        <f>Assumptions!$C$13*N44</f>
        <v>47884.145526098328</v>
      </c>
      <c r="Z44" s="65">
        <f>NPV(Assumptions!$D$19,N45:$N$259)</f>
        <v>63568683.039570518</v>
      </c>
      <c r="AA44" s="68">
        <f t="shared" si="11"/>
        <v>48706.887381925422</v>
      </c>
      <c r="AB44" s="96"/>
      <c r="AC44" s="67">
        <f>(AC43+N43-P43-Q43-T43-W43-X43-Y43+AD43)*IF(D44=Assumptions!$H$9,0,1)</f>
        <v>30871555.55045148</v>
      </c>
      <c r="AD44" s="91">
        <f>(AF43+N44-W44-X44-Y44)*Assumptions!$D$19-(P44+Q44)*Assumptions!$D$19/2</f>
        <v>175869.56991411711</v>
      </c>
      <c r="AE44" s="67">
        <f>(AE43+(AD44-O44-R44-Q44-S44))*IF(D44=Assumptions!$H$9,0,1)</f>
        <v>3064265.6095651621</v>
      </c>
      <c r="AF44" s="91">
        <f t="shared" si="12"/>
        <v>41167521.831323117</v>
      </c>
      <c r="AG44" s="67">
        <f t="shared" si="13"/>
        <v>-125463.3092665564</v>
      </c>
      <c r="AH44" s="89">
        <f>AG44*Assumptions!$C$18</f>
        <v>-37638.992779966917</v>
      </c>
      <c r="AI44" s="67">
        <f t="shared" si="14"/>
        <v>-87824.316486589494</v>
      </c>
      <c r="AK44" s="67">
        <f t="shared" si="15"/>
        <v>-127455.40626726132</v>
      </c>
      <c r="AL44" s="70">
        <f t="shared" si="4"/>
        <v>-1992.097</v>
      </c>
      <c r="AM44" s="80">
        <f>(O44-W44-X44-Y44-AA44)*Assumptions!$D$19</f>
        <v>-733.67013926593472</v>
      </c>
    </row>
    <row r="45" spans="2:39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4">
        <f>1-(1-VLOOKUP($E45,'Annual Mortality Rates'!$B$5:$C$105,2,FALSE))^(1/12)</f>
        <v>1.067292956670185E-4</v>
      </c>
      <c r="G45" s="74">
        <f>1-(1-IF(D45&gt;=7,2%,VLOOKUP($D45,'Annual Lapse Rates'!$B$4:$C$14,2,FALSE)))^(1/12)</f>
        <v>5.1430128318229462E-3</v>
      </c>
      <c r="H45" s="80">
        <f t="shared" si="5"/>
        <v>2</v>
      </c>
      <c r="I45" s="65">
        <f t="shared" si="6"/>
        <v>3810.4991239052993</v>
      </c>
      <c r="J45" s="66">
        <f t="shared" si="7"/>
        <v>0.40669188763420366</v>
      </c>
      <c r="K45" s="66">
        <f t="shared" si="8"/>
        <v>19.701501990528083</v>
      </c>
      <c r="M45" s="67">
        <f t="shared" si="16"/>
        <v>38151963.109139882</v>
      </c>
      <c r="N45" s="67">
        <f>IF(AND(MOD(C45,12)=1,D45&lt;15),Assumptions!$H$4*I45,0)</f>
        <v>0</v>
      </c>
      <c r="O45" s="67"/>
      <c r="P45" s="88">
        <f t="shared" si="9"/>
        <v>200287.96798049466</v>
      </c>
      <c r="Q45" s="88">
        <f>(M45+N45-O45)*VLOOKUP(MOD(C45,12)+(MOD(C45,12)=0)*12,Assumptions!$C$22:$D$33,2,FALSE)*(F45+G45)</f>
        <v>1251.7997998780916</v>
      </c>
      <c r="R45" s="67">
        <f>IF(AND(MOD(C45,12)=0,D45&lt;15),Assumptions!$C$7*M45,0)</f>
        <v>0</v>
      </c>
      <c r="S45" s="68">
        <f>IF(MOD(C45,12)=0,M45*Assumptions!$D$17,0)</f>
        <v>0</v>
      </c>
      <c r="T45" s="68">
        <f>(M45+N45-O45-P45-Q45-R45+S45)*(D46=Assumptions!$H$9)</f>
        <v>0</v>
      </c>
      <c r="U45" s="67">
        <f>T45+AE45*(1+Assumptions!$D$17)</f>
        <v>3252510.917928176</v>
      </c>
      <c r="V45" s="67">
        <f t="shared" si="10"/>
        <v>37950423.341359511</v>
      </c>
      <c r="W45" s="67"/>
      <c r="X45" s="67">
        <f>IF(AND(MOD(C45,12)=1,D45&lt;15),Assumptions!$D$10*N45+Assumptions!$D$11*(1+Assumptions!$D$16)^(B45-1)*I45,0)</f>
        <v>0</v>
      </c>
      <c r="Y45" s="65">
        <f>Assumptions!$C$13*N45</f>
        <v>0</v>
      </c>
      <c r="Z45" s="65">
        <f>NPV(Assumptions!$D$19,N46:$N$259)</f>
        <v>63841583.670867778</v>
      </c>
      <c r="AA45" s="68">
        <f t="shared" si="11"/>
        <v>48706.887381925422</v>
      </c>
      <c r="AB45" s="96"/>
      <c r="AC45" s="67">
        <f>(AC44+N44-P44-Q44-T44-W44-X44-Y44+AD44)*IF(D45=Assumptions!$H$9,0,1)</f>
        <v>40300084.603353351</v>
      </c>
      <c r="AD45" s="91">
        <f>(AF44+N45-W45-X45-Y45)*Assumptions!$D$19-(P45+Q45)*Assumptions!$D$19/2</f>
        <v>176299.74377173209</v>
      </c>
      <c r="AE45" s="67">
        <f>(AE44+(AD45-O45-R45-Q45-S45))*IF(D45=Assumptions!$H$9,0,1)</f>
        <v>3239313.5535370163</v>
      </c>
      <c r="AF45" s="91">
        <f t="shared" si="12"/>
        <v>41141030.007514603</v>
      </c>
      <c r="AG45" s="67">
        <f t="shared" si="13"/>
        <v>2503.5995997510036</v>
      </c>
      <c r="AH45" s="89">
        <f>AG45*Assumptions!$C$18</f>
        <v>751.07987992530104</v>
      </c>
      <c r="AI45" s="67">
        <f t="shared" si="14"/>
        <v>1752.5197198257024</v>
      </c>
      <c r="AK45" s="67">
        <f t="shared" si="15"/>
        <v>-209.09887824446923</v>
      </c>
      <c r="AL45" s="70">
        <f t="shared" si="4"/>
        <v>-2712.6979999999999</v>
      </c>
      <c r="AM45" s="80">
        <f>(O45-W45-X45-Y45-AA45)*Assumptions!$D$19</f>
        <v>-209.09887824446835</v>
      </c>
    </row>
    <row r="46" spans="2:39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4">
        <f>1-(1-VLOOKUP($E46,'Annual Mortality Rates'!$B$5:$C$105,2,FALSE))^(1/12)</f>
        <v>1.067292956670185E-4</v>
      </c>
      <c r="G46" s="74">
        <f>1-(1-IF(D46&gt;=7,2%,VLOOKUP($D46,'Annual Lapse Rates'!$B$4:$C$14,2,FALSE)))^(1/12)</f>
        <v>5.1430128318229462E-3</v>
      </c>
      <c r="H46" s="80">
        <f t="shared" si="5"/>
        <v>3</v>
      </c>
      <c r="I46" s="65">
        <f t="shared" si="6"/>
        <v>3790.3909300271371</v>
      </c>
      <c r="J46" s="66">
        <f t="shared" si="7"/>
        <v>0.40454575426445155</v>
      </c>
      <c r="K46" s="66">
        <f t="shared" si="8"/>
        <v>19.597445889895049</v>
      </c>
      <c r="M46" s="67">
        <f t="shared" si="16"/>
        <v>37950423.341359511</v>
      </c>
      <c r="N46" s="67">
        <f>IF(AND(MOD(C46,12)=1,D46&lt;15),Assumptions!$H$4*I46,0)</f>
        <v>0</v>
      </c>
      <c r="O46" s="67"/>
      <c r="P46" s="88">
        <f t="shared" si="9"/>
        <v>199229.93617121349</v>
      </c>
      <c r="Q46" s="88">
        <f>(M46+N46-O46)*VLOOKUP(MOD(C46,12)+(MOD(C46,12)=0)*12,Assumptions!$C$22:$D$33,2,FALSE)*(F46+G46)</f>
        <v>1867.7806516051266</v>
      </c>
      <c r="R46" s="67">
        <f>IF(AND(MOD(C46,12)=0,D46&lt;15),Assumptions!$C$7*M46,0)</f>
        <v>0</v>
      </c>
      <c r="S46" s="68">
        <f>IF(MOD(C46,12)=0,M46*Assumptions!$D$17,0)</f>
        <v>0</v>
      </c>
      <c r="T46" s="68">
        <f>(M46+N46-O46-P46-Q46-R46+S46)*(D47=Assumptions!$H$9)</f>
        <v>0</v>
      </c>
      <c r="U46" s="67">
        <f>T46+AE46*(1+Assumptions!$D$17)</f>
        <v>3427540.2983246655</v>
      </c>
      <c r="V46" s="67">
        <f t="shared" si="10"/>
        <v>37749325.624536693</v>
      </c>
      <c r="W46" s="67"/>
      <c r="X46" s="67">
        <f>IF(AND(MOD(C46,12)=1,D46&lt;15),Assumptions!$D$10*N46+Assumptions!$D$11*(1+Assumptions!$D$16)^(B46-1)*I46,0)</f>
        <v>0</v>
      </c>
      <c r="Y46" s="65">
        <f>Assumptions!$C$13*N46</f>
        <v>0</v>
      </c>
      <c r="Z46" s="65">
        <f>NPV(Assumptions!$D$19,N47:$N$259)</f>
        <v>64115655.865755819</v>
      </c>
      <c r="AA46" s="68">
        <f t="shared" si="11"/>
        <v>48706.887381925422</v>
      </c>
      <c r="AB46" s="96"/>
      <c r="AC46" s="67">
        <f>(AC45+N45-P45-Q45-T45-W45-X45-Y45+AD45)*IF(D46=Assumptions!$H$9,0,1)</f>
        <v>40274844.579344712</v>
      </c>
      <c r="AD46" s="91">
        <f>(AF45+N46-W46-X46-Y46)*Assumptions!$D$19-(P46+Q46)*Assumptions!$D$19/2</f>
        <v>176186.96312085079</v>
      </c>
      <c r="AE46" s="67">
        <f>(AE45+(AD46-O46-R46-Q46-S46))*IF(D46=Assumptions!$H$9,0,1)</f>
        <v>3413632.7360062618</v>
      </c>
      <c r="AF46" s="91">
        <f t="shared" si="12"/>
        <v>41114251.473161027</v>
      </c>
      <c r="AG46" s="67">
        <f t="shared" si="13"/>
        <v>3735.5613032139081</v>
      </c>
      <c r="AH46" s="89">
        <f>AG46*Assumptions!$C$18</f>
        <v>1120.6683909641724</v>
      </c>
      <c r="AI46" s="67">
        <f t="shared" si="14"/>
        <v>2614.8929122497357</v>
      </c>
      <c r="AK46" s="67">
        <f t="shared" si="15"/>
        <v>-209.09887824446923</v>
      </c>
      <c r="AL46" s="70">
        <f t="shared" si="4"/>
        <v>-3944.66</v>
      </c>
      <c r="AM46" s="80">
        <f>(O46-W46-X46-Y46-AA46)*Assumptions!$D$19</f>
        <v>-209.09887824446835</v>
      </c>
    </row>
    <row r="47" spans="2:39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4">
        <f>1-(1-VLOOKUP($E47,'Annual Mortality Rates'!$B$5:$C$105,2,FALSE))^(1/12)</f>
        <v>1.067292956670185E-4</v>
      </c>
      <c r="G47" s="74">
        <f>1-(1-IF(D47&gt;=7,2%,VLOOKUP($D47,'Annual Lapse Rates'!$B$4:$C$14,2,FALSE)))^(1/12)</f>
        <v>5.1430128318229462E-3</v>
      </c>
      <c r="H47" s="80">
        <f t="shared" si="5"/>
        <v>4</v>
      </c>
      <c r="I47" s="65">
        <f t="shared" si="6"/>
        <v>3770.3889383829778</v>
      </c>
      <c r="J47" s="66">
        <f t="shared" si="7"/>
        <v>0.40241095578433284</v>
      </c>
      <c r="K47" s="66">
        <f t="shared" si="8"/>
        <v>19.494029190754876</v>
      </c>
      <c r="M47" s="67">
        <f t="shared" si="16"/>
        <v>37749325.624536693</v>
      </c>
      <c r="N47" s="67">
        <f>IF(AND(MOD(C47,12)=1,D47&lt;15),Assumptions!$H$4*I47,0)</f>
        <v>0</v>
      </c>
      <c r="O47" s="67"/>
      <c r="P47" s="88">
        <f t="shared" si="9"/>
        <v>198174.22501546671</v>
      </c>
      <c r="Q47" s="88">
        <f>(M47+N47-O47)*VLOOKUP(MOD(C47,12)+(MOD(C47,12)=0)*12,Assumptions!$C$22:$D$33,2,FALSE)*(F47+G47)</f>
        <v>2477.1778126933341</v>
      </c>
      <c r="R47" s="67">
        <f>IF(AND(MOD(C47,12)=0,D47&lt;15),Assumptions!$C$7*M47,0)</f>
        <v>0</v>
      </c>
      <c r="S47" s="68">
        <f>IF(MOD(C47,12)=0,M47*Assumptions!$D$17,0)</f>
        <v>0</v>
      </c>
      <c r="T47" s="68">
        <f>(M47+N47-O47-P47-Q47-R47+S47)*(D48=Assumptions!$H$9)</f>
        <v>0</v>
      </c>
      <c r="U47" s="67">
        <f>T47+AE47*(1+Assumptions!$D$17)</f>
        <v>3601843.3319910411</v>
      </c>
      <c r="V47" s="67">
        <f t="shared" si="10"/>
        <v>37548674.221708529</v>
      </c>
      <c r="W47" s="67"/>
      <c r="X47" s="67">
        <f>IF(AND(MOD(C47,12)=1,D47&lt;15),Assumptions!$D$10*N47+Assumptions!$D$11*(1+Assumptions!$D$16)^(B47-1)*I47,0)</f>
        <v>0</v>
      </c>
      <c r="Y47" s="65">
        <f>Assumptions!$C$13*N47</f>
        <v>0</v>
      </c>
      <c r="Z47" s="65">
        <f>NPV(Assumptions!$D$19,N48:$N$259)</f>
        <v>64390904.653762184</v>
      </c>
      <c r="AA47" s="68">
        <f t="shared" si="11"/>
        <v>48706.887381925422</v>
      </c>
      <c r="AB47" s="96"/>
      <c r="AC47" s="67">
        <f>(AC46+N46-P46-Q46-T46-W46-X46-Y46+AD46)*IF(D47=Assumptions!$H$9,0,1)</f>
        <v>40249933.825642742</v>
      </c>
      <c r="AD47" s="91">
        <f>(AF46+N47-W47-X47-Y47)*Assumptions!$D$19-(P47+Q47)*Assumptions!$D$19/2</f>
        <v>176072.96077097757</v>
      </c>
      <c r="AE47" s="67">
        <f>(AE46+(AD47-O47-R47-Q47-S47))*IF(D47=Assumptions!$H$9,0,1)</f>
        <v>3587228.5189645458</v>
      </c>
      <c r="AF47" s="91">
        <f t="shared" si="12"/>
        <v>41087195.853291146</v>
      </c>
      <c r="AG47" s="67">
        <f t="shared" si="13"/>
        <v>4954.3556253912393</v>
      </c>
      <c r="AH47" s="89">
        <f>AG47*Assumptions!$C$18</f>
        <v>1486.3066876173718</v>
      </c>
      <c r="AI47" s="67">
        <f t="shared" si="14"/>
        <v>3468.0489377738677</v>
      </c>
      <c r="AK47" s="67">
        <f t="shared" si="15"/>
        <v>-209.09887824446923</v>
      </c>
      <c r="AL47" s="70">
        <f t="shared" si="4"/>
        <v>-5163.4549999999999</v>
      </c>
      <c r="AM47" s="80">
        <f>(O47-W47-X47-Y47-AA47)*Assumptions!$D$19</f>
        <v>-209.09887824446835</v>
      </c>
    </row>
    <row r="48" spans="2:39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4">
        <f>1-(1-VLOOKUP($E48,'Annual Mortality Rates'!$B$5:$C$105,2,FALSE))^(1/12)</f>
        <v>1.067292956670185E-4</v>
      </c>
      <c r="G48" s="74">
        <f>1-(1-IF(D48&gt;=7,2%,VLOOKUP($D48,'Annual Lapse Rates'!$B$4:$C$14,2,FALSE)))^(1/12)</f>
        <v>5.1430128318229462E-3</v>
      </c>
      <c r="H48" s="80">
        <f t="shared" si="5"/>
        <v>5</v>
      </c>
      <c r="I48" s="65">
        <f t="shared" si="6"/>
        <v>3750.4924982364382</v>
      </c>
      <c r="J48" s="66">
        <f t="shared" si="7"/>
        <v>0.40028742274121165</v>
      </c>
      <c r="K48" s="66">
        <f t="shared" si="8"/>
        <v>19.391158691066952</v>
      </c>
      <c r="M48" s="67">
        <f t="shared" si="16"/>
        <v>37548674.221708529</v>
      </c>
      <c r="N48" s="67">
        <f>IF(AND(MOD(C48,12)=1,D48&lt;15),Assumptions!$H$4*I48,0)</f>
        <v>0</v>
      </c>
      <c r="O48" s="67"/>
      <c r="P48" s="88">
        <f t="shared" si="9"/>
        <v>197120.85689309973</v>
      </c>
      <c r="Q48" s="88">
        <f>(M48+N48-O48)*VLOOKUP(MOD(C48,12)+(MOD(C48,12)=0)*12,Assumptions!$C$22:$D$33,2,FALSE)*(F48+G48)</f>
        <v>3080.0133889546833</v>
      </c>
      <c r="R48" s="67">
        <f>IF(AND(MOD(C48,12)=0,D48&lt;15),Assumptions!$C$7*M48,0)</f>
        <v>0</v>
      </c>
      <c r="S48" s="68">
        <f>IF(MOD(C48,12)=0,M48*Assumptions!$D$17,0)</f>
        <v>0</v>
      </c>
      <c r="T48" s="68">
        <f>(M48+N48-O48-P48-Q48-R48+S48)*(D49=Assumptions!$H$9)</f>
        <v>0</v>
      </c>
      <c r="U48" s="67">
        <f>T48+AE48*(1+Assumptions!$D$17)</f>
        <v>3775425.4219612493</v>
      </c>
      <c r="V48" s="67">
        <f t="shared" si="10"/>
        <v>37348473.351426475</v>
      </c>
      <c r="W48" s="67"/>
      <c r="X48" s="67">
        <f>IF(AND(MOD(C48,12)=1,D48&lt;15),Assumptions!$D$10*N48+Assumptions!$D$11*(1+Assumptions!$D$16)^(B48-1)*I48,0)</f>
        <v>0</v>
      </c>
      <c r="Y48" s="65">
        <f>Assumptions!$C$13*N48</f>
        <v>0</v>
      </c>
      <c r="Z48" s="65">
        <f>NPV(Assumptions!$D$19,N49:$N$259)</f>
        <v>64667335.086006254</v>
      </c>
      <c r="AA48" s="68">
        <f t="shared" si="11"/>
        <v>48706.887381925422</v>
      </c>
      <c r="AB48" s="96"/>
      <c r="AC48" s="67">
        <f>(AC47+N47-P47-Q47-T47-W47-X47-Y47+AD47)*IF(D48=Assumptions!$H$9,0,1)</f>
        <v>40225355.383585557</v>
      </c>
      <c r="AD48" s="91">
        <f>(AF47+N48-W48-X48-Y48)*Assumptions!$D$19-(P48+Q48)*Assumptions!$D$19/2</f>
        <v>175957.77794691394</v>
      </c>
      <c r="AE48" s="67">
        <f>(AE47+(AD48-O48-R48-Q48-S48))*IF(D48=Assumptions!$H$9,0,1)</f>
        <v>3760106.2835225048</v>
      </c>
      <c r="AF48" s="91">
        <f t="shared" si="12"/>
        <v>41059872.74756705</v>
      </c>
      <c r="AG48" s="67">
        <f t="shared" si="13"/>
        <v>6160.0267779105052</v>
      </c>
      <c r="AH48" s="89">
        <f>AG48*Assumptions!$C$18</f>
        <v>1848.0080333731514</v>
      </c>
      <c r="AI48" s="67">
        <f t="shared" si="14"/>
        <v>4312.018744537354</v>
      </c>
      <c r="AK48" s="67">
        <f t="shared" si="15"/>
        <v>-209.09887824446923</v>
      </c>
      <c r="AL48" s="70">
        <f t="shared" si="4"/>
        <v>-6369.1260000000002</v>
      </c>
      <c r="AM48" s="80">
        <f>(O48-W48-X48-Y48-AA48)*Assumptions!$D$19</f>
        <v>-209.09887824446835</v>
      </c>
    </row>
    <row r="49" spans="2:39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4">
        <f>1-(1-VLOOKUP($E49,'Annual Mortality Rates'!$B$5:$C$105,2,FALSE))^(1/12)</f>
        <v>1.067292956670185E-4</v>
      </c>
      <c r="G49" s="74">
        <f>1-(1-IF(D49&gt;=7,2%,VLOOKUP($D49,'Annual Lapse Rates'!$B$4:$C$14,2,FALSE)))^(1/12)</f>
        <v>5.1430128318229462E-3</v>
      </c>
      <c r="H49" s="80">
        <f t="shared" si="5"/>
        <v>6</v>
      </c>
      <c r="I49" s="65">
        <f t="shared" si="6"/>
        <v>3730.7010521226298</v>
      </c>
      <c r="J49" s="66">
        <f t="shared" si="7"/>
        <v>0.39817509563725312</v>
      </c>
      <c r="K49" s="66">
        <f t="shared" si="8"/>
        <v>19.2888310440857</v>
      </c>
      <c r="M49" s="67">
        <f t="shared" si="16"/>
        <v>37348473.351426475</v>
      </c>
      <c r="N49" s="67">
        <f>IF(AND(MOD(C49,12)=1,D49&lt;15),Assumptions!$H$4*I49,0)</f>
        <v>0</v>
      </c>
      <c r="O49" s="67"/>
      <c r="P49" s="88">
        <f t="shared" si="9"/>
        <v>196069.85395041987</v>
      </c>
      <c r="Q49" s="88">
        <f>(M49+N49-O49)*VLOOKUP(MOD(C49,12)+(MOD(C49,12)=0)*12,Assumptions!$C$22:$D$33,2,FALSE)*(F49+G49)</f>
        <v>3676.3097615703732</v>
      </c>
      <c r="R49" s="67">
        <f>IF(AND(MOD(C49,12)=0,D49&lt;15),Assumptions!$C$7*M49,0)</f>
        <v>0</v>
      </c>
      <c r="S49" s="68">
        <f>IF(MOD(C49,12)=0,M49*Assumptions!$D$17,0)</f>
        <v>0</v>
      </c>
      <c r="T49" s="68">
        <f>(M49+N49-O49-P49-Q49-R49+S49)*(D50=Assumptions!$H$9)</f>
        <v>0</v>
      </c>
      <c r="U49" s="67">
        <f>T49+AE49*(1+Assumptions!$D$17)</f>
        <v>3948291.9900801973</v>
      </c>
      <c r="V49" s="67">
        <f t="shared" si="10"/>
        <v>37148727.187714487</v>
      </c>
      <c r="W49" s="67"/>
      <c r="X49" s="67">
        <f>IF(AND(MOD(C49,12)=1,D49&lt;15),Assumptions!$D$10*N49+Assumptions!$D$11*(1+Assumptions!$D$16)^(B49-1)*I49,0)</f>
        <v>0</v>
      </c>
      <c r="Y49" s="65">
        <f>Assumptions!$C$13*N49</f>
        <v>0</v>
      </c>
      <c r="Z49" s="65">
        <f>NPV(Assumptions!$D$19,N50:$N$259)</f>
        <v>64944952.235291816</v>
      </c>
      <c r="AA49" s="68">
        <f t="shared" si="11"/>
        <v>48706.887381925422</v>
      </c>
      <c r="AB49" s="96"/>
      <c r="AC49" s="67">
        <f>(AC48+N48-P48-Q48-T48-W48-X48-Y48+AD48)*IF(D49=Assumptions!$H$9,0,1)</f>
        <v>40201112.291250415</v>
      </c>
      <c r="AD49" s="91">
        <f>(AF48+N49-W49-X49-Y49)*Assumptions!$D$19-(P49+Q49)*Assumptions!$D$19/2</f>
        <v>175841.45576447243</v>
      </c>
      <c r="AE49" s="67">
        <f>(AE48+(AD49-O49-R49-Q49-S49))*IF(D49=Assumptions!$H$9,0,1)</f>
        <v>3932271.429525407</v>
      </c>
      <c r="AF49" s="91">
        <f t="shared" si="12"/>
        <v>41032291.729857966</v>
      </c>
      <c r="AG49" s="67">
        <f t="shared" si="13"/>
        <v>7352.6195231364109</v>
      </c>
      <c r="AH49" s="89">
        <f>AG49*Assumptions!$C$18</f>
        <v>2205.7858569409232</v>
      </c>
      <c r="AI49" s="67">
        <f t="shared" si="14"/>
        <v>5146.8336661954872</v>
      </c>
      <c r="AK49" s="67">
        <f t="shared" si="15"/>
        <v>-209.09887824446923</v>
      </c>
      <c r="AL49" s="70">
        <f t="shared" si="4"/>
        <v>-7561.7179999999998</v>
      </c>
      <c r="AM49" s="80">
        <f>(O49-W49-X49-Y49-AA49)*Assumptions!$D$19</f>
        <v>-209.09887824446835</v>
      </c>
    </row>
    <row r="50" spans="2:39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4">
        <f>1-(1-VLOOKUP($E50,'Annual Mortality Rates'!$B$5:$C$105,2,FALSE))^(1/12)</f>
        <v>1.067292956670185E-4</v>
      </c>
      <c r="G50" s="74">
        <f>1-(1-IF(D50&gt;=7,2%,VLOOKUP($D50,'Annual Lapse Rates'!$B$4:$C$14,2,FALSE)))^(1/12)</f>
        <v>5.1430128318229462E-3</v>
      </c>
      <c r="H50" s="80">
        <f t="shared" si="5"/>
        <v>7</v>
      </c>
      <c r="I50" s="65">
        <f t="shared" si="6"/>
        <v>3711.0140459829067</v>
      </c>
      <c r="J50" s="66">
        <f t="shared" si="7"/>
        <v>0.39607391533816821</v>
      </c>
      <c r="K50" s="66">
        <f t="shared" si="8"/>
        <v>19.187043382762052</v>
      </c>
      <c r="M50" s="67">
        <f t="shared" si="16"/>
        <v>37148727.187714487</v>
      </c>
      <c r="N50" s="67">
        <f>IF(AND(MOD(C50,12)=1,D50&lt;15),Assumptions!$H$4*I50,0)</f>
        <v>0</v>
      </c>
      <c r="O50" s="67"/>
      <c r="P50" s="88">
        <f t="shared" si="9"/>
        <v>195021.23809997656</v>
      </c>
      <c r="Q50" s="88">
        <f>(M50+N50-O50)*VLOOKUP(MOD(C50,12)+(MOD(C50,12)=0)*12,Assumptions!$C$22:$D$33,2,FALSE)*(F50+G50)</f>
        <v>4266.0895834369876</v>
      </c>
      <c r="R50" s="67">
        <f>IF(AND(MOD(C50,12)=0,D50&lt;15),Assumptions!$C$7*M50,0)</f>
        <v>0</v>
      </c>
      <c r="S50" s="68">
        <f>IF(MOD(C50,12)=0,M50*Assumptions!$D$17,0)</f>
        <v>0</v>
      </c>
      <c r="T50" s="68">
        <f>(M50+N50-O50-P50-Q50-R50+S50)*(D51=Assumptions!$H$9)</f>
        <v>0</v>
      </c>
      <c r="U50" s="67">
        <f>T50+AE50*(1+Assumptions!$D$17)</f>
        <v>4120448.4766196641</v>
      </c>
      <c r="V50" s="67">
        <f t="shared" si="10"/>
        <v>36949439.860031076</v>
      </c>
      <c r="W50" s="67"/>
      <c r="X50" s="67">
        <f>IF(AND(MOD(C50,12)=1,D50&lt;15),Assumptions!$D$10*N50+Assumptions!$D$11*(1+Assumptions!$D$16)^(B50-1)*I50,0)</f>
        <v>0</v>
      </c>
      <c r="Y50" s="65">
        <f>Assumptions!$C$13*N50</f>
        <v>0</v>
      </c>
      <c r="Z50" s="65">
        <f>NPV(Assumptions!$D$19,N51:$N$259)</f>
        <v>65223761.196200266</v>
      </c>
      <c r="AA50" s="68">
        <f t="shared" si="11"/>
        <v>48706.887381925422</v>
      </c>
      <c r="AB50" s="96"/>
      <c r="AC50" s="67">
        <f>(AC49+N49-P49-Q49-T49-W49-X49-Y49+AD49)*IF(D50=Assumptions!$H$9,0,1)</f>
        <v>40177207.5833029</v>
      </c>
      <c r="AD50" s="91">
        <f>(AF49+N50-W50-X50-Y50)*Assumptions!$D$19-(P50+Q50)*Assumptions!$D$19/2</f>
        <v>175724.03522865524</v>
      </c>
      <c r="AE50" s="67">
        <f>(AE49+(AD50-O50-R50-Q50-S50))*IF(D50=Assumptions!$H$9,0,1)</f>
        <v>4103729.3751706253</v>
      </c>
      <c r="AF50" s="91">
        <f t="shared" si="12"/>
        <v>41004462.347819775</v>
      </c>
      <c r="AG50" s="67">
        <f t="shared" si="13"/>
        <v>8532.1791668696387</v>
      </c>
      <c r="AH50" s="89">
        <f>AG50*Assumptions!$C$18</f>
        <v>2559.6537500608915</v>
      </c>
      <c r="AI50" s="67">
        <f t="shared" si="14"/>
        <v>5972.5254168087467</v>
      </c>
      <c r="AK50" s="67">
        <f t="shared" si="15"/>
        <v>-209.09887824446923</v>
      </c>
      <c r="AL50" s="70">
        <f t="shared" si="4"/>
        <v>-8741.2780000000002</v>
      </c>
      <c r="AM50" s="80">
        <f>(O50-W50-X50-Y50-AA50)*Assumptions!$D$19</f>
        <v>-209.09887824446835</v>
      </c>
    </row>
    <row r="51" spans="2:39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4">
        <f>1-(1-VLOOKUP($E51,'Annual Mortality Rates'!$B$5:$C$105,2,FALSE))^(1/12)</f>
        <v>1.067292956670185E-4</v>
      </c>
      <c r="G51" s="74">
        <f>1-(1-IF(D51&gt;=7,2%,VLOOKUP($D51,'Annual Lapse Rates'!$B$4:$C$14,2,FALSE)))^(1/12)</f>
        <v>5.1430128318229462E-3</v>
      </c>
      <c r="H51" s="80">
        <f t="shared" si="5"/>
        <v>8</v>
      </c>
      <c r="I51" s="65">
        <f t="shared" si="6"/>
        <v>3691.4309286848065</v>
      </c>
      <c r="J51" s="66">
        <f t="shared" si="7"/>
        <v>0.39398382302197738</v>
      </c>
      <c r="K51" s="66">
        <f t="shared" si="8"/>
        <v>19.085792857565277</v>
      </c>
      <c r="M51" s="67">
        <f t="shared" si="16"/>
        <v>36949439.860031076</v>
      </c>
      <c r="N51" s="67">
        <f>IF(AND(MOD(C51,12)=1,D51&lt;15),Assumptions!$H$4*I51,0)</f>
        <v>0</v>
      </c>
      <c r="O51" s="67"/>
      <c r="P51" s="88">
        <f t="shared" si="9"/>
        <v>193975.03102036205</v>
      </c>
      <c r="Q51" s="88">
        <f>(M51+N51-O51)*VLOOKUP(MOD(C51,12)+(MOD(C51,12)=0)*12,Assumptions!$C$22:$D$33,2,FALSE)*(F51+G51)</f>
        <v>4849.3757755090519</v>
      </c>
      <c r="R51" s="67">
        <f>IF(AND(MOD(C51,12)=0,D51&lt;15),Assumptions!$C$7*M51,0)</f>
        <v>0</v>
      </c>
      <c r="S51" s="68">
        <f>IF(MOD(C51,12)=0,M51*Assumptions!$D$17,0)</f>
        <v>0</v>
      </c>
      <c r="T51" s="68">
        <f>(M51+N51-O51-P51-Q51-R51+S51)*(D52=Assumptions!$H$9)</f>
        <v>0</v>
      </c>
      <c r="U51" s="67">
        <f>T51+AE51*(1+Assumptions!$D$17)</f>
        <v>4291900.3398960894</v>
      </c>
      <c r="V51" s="67">
        <f t="shared" si="10"/>
        <v>36750615.453235202</v>
      </c>
      <c r="W51" s="67"/>
      <c r="X51" s="67">
        <f>IF(AND(MOD(C51,12)=1,D51&lt;15),Assumptions!$D$10*N51+Assumptions!$D$11*(1+Assumptions!$D$16)^(B51-1)*I51,0)</f>
        <v>0</v>
      </c>
      <c r="Y51" s="65">
        <f>Assumptions!$C$13*N51</f>
        <v>0</v>
      </c>
      <c r="Z51" s="65">
        <f>NPV(Assumptions!$D$19,N52:$N$259)</f>
        <v>65503767.085184075</v>
      </c>
      <c r="AA51" s="68">
        <f t="shared" si="11"/>
        <v>48706.887381925422</v>
      </c>
      <c r="AB51" s="96"/>
      <c r="AC51" s="67">
        <f>(AC50+N50-P50-Q50-T50-W50-X50-Y50+AD50)*IF(D51=Assumptions!$H$9,0,1)</f>
        <v>40153644.290848143</v>
      </c>
      <c r="AD51" s="91">
        <f>(AF50+N51-W51-X51-Y51)*Assumptions!$D$19-(P51+Q51)*Assumptions!$D$19/2</f>
        <v>175605.55723185732</v>
      </c>
      <c r="AE51" s="67">
        <f>(AE50+(AD51-O51-R51-Q51-S51))*IF(D51=Assumptions!$H$9,0,1)</f>
        <v>4274485.5566269737</v>
      </c>
      <c r="AF51" s="91">
        <f t="shared" si="12"/>
        <v>40976394.122480251</v>
      </c>
      <c r="AG51" s="67">
        <f t="shared" si="13"/>
        <v>9698.7515510197263</v>
      </c>
      <c r="AH51" s="89">
        <f>AG51*Assumptions!$C$18</f>
        <v>2909.6254653059177</v>
      </c>
      <c r="AI51" s="67">
        <f t="shared" si="14"/>
        <v>6789.1260857138086</v>
      </c>
      <c r="AK51" s="67">
        <f t="shared" si="15"/>
        <v>-209.09887824446923</v>
      </c>
      <c r="AL51" s="70">
        <f t="shared" si="4"/>
        <v>-9907.85</v>
      </c>
      <c r="AM51" s="80">
        <f>(O51-W51-X51-Y51-AA51)*Assumptions!$D$19</f>
        <v>-209.09887824446835</v>
      </c>
    </row>
    <row r="52" spans="2:39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4">
        <f>1-(1-VLOOKUP($E52,'Annual Mortality Rates'!$B$5:$C$105,2,FALSE))^(1/12)</f>
        <v>1.067292956670185E-4</v>
      </c>
      <c r="G52" s="74">
        <f>1-(1-IF(D52&gt;=7,2%,VLOOKUP($D52,'Annual Lapse Rates'!$B$4:$C$14,2,FALSE)))^(1/12)</f>
        <v>5.1430128318229462E-3</v>
      </c>
      <c r="H52" s="80">
        <f t="shared" si="5"/>
        <v>9</v>
      </c>
      <c r="I52" s="65">
        <f t="shared" si="6"/>
        <v>3671.9511520042192</v>
      </c>
      <c r="J52" s="66">
        <f t="shared" si="7"/>
        <v>0.39190476017710751</v>
      </c>
      <c r="K52" s="66">
        <f t="shared" si="8"/>
        <v>18.985076634014057</v>
      </c>
      <c r="M52" s="67">
        <f t="shared" si="16"/>
        <v>36750615.453235202</v>
      </c>
      <c r="N52" s="67">
        <f>IF(AND(MOD(C52,12)=1,D52&lt;15),Assumptions!$H$4*I52,0)</f>
        <v>0</v>
      </c>
      <c r="O52" s="67"/>
      <c r="P52" s="88">
        <f t="shared" si="9"/>
        <v>192931.25415603255</v>
      </c>
      <c r="Q52" s="88">
        <f>(M52+N52-O52)*VLOOKUP(MOD(C52,12)+(MOD(C52,12)=0)*12,Assumptions!$C$22:$D$33,2,FALSE)*(F52+G52)</f>
        <v>5426.1915231384155</v>
      </c>
      <c r="R52" s="67">
        <f>IF(AND(MOD(C52,12)=0,D52&lt;15),Assumptions!$C$7*M52,0)</f>
        <v>0</v>
      </c>
      <c r="S52" s="68">
        <f>IF(MOD(C52,12)=0,M52*Assumptions!$D$17,0)</f>
        <v>0</v>
      </c>
      <c r="T52" s="68">
        <f>(M52+N52-O52-P52-Q52-R52+S52)*(D53=Assumptions!$H$9)</f>
        <v>0</v>
      </c>
      <c r="U52" s="67">
        <f>T52+AE52*(1+Assumptions!$D$17)</f>
        <v>4462653.0558902482</v>
      </c>
      <c r="V52" s="67">
        <f t="shared" si="10"/>
        <v>36552258.007556036</v>
      </c>
      <c r="W52" s="67"/>
      <c r="X52" s="67">
        <f>IF(AND(MOD(C52,12)=1,D52&lt;15),Assumptions!$D$10*N52+Assumptions!$D$11*(1+Assumptions!$D$16)^(B52-1)*I52,0)</f>
        <v>0</v>
      </c>
      <c r="Y52" s="65">
        <f>Assumptions!$C$13*N52</f>
        <v>0</v>
      </c>
      <c r="Z52" s="65">
        <f>NPV(Assumptions!$D$19,N53:$N$259)</f>
        <v>65784975.040660657</v>
      </c>
      <c r="AA52" s="68">
        <f t="shared" si="11"/>
        <v>48706.887381925422</v>
      </c>
      <c r="AB52" s="96"/>
      <c r="AC52" s="67">
        <f>(AC51+N51-P51-Q51-T51-W51-X51-Y51+AD51)*IF(D52=Assumptions!$H$9,0,1)</f>
        <v>40130425.441284128</v>
      </c>
      <c r="AD52" s="91">
        <f>(AF51+N52-W52-X52-Y52)*Assumptions!$D$19-(P52+Q52)*Assumptions!$D$19/2</f>
        <v>175486.06255209414</v>
      </c>
      <c r="AE52" s="67">
        <f>(AE51+(AD52-O52-R52-Q52-S52))*IF(D52=Assumptions!$H$9,0,1)</f>
        <v>4444545.4276559297</v>
      </c>
      <c r="AF52" s="91">
        <f t="shared" si="12"/>
        <v>40948096.547830038</v>
      </c>
      <c r="AG52" s="67">
        <f t="shared" si="13"/>
        <v>10852.383046274714</v>
      </c>
      <c r="AH52" s="89">
        <f>AG52*Assumptions!$C$18</f>
        <v>3255.7149138824138</v>
      </c>
      <c r="AI52" s="67">
        <f t="shared" si="14"/>
        <v>7596.6681323923003</v>
      </c>
      <c r="AK52" s="67">
        <f t="shared" si="15"/>
        <v>-209.09887824446923</v>
      </c>
      <c r="AL52" s="70">
        <f t="shared" si="4"/>
        <v>-11061.482</v>
      </c>
      <c r="AM52" s="80">
        <f>(O52-W52-X52-Y52-AA52)*Assumptions!$D$19</f>
        <v>-209.09887824446835</v>
      </c>
    </row>
    <row r="53" spans="2:39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4">
        <f>1-(1-VLOOKUP($E53,'Annual Mortality Rates'!$B$5:$C$105,2,FALSE))^(1/12)</f>
        <v>1.067292956670185E-4</v>
      </c>
      <c r="G53" s="74">
        <f>1-(1-IF(D53&gt;=7,2%,VLOOKUP($D53,'Annual Lapse Rates'!$B$4:$C$14,2,FALSE)))^(1/12)</f>
        <v>5.1430128318229462E-3</v>
      </c>
      <c r="H53" s="80">
        <f t="shared" si="5"/>
        <v>10</v>
      </c>
      <c r="I53" s="65">
        <f t="shared" si="6"/>
        <v>3652.574170610028</v>
      </c>
      <c r="J53" s="66">
        <f t="shared" si="7"/>
        <v>0.38983666860075256</v>
      </c>
      <c r="K53" s="66">
        <f t="shared" si="8"/>
        <v>18.884891892584751</v>
      </c>
      <c r="M53" s="67">
        <f t="shared" si="16"/>
        <v>36552258.007556036</v>
      </c>
      <c r="N53" s="67">
        <f>IF(AND(MOD(C53,12)=1,D53&lt;15),Assumptions!$H$4*I53,0)</f>
        <v>0</v>
      </c>
      <c r="O53" s="67"/>
      <c r="P53" s="88">
        <f t="shared" si="9"/>
        <v>191889.92871714933</v>
      </c>
      <c r="Q53" s="88">
        <f>(M53+N53-O53)*VLOOKUP(MOD(C53,12)+(MOD(C53,12)=0)*12,Assumptions!$C$22:$D$33,2,FALSE)*(F53+G53)</f>
        <v>5996.5602724109167</v>
      </c>
      <c r="R53" s="67">
        <f>IF(AND(MOD(C53,12)=0,D53&lt;15),Assumptions!$C$7*M53,0)</f>
        <v>0</v>
      </c>
      <c r="S53" s="68">
        <f>IF(MOD(C53,12)=0,M53*Assumptions!$D$17,0)</f>
        <v>0</v>
      </c>
      <c r="T53" s="68">
        <f>(M53+N53-O53-P53-Q53-R53+S53)*(D54=Assumptions!$H$9)</f>
        <v>0</v>
      </c>
      <c r="U53" s="67">
        <f>T53+AE53*(1+Assumptions!$D$17)</f>
        <v>4632712.1178688593</v>
      </c>
      <c r="V53" s="67">
        <f t="shared" si="10"/>
        <v>36354371.518566474</v>
      </c>
      <c r="W53" s="67"/>
      <c r="X53" s="67">
        <f>IF(AND(MOD(C53,12)=1,D53&lt;15),Assumptions!$D$10*N53+Assumptions!$D$11*(1+Assumptions!$D$16)^(B53-1)*I53,0)</f>
        <v>0</v>
      </c>
      <c r="Y53" s="65">
        <f>Assumptions!$C$13*N53</f>
        <v>0</v>
      </c>
      <c r="Z53" s="65">
        <f>NPV(Assumptions!$D$19,N54:$N$259)</f>
        <v>66067390.223106652</v>
      </c>
      <c r="AA53" s="68">
        <f t="shared" si="11"/>
        <v>48706.887381925422</v>
      </c>
      <c r="AB53" s="96"/>
      <c r="AC53" s="67">
        <f>(AC52+N52-P52-Q52-T52-W52-X52-Y52+AD52)*IF(D53=Assumptions!$H$9,0,1)</f>
        <v>40107554.058157057</v>
      </c>
      <c r="AD53" s="91">
        <f>(AF52+N53-W53-X53-Y53)*Assumptions!$D$19-(P53+Q53)*Assumptions!$D$19/2</f>
        <v>175365.59185125388</v>
      </c>
      <c r="AE53" s="67">
        <f>(AE52+(AD53-O53-R53-Q53-S53))*IF(D53=Assumptions!$H$9,0,1)</f>
        <v>4613914.4592347723</v>
      </c>
      <c r="AF53" s="91">
        <f t="shared" si="12"/>
        <v>40919579.090419322</v>
      </c>
      <c r="AG53" s="67">
        <f t="shared" si="13"/>
        <v>11993.120544820064</v>
      </c>
      <c r="AH53" s="89">
        <f>AG53*Assumptions!$C$18</f>
        <v>3597.9361634460188</v>
      </c>
      <c r="AI53" s="67">
        <f t="shared" si="14"/>
        <v>8395.1843813740452</v>
      </c>
      <c r="AK53" s="67">
        <f t="shared" si="15"/>
        <v>-209.09887824446923</v>
      </c>
      <c r="AL53" s="70">
        <f t="shared" si="4"/>
        <v>-12202.218999999999</v>
      </c>
      <c r="AM53" s="80">
        <f>(O53-W53-X53-Y53-AA53)*Assumptions!$D$19</f>
        <v>-209.09887824446835</v>
      </c>
    </row>
    <row r="54" spans="2:39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4">
        <f>1-(1-VLOOKUP($E54,'Annual Mortality Rates'!$B$5:$C$105,2,FALSE))^(1/12)</f>
        <v>1.067292956670185E-4</v>
      </c>
      <c r="G54" s="74">
        <f>1-(1-IF(D54&gt;=7,2%,VLOOKUP($D54,'Annual Lapse Rates'!$B$4:$C$14,2,FALSE)))^(1/12)</f>
        <v>5.1430128318229462E-3</v>
      </c>
      <c r="H54" s="80">
        <f t="shared" si="5"/>
        <v>11</v>
      </c>
      <c r="I54" s="65">
        <f t="shared" si="6"/>
        <v>3633.2994420488426</v>
      </c>
      <c r="J54" s="66">
        <f t="shared" si="7"/>
        <v>0.38777949039724424</v>
      </c>
      <c r="K54" s="66">
        <f t="shared" si="8"/>
        <v>18.78523582863243</v>
      </c>
      <c r="M54" s="67">
        <f t="shared" si="16"/>
        <v>36354371.518566474</v>
      </c>
      <c r="N54" s="67">
        <f>IF(AND(MOD(C54,12)=1,D54&lt;15),Assumptions!$H$4*I54,0)</f>
        <v>0</v>
      </c>
      <c r="O54" s="67"/>
      <c r="P54" s="88">
        <f t="shared" si="9"/>
        <v>190851.07567943973</v>
      </c>
      <c r="Q54" s="88">
        <f>(M54+N54-O54)*VLOOKUP(MOD(C54,12)+(MOD(C54,12)=0)*12,Assumptions!$C$22:$D$33,2,FALSE)*(F54+G54)</f>
        <v>6560.5057264807419</v>
      </c>
      <c r="R54" s="67">
        <f>IF(AND(MOD(C54,12)=0,D54&lt;15),Assumptions!$C$7*M54,0)</f>
        <v>0</v>
      </c>
      <c r="S54" s="68">
        <f>IF(MOD(C54,12)=0,M54*Assumptions!$D$17,0)</f>
        <v>0</v>
      </c>
      <c r="T54" s="68">
        <f>(M54+N54-O54-P54-Q54-R54+S54)*(D55=Assumptions!$H$9)</f>
        <v>0</v>
      </c>
      <c r="U54" s="67">
        <f>T54+AE54*(1+Assumptions!$D$17)</f>
        <v>4802083.0360081373</v>
      </c>
      <c r="V54" s="67">
        <f t="shared" si="10"/>
        <v>36156959.937160559</v>
      </c>
      <c r="W54" s="67"/>
      <c r="X54" s="67">
        <f>IF(AND(MOD(C54,12)=1,D54&lt;15),Assumptions!$D$10*N54+Assumptions!$D$11*(1+Assumptions!$D$16)^(B54-1)*I54,0)</f>
        <v>0</v>
      </c>
      <c r="Y54" s="65">
        <f>Assumptions!$C$13*N54</f>
        <v>0</v>
      </c>
      <c r="Z54" s="65">
        <f>NPV(Assumptions!$D$19,N55:$N$259)</f>
        <v>66351017.815152645</v>
      </c>
      <c r="AA54" s="68">
        <f t="shared" si="11"/>
        <v>48706.887381925422</v>
      </c>
      <c r="AB54" s="96"/>
      <c r="AC54" s="67">
        <f>(AC53+N53-P53-Q53-T53-W53-X53-Y53+AD53)*IF(D54=Assumptions!$H$9,0,1)</f>
        <v>40085033.161018752</v>
      </c>
      <c r="AD54" s="91">
        <f>(AF53+N54-W54-X54-Y54)*Assumptions!$D$19-(P54+Q54)*Assumptions!$D$19/2</f>
        <v>175244.18567337407</v>
      </c>
      <c r="AE54" s="67">
        <f>(AE53+(AD54-O54-R54-Q54-S54))*IF(D54=Assumptions!$H$9,0,1)</f>
        <v>4782598.1391816651</v>
      </c>
      <c r="AF54" s="91">
        <f t="shared" si="12"/>
        <v>40890851.188960299</v>
      </c>
      <c r="AG54" s="67">
        <f t="shared" si="13"/>
        <v>13121.011452957697</v>
      </c>
      <c r="AH54" s="89">
        <f>AG54*Assumptions!$C$18</f>
        <v>3936.3034358873088</v>
      </c>
      <c r="AI54" s="67">
        <f t="shared" si="14"/>
        <v>9184.7080170703885</v>
      </c>
      <c r="AK54" s="67">
        <f t="shared" si="15"/>
        <v>-209.09887824446923</v>
      </c>
      <c r="AL54" s="70">
        <f t="shared" si="4"/>
        <v>-13330.11</v>
      </c>
      <c r="AM54" s="80">
        <f>(O54-W54-X54-Y54-AA54)*Assumptions!$D$19</f>
        <v>-209.09887824446835</v>
      </c>
    </row>
    <row r="55" spans="2:39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4">
        <f>1-(1-VLOOKUP($E55,'Annual Mortality Rates'!$B$5:$C$105,2,FALSE))^(1/12)</f>
        <v>1.067292956670185E-4</v>
      </c>
      <c r="G55" s="74">
        <f>1-(1-IF(D55&gt;=7,2%,VLOOKUP($D55,'Annual Lapse Rates'!$B$4:$C$14,2,FALSE)))^(1/12)</f>
        <v>5.1430128318229462E-3</v>
      </c>
      <c r="H55" s="80">
        <f t="shared" si="5"/>
        <v>12</v>
      </c>
      <c r="I55" s="65">
        <f t="shared" si="6"/>
        <v>3614.1264267298129</v>
      </c>
      <c r="J55" s="66">
        <f t="shared" si="7"/>
        <v>0.38573316797643126</v>
      </c>
      <c r="K55" s="66">
        <f t="shared" si="8"/>
        <v>18.686105652312349</v>
      </c>
      <c r="M55" s="67">
        <f t="shared" si="16"/>
        <v>36156959.937160559</v>
      </c>
      <c r="N55" s="67">
        <f>IF(AND(MOD(C55,12)=1,D55&lt;15),Assumptions!$H$4*I55,0)</f>
        <v>0</v>
      </c>
      <c r="O55" s="67"/>
      <c r="P55" s="88">
        <f t="shared" si="9"/>
        <v>189814.7157840787</v>
      </c>
      <c r="Q55" s="88">
        <f>(M55+N55-O55)*VLOOKUP(MOD(C55,12)+(MOD(C55,12)=0)*12,Assumptions!$C$22:$D$33,2,FALSE)*(F55+G55)</f>
        <v>7118.0518419029513</v>
      </c>
      <c r="R55" s="67">
        <f>IF(AND(MOD(C55,12)=0,D55&lt;15),Assumptions!$C$7*M55,0)</f>
        <v>18078.479968580279</v>
      </c>
      <c r="S55" s="68">
        <f>IF(MOD(C55,12)=0,M55*Assumptions!$D$17,0)</f>
        <v>147307.93042440651</v>
      </c>
      <c r="T55" s="68">
        <f>(M55+N55-O55-P55-Q55-R55+S55)*(D56=Assumptions!$H$9)</f>
        <v>0</v>
      </c>
      <c r="U55" s="67">
        <f>T55+AE55*(1+Assumptions!$D$17)</f>
        <v>4804711.1219182611</v>
      </c>
      <c r="V55" s="67">
        <f t="shared" si="10"/>
        <v>36089256.619990408</v>
      </c>
      <c r="W55" s="67"/>
      <c r="X55" s="67">
        <f>IF(AND(MOD(C55,12)=1,D55&lt;15),Assumptions!$D$10*N55+Assumptions!$D$11*(1+Assumptions!$D$16)^(B55-1)*I55,0)</f>
        <v>0</v>
      </c>
      <c r="Y55" s="65">
        <f>Assumptions!$C$13*N55</f>
        <v>0</v>
      </c>
      <c r="Z55" s="65">
        <f>NPV(Assumptions!$D$19,N56:$N$259)</f>
        <v>66635863.021678314</v>
      </c>
      <c r="AA55" s="68">
        <f t="shared" si="11"/>
        <v>48706.887381925422</v>
      </c>
      <c r="AB55" s="96"/>
      <c r="AC55" s="67">
        <f>(AC54+N54-P54-Q54-T54-W54-X54-Y54+AD54)*IF(D55=Assumptions!$H$9,0,1)</f>
        <v>40062865.765286207</v>
      </c>
      <c r="AD55" s="91">
        <f>(AF54+N55-W55-X55-Y55)*Assumptions!$D$19-(P55+Q55)*Assumptions!$D$19/2</f>
        <v>175121.88444294332</v>
      </c>
      <c r="AE55" s="67">
        <f>(AE54+(AD55-O55-R55-Q55-S55))*IF(D55=Assumptions!$H$9,0,1)</f>
        <v>4785215.5613897191</v>
      </c>
      <c r="AF55" s="91">
        <f t="shared" si="12"/>
        <v>40825765.293998204</v>
      </c>
      <c r="AG55" s="67">
        <f t="shared" si="13"/>
        <v>50393.06362095935</v>
      </c>
      <c r="AH55" s="89">
        <f>AG55*Assumptions!$C$18</f>
        <v>15117.919086287804</v>
      </c>
      <c r="AI55" s="67">
        <f t="shared" si="14"/>
        <v>35275.144534671548</v>
      </c>
      <c r="AK55" s="67">
        <f t="shared" si="15"/>
        <v>17869.38109033581</v>
      </c>
      <c r="AL55" s="70">
        <f t="shared" si="4"/>
        <v>-32523.683000000001</v>
      </c>
      <c r="AM55" s="80">
        <f>(O55-W55-X55-Y55-AA55)*Assumptions!$D$19</f>
        <v>-209.09887824446835</v>
      </c>
    </row>
    <row r="56" spans="2:39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4">
        <f>1-(1-VLOOKUP($E56,'Annual Mortality Rates'!$B$5:$C$105,2,FALSE))^(1/12)</f>
        <v>1.184104185535384E-4</v>
      </c>
      <c r="G56" s="74">
        <f>1-(1-IF(D56&gt;=7,2%,VLOOKUP($D56,'Annual Lapse Rates'!$B$4:$C$14,2,FALSE)))^(1/12)</f>
        <v>4.2653187775606449E-3</v>
      </c>
      <c r="H56" s="80">
        <f t="shared" si="5"/>
        <v>1</v>
      </c>
      <c r="I56" s="65">
        <f t="shared" si="6"/>
        <v>3595.0545879095239</v>
      </c>
      <c r="J56" s="66">
        <f t="shared" si="7"/>
        <v>0.42569191847718524</v>
      </c>
      <c r="K56" s="66">
        <f t="shared" si="8"/>
        <v>15.415401312408827</v>
      </c>
      <c r="M56" s="67">
        <f t="shared" si="16"/>
        <v>36089256.619990408</v>
      </c>
      <c r="N56" s="67">
        <f>IF(AND(MOD(C56,12)=1,D56&lt;15),Assumptions!$H$4*I56,0)</f>
        <v>8987636.4697738104</v>
      </c>
      <c r="O56" s="67"/>
      <c r="P56" s="88">
        <f t="shared" si="9"/>
        <v>197604.89230771709</v>
      </c>
      <c r="Q56" s="88">
        <f>(M56+N56-O56)*VLOOKUP(MOD(C56,12)+(MOD(C56,12)=0)*12,Assumptions!$C$22:$D$33,2,FALSE)*(F56+G56)</f>
        <v>617.51528846161591</v>
      </c>
      <c r="R56" s="67">
        <f>IF(AND(MOD(C56,12)=0,D56&lt;15),Assumptions!$C$7*M56,0)</f>
        <v>0</v>
      </c>
      <c r="S56" s="68">
        <f>IF(MOD(C56,12)=0,M56*Assumptions!$D$17,0)</f>
        <v>0</v>
      </c>
      <c r="T56" s="68">
        <f>(M56+N56-O56-P56-Q56-R56+S56)*(D57=Assumptions!$H$9)</f>
        <v>0</v>
      </c>
      <c r="U56" s="67">
        <f>T56+AE56*(1+Assumptions!$D$17)</f>
        <v>5017887.8279324491</v>
      </c>
      <c r="V56" s="67">
        <f t="shared" si="10"/>
        <v>44878670.682168044</v>
      </c>
      <c r="W56" s="67"/>
      <c r="X56" s="67">
        <f>IF(AND(MOD(C56,12)=1,D56&lt;15),Assumptions!$D$10*N56+Assumptions!$D$11*(1+Assumptions!$D$16)^(B56-1)*I56,0)</f>
        <v>70232.2999177764</v>
      </c>
      <c r="Y56" s="65">
        <f>Assumptions!$C$13*N56</f>
        <v>44938.18234886905</v>
      </c>
      <c r="Z56" s="65">
        <f>NPV(Assumptions!$D$19,N57:$N$259)</f>
        <v>57934294.60013409</v>
      </c>
      <c r="AA56" s="68">
        <f t="shared" si="11"/>
        <v>44389.769108217879</v>
      </c>
      <c r="AB56" s="96"/>
      <c r="AC56" s="67">
        <f>(AC55+N55-P55-Q55-T55-W55-X55-Y55+AD55)*IF(D56=Assumptions!$H$9,0,1)</f>
        <v>40041054.882103167</v>
      </c>
      <c r="AD56" s="91">
        <f>(AF55+N56-W56-X56-Y56)*Assumptions!$D$19-(P56+Q56)*Assumptions!$D$19/2</f>
        <v>212929.23706740257</v>
      </c>
      <c r="AE56" s="67">
        <f>(AE55+(AD56-O56-R56-Q56-S56))*IF(D56=Assumptions!$H$9,0,1)</f>
        <v>4997527.2831686605</v>
      </c>
      <c r="AF56" s="91">
        <f t="shared" si="12"/>
        <v>49831808.196228482</v>
      </c>
      <c r="AG56" s="67">
        <f t="shared" si="13"/>
        <v>-118252.56996342796</v>
      </c>
      <c r="AH56" s="89">
        <f>AG56*Assumptions!$C$18</f>
        <v>-35475.770989028388</v>
      </c>
      <c r="AI56" s="67">
        <f t="shared" si="14"/>
        <v>-82776.798974399571</v>
      </c>
      <c r="AK56" s="67">
        <f t="shared" si="15"/>
        <v>-120172.5933897887</v>
      </c>
      <c r="AL56" s="70">
        <f t="shared" si="4"/>
        <v>-1920.0229999999999</v>
      </c>
      <c r="AM56" s="80">
        <f>(O56-W56-X56-Y56-AA56)*Assumptions!$D$19</f>
        <v>-684.99284943570967</v>
      </c>
    </row>
    <row r="57" spans="2:39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4">
        <f>1-(1-VLOOKUP($E57,'Annual Mortality Rates'!$B$5:$C$105,2,FALSE))^(1/12)</f>
        <v>1.184104185535384E-4</v>
      </c>
      <c r="G57" s="74">
        <f>1-(1-IF(D57&gt;=7,2%,VLOOKUP($D57,'Annual Lapse Rates'!$B$4:$C$14,2,FALSE)))^(1/12)</f>
        <v>4.2653187775606449E-3</v>
      </c>
      <c r="H57" s="80">
        <f t="shared" si="5"/>
        <v>2</v>
      </c>
      <c r="I57" s="65">
        <f t="shared" si="6"/>
        <v>3579.2134946786377</v>
      </c>
      <c r="J57" s="66">
        <f t="shared" si="7"/>
        <v>0.42381616799737037</v>
      </c>
      <c r="K57" s="66">
        <f t="shared" si="8"/>
        <v>15.334053840166039</v>
      </c>
      <c r="M57" s="67">
        <f t="shared" si="16"/>
        <v>44878670.682168044</v>
      </c>
      <c r="N57" s="67">
        <f>IF(AND(MOD(C57,12)=1,D57&lt;15),Assumptions!$H$4*I57,0)</f>
        <v>0</v>
      </c>
      <c r="O57" s="67"/>
      <c r="P57" s="88">
        <f t="shared" si="9"/>
        <v>196735.93895221368</v>
      </c>
      <c r="Q57" s="88">
        <f>(M57+N57-O57)*VLOOKUP(MOD(C57,12)+(MOD(C57,12)=0)*12,Assumptions!$C$22:$D$33,2,FALSE)*(F57+G57)</f>
        <v>1229.5996184513356</v>
      </c>
      <c r="R57" s="67">
        <f>IF(AND(MOD(C57,12)=0,D57&lt;15),Assumptions!$C$7*M57,0)</f>
        <v>0</v>
      </c>
      <c r="S57" s="68">
        <f>IF(MOD(C57,12)=0,M57*Assumptions!$D$17,0)</f>
        <v>0</v>
      </c>
      <c r="T57" s="68">
        <f>(M57+N57-O57-P57-Q57-R57+S57)*(D58=Assumptions!$H$9)</f>
        <v>0</v>
      </c>
      <c r="U57" s="67">
        <f>T57+AE57*(1+Assumptions!$D$17)</f>
        <v>5231026.2920894697</v>
      </c>
      <c r="V57" s="67">
        <f t="shared" si="10"/>
        <v>44680705.143597379</v>
      </c>
      <c r="W57" s="67"/>
      <c r="X57" s="67">
        <f>IF(AND(MOD(C57,12)=1,D57&lt;15),Assumptions!$D$10*N57+Assumptions!$D$11*(1+Assumptions!$D$16)^(B57-1)*I57,0)</f>
        <v>0</v>
      </c>
      <c r="Y57" s="65">
        <f>Assumptions!$C$13*N57</f>
        <v>0</v>
      </c>
      <c r="Z57" s="65">
        <f>NPV(Assumptions!$D$19,N58:$N$259)</f>
        <v>58183006.777485572</v>
      </c>
      <c r="AA57" s="68">
        <f t="shared" si="11"/>
        <v>44389.769108217879</v>
      </c>
      <c r="AB57" s="96"/>
      <c r="AC57" s="67">
        <f>(AC56+N56-P56-Q56-T56-W56-X56-Y56+AD56)*IF(D57=Assumptions!$H$9,0,1)</f>
        <v>48928227.699081548</v>
      </c>
      <c r="AD57" s="91">
        <f>(AF56+N57-W57-X57-Y57)*Assumptions!$D$19-(P57+Q57)*Assumptions!$D$19/2</f>
        <v>213503.23471010316</v>
      </c>
      <c r="AE57" s="67">
        <f>(AE56+(AD57-O57-R57-Q57-S57))*IF(D57=Assumptions!$H$9,0,1)</f>
        <v>5209800.9182603126</v>
      </c>
      <c r="AF57" s="91">
        <f t="shared" si="12"/>
        <v>49846116.292749472</v>
      </c>
      <c r="AG57" s="67">
        <f t="shared" si="13"/>
        <v>2459.1992368993524</v>
      </c>
      <c r="AH57" s="89">
        <f>AG57*Assumptions!$C$18</f>
        <v>737.75977106980565</v>
      </c>
      <c r="AI57" s="67">
        <f t="shared" si="14"/>
        <v>1721.4394658295469</v>
      </c>
      <c r="AK57" s="67">
        <f t="shared" si="15"/>
        <v>-190.56547081888857</v>
      </c>
      <c r="AL57" s="70">
        <f t="shared" si="4"/>
        <v>-2649.7649999999999</v>
      </c>
      <c r="AM57" s="80">
        <f>(O57-W57-X57-Y57-AA57)*Assumptions!$D$19</f>
        <v>-190.56547081889084</v>
      </c>
    </row>
    <row r="58" spans="2:39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4">
        <f>1-(1-VLOOKUP($E58,'Annual Mortality Rates'!$B$5:$C$105,2,FALSE))^(1/12)</f>
        <v>1.184104185535384E-4</v>
      </c>
      <c r="G58" s="74">
        <f>1-(1-IF(D58&gt;=7,2%,VLOOKUP($D58,'Annual Lapse Rates'!$B$4:$C$14,2,FALSE)))^(1/12)</f>
        <v>4.2653187775606449E-3</v>
      </c>
      <c r="H58" s="80">
        <f t="shared" si="5"/>
        <v>3</v>
      </c>
      <c r="I58" s="65">
        <f t="shared" si="6"/>
        <v>3563.4556246704742</v>
      </c>
      <c r="J58" s="66">
        <f t="shared" si="7"/>
        <v>0.4219502720141915</v>
      </c>
      <c r="K58" s="66">
        <f t="shared" si="8"/>
        <v>15.266486527751251</v>
      </c>
      <c r="M58" s="67">
        <f t="shared" si="16"/>
        <v>44680705.143597379</v>
      </c>
      <c r="N58" s="67">
        <f>IF(AND(MOD(C58,12)=1,D58&lt;15),Assumptions!$H$4*I58,0)</f>
        <v>0</v>
      </c>
      <c r="O58" s="67"/>
      <c r="P58" s="88">
        <f t="shared" si="9"/>
        <v>195868.11164095701</v>
      </c>
      <c r="Q58" s="88">
        <f>(M58+N58-O58)*VLOOKUP(MOD(C58,12)+(MOD(C58,12)=0)*12,Assumptions!$C$22:$D$33,2,FALSE)*(F58+G58)</f>
        <v>1836.2635466339721</v>
      </c>
      <c r="R58" s="67">
        <f>IF(AND(MOD(C58,12)=0,D58&lt;15),Assumptions!$C$7*M58,0)</f>
        <v>0</v>
      </c>
      <c r="S58" s="68">
        <f>IF(MOD(C58,12)=0,M58*Assumptions!$D$17,0)</f>
        <v>0</v>
      </c>
      <c r="T58" s="68">
        <f>(M58+N58-O58-P58-Q58-R58+S58)*(D59=Assumptions!$H$9)</f>
        <v>0</v>
      </c>
      <c r="U58" s="67">
        <f>T58+AE58*(1+Assumptions!$D$17)</f>
        <v>5443617.8585382178</v>
      </c>
      <c r="V58" s="67">
        <f t="shared" si="10"/>
        <v>44483000.768409789</v>
      </c>
      <c r="W58" s="67"/>
      <c r="X58" s="67">
        <f>IF(AND(MOD(C58,12)=1,D58&lt;15),Assumptions!$D$10*N58+Assumptions!$D$11*(1+Assumptions!$D$16)^(B58-1)*I58,0)</f>
        <v>0</v>
      </c>
      <c r="Y58" s="65">
        <f>Assumptions!$C$13*N58</f>
        <v>0</v>
      </c>
      <c r="Z58" s="65">
        <f>NPV(Assumptions!$D$19,N59:$N$259)</f>
        <v>58432786.677290395</v>
      </c>
      <c r="AA58" s="68">
        <f t="shared" si="11"/>
        <v>44389.769108217879</v>
      </c>
      <c r="AB58" s="96"/>
      <c r="AC58" s="67">
        <f>(AC57+N57-P57-Q57-T57-W57-X57-Y57+AD57)*IF(D58=Assumptions!$H$9,0,1)</f>
        <v>48943765.395220987</v>
      </c>
      <c r="AD58" s="91">
        <f>(AF57+N58-W58-X58-Y58)*Assumptions!$D$19-(P58+Q58)*Assumptions!$D$19/2</f>
        <v>213565.22001813358</v>
      </c>
      <c r="AE58" s="67">
        <f>(AE57+(AD58-O58-R58-Q58-S58))*IF(D58=Assumptions!$H$9,0,1)</f>
        <v>5421529.8747318126</v>
      </c>
      <c r="AF58" s="91">
        <f t="shared" si="12"/>
        <v>49860140.874033377</v>
      </c>
      <c r="AG58" s="67">
        <f t="shared" si="13"/>
        <v>3672.5270932719577</v>
      </c>
      <c r="AH58" s="89">
        <f>AG58*Assumptions!$C$18</f>
        <v>1101.7581279815872</v>
      </c>
      <c r="AI58" s="67">
        <f t="shared" si="14"/>
        <v>2570.7689652903705</v>
      </c>
      <c r="AK58" s="67">
        <f t="shared" si="15"/>
        <v>-190.56547081888857</v>
      </c>
      <c r="AL58" s="70">
        <f t="shared" si="4"/>
        <v>-3863.0929999999998</v>
      </c>
      <c r="AM58" s="80">
        <f>(O58-W58-X58-Y58-AA58)*Assumptions!$D$19</f>
        <v>-190.56547081889084</v>
      </c>
    </row>
    <row r="59" spans="2:39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4">
        <f>1-(1-VLOOKUP($E59,'Annual Mortality Rates'!$B$5:$C$105,2,FALSE))^(1/12)</f>
        <v>1.184104185535384E-4</v>
      </c>
      <c r="G59" s="74">
        <f>1-(1-IF(D59&gt;=7,2%,VLOOKUP($D59,'Annual Lapse Rates'!$B$4:$C$14,2,FALSE)))^(1/12)</f>
        <v>4.2653187775606449E-3</v>
      </c>
      <c r="H59" s="80">
        <f t="shared" si="5"/>
        <v>4</v>
      </c>
      <c r="I59" s="65">
        <f t="shared" si="6"/>
        <v>3547.7671878707088</v>
      </c>
      <c r="J59" s="66">
        <f t="shared" si="7"/>
        <v>0.42009259764628054</v>
      </c>
      <c r="K59" s="66">
        <f t="shared" si="8"/>
        <v>15.199274188911071</v>
      </c>
      <c r="M59" s="67">
        <f t="shared" si="16"/>
        <v>44483000.768409789</v>
      </c>
      <c r="N59" s="67">
        <f>IF(AND(MOD(C59,12)=1,D59&lt;15),Assumptions!$H$4*I59,0)</f>
        <v>0</v>
      </c>
      <c r="O59" s="67"/>
      <c r="P59" s="88">
        <f t="shared" si="9"/>
        <v>195001.42919924765</v>
      </c>
      <c r="Q59" s="88">
        <f>(M59+N59-O59)*VLOOKUP(MOD(C59,12)+(MOD(C59,12)=0)*12,Assumptions!$C$22:$D$33,2,FALSE)*(F59+G59)</f>
        <v>2437.5178649905956</v>
      </c>
      <c r="R59" s="67">
        <f>IF(AND(MOD(C59,12)=0,D59&lt;15),Assumptions!$C$7*M59,0)</f>
        <v>0</v>
      </c>
      <c r="S59" s="68">
        <f>IF(MOD(C59,12)=0,M59*Assumptions!$D$17,0)</f>
        <v>0</v>
      </c>
      <c r="T59" s="68">
        <f>(M59+N59-O59-P59-Q59-R59+S59)*(D60=Assumptions!$H$9)</f>
        <v>0</v>
      </c>
      <c r="U59" s="67">
        <f>T59+AE59*(1+Assumptions!$D$17)</f>
        <v>5655666.7460286217</v>
      </c>
      <c r="V59" s="67">
        <f t="shared" si="10"/>
        <v>44285561.821345553</v>
      </c>
      <c r="W59" s="67"/>
      <c r="X59" s="67">
        <f>IF(AND(MOD(C59,12)=1,D59&lt;15),Assumptions!$D$10*N59+Assumptions!$D$11*(1+Assumptions!$D$16)^(B59-1)*I59,0)</f>
        <v>0</v>
      </c>
      <c r="Y59" s="65">
        <f>Assumptions!$C$13*N59</f>
        <v>0</v>
      </c>
      <c r="Z59" s="65">
        <f>NPV(Assumptions!$D$19,N60:$N$259)</f>
        <v>58683638.883285686</v>
      </c>
      <c r="AA59" s="68">
        <f t="shared" si="11"/>
        <v>44389.769108217879</v>
      </c>
      <c r="AB59" s="96"/>
      <c r="AC59" s="67">
        <f>(AC58+N58-P58-Q58-T58-W58-X58-Y58+AD58)*IF(D59=Assumptions!$H$9,0,1)</f>
        <v>48959626.24005153</v>
      </c>
      <c r="AD59" s="91">
        <f>(AF58+N59-W59-X59-Y59)*Assumptions!$D$19-(P59+Q59)*Assumptions!$D$19/2</f>
        <v>213625.9973482989</v>
      </c>
      <c r="AE59" s="67">
        <f>(AE58+(AD59-O59-R59-Q59-S59))*IF(D59=Assumptions!$H$9,0,1)</f>
        <v>5632718.3542151209</v>
      </c>
      <c r="AF59" s="91">
        <f t="shared" si="12"/>
        <v>49873890.406452455</v>
      </c>
      <c r="AG59" s="67">
        <f t="shared" si="13"/>
        <v>4875.0357299731986</v>
      </c>
      <c r="AH59" s="89">
        <f>AG59*Assumptions!$C$18</f>
        <v>1462.5107189919595</v>
      </c>
      <c r="AI59" s="67">
        <f t="shared" si="14"/>
        <v>3412.5250109812391</v>
      </c>
      <c r="AK59" s="67">
        <f t="shared" si="15"/>
        <v>-190.56547081888857</v>
      </c>
      <c r="AL59" s="70">
        <f t="shared" si="4"/>
        <v>-5065.6009999999997</v>
      </c>
      <c r="AM59" s="80">
        <f>(O59-W59-X59-Y59-AA59)*Assumptions!$D$19</f>
        <v>-190.56547081889084</v>
      </c>
    </row>
    <row r="60" spans="2:39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4">
        <f>1-(1-VLOOKUP($E60,'Annual Mortality Rates'!$B$5:$C$105,2,FALSE))^(1/12)</f>
        <v>1.184104185535384E-4</v>
      </c>
      <c r="G60" s="74">
        <f>1-(1-IF(D60&gt;=7,2%,VLOOKUP($D60,'Annual Lapse Rates'!$B$4:$C$14,2,FALSE)))^(1/12)</f>
        <v>4.2653187775606449E-3</v>
      </c>
      <c r="H60" s="80">
        <f t="shared" si="5"/>
        <v>5</v>
      </c>
      <c r="I60" s="65">
        <f t="shared" si="6"/>
        <v>3532.1478210841515</v>
      </c>
      <c r="J60" s="66">
        <f t="shared" si="7"/>
        <v>0.41824310188754305</v>
      </c>
      <c r="K60" s="66">
        <f t="shared" si="8"/>
        <v>15.132358004838458</v>
      </c>
      <c r="M60" s="67">
        <f t="shared" si="16"/>
        <v>44285561.821345553</v>
      </c>
      <c r="N60" s="67">
        <f>IF(AND(MOD(C60,12)=1,D60&lt;15),Assumptions!$H$4*I60,0)</f>
        <v>0</v>
      </c>
      <c r="O60" s="67"/>
      <c r="P60" s="88">
        <f t="shared" si="9"/>
        <v>194135.91032255211</v>
      </c>
      <c r="Q60" s="88">
        <f>(M60+N60-O60)*VLOOKUP(MOD(C60,12)+(MOD(C60,12)=0)*12,Assumptions!$C$22:$D$33,2,FALSE)*(F60+G60)</f>
        <v>3033.3735987898767</v>
      </c>
      <c r="R60" s="67">
        <f>IF(AND(MOD(C60,12)=0,D60&lt;15),Assumptions!$C$7*M60,0)</f>
        <v>0</v>
      </c>
      <c r="S60" s="68">
        <f>IF(MOD(C60,12)=0,M60*Assumptions!$D$17,0)</f>
        <v>0</v>
      </c>
      <c r="T60" s="68">
        <f>(M60+N60-O60-P60-Q60-R60+S60)*(D61=Assumptions!$H$9)</f>
        <v>0</v>
      </c>
      <c r="U60" s="67">
        <f>T60+AE60*(1+Assumptions!$D$17)</f>
        <v>5867177.198670621</v>
      </c>
      <c r="V60" s="67">
        <f t="shared" si="10"/>
        <v>44088392.537424207</v>
      </c>
      <c r="W60" s="67"/>
      <c r="X60" s="67">
        <f>IF(AND(MOD(C60,12)=1,D60&lt;15),Assumptions!$D$10*N60+Assumptions!$D$11*(1+Assumptions!$D$16)^(B60-1)*I60,0)</f>
        <v>0</v>
      </c>
      <c r="Y60" s="65">
        <f>Assumptions!$C$13*N60</f>
        <v>0</v>
      </c>
      <c r="Z60" s="65">
        <f>NPV(Assumptions!$D$19,N61:$N$259)</f>
        <v>58935567.998886541</v>
      </c>
      <c r="AA60" s="68">
        <f t="shared" si="11"/>
        <v>44389.769108217879</v>
      </c>
      <c r="AB60" s="96"/>
      <c r="AC60" s="67">
        <f>(AC59+N59-P59-Q59-T59-W59-X59-Y59+AD59)*IF(D60=Assumptions!$H$9,0,1)</f>
        <v>48975813.290335596</v>
      </c>
      <c r="AD60" s="91">
        <f>(AF59+N60-W60-X60-Y60)*Assumptions!$D$19-(P60+Q60)*Assumptions!$D$19/2</f>
        <v>213685.60298297624</v>
      </c>
      <c r="AE60" s="67">
        <f>(AE59+(AD60-O60-R60-Q60-S60))*IF(D60=Assumptions!$H$9,0,1)</f>
        <v>5843370.5835993076</v>
      </c>
      <c r="AF60" s="91">
        <f t="shared" si="12"/>
        <v>49887373.351915292</v>
      </c>
      <c r="AG60" s="67">
        <f t="shared" si="13"/>
        <v>6066.7471975863155</v>
      </c>
      <c r="AH60" s="89">
        <f>AG60*Assumptions!$C$18</f>
        <v>1820.0241592758946</v>
      </c>
      <c r="AI60" s="67">
        <f t="shared" si="14"/>
        <v>4246.7230383104206</v>
      </c>
      <c r="AK60" s="67">
        <f t="shared" si="15"/>
        <v>-190.56547081888857</v>
      </c>
      <c r="AL60" s="70">
        <f t="shared" si="4"/>
        <v>-6257.3130000000001</v>
      </c>
      <c r="AM60" s="80">
        <f>(O60-W60-X60-Y60-AA60)*Assumptions!$D$19</f>
        <v>-190.56547081889084</v>
      </c>
    </row>
    <row r="61" spans="2:39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4">
        <f>1-(1-VLOOKUP($E61,'Annual Mortality Rates'!$B$5:$C$105,2,FALSE))^(1/12)</f>
        <v>1.184104185535384E-4</v>
      </c>
      <c r="G61" s="74">
        <f>1-(1-IF(D61&gt;=7,2%,VLOOKUP($D61,'Annual Lapse Rates'!$B$4:$C$14,2,FALSE)))^(1/12)</f>
        <v>4.2653187775606449E-3</v>
      </c>
      <c r="H61" s="80">
        <f t="shared" si="5"/>
        <v>6</v>
      </c>
      <c r="I61" s="65">
        <f t="shared" si="6"/>
        <v>3516.5972199774255</v>
      </c>
      <c r="J61" s="66">
        <f t="shared" si="7"/>
        <v>0.41640174870173652</v>
      </c>
      <c r="K61" s="66">
        <f t="shared" si="8"/>
        <v>15.065736426390149</v>
      </c>
      <c r="M61" s="67">
        <f t="shared" si="16"/>
        <v>44088392.537424207</v>
      </c>
      <c r="N61" s="67">
        <f>IF(AND(MOD(C61,12)=1,D61&lt;15),Assumptions!$H$4*I61,0)</f>
        <v>0</v>
      </c>
      <c r="O61" s="67"/>
      <c r="P61" s="88">
        <f t="shared" si="9"/>
        <v>193271.57357604918</v>
      </c>
      <c r="Q61" s="88">
        <f>(M61+N61-O61)*VLOOKUP(MOD(C61,12)+(MOD(C61,12)=0)*12,Assumptions!$C$22:$D$33,2,FALSE)*(F61+G61)</f>
        <v>3623.8420045509224</v>
      </c>
      <c r="R61" s="67">
        <f>IF(AND(MOD(C61,12)=0,D61&lt;15),Assumptions!$C$7*M61,0)</f>
        <v>0</v>
      </c>
      <c r="S61" s="68">
        <f>IF(MOD(C61,12)=0,M61*Assumptions!$D$17,0)</f>
        <v>0</v>
      </c>
      <c r="T61" s="68">
        <f>(M61+N61-O61-P61-Q61-R61+S61)*(D62=Assumptions!$H$9)</f>
        <v>0</v>
      </c>
      <c r="U61" s="67">
        <f>T61+AE61*(1+Assumptions!$D$17)</f>
        <v>6078153.4856825126</v>
      </c>
      <c r="V61" s="67">
        <f t="shared" si="10"/>
        <v>43891497.121843606</v>
      </c>
      <c r="W61" s="67"/>
      <c r="X61" s="67">
        <f>IF(AND(MOD(C61,12)=1,D61&lt;15),Assumptions!$D$10*N61+Assumptions!$D$11*(1+Assumptions!$D$16)^(B61-1)*I61,0)</f>
        <v>0</v>
      </c>
      <c r="Y61" s="65">
        <f>Assumptions!$C$13*N61</f>
        <v>0</v>
      </c>
      <c r="Z61" s="65">
        <f>NPV(Assumptions!$D$19,N62:$N$259)</f>
        <v>59188578.64727053</v>
      </c>
      <c r="AA61" s="68">
        <f t="shared" si="11"/>
        <v>44389.769108217879</v>
      </c>
      <c r="AB61" s="96"/>
      <c r="AC61" s="67">
        <f>(AC60+N60-P60-Q60-T60-W60-X60-Y60+AD60)*IF(D61=Assumptions!$H$9,0,1)</f>
        <v>48992329.609397225</v>
      </c>
      <c r="AD61" s="91">
        <f>(AF60+N61-W61-X61-Y61)*Assumptions!$D$19-(P61+Q61)*Assumptions!$D$19/2</f>
        <v>213744.0731851634</v>
      </c>
      <c r="AE61" s="67">
        <f>(AE60+(AD61-O61-R61-Q61-S61))*IF(D61=Assumptions!$H$9,0,1)</f>
        <v>6053490.8147799205</v>
      </c>
      <c r="AF61" s="91">
        <f t="shared" si="12"/>
        <v>49900598.167515308</v>
      </c>
      <c r="AG61" s="67">
        <f t="shared" si="13"/>
        <v>7247.6840090990008</v>
      </c>
      <c r="AH61" s="89">
        <f>AG61*Assumptions!$C$18</f>
        <v>2174.3052027297003</v>
      </c>
      <c r="AI61" s="67">
        <f t="shared" si="14"/>
        <v>5073.3788063693009</v>
      </c>
      <c r="AK61" s="67">
        <f t="shared" si="15"/>
        <v>-190.56547081888857</v>
      </c>
      <c r="AL61" s="70">
        <f t="shared" si="4"/>
        <v>-7438.2489999999998</v>
      </c>
      <c r="AM61" s="80">
        <f>(O61-W61-X61-Y61-AA61)*Assumptions!$D$19</f>
        <v>-190.56547081889084</v>
      </c>
    </row>
    <row r="62" spans="2:39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4">
        <f>1-(1-VLOOKUP($E62,'Annual Mortality Rates'!$B$5:$C$105,2,FALSE))^(1/12)</f>
        <v>1.184104185535384E-4</v>
      </c>
      <c r="G62" s="74">
        <f>1-(1-IF(D62&gt;=7,2%,VLOOKUP($D62,'Annual Lapse Rates'!$B$4:$C$14,2,FALSE)))^(1/12)</f>
        <v>4.2653187775606449E-3</v>
      </c>
      <c r="H62" s="80">
        <f t="shared" si="5"/>
        <v>7</v>
      </c>
      <c r="I62" s="65">
        <f t="shared" si="6"/>
        <v>3501.1150818023334</v>
      </c>
      <c r="J62" s="66">
        <f t="shared" si="7"/>
        <v>0.4145685022403201</v>
      </c>
      <c r="K62" s="66">
        <f t="shared" si="8"/>
        <v>14.999408155487275</v>
      </c>
      <c r="M62" s="67">
        <f t="shared" si="16"/>
        <v>43891497.121843606</v>
      </c>
      <c r="N62" s="67">
        <f>IF(AND(MOD(C62,12)=1,D62&lt;15),Assumptions!$H$4*I62,0)</f>
        <v>0</v>
      </c>
      <c r="O62" s="67"/>
      <c r="P62" s="88">
        <f t="shared" si="9"/>
        <v>192408.43739418747</v>
      </c>
      <c r="Q62" s="88">
        <f>(M62+N62-O62)*VLOOKUP(MOD(C62,12)+(MOD(C62,12)=0)*12,Assumptions!$C$22:$D$33,2,FALSE)*(F62+G62)</f>
        <v>4208.9345679978514</v>
      </c>
      <c r="R62" s="67">
        <f>IF(AND(MOD(C62,12)=0,D62&lt;15),Assumptions!$C$7*M62,0)</f>
        <v>0</v>
      </c>
      <c r="S62" s="68">
        <f>IF(MOD(C62,12)=0,M62*Assumptions!$D$17,0)</f>
        <v>0</v>
      </c>
      <c r="T62" s="68">
        <f>(M62+N62-O62-P62-Q62-R62+S62)*(D63=Assumptions!$H$9)</f>
        <v>0</v>
      </c>
      <c r="U62" s="67">
        <f>T62+AE62*(1+Assumptions!$D$17)</f>
        <v>6288599.9011398442</v>
      </c>
      <c r="V62" s="67">
        <f t="shared" si="10"/>
        <v>43694879.749881424</v>
      </c>
      <c r="W62" s="67"/>
      <c r="X62" s="67">
        <f>IF(AND(MOD(C62,12)=1,D62&lt;15),Assumptions!$D$10*N62+Assumptions!$D$11*(1+Assumptions!$D$16)^(B62-1)*I62,0)</f>
        <v>0</v>
      </c>
      <c r="Y62" s="65">
        <f>Assumptions!$C$13*N62</f>
        <v>0</v>
      </c>
      <c r="Z62" s="65">
        <f>NPV(Assumptions!$D$19,N63:$N$259)</f>
        <v>59442675.471462622</v>
      </c>
      <c r="AA62" s="68">
        <f t="shared" si="11"/>
        <v>44389.769108217879</v>
      </c>
      <c r="AB62" s="96"/>
      <c r="AC62" s="67">
        <f>(AC61+N61-P61-Q61-T61-W61-X61-Y61+AD61)*IF(D62=Assumptions!$H$9,0,1)</f>
        <v>49009178.267001785</v>
      </c>
      <c r="AD62" s="91">
        <f>(AF61+N62-W62-X62-Y62)*Assumptions!$D$19-(P62+Q62)*Assumptions!$D$19/2</f>
        <v>213801.44419697532</v>
      </c>
      <c r="AE62" s="67">
        <f>(AE61+(AD62-O62-R62-Q62-S62))*IF(D62=Assumptions!$H$9,0,1)</f>
        <v>6263083.3244088981</v>
      </c>
      <c r="AF62" s="91">
        <f t="shared" si="12"/>
        <v>49913573.305182099</v>
      </c>
      <c r="AG62" s="67">
        <f t="shared" si="13"/>
        <v>8417.8691359961813</v>
      </c>
      <c r="AH62" s="89">
        <f>AG62*Assumptions!$C$18</f>
        <v>2525.3607407988543</v>
      </c>
      <c r="AI62" s="67">
        <f t="shared" si="14"/>
        <v>5892.5083951973265</v>
      </c>
      <c r="AK62" s="67">
        <f t="shared" si="15"/>
        <v>-190.56547081888857</v>
      </c>
      <c r="AL62" s="70">
        <f t="shared" si="4"/>
        <v>-8608.4349999999995</v>
      </c>
      <c r="AM62" s="80">
        <f>(O62-W62-X62-Y62-AA62)*Assumptions!$D$19</f>
        <v>-190.56547081889084</v>
      </c>
    </row>
    <row r="63" spans="2:39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4">
        <f>1-(1-VLOOKUP($E63,'Annual Mortality Rates'!$B$5:$C$105,2,FALSE))^(1/12)</f>
        <v>1.184104185535384E-4</v>
      </c>
      <c r="G63" s="74">
        <f>1-(1-IF(D63&gt;=7,2%,VLOOKUP($D63,'Annual Lapse Rates'!$B$4:$C$14,2,FALSE)))^(1/12)</f>
        <v>4.2653187775606449E-3</v>
      </c>
      <c r="H63" s="80">
        <f t="shared" si="5"/>
        <v>8</v>
      </c>
      <c r="I63" s="65">
        <f t="shared" si="6"/>
        <v>3485.7011051446057</v>
      </c>
      <c r="J63" s="66">
        <f t="shared" si="7"/>
        <v>0.41274332681270409</v>
      </c>
      <c r="K63" s="66">
        <f t="shared" si="8"/>
        <v>14.933371900812267</v>
      </c>
      <c r="M63" s="67">
        <f t="shared" si="16"/>
        <v>43694879.749881424</v>
      </c>
      <c r="N63" s="67">
        <f>IF(AND(MOD(C63,12)=1,D63&lt;15),Assumptions!$H$4*I63,0)</f>
        <v>0</v>
      </c>
      <c r="O63" s="67"/>
      <c r="P63" s="88">
        <f t="shared" si="9"/>
        <v>191546.5200802536</v>
      </c>
      <c r="Q63" s="88">
        <f>(M63+N63-O63)*VLOOKUP(MOD(C63,12)+(MOD(C63,12)=0)*12,Assumptions!$C$22:$D$33,2,FALSE)*(F63+G63)</f>
        <v>4788.6630020063403</v>
      </c>
      <c r="R63" s="67">
        <f>IF(AND(MOD(C63,12)=0,D63&lt;15),Assumptions!$C$7*M63,0)</f>
        <v>0</v>
      </c>
      <c r="S63" s="68">
        <f>IF(MOD(C63,12)=0,M63*Assumptions!$D$17,0)</f>
        <v>0</v>
      </c>
      <c r="T63" s="68">
        <f>(M63+N63-O63-P63-Q63-R63+S63)*(D64=Assumptions!$H$9)</f>
        <v>0</v>
      </c>
      <c r="U63" s="67">
        <f>T63+AE63*(1+Assumptions!$D$17)</f>
        <v>6498520.7637248719</v>
      </c>
      <c r="V63" s="67">
        <f t="shared" si="10"/>
        <v>43498544.566799164</v>
      </c>
      <c r="W63" s="67"/>
      <c r="X63" s="67">
        <f>IF(AND(MOD(C63,12)=1,D63&lt;15),Assumptions!$D$10*N63+Assumptions!$D$11*(1+Assumptions!$D$16)^(B63-1)*I63,0)</f>
        <v>0</v>
      </c>
      <c r="Y63" s="65">
        <f>Assumptions!$C$13*N63</f>
        <v>0</v>
      </c>
      <c r="Z63" s="65">
        <f>NPV(Assumptions!$D$19,N64:$N$259)</f>
        <v>59697863.134420216</v>
      </c>
      <c r="AA63" s="68">
        <f t="shared" si="11"/>
        <v>44389.769108217879</v>
      </c>
      <c r="AB63" s="96"/>
      <c r="AC63" s="67">
        <f>(AC62+N62-P62-Q62-T62-W62-X62-Y62+AD62)*IF(D63=Assumptions!$H$9,0,1)</f>
        <v>49026362.33923658</v>
      </c>
      <c r="AD63" s="91">
        <f>(AF62+N63-W63-X63-Y63)*Assumptions!$D$19-(P63+Q63)*Assumptions!$D$19/2</f>
        <v>213857.75223815255</v>
      </c>
      <c r="AE63" s="67">
        <f>(AE62+(AD63-O63-R63-Q63-S63))*IF(D63=Assumptions!$H$9,0,1)</f>
        <v>6472152.413645044</v>
      </c>
      <c r="AF63" s="91">
        <f t="shared" si="12"/>
        <v>49926307.211335987</v>
      </c>
      <c r="AG63" s="67">
        <f t="shared" si="13"/>
        <v>9577.3260040114401</v>
      </c>
      <c r="AH63" s="89">
        <f>AG63*Assumptions!$C$18</f>
        <v>2873.1978012034319</v>
      </c>
      <c r="AI63" s="67">
        <f t="shared" si="14"/>
        <v>6704.1282028080077</v>
      </c>
      <c r="AK63" s="67">
        <f t="shared" si="15"/>
        <v>-190.56547081888857</v>
      </c>
      <c r="AL63" s="70">
        <f t="shared" si="4"/>
        <v>-9767.8909999999996</v>
      </c>
      <c r="AM63" s="80">
        <f>(O63-W63-X63-Y63-AA63)*Assumptions!$D$19</f>
        <v>-190.56547081889084</v>
      </c>
    </row>
    <row r="64" spans="2:39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4">
        <f>1-(1-VLOOKUP($E64,'Annual Mortality Rates'!$B$5:$C$105,2,FALSE))^(1/12)</f>
        <v>1.184104185535384E-4</v>
      </c>
      <c r="G64" s="74">
        <f>1-(1-IF(D64&gt;=7,2%,VLOOKUP($D64,'Annual Lapse Rates'!$B$4:$C$14,2,FALSE)))^(1/12)</f>
        <v>4.2653187775606449E-3</v>
      </c>
      <c r="H64" s="80">
        <f t="shared" si="5"/>
        <v>9</v>
      </c>
      <c r="I64" s="65">
        <f t="shared" si="6"/>
        <v>3470.3549899169807</v>
      </c>
      <c r="J64" s="66">
        <f t="shared" si="7"/>
        <v>0.4109261868854302</v>
      </c>
      <c r="K64" s="66">
        <f t="shared" si="8"/>
        <v>14.867626376737178</v>
      </c>
      <c r="M64" s="67">
        <f t="shared" si="16"/>
        <v>43498544.566799164</v>
      </c>
      <c r="N64" s="67">
        <f>IF(AND(MOD(C64,12)=1,D64&lt;15),Assumptions!$H$4*I64,0)</f>
        <v>0</v>
      </c>
      <c r="O64" s="67"/>
      <c r="P64" s="88">
        <f t="shared" si="9"/>
        <v>190685.83980595149</v>
      </c>
      <c r="Q64" s="88">
        <f>(M64+N64-O64)*VLOOKUP(MOD(C64,12)+(MOD(C64,12)=0)*12,Assumptions!$C$22:$D$33,2,FALSE)*(F64+G64)</f>
        <v>5363.0392445423849</v>
      </c>
      <c r="R64" s="67">
        <f>IF(AND(MOD(C64,12)=0,D64&lt;15),Assumptions!$C$7*M64,0)</f>
        <v>0</v>
      </c>
      <c r="S64" s="68">
        <f>IF(MOD(C64,12)=0,M64*Assumptions!$D$17,0)</f>
        <v>0</v>
      </c>
      <c r="T64" s="68">
        <f>(M64+N64-O64-P64-Q64-R64+S64)*(D65=Assumptions!$H$9)</f>
        <v>0</v>
      </c>
      <c r="U64" s="67">
        <f>T64+AE64*(1+Assumptions!$D$17)</f>
        <v>6707920.4164766083</v>
      </c>
      <c r="V64" s="67">
        <f t="shared" si="10"/>
        <v>43302495.687748671</v>
      </c>
      <c r="W64" s="67"/>
      <c r="X64" s="67">
        <f>IF(AND(MOD(C64,12)=1,D64&lt;15),Assumptions!$D$10*N64+Assumptions!$D$11*(1+Assumptions!$D$16)^(B64-1)*I64,0)</f>
        <v>0</v>
      </c>
      <c r="Y64" s="65">
        <f>Assumptions!$C$13*N64</f>
        <v>0</v>
      </c>
      <c r="Z64" s="65">
        <f>NPV(Assumptions!$D$19,N65:$N$259)</f>
        <v>59954146.319118887</v>
      </c>
      <c r="AA64" s="68">
        <f t="shared" si="11"/>
        <v>44389.769108217879</v>
      </c>
      <c r="AB64" s="96"/>
      <c r="AC64" s="67">
        <f>(AC63+N63-P63-Q63-T63-W63-X63-Y63+AD63)*IF(D64=Assumptions!$H$9,0,1)</f>
        <v>49043884.908392474</v>
      </c>
      <c r="AD64" s="91">
        <f>(AF63+N64-W64-X64-Y64)*Assumptions!$D$19-(P64+Q64)*Assumptions!$D$19/2</f>
        <v>213913.03350458361</v>
      </c>
      <c r="AE64" s="67">
        <f>(AE63+(AD64-O64-R64-Q64-S64))*IF(D64=Assumptions!$H$9,0,1)</f>
        <v>6680702.407905085</v>
      </c>
      <c r="AF64" s="91">
        <f t="shared" si="12"/>
        <v>49938808.326545537</v>
      </c>
      <c r="AG64" s="67">
        <f t="shared" si="13"/>
        <v>10726.078489082458</v>
      </c>
      <c r="AH64" s="89">
        <f>AG64*Assumptions!$C$18</f>
        <v>3217.8235467247373</v>
      </c>
      <c r="AI64" s="67">
        <f t="shared" si="14"/>
        <v>7508.2549423577202</v>
      </c>
      <c r="AK64" s="67">
        <f t="shared" si="15"/>
        <v>-190.56547081888857</v>
      </c>
      <c r="AL64" s="70">
        <f t="shared" si="4"/>
        <v>-10916.644</v>
      </c>
      <c r="AM64" s="80">
        <f>(O64-W64-X64-Y64-AA64)*Assumptions!$D$19</f>
        <v>-190.56547081889084</v>
      </c>
    </row>
    <row r="65" spans="2:39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4">
        <f>1-(1-VLOOKUP($E65,'Annual Mortality Rates'!$B$5:$C$105,2,FALSE))^(1/12)</f>
        <v>1.184104185535384E-4</v>
      </c>
      <c r="G65" s="74">
        <f>1-(1-IF(D65&gt;=7,2%,VLOOKUP($D65,'Annual Lapse Rates'!$B$4:$C$14,2,FALSE)))^(1/12)</f>
        <v>4.2653187775606449E-3</v>
      </c>
      <c r="H65" s="80">
        <f t="shared" si="5"/>
        <v>10</v>
      </c>
      <c r="I65" s="65">
        <f t="shared" si="6"/>
        <v>3455.0764373533584</v>
      </c>
      <c r="J65" s="66">
        <f t="shared" si="7"/>
        <v>0.40911704708147945</v>
      </c>
      <c r="K65" s="66">
        <f t="shared" si="8"/>
        <v>14.802170303294181</v>
      </c>
      <c r="M65" s="67">
        <f t="shared" si="16"/>
        <v>43302495.687748671</v>
      </c>
      <c r="N65" s="67">
        <f>IF(AND(MOD(C65,12)=1,D65&lt;15),Assumptions!$H$4*I65,0)</f>
        <v>0</v>
      </c>
      <c r="O65" s="67"/>
      <c r="P65" s="88">
        <f t="shared" si="9"/>
        <v>189826.41461099236</v>
      </c>
      <c r="Q65" s="88">
        <f>(M65+N65-O65)*VLOOKUP(MOD(C65,12)+(MOD(C65,12)=0)*12,Assumptions!$C$22:$D$33,2,FALSE)*(F65+G65)</f>
        <v>5932.0754565935113</v>
      </c>
      <c r="R65" s="67">
        <f>IF(AND(MOD(C65,12)=0,D65&lt;15),Assumptions!$C$7*M65,0)</f>
        <v>0</v>
      </c>
      <c r="S65" s="68">
        <f>IF(MOD(C65,12)=0,M65*Assumptions!$D$17,0)</f>
        <v>0</v>
      </c>
      <c r="T65" s="68">
        <f>(M65+N65-O65-P65-Q65-R65+S65)*(D66=Assumptions!$H$9)</f>
        <v>0</v>
      </c>
      <c r="U65" s="67">
        <f>T65+AE65*(1+Assumptions!$D$17)</f>
        <v>6916803.2265414624</v>
      </c>
      <c r="V65" s="67">
        <f t="shared" si="10"/>
        <v>43106737.197681084</v>
      </c>
      <c r="W65" s="67"/>
      <c r="X65" s="67">
        <f>IF(AND(MOD(C65,12)=1,D65&lt;15),Assumptions!$D$10*N65+Assumptions!$D$11*(1+Assumptions!$D$16)^(B65-1)*I65,0)</f>
        <v>0</v>
      </c>
      <c r="Y65" s="65">
        <f>Assumptions!$C$13*N65</f>
        <v>0</v>
      </c>
      <c r="Z65" s="65">
        <f>NPV(Assumptions!$D$19,N66:$N$259)</f>
        <v>60211529.728638195</v>
      </c>
      <c r="AA65" s="68">
        <f t="shared" si="11"/>
        <v>44389.769108217879</v>
      </c>
      <c r="AB65" s="96"/>
      <c r="AC65" s="67">
        <f>(AC64+N64-P64-Q64-T64-W64-X64-Y64+AD64)*IF(D65=Assumptions!$H$9,0,1)</f>
        <v>49061749.062846564</v>
      </c>
      <c r="AD65" s="91">
        <f>(AF64+N65-W65-X65-Y65)*Assumptions!$D$19-(P65+Q65)*Assumptions!$D$19/2</f>
        <v>213967.32416684</v>
      </c>
      <c r="AE65" s="67">
        <f>(AE64+(AD65-O65-R65-Q65-S65))*IF(D65=Assumptions!$H$9,0,1)</f>
        <v>6888737.6566153318</v>
      </c>
      <c r="AF65" s="91">
        <f t="shared" si="12"/>
        <v>49951085.085188195</v>
      </c>
      <c r="AG65" s="67">
        <f t="shared" si="13"/>
        <v>11864.150913189049</v>
      </c>
      <c r="AH65" s="89">
        <f>AG65*Assumptions!$C$18</f>
        <v>3559.2452739567148</v>
      </c>
      <c r="AI65" s="67">
        <f t="shared" si="14"/>
        <v>8304.9056392323346</v>
      </c>
      <c r="AK65" s="67">
        <f t="shared" si="15"/>
        <v>-190.56547081888857</v>
      </c>
      <c r="AL65" s="70">
        <f t="shared" si="4"/>
        <v>-12054.716</v>
      </c>
      <c r="AM65" s="80">
        <f>(O65-W65-X65-Y65-AA65)*Assumptions!$D$19</f>
        <v>-190.56547081889084</v>
      </c>
    </row>
    <row r="66" spans="2:39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4">
        <f>1-(1-VLOOKUP($E66,'Annual Mortality Rates'!$B$5:$C$105,2,FALSE))^(1/12)</f>
        <v>1.184104185535384E-4</v>
      </c>
      <c r="G66" s="74">
        <f>1-(1-IF(D66&gt;=7,2%,VLOOKUP($D66,'Annual Lapse Rates'!$B$4:$C$14,2,FALSE)))^(1/12)</f>
        <v>4.2653187775606449E-3</v>
      </c>
      <c r="H66" s="80">
        <f t="shared" si="5"/>
        <v>11</v>
      </c>
      <c r="I66" s="65">
        <f t="shared" si="6"/>
        <v>3439.8651500029828</v>
      </c>
      <c r="J66" s="66">
        <f t="shared" si="7"/>
        <v>0.40731587217958332</v>
      </c>
      <c r="K66" s="66">
        <f t="shared" si="8"/>
        <v>14.737002406150616</v>
      </c>
      <c r="M66" s="67">
        <f t="shared" si="16"/>
        <v>43106737.197681084</v>
      </c>
      <c r="N66" s="67">
        <f>IF(AND(MOD(C66,12)=1,D66&lt;15),Assumptions!$H$4*I66,0)</f>
        <v>0</v>
      </c>
      <c r="O66" s="67"/>
      <c r="P66" s="88">
        <f t="shared" si="9"/>
        <v>188968.26240269587</v>
      </c>
      <c r="Q66" s="88">
        <f>(M66+N66-O66)*VLOOKUP(MOD(C66,12)+(MOD(C66,12)=0)*12,Assumptions!$C$22:$D$33,2,FALSE)*(F66+G66)</f>
        <v>6495.7840200926712</v>
      </c>
      <c r="R66" s="67">
        <f>IF(AND(MOD(C66,12)=0,D66&lt;15),Assumptions!$C$7*M66,0)</f>
        <v>0</v>
      </c>
      <c r="S66" s="68">
        <f>IF(MOD(C66,12)=0,M66*Assumptions!$D$17,0)</f>
        <v>0</v>
      </c>
      <c r="T66" s="68">
        <f>(M66+N66-O66-P66-Q66-R66+S66)*(D67=Assumptions!$H$9)</f>
        <v>0</v>
      </c>
      <c r="U66" s="67">
        <f>T66+AE66*(1+Assumptions!$D$17)</f>
        <v>7125173.5849245256</v>
      </c>
      <c r="V66" s="67">
        <f t="shared" si="10"/>
        <v>42911273.15125829</v>
      </c>
      <c r="W66" s="67"/>
      <c r="X66" s="67">
        <f>IF(AND(MOD(C66,12)=1,D66&lt;15),Assumptions!$D$10*N66+Assumptions!$D$11*(1+Assumptions!$D$16)^(B66-1)*I66,0)</f>
        <v>0</v>
      </c>
      <c r="Y66" s="65">
        <f>Assumptions!$C$13*N66</f>
        <v>0</v>
      </c>
      <c r="Z66" s="65">
        <f>NPV(Assumptions!$D$19,N67:$N$259)</f>
        <v>60470018.08624804</v>
      </c>
      <c r="AA66" s="68">
        <f t="shared" si="11"/>
        <v>44389.769108217879</v>
      </c>
      <c r="AB66" s="96"/>
      <c r="AC66" s="67">
        <f>(AC65+N65-P65-Q65-T65-W65-X65-Y65+AD65)*IF(D66=Assumptions!$H$9,0,1)</f>
        <v>49079957.896945819</v>
      </c>
      <c r="AD66" s="91">
        <f>(AF65+N66-W66-X66-Y66)*Assumptions!$D$19-(P66+Q66)*Assumptions!$D$19/2</f>
        <v>214020.66036872461</v>
      </c>
      <c r="AE66" s="67">
        <f>(AE65+(AD66-O66-R66-Q66-S66))*IF(D66=Assumptions!$H$9,0,1)</f>
        <v>7096262.5329639642</v>
      </c>
      <c r="AF66" s="91">
        <f t="shared" si="12"/>
        <v>49963145.91511403</v>
      </c>
      <c r="AG66" s="67">
        <f t="shared" si="13"/>
        <v>12991.568040193612</v>
      </c>
      <c r="AH66" s="89">
        <f>AG66*Assumptions!$C$18</f>
        <v>3897.4704120580832</v>
      </c>
      <c r="AI66" s="67">
        <f t="shared" si="14"/>
        <v>9094.0976281355288</v>
      </c>
      <c r="AK66" s="67">
        <f t="shared" si="15"/>
        <v>-190.56547081888857</v>
      </c>
      <c r="AL66" s="70">
        <f t="shared" si="4"/>
        <v>-13182.134</v>
      </c>
      <c r="AM66" s="80">
        <f>(O66-W66-X66-Y66-AA66)*Assumptions!$D$19</f>
        <v>-190.56547081889084</v>
      </c>
    </row>
    <row r="67" spans="2:39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4">
        <f>1-(1-VLOOKUP($E67,'Annual Mortality Rates'!$B$5:$C$105,2,FALSE))^(1/12)</f>
        <v>1.184104185535384E-4</v>
      </c>
      <c r="G67" s="74">
        <f>1-(1-IF(D67&gt;=7,2%,VLOOKUP($D67,'Annual Lapse Rates'!$B$4:$C$14,2,FALSE)))^(1/12)</f>
        <v>4.2653187775606449E-3</v>
      </c>
      <c r="H67" s="80">
        <f t="shared" si="5"/>
        <v>12</v>
      </c>
      <c r="I67" s="65">
        <f t="shared" si="6"/>
        <v>3424.7208317246527</v>
      </c>
      <c r="J67" s="66">
        <f t="shared" si="7"/>
        <v>0.40552262711353826</v>
      </c>
      <c r="K67" s="66">
        <f t="shared" si="8"/>
        <v>14.672121416584186</v>
      </c>
      <c r="M67" s="67">
        <f t="shared" si="16"/>
        <v>42911273.15125829</v>
      </c>
      <c r="N67" s="67">
        <f>IF(AND(MOD(C67,12)=1,D67&lt;15),Assumptions!$H$4*I67,0)</f>
        <v>0</v>
      </c>
      <c r="O67" s="67"/>
      <c r="P67" s="88">
        <f t="shared" si="9"/>
        <v>188111.40095560165</v>
      </c>
      <c r="Q67" s="88">
        <f>(M67+N67-O67)*VLOOKUP(MOD(C67,12)+(MOD(C67,12)=0)*12,Assumptions!$C$22:$D$33,2,FALSE)*(F67+G67)</f>
        <v>7054.1775358350633</v>
      </c>
      <c r="R67" s="67">
        <f>IF(AND(MOD(C67,12)=0,D67&lt;15),Assumptions!$C$7*M67,0)</f>
        <v>21455.636575629145</v>
      </c>
      <c r="S67" s="68">
        <f>IF(MOD(C67,12)=0,M67*Assumptions!$D$17,0)</f>
        <v>174825.83853217243</v>
      </c>
      <c r="T67" s="68">
        <f>(M67+N67-O67-P67-Q67-R67+S67)*(D68=Assumptions!$H$9)</f>
        <v>0</v>
      </c>
      <c r="U67" s="67">
        <f>T67+AE67*(1+Assumptions!$D$17)</f>
        <v>7135954.7561076619</v>
      </c>
      <c r="V67" s="67">
        <f t="shared" si="10"/>
        <v>42869477.774723396</v>
      </c>
      <c r="W67" s="67"/>
      <c r="X67" s="67">
        <f>IF(AND(MOD(C67,12)=1,D67&lt;15),Assumptions!$D$10*N67+Assumptions!$D$11*(1+Assumptions!$D$16)^(B67-1)*I67,0)</f>
        <v>0</v>
      </c>
      <c r="Y67" s="65">
        <f>Assumptions!$C$13*N67</f>
        <v>0</v>
      </c>
      <c r="Z67" s="65">
        <f>NPV(Assumptions!$D$19,N68:$N$259)</f>
        <v>60729616.135495365</v>
      </c>
      <c r="AA67" s="68">
        <f t="shared" si="11"/>
        <v>44389.769108217879</v>
      </c>
      <c r="AB67" s="96"/>
      <c r="AC67" s="67">
        <f>(AC66+N66-P66-Q66-T66-W66-X66-Y66+AD66)*IF(D67=Assumptions!$H$9,0,1)</f>
        <v>49098514.51089175</v>
      </c>
      <c r="AD67" s="91">
        <f>(AF66+N67-W67-X67-Y67)*Assumptions!$D$19-(P67+Q67)*Assumptions!$D$19/2</f>
        <v>214073.0782258336</v>
      </c>
      <c r="AE67" s="67">
        <f>(AE66+(AD67-O67-R67-Q67-S67))*IF(D67=Assumptions!$H$9,0,1)</f>
        <v>7106999.9585461607</v>
      </c>
      <c r="AF67" s="91">
        <f t="shared" si="12"/>
        <v>49932087.964161336</v>
      </c>
      <c r="AG67" s="67">
        <f t="shared" si="13"/>
        <v>57019.628222925763</v>
      </c>
      <c r="AH67" s="89">
        <f>AG67*Assumptions!$C$18</f>
        <v>17105.888466877728</v>
      </c>
      <c r="AI67" s="67">
        <f t="shared" si="14"/>
        <v>39913.739756048031</v>
      </c>
      <c r="AK67" s="67">
        <f t="shared" si="15"/>
        <v>21265.071104810253</v>
      </c>
      <c r="AL67" s="70">
        <f t="shared" si="4"/>
        <v>-35754.557000000001</v>
      </c>
      <c r="AM67" s="80">
        <f>(O67-W67-X67-Y67-AA67)*Assumptions!$D$19</f>
        <v>-190.56547081889084</v>
      </c>
    </row>
    <row r="68" spans="2:39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4">
        <f>1-(1-VLOOKUP($E68,'Annual Mortality Rates'!$B$5:$C$105,2,FALSE))^(1/12)</f>
        <v>1.3009304274569367E-4</v>
      </c>
      <c r="G68" s="74">
        <f>1-(1-IF(D68&gt;=7,2%,VLOOKUP($D68,'Annual Lapse Rates'!$B$4:$C$14,2,FALSE)))^(1/12)</f>
        <v>3.3960531989175591E-3</v>
      </c>
      <c r="H68" s="80">
        <f t="shared" si="5"/>
        <v>1</v>
      </c>
      <c r="I68" s="65">
        <f t="shared" si="6"/>
        <v>3409.6431876809552</v>
      </c>
      <c r="J68" s="66">
        <f t="shared" si="7"/>
        <v>0.44357085696254173</v>
      </c>
      <c r="K68" s="66">
        <f t="shared" si="8"/>
        <v>11.63053413597811</v>
      </c>
      <c r="M68" s="67">
        <f t="shared" si="16"/>
        <v>42869477.774723396</v>
      </c>
      <c r="N68" s="67">
        <f>IF(AND(MOD(C68,12)=1,D68&lt;15),Assumptions!$H$4*I68,0)</f>
        <v>8524107.9692023881</v>
      </c>
      <c r="O68" s="67"/>
      <c r="P68" s="88">
        <f t="shared" si="9"/>
        <v>181221.29921654201</v>
      </c>
      <c r="Q68" s="88">
        <f>(M68+N68-O68)*VLOOKUP(MOD(C68,12)+(MOD(C68,12)=0)*12,Assumptions!$C$22:$D$33,2,FALSE)*(F68+G68)</f>
        <v>566.31656005169384</v>
      </c>
      <c r="R68" s="67">
        <f>IF(AND(MOD(C68,12)=0,D68&lt;15),Assumptions!$C$7*M68,0)</f>
        <v>0</v>
      </c>
      <c r="S68" s="68">
        <f>IF(MOD(C68,12)=0,M68*Assumptions!$D$17,0)</f>
        <v>0</v>
      </c>
      <c r="T68" s="68">
        <f>(M68+N68-O68-P68-Q68-R68+S68)*(D69=Assumptions!$H$9)</f>
        <v>0</v>
      </c>
      <c r="U68" s="67">
        <f>T68+AE68*(1+Assumptions!$D$17)</f>
        <v>7386496.5430605598</v>
      </c>
      <c r="V68" s="67">
        <f t="shared" si="10"/>
        <v>51211798.128149189</v>
      </c>
      <c r="W68" s="67"/>
      <c r="X68" s="67">
        <f>IF(AND(MOD(C68,12)=1,D68&lt;15),Assumptions!$D$10*N68+Assumptions!$D$11*(1+Assumptions!$D$16)^(B68-1)*I68,0)</f>
        <v>67089.930176333277</v>
      </c>
      <c r="Y68" s="65">
        <f>Assumptions!$C$13*N68</f>
        <v>42620.53984601194</v>
      </c>
      <c r="Z68" s="65">
        <f>NPV(Assumptions!$D$19,N69:$N$259)</f>
        <v>52466220.6710888</v>
      </c>
      <c r="AA68" s="68">
        <f t="shared" si="11"/>
        <v>40200.082483873884</v>
      </c>
      <c r="AB68" s="96"/>
      <c r="AC68" s="67">
        <f>(AC67+N67-P67-Q67-T67-W67-X67-Y67+AD67)*IF(D68=Assumptions!$H$9,0,1)</f>
        <v>49117422.010626152</v>
      </c>
      <c r="AD68" s="91">
        <f>(AF67+N68-W68-X68-Y68)*Assumptions!$D$19-(P68+Q68)*Assumptions!$D$19/2</f>
        <v>250091.50699995967</v>
      </c>
      <c r="AE68" s="67">
        <f>(AE67+(AD68-O68-R68-Q68-S68))*IF(D68=Assumptions!$H$9,0,1)</f>
        <v>7356525.1489860686</v>
      </c>
      <c r="AF68" s="91">
        <f t="shared" si="12"/>
        <v>58528123.194651388</v>
      </c>
      <c r="AG68" s="67">
        <f t="shared" si="13"/>
        <v>-112767.52352659174</v>
      </c>
      <c r="AH68" s="89">
        <f>AG68*Assumptions!$C$18</f>
        <v>-33830.25705797752</v>
      </c>
      <c r="AI68" s="67">
        <f t="shared" si="14"/>
        <v>-78937.266468614223</v>
      </c>
      <c r="AK68" s="67">
        <f t="shared" si="15"/>
        <v>-114543.72329713567</v>
      </c>
      <c r="AL68" s="70">
        <f t="shared" si="4"/>
        <v>-1776.2</v>
      </c>
      <c r="AM68" s="80">
        <f>(O68-W68-X68-Y68-AA68)*Assumptions!$D$19</f>
        <v>-643.566650446464</v>
      </c>
    </row>
    <row r="69" spans="2:39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4">
        <f>1-(1-VLOOKUP($E69,'Annual Mortality Rates'!$B$5:$C$105,2,FALSE))^(1/12)</f>
        <v>1.3009304274569367E-4</v>
      </c>
      <c r="G69" s="74">
        <f>1-(1-IF(D69&gt;=7,2%,VLOOKUP($D69,'Annual Lapse Rates'!$B$4:$C$14,2,FALSE)))^(1/12)</f>
        <v>3.3960531989175591E-3</v>
      </c>
      <c r="H69" s="80">
        <f t="shared" si="5"/>
        <v>2</v>
      </c>
      <c r="I69" s="65">
        <f t="shared" si="6"/>
        <v>3397.5690826880145</v>
      </c>
      <c r="J69" s="66">
        <f t="shared" si="7"/>
        <v>0.44200009990557909</v>
      </c>
      <c r="K69" s="66">
        <f t="shared" si="8"/>
        <v>11.579329654691371</v>
      </c>
      <c r="M69" s="67">
        <f t="shared" si="16"/>
        <v>51211798.128149189</v>
      </c>
      <c r="N69" s="67">
        <f>IF(AND(MOD(C69,12)=1,D69&lt;15),Assumptions!$H$4*I69,0)</f>
        <v>0</v>
      </c>
      <c r="O69" s="67"/>
      <c r="P69" s="88">
        <f t="shared" si="9"/>
        <v>180580.28949839046</v>
      </c>
      <c r="Q69" s="88">
        <f>(M69+N69-O69)*VLOOKUP(MOD(C69,12)+(MOD(C69,12)=0)*12,Assumptions!$C$22:$D$33,2,FALSE)*(F69+G69)</f>
        <v>1128.6268093649405</v>
      </c>
      <c r="R69" s="67">
        <f>IF(AND(MOD(C69,12)=0,D69&lt;15),Assumptions!$C$7*M69,0)</f>
        <v>0</v>
      </c>
      <c r="S69" s="68">
        <f>IF(MOD(C69,12)=0,M69*Assumptions!$D$17,0)</f>
        <v>0</v>
      </c>
      <c r="T69" s="68">
        <f>(M69+N69-O69-P69-Q69-R69+S69)*(D70=Assumptions!$H$9)</f>
        <v>0</v>
      </c>
      <c r="U69" s="67">
        <f>T69+AE69*(1+Assumptions!$D$17)</f>
        <v>7637256.8469115924</v>
      </c>
      <c r="V69" s="67">
        <f t="shared" si="10"/>
        <v>51030089.211841434</v>
      </c>
      <c r="W69" s="67"/>
      <c r="X69" s="67">
        <f>IF(AND(MOD(C69,12)=1,D69&lt;15),Assumptions!$D$10*N69+Assumptions!$D$11*(1+Assumptions!$D$16)^(B69-1)*I69,0)</f>
        <v>0</v>
      </c>
      <c r="Y69" s="65">
        <f>Assumptions!$C$13*N69</f>
        <v>0</v>
      </c>
      <c r="Z69" s="65">
        <f>NPV(Assumptions!$D$19,N70:$N$259)</f>
        <v>52691458.383407108</v>
      </c>
      <c r="AA69" s="68">
        <f t="shared" si="11"/>
        <v>40200.082483873884</v>
      </c>
      <c r="AB69" s="96"/>
      <c r="AC69" s="67">
        <f>(AC68+N68-P68-Q68-T68-W68-X68-Y68+AD68)*IF(D69=Assumptions!$H$9,0,1)</f>
        <v>57600123.401029564</v>
      </c>
      <c r="AD69" s="91">
        <f>(AF68+N69-W69-X69-Y69)*Assumptions!$D$19-(P69+Q69)*Assumptions!$D$19/2</f>
        <v>250871.44749484782</v>
      </c>
      <c r="AE69" s="67">
        <f>(AE68+(AD69-O69-R69-Q69-S69))*IF(D69=Assumptions!$H$9,0,1)</f>
        <v>7606267.9696715511</v>
      </c>
      <c r="AF69" s="91">
        <f t="shared" si="12"/>
        <v>58596157.099029109</v>
      </c>
      <c r="AG69" s="67">
        <f t="shared" si="13"/>
        <v>2257.2536187361111</v>
      </c>
      <c r="AH69" s="89">
        <f>AG69*Assumptions!$C$18</f>
        <v>677.17608562083331</v>
      </c>
      <c r="AI69" s="67">
        <f t="shared" si="14"/>
        <v>1580.0775331152777</v>
      </c>
      <c r="AK69" s="67">
        <f t="shared" si="15"/>
        <v>-172.57912801532075</v>
      </c>
      <c r="AL69" s="70">
        <f t="shared" si="4"/>
        <v>-2429.8330000000001</v>
      </c>
      <c r="AM69" s="80">
        <f>(O69-W69-X69-Y69-AA69)*Assumptions!$D$19</f>
        <v>-172.57912801532098</v>
      </c>
    </row>
    <row r="70" spans="2:39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4">
        <f>1-(1-VLOOKUP($E70,'Annual Mortality Rates'!$B$5:$C$105,2,FALSE))^(1/12)</f>
        <v>1.3009304274569367E-4</v>
      </c>
      <c r="G70" s="74">
        <f>1-(1-IF(D70&gt;=7,2%,VLOOKUP($D70,'Annual Lapse Rates'!$B$4:$C$14,2,FALSE)))^(1/12)</f>
        <v>3.3960531989175591E-3</v>
      </c>
      <c r="H70" s="80">
        <f t="shared" si="5"/>
        <v>3</v>
      </c>
      <c r="I70" s="65">
        <f t="shared" si="6"/>
        <v>3385.5477529334175</v>
      </c>
      <c r="J70" s="66">
        <f t="shared" si="7"/>
        <v>0.44043620853995424</v>
      </c>
      <c r="K70" s="66">
        <f t="shared" si="8"/>
        <v>11.538325351806028</v>
      </c>
      <c r="M70" s="67">
        <f t="shared" si="16"/>
        <v>51030089.211841434</v>
      </c>
      <c r="N70" s="67">
        <f>IF(AND(MOD(C70,12)=1,D70&lt;15),Assumptions!$H$4*I70,0)</f>
        <v>0</v>
      </c>
      <c r="O70" s="67"/>
      <c r="P70" s="88">
        <f t="shared" si="9"/>
        <v>179939.55728607517</v>
      </c>
      <c r="Q70" s="88">
        <f>(M70+N70-O70)*VLOOKUP(MOD(C70,12)+(MOD(C70,12)=0)*12,Assumptions!$C$22:$D$33,2,FALSE)*(F70+G70)</f>
        <v>1686.9333495569551</v>
      </c>
      <c r="R70" s="67">
        <f>IF(AND(MOD(C70,12)=0,D70&lt;15),Assumptions!$C$7*M70,0)</f>
        <v>0</v>
      </c>
      <c r="S70" s="68">
        <f>IF(MOD(C70,12)=0,M70*Assumptions!$D$17,0)</f>
        <v>0</v>
      </c>
      <c r="T70" s="68">
        <f>(M70+N70-O70-P70-Q70-R70+S70)*(D71=Assumptions!$H$9)</f>
        <v>0</v>
      </c>
      <c r="U70" s="67">
        <f>T70+AE70*(1+Assumptions!$D$17)</f>
        <v>7887750.0070347097</v>
      </c>
      <c r="V70" s="67">
        <f t="shared" si="10"/>
        <v>50848462.721205801</v>
      </c>
      <c r="W70" s="67"/>
      <c r="X70" s="67">
        <f>IF(AND(MOD(C70,12)=1,D70&lt;15),Assumptions!$D$10*N70+Assumptions!$D$11*(1+Assumptions!$D$16)^(B70-1)*I70,0)</f>
        <v>0</v>
      </c>
      <c r="Y70" s="65">
        <f>Assumptions!$C$13*N70</f>
        <v>0</v>
      </c>
      <c r="Z70" s="65">
        <f>NPV(Assumptions!$D$19,N71:$N$259)</f>
        <v>52917663.042198852</v>
      </c>
      <c r="AA70" s="68">
        <f t="shared" si="11"/>
        <v>40200.082483873884</v>
      </c>
      <c r="AB70" s="96"/>
      <c r="AC70" s="67">
        <f>(AC69+N69-P69-Q69-T69-W69-X69-Y69+AD69)*IF(D70=Assumptions!$H$9,0,1)</f>
        <v>57669285.932216659</v>
      </c>
      <c r="AD70" s="91">
        <f>(AF69+N70-W70-X70-Y70)*Assumptions!$D$19-(P70+Q70)*Assumptions!$D$19/2</f>
        <v>251163.69426755054</v>
      </c>
      <c r="AE70" s="67">
        <f>(AE69+(AD70-O70-R70-Q70-S70))*IF(D70=Assumptions!$H$9,0,1)</f>
        <v>7855744.7305895444</v>
      </c>
      <c r="AF70" s="91">
        <f t="shared" si="12"/>
        <v>58664007.369311474</v>
      </c>
      <c r="AG70" s="67">
        <f t="shared" si="13"/>
        <v>3373.866699109989</v>
      </c>
      <c r="AH70" s="89">
        <f>AG70*Assumptions!$C$18</f>
        <v>1012.1600097329966</v>
      </c>
      <c r="AI70" s="67">
        <f t="shared" si="14"/>
        <v>2361.7066893769925</v>
      </c>
      <c r="AK70" s="67">
        <f t="shared" si="15"/>
        <v>-172.57912801532075</v>
      </c>
      <c r="AL70" s="70">
        <f t="shared" si="4"/>
        <v>-3546.4459999999999</v>
      </c>
      <c r="AM70" s="80">
        <f>(O70-W70-X70-Y70-AA70)*Assumptions!$D$19</f>
        <v>-172.57912801532098</v>
      </c>
    </row>
    <row r="71" spans="2:39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4">
        <f>1-(1-VLOOKUP($E71,'Annual Mortality Rates'!$B$5:$C$105,2,FALSE))^(1/12)</f>
        <v>1.3009304274569367E-4</v>
      </c>
      <c r="G71" s="74">
        <f>1-(1-IF(D71&gt;=7,2%,VLOOKUP($D71,'Annual Lapse Rates'!$B$4:$C$14,2,FALSE)))^(1/12)</f>
        <v>3.3960531989175591E-3</v>
      </c>
      <c r="H71" s="80">
        <f t="shared" si="5"/>
        <v>4</v>
      </c>
      <c r="I71" s="65">
        <f t="shared" si="6"/>
        <v>3373.5689913730712</v>
      </c>
      <c r="J71" s="66">
        <f t="shared" si="7"/>
        <v>0.43887785500024362</v>
      </c>
      <c r="K71" s="66">
        <f t="shared" si="8"/>
        <v>11.497500276437687</v>
      </c>
      <c r="M71" s="67">
        <f t="shared" si="16"/>
        <v>50848462.721205801</v>
      </c>
      <c r="N71" s="67">
        <f>IF(AND(MOD(C71,12)=1,D71&lt;15),Assumptions!$H$4*I71,0)</f>
        <v>0</v>
      </c>
      <c r="O71" s="67"/>
      <c r="P71" s="88">
        <f t="shared" si="9"/>
        <v>179299.11571873384</v>
      </c>
      <c r="Q71" s="88">
        <f>(M71+N71-O71)*VLOOKUP(MOD(C71,12)+(MOD(C71,12)=0)*12,Assumptions!$C$22:$D$33,2,FALSE)*(F71+G71)</f>
        <v>2241.2389464841731</v>
      </c>
      <c r="R71" s="67">
        <f>IF(AND(MOD(C71,12)=0,D71&lt;15),Assumptions!$C$7*M71,0)</f>
        <v>0</v>
      </c>
      <c r="S71" s="68">
        <f>IF(MOD(C71,12)=0,M71*Assumptions!$D$17,0)</f>
        <v>0</v>
      </c>
      <c r="T71" s="68">
        <f>(M71+N71-O71-P71-Q71-R71+S71)*(D72=Assumptions!$H$9)</f>
        <v>0</v>
      </c>
      <c r="U71" s="67">
        <f>T71+AE71*(1+Assumptions!$D$17)</f>
        <v>8137979.257116355</v>
      </c>
      <c r="V71" s="67">
        <f t="shared" si="10"/>
        <v>50666922.366540581</v>
      </c>
      <c r="W71" s="67"/>
      <c r="X71" s="67">
        <f>IF(AND(MOD(C71,12)=1,D71&lt;15),Assumptions!$D$10*N71+Assumptions!$D$11*(1+Assumptions!$D$16)^(B71-1)*I71,0)</f>
        <v>0</v>
      </c>
      <c r="Y71" s="65">
        <f>Assumptions!$C$13*N71</f>
        <v>0</v>
      </c>
      <c r="Z71" s="65">
        <f>NPV(Assumptions!$D$19,N72:$N$259)</f>
        <v>53144838.798569374</v>
      </c>
      <c r="AA71" s="68">
        <f t="shared" si="11"/>
        <v>40200.082483873884</v>
      </c>
      <c r="AB71" s="96"/>
      <c r="AC71" s="67">
        <f>(AC70+N70-P70-Q70-T70-W70-X70-Y70+AD70)*IF(D71=Assumptions!$H$9,0,1)</f>
        <v>57738823.135848574</v>
      </c>
      <c r="AD71" s="91">
        <f>(AF70+N71-W71-X71-Y71)*Assumptions!$D$19-(P71+Q71)*Assumptions!$D$19/2</f>
        <v>251455.16066245077</v>
      </c>
      <c r="AE71" s="67">
        <f>(AE70+(AD71-O71-R71-Q71-S71))*IF(D71=Assumptions!$H$9,0,1)</f>
        <v>8104958.6523055108</v>
      </c>
      <c r="AF71" s="91">
        <f t="shared" si="12"/>
        <v>58731680.936362222</v>
      </c>
      <c r="AG71" s="67">
        <f t="shared" si="13"/>
        <v>4482.4778929693566</v>
      </c>
      <c r="AH71" s="89">
        <f>AG71*Assumptions!$C$18</f>
        <v>1344.7433678908069</v>
      </c>
      <c r="AI71" s="67">
        <f t="shared" si="14"/>
        <v>3137.7345250785497</v>
      </c>
      <c r="AK71" s="67">
        <f t="shared" si="15"/>
        <v>-172.57912801532075</v>
      </c>
      <c r="AL71" s="70">
        <f t="shared" si="4"/>
        <v>-4655.0569999999998</v>
      </c>
      <c r="AM71" s="80">
        <f>(O71-W71-X71-Y71-AA71)*Assumptions!$D$19</f>
        <v>-172.57912801532098</v>
      </c>
    </row>
    <row r="72" spans="2:39" x14ac:dyDescent="0.2">
      <c r="B72" s="5">
        <f t="shared" ref="B72:B135" si="17">B71+1</f>
        <v>65</v>
      </c>
      <c r="C72" s="5">
        <f t="shared" ref="C72:C135" si="18">$C$4+B72</f>
        <v>65</v>
      </c>
      <c r="D72" s="5">
        <f t="shared" ref="D72:D135" si="19">ROUNDDOWN((C72-1)/12,0)</f>
        <v>5</v>
      </c>
      <c r="E72" s="5">
        <f t="shared" ref="E72:E135" si="20">ROUNDDOWN(($E$4+B72)/12,0)</f>
        <v>51</v>
      </c>
      <c r="F72" s="64">
        <f>1-(1-VLOOKUP($E72,'Annual Mortality Rates'!$B$5:$C$105,2,FALSE))^(1/12)</f>
        <v>1.3009304274569367E-4</v>
      </c>
      <c r="G72" s="74">
        <f>1-(1-IF(D72&gt;=7,2%,VLOOKUP($D72,'Annual Lapse Rates'!$B$4:$C$14,2,FALSE)))^(1/12)</f>
        <v>3.3960531989175591E-3</v>
      </c>
      <c r="H72" s="80">
        <f t="shared" si="5"/>
        <v>5</v>
      </c>
      <c r="I72" s="65">
        <f t="shared" si="6"/>
        <v>3361.6326132416334</v>
      </c>
      <c r="J72" s="66">
        <f t="shared" si="7"/>
        <v>0.43732501524976169</v>
      </c>
      <c r="K72" s="66">
        <f t="shared" si="8"/>
        <v>11.456819764921601</v>
      </c>
      <c r="M72" s="67">
        <f t="shared" si="16"/>
        <v>50666922.366540581</v>
      </c>
      <c r="N72" s="67">
        <f>IF(AND(MOD(C72,12)=1,D72&lt;15),Assumptions!$H$4*I72,0)</f>
        <v>0</v>
      </c>
      <c r="O72" s="67"/>
      <c r="P72" s="88">
        <f t="shared" si="9"/>
        <v>178658.97787942088</v>
      </c>
      <c r="Q72" s="88">
        <f>(M72+N72-O72)*VLOOKUP(MOD(C72,12)+(MOD(C72,12)=0)*12,Assumptions!$C$22:$D$33,2,FALSE)*(F72+G72)</f>
        <v>2791.5465293659513</v>
      </c>
      <c r="R72" s="67">
        <f>IF(AND(MOD(C72,12)=0,D72&lt;15),Assumptions!$C$7*M72,0)</f>
        <v>0</v>
      </c>
      <c r="S72" s="68">
        <f>IF(MOD(C72,12)=0,M72*Assumptions!$D$17,0)</f>
        <v>0</v>
      </c>
      <c r="T72" s="68">
        <f>(M72+N72-O72-P72-Q72-R72+S72)*(D73=Assumptions!$H$9)</f>
        <v>0</v>
      </c>
      <c r="U72" s="67">
        <f>T72+AE72*(1+Assumptions!$D$17)</f>
        <v>8387947.8577427613</v>
      </c>
      <c r="V72" s="67">
        <f t="shared" si="10"/>
        <v>50485471.842131793</v>
      </c>
      <c r="W72" s="67"/>
      <c r="X72" s="67">
        <f>IF(AND(MOD(C72,12)=1,D72&lt;15),Assumptions!$D$10*N72+Assumptions!$D$11*(1+Assumptions!$D$16)^(B72-1)*I72,0)</f>
        <v>0</v>
      </c>
      <c r="Y72" s="65">
        <f>Assumptions!$C$13*N72</f>
        <v>0</v>
      </c>
      <c r="Z72" s="65">
        <f>NPV(Assumptions!$D$19,N73:$N$259)</f>
        <v>53372989.821444787</v>
      </c>
      <c r="AA72" s="68">
        <f t="shared" si="11"/>
        <v>40200.082483873884</v>
      </c>
      <c r="AB72" s="96"/>
      <c r="AC72" s="67">
        <f>(AC71+N71-P71-Q71-T71-W71-X71-Y71+AD71)*IF(D72=Assumptions!$H$9,0,1)</f>
        <v>57808737.941845804</v>
      </c>
      <c r="AD72" s="91">
        <f>(AF71+N72-W72-X72-Y72)*Assumptions!$D$19-(P72+Q72)*Assumptions!$D$19/2</f>
        <v>251745.87639940617</v>
      </c>
      <c r="AE72" s="67">
        <f>(AE71+(AD72-O72-R72-Q72-S72))*IF(D72=Assumptions!$H$9,0,1)</f>
        <v>8353912.9821755514</v>
      </c>
      <c r="AF72" s="91">
        <f t="shared" si="12"/>
        <v>58799184.741823472</v>
      </c>
      <c r="AG72" s="67">
        <f t="shared" si="13"/>
        <v>5583.0930587350449</v>
      </c>
      <c r="AH72" s="89">
        <f>AG72*Assumptions!$C$18</f>
        <v>1674.9279176205134</v>
      </c>
      <c r="AI72" s="67">
        <f t="shared" si="14"/>
        <v>3908.1651411145313</v>
      </c>
      <c r="AK72" s="67">
        <f t="shared" si="15"/>
        <v>-172.57912801532075</v>
      </c>
      <c r="AL72" s="70">
        <f t="shared" ref="AL72:AL135" si="21">ROUND(AK72-AG72,3)</f>
        <v>-5755.6719999999996</v>
      </c>
      <c r="AM72" s="80">
        <f>(O72-W72-X72-Y72-AA72)*Assumptions!$D$19</f>
        <v>-172.57912801532098</v>
      </c>
    </row>
    <row r="73" spans="2:39" x14ac:dyDescent="0.2">
      <c r="B73" s="5">
        <f t="shared" si="17"/>
        <v>66</v>
      </c>
      <c r="C73" s="5">
        <f t="shared" si="18"/>
        <v>66</v>
      </c>
      <c r="D73" s="5">
        <f t="shared" si="19"/>
        <v>5</v>
      </c>
      <c r="E73" s="5">
        <f t="shared" si="20"/>
        <v>51</v>
      </c>
      <c r="F73" s="64">
        <f>1-(1-VLOOKUP($E73,'Annual Mortality Rates'!$B$5:$C$105,2,FALSE))^(1/12)</f>
        <v>1.3009304274569367E-4</v>
      </c>
      <c r="G73" s="74">
        <f>1-(1-IF(D73&gt;=7,2%,VLOOKUP($D73,'Annual Lapse Rates'!$B$4:$C$14,2,FALSE)))^(1/12)</f>
        <v>3.3960531989175591E-3</v>
      </c>
      <c r="H73" s="80">
        <f t="shared" ref="H73:H136" si="22">MOD(C73,12)+(MOD(C73,12)=0)*12</f>
        <v>6</v>
      </c>
      <c r="I73" s="65">
        <f t="shared" ref="I73:I136" si="23">I72-J72-K72</f>
        <v>3349.7384684614622</v>
      </c>
      <c r="J73" s="66">
        <f t="shared" ref="J73:J136" si="24">$I73*F73</f>
        <v>0.43577766976445143</v>
      </c>
      <c r="K73" s="66">
        <f t="shared" ref="K73:K136" si="25">IF(G73=100%,I73-J73,$I72*G73)</f>
        <v>11.416283189784842</v>
      </c>
      <c r="M73" s="67">
        <f t="shared" si="16"/>
        <v>50485471.842131793</v>
      </c>
      <c r="N73" s="67">
        <f>IF(AND(MOD(C73,12)=1,D73&lt;15),Assumptions!$H$4*I73,0)</f>
        <v>0</v>
      </c>
      <c r="O73" s="67"/>
      <c r="P73" s="88">
        <f t="shared" ref="P73:P136" si="26">(M73+N73-O73)*(F73+G73)</f>
        <v>178019.156794729</v>
      </c>
      <c r="Q73" s="88">
        <f>(M73+N73-O73)*VLOOKUP(MOD(C73,12)+(MOD(C73,12)=0)*12,Assumptions!$C$22:$D$33,2,FALSE)*(F73+G73)</f>
        <v>3337.859189901169</v>
      </c>
      <c r="R73" s="67">
        <f>IF(AND(MOD(C73,12)=0,D73&lt;15),Assumptions!$C$7*M73,0)</f>
        <v>0</v>
      </c>
      <c r="S73" s="68">
        <f>IF(MOD(C73,12)=0,M73*Assumptions!$D$17,0)</f>
        <v>0</v>
      </c>
      <c r="T73" s="68">
        <f>(M73+N73-O73-P73-Q73-R73+S73)*(D74=Assumptions!$H$9)</f>
        <v>0</v>
      </c>
      <c r="U73" s="67">
        <f>T73+AE73*(1+Assumptions!$D$17)</f>
        <v>8637659.0962830354</v>
      </c>
      <c r="V73" s="67">
        <f t="shared" ref="V73:V136" si="27">M73+N73-O73-P73-Q73-R73+S73-T73</f>
        <v>50304114.826147169</v>
      </c>
      <c r="W73" s="67"/>
      <c r="X73" s="67">
        <f>IF(AND(MOD(C73,12)=1,D73&lt;15),Assumptions!$D$10*N73+Assumptions!$D$11*(1+Assumptions!$D$16)^(B73-1)*I73,0)</f>
        <v>0</v>
      </c>
      <c r="Y73" s="65">
        <f>Assumptions!$C$13*N73</f>
        <v>0</v>
      </c>
      <c r="Z73" s="65">
        <f>NPV(Assumptions!$D$19,N74:$N$259)</f>
        <v>53602120.297648422</v>
      </c>
      <c r="AA73" s="68">
        <f t="shared" ref="AA73:AA136" si="28">IF(MOD(C73,12)=1,Z73*$AA$4/12,AA72)</f>
        <v>40200.082483873884</v>
      </c>
      <c r="AB73" s="96"/>
      <c r="AC73" s="67">
        <f>(AC72+N72-P72-Q72-T72-W72-X72-Y72+AD72)*IF(D73=Assumptions!$H$9,0,1)</f>
        <v>57879033.293836422</v>
      </c>
      <c r="AD73" s="91">
        <f>(AF72+N73-W73-X73-Y73)*Assumptions!$D$19-(P73+Q73)*Assumptions!$D$19/2</f>
        <v>252035.8712443184</v>
      </c>
      <c r="AE73" s="67">
        <f>(AE72+(AD73-O73-R73-Q73-S73))*IF(D73=Assumptions!$H$9,0,1)</f>
        <v>8602610.9942299686</v>
      </c>
      <c r="AF73" s="91">
        <f t="shared" ref="AF73:AF136" si="29">V73+AE73-AA73</f>
        <v>58866525.737893268</v>
      </c>
      <c r="AG73" s="67">
        <f t="shared" ref="AG73:AG136" si="30">(N73-P73-T73-W73-X73-Y73)+(AF72-AF73)+AD73</f>
        <v>6675.7183797930193</v>
      </c>
      <c r="AH73" s="89">
        <f>AG73*Assumptions!$C$18</f>
        <v>2002.7155139379056</v>
      </c>
      <c r="AI73" s="67">
        <f t="shared" ref="AI73:AI136" si="31">AG73-AH73</f>
        <v>4673.0028658551137</v>
      </c>
      <c r="AK73" s="67">
        <f t="shared" ref="AK73:AK136" si="32">O73+R73-W73-X73-Y73+AM73+AA73-AA72</f>
        <v>-172.57912801532075</v>
      </c>
      <c r="AL73" s="70">
        <f t="shared" si="21"/>
        <v>-6848.2979999999998</v>
      </c>
      <c r="AM73" s="80">
        <f>(O73-W73-X73-Y73-AA73)*Assumptions!$D$19</f>
        <v>-172.57912801532098</v>
      </c>
    </row>
    <row r="74" spans="2:39" x14ac:dyDescent="0.2">
      <c r="B74" s="5">
        <f t="shared" si="17"/>
        <v>67</v>
      </c>
      <c r="C74" s="5">
        <f t="shared" si="18"/>
        <v>67</v>
      </c>
      <c r="D74" s="5">
        <f t="shared" si="19"/>
        <v>5</v>
      </c>
      <c r="E74" s="5">
        <f t="shared" si="20"/>
        <v>51</v>
      </c>
      <c r="F74" s="64">
        <f>1-(1-VLOOKUP($E74,'Annual Mortality Rates'!$B$5:$C$105,2,FALSE))^(1/12)</f>
        <v>1.3009304274569367E-4</v>
      </c>
      <c r="G74" s="74">
        <f>1-(1-IF(D74&gt;=7,2%,VLOOKUP($D74,'Annual Lapse Rates'!$B$4:$C$14,2,FALSE)))^(1/12)</f>
        <v>3.3960531989175591E-3</v>
      </c>
      <c r="H74" s="80">
        <f t="shared" si="22"/>
        <v>7</v>
      </c>
      <c r="I74" s="65">
        <f t="shared" si="23"/>
        <v>3337.8864076019131</v>
      </c>
      <c r="J74" s="66">
        <f t="shared" si="24"/>
        <v>0.43423579910442556</v>
      </c>
      <c r="K74" s="66">
        <f t="shared" si="25"/>
        <v>11.375890041355754</v>
      </c>
      <c r="M74" s="67">
        <f t="shared" ref="M74:M137" si="33">V73</f>
        <v>50304114.826147169</v>
      </c>
      <c r="N74" s="67">
        <f>IF(AND(MOD(C74,12)=1,D74&lt;15),Assumptions!$H$4*I74,0)</f>
        <v>0</v>
      </c>
      <c r="O74" s="67"/>
      <c r="P74" s="88">
        <f t="shared" si="26"/>
        <v>177379.66543441554</v>
      </c>
      <c r="Q74" s="88">
        <f>(M74+N74-O74)*VLOOKUP(MOD(C74,12)+(MOD(C74,12)=0)*12,Assumptions!$C$22:$D$33,2,FALSE)*(F74+G74)</f>
        <v>3880.1801813778407</v>
      </c>
      <c r="R74" s="67">
        <f>IF(AND(MOD(C74,12)=0,D74&lt;15),Assumptions!$C$7*M74,0)</f>
        <v>0</v>
      </c>
      <c r="S74" s="68">
        <f>IF(MOD(C74,12)=0,M74*Assumptions!$D$17,0)</f>
        <v>0</v>
      </c>
      <c r="T74" s="68">
        <f>(M74+N74-O74-P74-Q74-R74+S74)*(D75=Assumptions!$H$9)</f>
        <v>0</v>
      </c>
      <c r="U74" s="67">
        <f>T74+AE74*(1+Assumptions!$D$17)</f>
        <v>8887116.2867721915</v>
      </c>
      <c r="V74" s="67">
        <f t="shared" si="27"/>
        <v>50122854.98053138</v>
      </c>
      <c r="W74" s="67"/>
      <c r="X74" s="67">
        <f>IF(AND(MOD(C74,12)=1,D74&lt;15),Assumptions!$D$10*N74+Assumptions!$D$11*(1+Assumptions!$D$16)^(B74-1)*I74,0)</f>
        <v>0</v>
      </c>
      <c r="Y74" s="65">
        <f>Assumptions!$C$13*N74</f>
        <v>0</v>
      </c>
      <c r="Z74" s="65">
        <f>NPV(Assumptions!$D$19,N75:$N$259)</f>
        <v>53832234.431977659</v>
      </c>
      <c r="AA74" s="68">
        <f t="shared" si="28"/>
        <v>40200.082483873884</v>
      </c>
      <c r="AB74" s="96"/>
      <c r="AC74" s="67">
        <f>(AC73+N73-P73-Q73-T73-W73-X73-Y73+AD73)*IF(D74=Assumptions!$H$9,0,1)</f>
        <v>57949712.149096116</v>
      </c>
      <c r="AD74" s="91">
        <f>(AF73+N74-W74-X74-Y74)*Assumptions!$D$19-(P74+Q74)*Assumptions!$D$19/2</f>
        <v>252325.17500818096</v>
      </c>
      <c r="AE74" s="67">
        <f>(AE73+(AD74-O74-R74-Q74-S74))*IF(D74=Assumptions!$H$9,0,1)</f>
        <v>8851055.9890567716</v>
      </c>
      <c r="AF74" s="91">
        <f t="shared" si="29"/>
        <v>58933710.88710428</v>
      </c>
      <c r="AG74" s="67">
        <f t="shared" si="30"/>
        <v>7760.3603627535922</v>
      </c>
      <c r="AH74" s="89">
        <f>AG74*Assumptions!$C$18</f>
        <v>2328.1081088260776</v>
      </c>
      <c r="AI74" s="67">
        <f t="shared" si="31"/>
        <v>5432.2522539275142</v>
      </c>
      <c r="AK74" s="67">
        <f t="shared" si="32"/>
        <v>-172.57912801532075</v>
      </c>
      <c r="AL74" s="70">
        <f t="shared" si="21"/>
        <v>-7932.9390000000003</v>
      </c>
      <c r="AM74" s="80">
        <f>(O74-W74-X74-Y74-AA74)*Assumptions!$D$19</f>
        <v>-172.57912801532098</v>
      </c>
    </row>
    <row r="75" spans="2:39" x14ac:dyDescent="0.2">
      <c r="B75" s="5">
        <f t="shared" si="17"/>
        <v>68</v>
      </c>
      <c r="C75" s="5">
        <f t="shared" si="18"/>
        <v>68</v>
      </c>
      <c r="D75" s="5">
        <f t="shared" si="19"/>
        <v>5</v>
      </c>
      <c r="E75" s="5">
        <f t="shared" si="20"/>
        <v>51</v>
      </c>
      <c r="F75" s="64">
        <f>1-(1-VLOOKUP($E75,'Annual Mortality Rates'!$B$5:$C$105,2,FALSE))^(1/12)</f>
        <v>1.3009304274569367E-4</v>
      </c>
      <c r="G75" s="74">
        <f>1-(1-IF(D75&gt;=7,2%,VLOOKUP($D75,'Annual Lapse Rates'!$B$4:$C$14,2,FALSE)))^(1/12)</f>
        <v>3.3960531989175591E-3</v>
      </c>
      <c r="H75" s="80">
        <f t="shared" si="22"/>
        <v>8</v>
      </c>
      <c r="I75" s="65">
        <f t="shared" si="23"/>
        <v>3326.0762817614527</v>
      </c>
      <c r="J75" s="66">
        <f t="shared" si="24"/>
        <v>0.4326993838986305</v>
      </c>
      <c r="K75" s="66">
        <f t="shared" si="25"/>
        <v>11.335639812159917</v>
      </c>
      <c r="M75" s="67">
        <f t="shared" si="33"/>
        <v>50122854.98053138</v>
      </c>
      <c r="N75" s="67">
        <f>IF(AND(MOD(C75,12)=1,D75&lt;15),Assumptions!$H$4*I75,0)</f>
        <v>0</v>
      </c>
      <c r="O75" s="67"/>
      <c r="P75" s="88">
        <f t="shared" si="26"/>
        <v>176740.51671103298</v>
      </c>
      <c r="Q75" s="88">
        <f>(M75+N75-O75)*VLOOKUP(MOD(C75,12)+(MOD(C75,12)=0)*12,Assumptions!$C$22:$D$33,2,FALSE)*(F75+G75)</f>
        <v>4418.5129177758245</v>
      </c>
      <c r="R75" s="67">
        <f>IF(AND(MOD(C75,12)=0,D75&lt;15),Assumptions!$C$7*M75,0)</f>
        <v>0</v>
      </c>
      <c r="S75" s="68">
        <f>IF(MOD(C75,12)=0,M75*Assumptions!$D$17,0)</f>
        <v>0</v>
      </c>
      <c r="T75" s="68">
        <f>(M75+N75-O75-P75-Q75-R75+S75)*(D76=Assumptions!$H$9)</f>
        <v>0</v>
      </c>
      <c r="U75" s="67">
        <f>T75+AE75*(1+Assumptions!$D$17)</f>
        <v>9136322.7697941232</v>
      </c>
      <c r="V75" s="67">
        <f t="shared" si="27"/>
        <v>49941695.950902566</v>
      </c>
      <c r="W75" s="67"/>
      <c r="X75" s="67">
        <f>IF(AND(MOD(C75,12)=1,D75&lt;15),Assumptions!$D$10*N75+Assumptions!$D$11*(1+Assumptions!$D$16)^(B75-1)*I75,0)</f>
        <v>0</v>
      </c>
      <c r="Y75" s="65">
        <f>Assumptions!$C$13*N75</f>
        <v>0</v>
      </c>
      <c r="Z75" s="65">
        <f>NPV(Assumptions!$D$19,N76:$N$259)</f>
        <v>54063336.447281085</v>
      </c>
      <c r="AA75" s="68">
        <f t="shared" si="28"/>
        <v>40200.082483873884</v>
      </c>
      <c r="AB75" s="96"/>
      <c r="AC75" s="67">
        <f>(AC74+N74-P74-Q74-T74-W74-X74-Y74+AD74)*IF(D75=Assumptions!$H$9,0,1)</f>
        <v>58020777.478488505</v>
      </c>
      <c r="AD75" s="91">
        <f>(AF74+N75-W75-X75-Y75)*Assumptions!$D$19-(P75+Q75)*Assumptions!$D$19/2</f>
        <v>252613.81754613176</v>
      </c>
      <c r="AE75" s="67">
        <f>(AE74+(AD75-O75-R75-Q75-S75))*IF(D75=Assumptions!$H$9,0,1)</f>
        <v>9099251.293685127</v>
      </c>
      <c r="AF75" s="91">
        <f t="shared" si="29"/>
        <v>59000747.162103817</v>
      </c>
      <c r="AG75" s="67">
        <f t="shared" si="30"/>
        <v>8837.0258355622063</v>
      </c>
      <c r="AH75" s="89">
        <f>AG75*Assumptions!$C$18</f>
        <v>2651.107750668662</v>
      </c>
      <c r="AI75" s="67">
        <f t="shared" si="31"/>
        <v>6185.9180848935448</v>
      </c>
      <c r="AK75" s="67">
        <f t="shared" si="32"/>
        <v>-172.57912801532075</v>
      </c>
      <c r="AL75" s="70">
        <f t="shared" si="21"/>
        <v>-9009.6049999999996</v>
      </c>
      <c r="AM75" s="80">
        <f>(O75-W75-X75-Y75-AA75)*Assumptions!$D$19</f>
        <v>-172.57912801532098</v>
      </c>
    </row>
    <row r="76" spans="2:39" x14ac:dyDescent="0.2">
      <c r="B76" s="5">
        <f t="shared" si="17"/>
        <v>69</v>
      </c>
      <c r="C76" s="5">
        <f t="shared" si="18"/>
        <v>69</v>
      </c>
      <c r="D76" s="5">
        <f t="shared" si="19"/>
        <v>5</v>
      </c>
      <c r="E76" s="5">
        <f t="shared" si="20"/>
        <v>51</v>
      </c>
      <c r="F76" s="64">
        <f>1-(1-VLOOKUP($E76,'Annual Mortality Rates'!$B$5:$C$105,2,FALSE))^(1/12)</f>
        <v>1.3009304274569367E-4</v>
      </c>
      <c r="G76" s="74">
        <f>1-(1-IF(D76&gt;=7,2%,VLOOKUP($D76,'Annual Lapse Rates'!$B$4:$C$14,2,FALSE)))^(1/12)</f>
        <v>3.3960531989175591E-3</v>
      </c>
      <c r="H76" s="80">
        <f t="shared" si="22"/>
        <v>9</v>
      </c>
      <c r="I76" s="65">
        <f t="shared" si="23"/>
        <v>3314.3079425653941</v>
      </c>
      <c r="J76" s="66">
        <f t="shared" si="24"/>
        <v>0.43116840484455182</v>
      </c>
      <c r="K76" s="66">
        <f t="shared" si="25"/>
        <v>11.295531996519802</v>
      </c>
      <c r="M76" s="67">
        <f t="shared" si="33"/>
        <v>49941695.950902566</v>
      </c>
      <c r="N76" s="67">
        <f>IF(AND(MOD(C76,12)=1,D76&lt;15),Assumptions!$H$4*I76,0)</f>
        <v>0</v>
      </c>
      <c r="O76" s="67"/>
      <c r="P76" s="88">
        <f t="shared" si="26"/>
        <v>176101.72347956398</v>
      </c>
      <c r="Q76" s="88">
        <f>(M76+N76-O76)*VLOOKUP(MOD(C76,12)+(MOD(C76,12)=0)*12,Assumptions!$C$22:$D$33,2,FALSE)*(F76+G76)</f>
        <v>4952.8609728627371</v>
      </c>
      <c r="R76" s="67">
        <f>IF(AND(MOD(C76,12)=0,D76&lt;15),Assumptions!$C$7*M76,0)</f>
        <v>0</v>
      </c>
      <c r="S76" s="68">
        <f>IF(MOD(C76,12)=0,M76*Assumptions!$D$17,0)</f>
        <v>0</v>
      </c>
      <c r="T76" s="68">
        <f>(M76+N76-O76-P76-Q76-R76+S76)*(D77=Assumptions!$H$9)</f>
        <v>0</v>
      </c>
      <c r="U76" s="67">
        <f>T76+AE76*(1+Assumptions!$D$17)</f>
        <v>9385281.9123645499</v>
      </c>
      <c r="V76" s="67">
        <f t="shared" si="27"/>
        <v>49760641.366450138</v>
      </c>
      <c r="W76" s="67"/>
      <c r="X76" s="67">
        <f>IF(AND(MOD(C76,12)=1,D76&lt;15),Assumptions!$D$10*N76+Assumptions!$D$11*(1+Assumptions!$D$16)^(B76-1)*I76,0)</f>
        <v>0</v>
      </c>
      <c r="Y76" s="65">
        <f>Assumptions!$C$13*N76</f>
        <v>0</v>
      </c>
      <c r="Z76" s="65">
        <f>NPV(Assumptions!$D$19,N77:$N$259)</f>
        <v>54295430.584535986</v>
      </c>
      <c r="AA76" s="68">
        <f t="shared" si="28"/>
        <v>40200.082483873884</v>
      </c>
      <c r="AB76" s="96"/>
      <c r="AC76" s="67">
        <f>(AC75+N75-P75-Q75-T75-W75-X75-Y75+AD75)*IF(D76=Assumptions!$H$9,0,1)</f>
        <v>58092232.266405821</v>
      </c>
      <c r="AD76" s="91">
        <f>(AF75+N76-W76-X76-Y76)*Assumptions!$D$19-(P76+Q76)*Assumptions!$D$19/2</f>
        <v>252901.82875651156</v>
      </c>
      <c r="AE76" s="67">
        <f>(AE75+(AD76-O76-R76-Q76-S76))*IF(D76=Assumptions!$H$9,0,1)</f>
        <v>9347200.2614687756</v>
      </c>
      <c r="AF76" s="91">
        <f t="shared" si="29"/>
        <v>59067641.545435041</v>
      </c>
      <c r="AG76" s="67">
        <f t="shared" si="30"/>
        <v>9905.7219457232568</v>
      </c>
      <c r="AH76" s="89">
        <f>AG76*Assumptions!$C$18</f>
        <v>2971.7165837169769</v>
      </c>
      <c r="AI76" s="67">
        <f t="shared" si="31"/>
        <v>6934.0053620062799</v>
      </c>
      <c r="AK76" s="67">
        <f t="shared" si="32"/>
        <v>-172.57912801532075</v>
      </c>
      <c r="AL76" s="70">
        <f t="shared" si="21"/>
        <v>-10078.300999999999</v>
      </c>
      <c r="AM76" s="80">
        <f>(O76-W76-X76-Y76-AA76)*Assumptions!$D$19</f>
        <v>-172.57912801532098</v>
      </c>
    </row>
    <row r="77" spans="2:39" x14ac:dyDescent="0.2">
      <c r="B77" s="5">
        <f t="shared" si="17"/>
        <v>70</v>
      </c>
      <c r="C77" s="5">
        <f t="shared" si="18"/>
        <v>70</v>
      </c>
      <c r="D77" s="5">
        <f t="shared" si="19"/>
        <v>5</v>
      </c>
      <c r="E77" s="5">
        <f t="shared" si="20"/>
        <v>51</v>
      </c>
      <c r="F77" s="64">
        <f>1-(1-VLOOKUP($E77,'Annual Mortality Rates'!$B$5:$C$105,2,FALSE))^(1/12)</f>
        <v>1.3009304274569367E-4</v>
      </c>
      <c r="G77" s="74">
        <f>1-(1-IF(D77&gt;=7,2%,VLOOKUP($D77,'Annual Lapse Rates'!$B$4:$C$14,2,FALSE)))^(1/12)</f>
        <v>3.3960531989175591E-3</v>
      </c>
      <c r="H77" s="80">
        <f t="shared" si="22"/>
        <v>10</v>
      </c>
      <c r="I77" s="65">
        <f t="shared" si="23"/>
        <v>3302.5812421640298</v>
      </c>
      <c r="J77" s="66">
        <f t="shared" si="24"/>
        <v>0.42964284270797121</v>
      </c>
      <c r="K77" s="66">
        <f t="shared" si="25"/>
        <v>11.255566090547081</v>
      </c>
      <c r="M77" s="67">
        <f t="shared" si="33"/>
        <v>49760641.366450138</v>
      </c>
      <c r="N77" s="67">
        <f>IF(AND(MOD(C77,12)=1,D77&lt;15),Assumptions!$H$4*I77,0)</f>
        <v>0</v>
      </c>
      <c r="O77" s="67"/>
      <c r="P77" s="88">
        <f t="shared" si="26"/>
        <v>175463.29853706114</v>
      </c>
      <c r="Q77" s="88">
        <f>(M77+N77-O77)*VLOOKUP(MOD(C77,12)+(MOD(C77,12)=0)*12,Assumptions!$C$22:$D$33,2,FALSE)*(F77+G77)</f>
        <v>5483.2280792831607</v>
      </c>
      <c r="R77" s="67">
        <f>IF(AND(MOD(C77,12)=0,D77&lt;15),Assumptions!$C$7*M77,0)</f>
        <v>0</v>
      </c>
      <c r="S77" s="68">
        <f>IF(MOD(C77,12)=0,M77*Assumptions!$D$17,0)</f>
        <v>0</v>
      </c>
      <c r="T77" s="68">
        <f>(M77+N77-O77-P77-Q77-R77+S77)*(D78=Assumptions!$H$9)</f>
        <v>0</v>
      </c>
      <c r="U77" s="67">
        <f>T77+AE77*(1+Assumptions!$D$17)</f>
        <v>9633997.1078139264</v>
      </c>
      <c r="V77" s="67">
        <f t="shared" si="27"/>
        <v>49579694.839833796</v>
      </c>
      <c r="W77" s="67"/>
      <c r="X77" s="67">
        <f>IF(AND(MOD(C77,12)=1,D77&lt;15),Assumptions!$D$10*N77+Assumptions!$D$11*(1+Assumptions!$D$16)^(B77-1)*I77,0)</f>
        <v>0</v>
      </c>
      <c r="Y77" s="65">
        <f>Assumptions!$C$13*N77</f>
        <v>0</v>
      </c>
      <c r="Z77" s="65">
        <f>NPV(Assumptions!$D$19,N78:$N$259)</f>
        <v>54528521.102926187</v>
      </c>
      <c r="AA77" s="68">
        <f t="shared" si="28"/>
        <v>40200.082483873884</v>
      </c>
      <c r="AB77" s="96"/>
      <c r="AC77" s="67">
        <f>(AC76+N76-P76-Q76-T76-W76-X76-Y76+AD76)*IF(D77=Assumptions!$H$9,0,1)</f>
        <v>58164079.510709904</v>
      </c>
      <c r="AD77" s="91">
        <f>(AF76+N77-W77-X77-Y77)*Assumptions!$D$19-(P77+Q77)*Assumptions!$D$19/2</f>
        <v>253189.2385799273</v>
      </c>
      <c r="AE77" s="67">
        <f>(AE76+(AD77-O77-R77-Q77-S77))*IF(D77=Assumptions!$H$9,0,1)</f>
        <v>9594906.271969419</v>
      </c>
      <c r="AF77" s="91">
        <f t="shared" si="29"/>
        <v>59134401.029319346</v>
      </c>
      <c r="AG77" s="67">
        <f t="shared" si="30"/>
        <v>10966.456158561399</v>
      </c>
      <c r="AH77" s="89">
        <f>AG77*Assumptions!$C$18</f>
        <v>3289.9368475684196</v>
      </c>
      <c r="AI77" s="67">
        <f t="shared" si="31"/>
        <v>7676.5193109929796</v>
      </c>
      <c r="AK77" s="67">
        <f t="shared" si="32"/>
        <v>-172.57912801532075</v>
      </c>
      <c r="AL77" s="70">
        <f t="shared" si="21"/>
        <v>-11139.035</v>
      </c>
      <c r="AM77" s="80">
        <f>(O77-W77-X77-Y77-AA77)*Assumptions!$D$19</f>
        <v>-172.57912801532098</v>
      </c>
    </row>
    <row r="78" spans="2:39" x14ac:dyDescent="0.2">
      <c r="B78" s="5">
        <f t="shared" si="17"/>
        <v>71</v>
      </c>
      <c r="C78" s="5">
        <f t="shared" si="18"/>
        <v>71</v>
      </c>
      <c r="D78" s="5">
        <f t="shared" si="19"/>
        <v>5</v>
      </c>
      <c r="E78" s="5">
        <f t="shared" si="20"/>
        <v>51</v>
      </c>
      <c r="F78" s="64">
        <f>1-(1-VLOOKUP($E78,'Annual Mortality Rates'!$B$5:$C$105,2,FALSE))^(1/12)</f>
        <v>1.3009304274569367E-4</v>
      </c>
      <c r="G78" s="74">
        <f>1-(1-IF(D78&gt;=7,2%,VLOOKUP($D78,'Annual Lapse Rates'!$B$4:$C$14,2,FALSE)))^(1/12)</f>
        <v>3.3960531989175591E-3</v>
      </c>
      <c r="H78" s="80">
        <f t="shared" si="22"/>
        <v>11</v>
      </c>
      <c r="I78" s="65">
        <f t="shared" si="23"/>
        <v>3290.8960332307747</v>
      </c>
      <c r="J78" s="66">
        <f t="shared" si="24"/>
        <v>0.42812267832272488</v>
      </c>
      <c r="K78" s="66">
        <f t="shared" si="25"/>
        <v>11.215741592136279</v>
      </c>
      <c r="M78" s="67">
        <f t="shared" si="33"/>
        <v>49579694.839833796</v>
      </c>
      <c r="N78" s="67">
        <f>IF(AND(MOD(C78,12)=1,D78&lt;15),Assumptions!$H$4*I78,0)</f>
        <v>0</v>
      </c>
      <c r="O78" s="67"/>
      <c r="P78" s="88">
        <f t="shared" si="26"/>
        <v>174825.2546222909</v>
      </c>
      <c r="Q78" s="88">
        <f>(M78+N78-O78)*VLOOKUP(MOD(C78,12)+(MOD(C78,12)=0)*12,Assumptions!$C$22:$D$33,2,FALSE)*(F78+G78)</f>
        <v>6009.6181276412499</v>
      </c>
      <c r="R78" s="67">
        <f>IF(AND(MOD(C78,12)=0,D78&lt;15),Assumptions!$C$7*M78,0)</f>
        <v>0</v>
      </c>
      <c r="S78" s="68">
        <f>IF(MOD(C78,12)=0,M78*Assumptions!$D$17,0)</f>
        <v>0</v>
      </c>
      <c r="T78" s="68">
        <f>(M78+N78-O78-P78-Q78-R78+S78)*(D79=Assumptions!$H$9)</f>
        <v>0</v>
      </c>
      <c r="U78" s="67">
        <f>T78+AE78*(1+Assumptions!$D$17)</f>
        <v>9882471.7756703459</v>
      </c>
      <c r="V78" s="67">
        <f t="shared" si="27"/>
        <v>49398859.967083864</v>
      </c>
      <c r="W78" s="67"/>
      <c r="X78" s="67">
        <f>IF(AND(MOD(C78,12)=1,D78&lt;15),Assumptions!$D$10*N78+Assumptions!$D$11*(1+Assumptions!$D$16)^(B78-1)*I78,0)</f>
        <v>0</v>
      </c>
      <c r="Y78" s="65">
        <f>Assumptions!$C$13*N78</f>
        <v>0</v>
      </c>
      <c r="Z78" s="65">
        <f>NPV(Assumptions!$D$19,N79:$N$259)</f>
        <v>54762612.279920258</v>
      </c>
      <c r="AA78" s="68">
        <f t="shared" si="28"/>
        <v>40200.082483873884</v>
      </c>
      <c r="AB78" s="96"/>
      <c r="AC78" s="67">
        <f>(AC77+N77-P77-Q77-T77-W77-X77-Y77+AD77)*IF(D78=Assumptions!$H$9,0,1)</f>
        <v>58236322.222673491</v>
      </c>
      <c r="AD78" s="91">
        <f>(AF77+N78-W78-X78-Y78)*Assumptions!$D$19-(P78+Q78)*Assumptions!$D$19/2</f>
        <v>253476.0769983207</v>
      </c>
      <c r="AE78" s="67">
        <f>(AE77+(AD78-O78-R78-Q78-S78))*IF(D78=Assumptions!$H$9,0,1)</f>
        <v>9842372.7308400981</v>
      </c>
      <c r="AF78" s="91">
        <f t="shared" si="29"/>
        <v>59201032.615440086</v>
      </c>
      <c r="AG78" s="67">
        <f t="shared" si="30"/>
        <v>12019.23625529022</v>
      </c>
      <c r="AH78" s="89">
        <f>AG78*Assumptions!$C$18</f>
        <v>3605.7708765870657</v>
      </c>
      <c r="AI78" s="67">
        <f t="shared" si="31"/>
        <v>8413.465378703153</v>
      </c>
      <c r="AK78" s="67">
        <f t="shared" si="32"/>
        <v>-172.57912801532075</v>
      </c>
      <c r="AL78" s="70">
        <f t="shared" si="21"/>
        <v>-12191.815000000001</v>
      </c>
      <c r="AM78" s="80">
        <f>(O78-W78-X78-Y78-AA78)*Assumptions!$D$19</f>
        <v>-172.57912801532098</v>
      </c>
    </row>
    <row r="79" spans="2:39" x14ac:dyDescent="0.2">
      <c r="B79" s="5">
        <f t="shared" si="17"/>
        <v>72</v>
      </c>
      <c r="C79" s="5">
        <f t="shared" si="18"/>
        <v>72</v>
      </c>
      <c r="D79" s="5">
        <f t="shared" si="19"/>
        <v>5</v>
      </c>
      <c r="E79" s="5">
        <f t="shared" si="20"/>
        <v>51</v>
      </c>
      <c r="F79" s="64">
        <f>1-(1-VLOOKUP($E79,'Annual Mortality Rates'!$B$5:$C$105,2,FALSE))^(1/12)</f>
        <v>1.3009304274569367E-4</v>
      </c>
      <c r="G79" s="74">
        <f>1-(1-IF(D79&gt;=7,2%,VLOOKUP($D79,'Annual Lapse Rates'!$B$4:$C$14,2,FALSE)))^(1/12)</f>
        <v>3.3960531989175591E-3</v>
      </c>
      <c r="H79" s="80">
        <f t="shared" si="22"/>
        <v>12</v>
      </c>
      <c r="I79" s="65">
        <f t="shared" si="23"/>
        <v>3279.2521689603159</v>
      </c>
      <c r="J79" s="66">
        <f t="shared" si="24"/>
        <v>0.42660789259046306</v>
      </c>
      <c r="K79" s="66">
        <f t="shared" si="25"/>
        <v>11.176058000958479</v>
      </c>
      <c r="M79" s="67">
        <f t="shared" si="33"/>
        <v>49398859.967083864</v>
      </c>
      <c r="N79" s="67">
        <f>IF(AND(MOD(C79,12)=1,D79&lt;15),Assumptions!$H$4*I79,0)</f>
        <v>0</v>
      </c>
      <c r="O79" s="67"/>
      <c r="P79" s="88">
        <f t="shared" si="26"/>
        <v>174187.60441538208</v>
      </c>
      <c r="Q79" s="88">
        <f>(M79+N79-O79)*VLOOKUP(MOD(C79,12)+(MOD(C79,12)=0)*12,Assumptions!$C$22:$D$33,2,FALSE)*(F79+G79)</f>
        <v>6532.0351655768291</v>
      </c>
      <c r="R79" s="67">
        <f>IF(AND(MOD(C79,12)=0,D79&lt;15),Assumptions!$C$7*M79,0)</f>
        <v>24699.429983541933</v>
      </c>
      <c r="S79" s="68">
        <f>IF(MOD(C79,12)=0,M79*Assumptions!$D$17,0)</f>
        <v>201257.07027701088</v>
      </c>
      <c r="T79" s="68">
        <f>(M79+N79-O79-P79-Q79-R79+S79)*(D80=Assumptions!$H$9)</f>
        <v>0</v>
      </c>
      <c r="U79" s="67">
        <f>T79+AE79*(1+Assumptions!$D$17)</f>
        <v>9903832.2865300998</v>
      </c>
      <c r="V79" s="67">
        <f t="shared" si="27"/>
        <v>49394697.967796378</v>
      </c>
      <c r="W79" s="67"/>
      <c r="X79" s="67">
        <f>IF(AND(MOD(C79,12)=1,D79&lt;15),Assumptions!$D$10*N79+Assumptions!$D$11*(1+Assumptions!$D$16)^(B79-1)*I79,0)</f>
        <v>0</v>
      </c>
      <c r="Y79" s="65">
        <f>Assumptions!$C$13*N79</f>
        <v>0</v>
      </c>
      <c r="Z79" s="65">
        <f>NPV(Assumptions!$D$19,N80:$N$259)</f>
        <v>54997708.411349855</v>
      </c>
      <c r="AA79" s="68">
        <f t="shared" si="28"/>
        <v>40200.082483873884</v>
      </c>
      <c r="AB79" s="96"/>
      <c r="AC79" s="67">
        <f>(AC78+N78-P78-Q78-T78-W78-X78-Y78+AD78)*IF(D79=Assumptions!$H$9,0,1)</f>
        <v>58308963.426921882</v>
      </c>
      <c r="AD79" s="91">
        <f>(AF78+N79-W79-X79-Y79)*Assumptions!$D$19-(P79+Q79)*Assumptions!$D$19/2</f>
        <v>253762.3740340425</v>
      </c>
      <c r="AE79" s="67">
        <f>(AE78+(AD79-O79-R79-Q79-S79))*IF(D79=Assumptions!$H$9,0,1)</f>
        <v>9863646.569448011</v>
      </c>
      <c r="AF79" s="91">
        <f t="shared" si="29"/>
        <v>59218144.454760514</v>
      </c>
      <c r="AG79" s="67">
        <f t="shared" si="30"/>
        <v>62462.930298231746</v>
      </c>
      <c r="AH79" s="89">
        <f>AG79*Assumptions!$C$18</f>
        <v>18738.879089469523</v>
      </c>
      <c r="AI79" s="67">
        <f t="shared" si="31"/>
        <v>43724.051208762219</v>
      </c>
      <c r="AK79" s="67">
        <f t="shared" si="32"/>
        <v>24526.850855526609</v>
      </c>
      <c r="AL79" s="70">
        <f t="shared" si="21"/>
        <v>-37936.078999999998</v>
      </c>
      <c r="AM79" s="80">
        <f>(O79-W79-X79-Y79-AA79)*Assumptions!$D$19</f>
        <v>-172.57912801532098</v>
      </c>
    </row>
    <row r="80" spans="2:39" x14ac:dyDescent="0.2">
      <c r="B80" s="5">
        <f t="shared" si="17"/>
        <v>73</v>
      </c>
      <c r="C80" s="5">
        <f t="shared" si="18"/>
        <v>73</v>
      </c>
      <c r="D80" s="5">
        <f t="shared" si="19"/>
        <v>6</v>
      </c>
      <c r="E80" s="5">
        <f t="shared" si="20"/>
        <v>52</v>
      </c>
      <c r="F80" s="64">
        <f>1-(1-VLOOKUP($E80,'Annual Mortality Rates'!$B$5:$C$105,2,FALSE))^(1/12)</f>
        <v>1.4344645210206952E-4</v>
      </c>
      <c r="G80" s="74">
        <f>1-(1-IF(D80&gt;=7,2%,VLOOKUP($D80,'Annual Lapse Rates'!$B$4:$C$14,2,FALSE)))^(1/12)</f>
        <v>2.5350486138366879E-3</v>
      </c>
      <c r="H80" s="80">
        <f t="shared" si="22"/>
        <v>1</v>
      </c>
      <c r="I80" s="65">
        <f t="shared" si="23"/>
        <v>3267.649503066767</v>
      </c>
      <c r="J80" s="66">
        <f t="shared" si="24"/>
        <v>0.46873272792801829</v>
      </c>
      <c r="K80" s="66">
        <f t="shared" si="25"/>
        <v>8.313063665343801</v>
      </c>
      <c r="M80" s="67">
        <f t="shared" si="33"/>
        <v>49394697.967796378</v>
      </c>
      <c r="N80" s="67">
        <f>IF(AND(MOD(C80,12)=1,D80&lt;15),Assumptions!$H$4*I80,0)</f>
        <v>8169123.7576669175</v>
      </c>
      <c r="O80" s="67"/>
      <c r="P80" s="88">
        <f t="shared" si="26"/>
        <v>154184.41246823169</v>
      </c>
      <c r="Q80" s="88">
        <f>(M80+N80-O80)*VLOOKUP(MOD(C80,12)+(MOD(C80,12)=0)*12,Assumptions!$C$22:$D$33,2,FALSE)*(F80+G80)</f>
        <v>481.82628896322404</v>
      </c>
      <c r="R80" s="67">
        <f>IF(AND(MOD(C80,12)=0,D80&lt;15),Assumptions!$C$7*M80,0)</f>
        <v>0</v>
      </c>
      <c r="S80" s="68">
        <f>IF(MOD(C80,12)=0,M80*Assumptions!$D$17,0)</f>
        <v>0</v>
      </c>
      <c r="T80" s="68">
        <f>(M80+N80-O80-P80-Q80-R80+S80)*(D81=Assumptions!$H$9)</f>
        <v>0</v>
      </c>
      <c r="U80" s="67">
        <f>T80+AE80*(1+Assumptions!$D$17)</f>
        <v>10193032.372107642</v>
      </c>
      <c r="V80" s="67">
        <f t="shared" si="27"/>
        <v>57409155.4867061</v>
      </c>
      <c r="W80" s="67"/>
      <c r="X80" s="67">
        <f>IF(AND(MOD(C80,12)=1,D80&lt;15),Assumptions!$D$10*N80+Assumptions!$D$11*(1+Assumptions!$D$16)^(B80-1)*I80,0)</f>
        <v>64764.995241257755</v>
      </c>
      <c r="Y80" s="65">
        <f>Assumptions!$C$13*N80</f>
        <v>40845.618788334592</v>
      </c>
      <c r="Z80" s="65">
        <f>NPV(Assumptions!$D$19,N81:$N$259)</f>
        <v>47064690.053821832</v>
      </c>
      <c r="AA80" s="68">
        <f t="shared" si="28"/>
        <v>36061.381933770092</v>
      </c>
      <c r="AB80" s="96"/>
      <c r="AC80" s="67">
        <f>(AC79+N79-P79-Q79-T79-W79-X79-Y79+AD79)*IF(D80=Assumptions!$H$9,0,1)</f>
        <v>58382006.161374964</v>
      </c>
      <c r="AD80" s="91">
        <f>(AF79+N80-W80-X80-Y80)*Assumptions!$D$19-(P80+Q80)*Assumptions!$D$19/2</f>
        <v>288508.45572519291</v>
      </c>
      <c r="AE80" s="67">
        <f>(AE79+(AD80-O80-R80-Q80-S80))*IF(D80=Assumptions!$H$9,0,1)</f>
        <v>10151673.198884241</v>
      </c>
      <c r="AF80" s="91">
        <f t="shared" si="29"/>
        <v>67524767.303656578</v>
      </c>
      <c r="AG80" s="67">
        <f t="shared" si="30"/>
        <v>-108785.66200177663</v>
      </c>
      <c r="AH80" s="89">
        <f>AG80*Assumptions!$C$18</f>
        <v>-32635.698600532985</v>
      </c>
      <c r="AI80" s="67">
        <f t="shared" si="31"/>
        <v>-76149.963401243644</v>
      </c>
      <c r="AK80" s="67">
        <f t="shared" si="32"/>
        <v>-110357.51307126277</v>
      </c>
      <c r="AL80" s="70">
        <f t="shared" si="21"/>
        <v>-1571.8510000000001</v>
      </c>
      <c r="AM80" s="80">
        <f>(O80-W80-X80-Y80-AA80)*Assumptions!$D$19</f>
        <v>-608.19849156665384</v>
      </c>
    </row>
    <row r="81" spans="2:39" x14ac:dyDescent="0.2">
      <c r="B81" s="5">
        <f t="shared" si="17"/>
        <v>74</v>
      </c>
      <c r="C81" s="5">
        <f t="shared" si="18"/>
        <v>74</v>
      </c>
      <c r="D81" s="5">
        <f t="shared" si="19"/>
        <v>6</v>
      </c>
      <c r="E81" s="5">
        <f t="shared" si="20"/>
        <v>52</v>
      </c>
      <c r="F81" s="64">
        <f>1-(1-VLOOKUP($E81,'Annual Mortality Rates'!$B$5:$C$105,2,FALSE))^(1/12)</f>
        <v>1.4344645210206952E-4</v>
      </c>
      <c r="G81" s="74">
        <f>1-(1-IF(D81&gt;=7,2%,VLOOKUP($D81,'Annual Lapse Rates'!$B$4:$C$14,2,FALSE)))^(1/12)</f>
        <v>2.5350486138366879E-3</v>
      </c>
      <c r="H81" s="80">
        <f t="shared" si="22"/>
        <v>2</v>
      </c>
      <c r="I81" s="65">
        <f t="shared" si="23"/>
        <v>3258.8677066734954</v>
      </c>
      <c r="J81" s="66">
        <f t="shared" si="24"/>
        <v>0.4674730103923207</v>
      </c>
      <c r="K81" s="66">
        <f t="shared" si="25"/>
        <v>8.2836503432535498</v>
      </c>
      <c r="M81" s="67">
        <f t="shared" si="33"/>
        <v>57409155.4867061</v>
      </c>
      <c r="N81" s="67">
        <f>IF(AND(MOD(C81,12)=1,D81&lt;15),Assumptions!$H$4*I81,0)</f>
        <v>0</v>
      </c>
      <c r="O81" s="67"/>
      <c r="P81" s="88">
        <f t="shared" si="26"/>
        <v>153770.13971085323</v>
      </c>
      <c r="Q81" s="88">
        <f>(M81+N81-O81)*VLOOKUP(MOD(C81,12)+(MOD(C81,12)=0)*12,Assumptions!$C$22:$D$33,2,FALSE)*(F81+G81)</f>
        <v>961.06337319283273</v>
      </c>
      <c r="R81" s="67">
        <f>IF(AND(MOD(C81,12)=0,D81&lt;15),Assumptions!$C$7*M81,0)</f>
        <v>0</v>
      </c>
      <c r="S81" s="68">
        <f>IF(MOD(C81,12)=0,M81*Assumptions!$D$17,0)</f>
        <v>0</v>
      </c>
      <c r="T81" s="68">
        <f>(M81+N81-O81-P81-Q81-R81+S81)*(D82=Assumptions!$H$9)</f>
        <v>0</v>
      </c>
      <c r="U81" s="67">
        <f>T81+AE81*(1+Assumptions!$D$17)</f>
        <v>10482799.051176878</v>
      </c>
      <c r="V81" s="67">
        <f t="shared" si="27"/>
        <v>57254424.283622056</v>
      </c>
      <c r="W81" s="67"/>
      <c r="X81" s="67">
        <f>IF(AND(MOD(C81,12)=1,D81&lt;15),Assumptions!$D$10*N81+Assumptions!$D$11*(1+Assumptions!$D$16)^(B81-1)*I81,0)</f>
        <v>0</v>
      </c>
      <c r="Y81" s="65">
        <f>Assumptions!$C$13*N81</f>
        <v>0</v>
      </c>
      <c r="Z81" s="65">
        <f>NPV(Assumptions!$D$19,N82:$N$259)</f>
        <v>47266738.971832342</v>
      </c>
      <c r="AA81" s="68">
        <f t="shared" si="28"/>
        <v>36061.381933770092</v>
      </c>
      <c r="AB81" s="96"/>
      <c r="AC81" s="67">
        <f>(AC80+N80-P80-Q80-T80-W80-X80-Y80+AD80)*IF(D81=Assumptions!$H$9,0,1)</f>
        <v>66579361.521980293</v>
      </c>
      <c r="AD81" s="91">
        <f>(AF80+N81-W81-X81-Y81)*Assumptions!$D$19-(P81+Q81)*Assumptions!$D$19/2</f>
        <v>289551.98729553242</v>
      </c>
      <c r="AE81" s="67">
        <f>(AE80+(AD81-O81-R81-Q81-S81))*IF(D81=Assumptions!$H$9,0,1)</f>
        <v>10440264.122806581</v>
      </c>
      <c r="AF81" s="91">
        <f t="shared" si="29"/>
        <v>67658627.024494871</v>
      </c>
      <c r="AG81" s="67">
        <f t="shared" si="30"/>
        <v>1922.1267463857657</v>
      </c>
      <c r="AH81" s="89">
        <f>AG81*Assumptions!$C$18</f>
        <v>576.63802391572972</v>
      </c>
      <c r="AI81" s="67">
        <f t="shared" si="31"/>
        <v>1345.488722470036</v>
      </c>
      <c r="AK81" s="67">
        <f t="shared" si="32"/>
        <v>-154.81166864903935</v>
      </c>
      <c r="AL81" s="70">
        <f t="shared" si="21"/>
        <v>-2076.9380000000001</v>
      </c>
      <c r="AM81" s="80">
        <f>(O81-W81-X81-Y81-AA81)*Assumptions!$D$19</f>
        <v>-154.8116686490383</v>
      </c>
    </row>
    <row r="82" spans="2:39" x14ac:dyDescent="0.2">
      <c r="B82" s="5">
        <f t="shared" si="17"/>
        <v>75</v>
      </c>
      <c r="C82" s="5">
        <f t="shared" si="18"/>
        <v>75</v>
      </c>
      <c r="D82" s="5">
        <f t="shared" si="19"/>
        <v>6</v>
      </c>
      <c r="E82" s="5">
        <f t="shared" si="20"/>
        <v>52</v>
      </c>
      <c r="F82" s="64">
        <f>1-(1-VLOOKUP($E82,'Annual Mortality Rates'!$B$5:$C$105,2,FALSE))^(1/12)</f>
        <v>1.4344645210206952E-4</v>
      </c>
      <c r="G82" s="74">
        <f>1-(1-IF(D82&gt;=7,2%,VLOOKUP($D82,'Annual Lapse Rates'!$B$4:$C$14,2,FALSE)))^(1/12)</f>
        <v>2.5350486138366879E-3</v>
      </c>
      <c r="H82" s="80">
        <f t="shared" si="22"/>
        <v>3</v>
      </c>
      <c r="I82" s="65">
        <f t="shared" si="23"/>
        <v>3250.1165833198493</v>
      </c>
      <c r="J82" s="66">
        <f t="shared" si="24"/>
        <v>0.46621769279533259</v>
      </c>
      <c r="K82" s="66">
        <f t="shared" si="25"/>
        <v>8.2613880624797904</v>
      </c>
      <c r="M82" s="67">
        <f t="shared" si="33"/>
        <v>57254424.283622056</v>
      </c>
      <c r="N82" s="67">
        <f>IF(AND(MOD(C82,12)=1,D82&lt;15),Assumptions!$H$4*I82,0)</f>
        <v>0</v>
      </c>
      <c r="O82" s="67"/>
      <c r="P82" s="88">
        <f t="shared" si="26"/>
        <v>153355.69294684584</v>
      </c>
      <c r="Q82" s="88">
        <f>(M82+N82-O82)*VLOOKUP(MOD(C82,12)+(MOD(C82,12)=0)*12,Assumptions!$C$22:$D$33,2,FALSE)*(F82+G82)</f>
        <v>1437.7096213766802</v>
      </c>
      <c r="R82" s="67">
        <f>IF(AND(MOD(C82,12)=0,D82&lt;15),Assumptions!$C$7*M82,0)</f>
        <v>0</v>
      </c>
      <c r="S82" s="68">
        <f>IF(MOD(C82,12)=0,M82*Assumptions!$D$17,0)</f>
        <v>0</v>
      </c>
      <c r="T82" s="68">
        <f>(M82+N82-O82-P82-Q82-R82+S82)*(D83=Assumptions!$H$9)</f>
        <v>0</v>
      </c>
      <c r="U82" s="67">
        <f>T82+AE82*(1+Assumptions!$D$17)</f>
        <v>10772664.009624947</v>
      </c>
      <c r="V82" s="67">
        <f t="shared" si="27"/>
        <v>57099630.881053835</v>
      </c>
      <c r="W82" s="67"/>
      <c r="X82" s="67">
        <f>IF(AND(MOD(C82,12)=1,D82&lt;15),Assumptions!$D$10*N82+Assumptions!$D$11*(1+Assumptions!$D$16)^(B82-1)*I82,0)</f>
        <v>0</v>
      </c>
      <c r="Y82" s="65">
        <f>Assumptions!$C$13*N82</f>
        <v>0</v>
      </c>
      <c r="Z82" s="65">
        <f>NPV(Assumptions!$D$19,N83:$N$259)</f>
        <v>47469655.286721967</v>
      </c>
      <c r="AA82" s="68">
        <f t="shared" si="28"/>
        <v>36061.381933770092</v>
      </c>
      <c r="AB82" s="96"/>
      <c r="AC82" s="67">
        <f>(AC81+N81-P81-Q81-T81-W81-X81-Y81+AD81)*IF(D82=Assumptions!$H$9,0,1)</f>
        <v>66714182.30619178</v>
      </c>
      <c r="AD82" s="91">
        <f>(AF81+N82-W82-X82-Y82)*Assumptions!$D$19-(P82+Q82)*Assumptions!$D$19/2</f>
        <v>290126.51414486265</v>
      </c>
      <c r="AE82" s="67">
        <f>(AE81+(AD82-O82-R82-Q82-S82))*IF(D82=Assumptions!$H$9,0,1)</f>
        <v>10728952.927330067</v>
      </c>
      <c r="AF82" s="91">
        <f t="shared" si="29"/>
        <v>67792522.426450133</v>
      </c>
      <c r="AG82" s="67">
        <f t="shared" si="30"/>
        <v>2875.419242754986</v>
      </c>
      <c r="AH82" s="89">
        <f>AG82*Assumptions!$C$18</f>
        <v>862.62577282649579</v>
      </c>
      <c r="AI82" s="67">
        <f t="shared" si="31"/>
        <v>2012.7934699284901</v>
      </c>
      <c r="AK82" s="67">
        <f t="shared" si="32"/>
        <v>-154.81166864903935</v>
      </c>
      <c r="AL82" s="70">
        <f t="shared" si="21"/>
        <v>-3030.2310000000002</v>
      </c>
      <c r="AM82" s="80">
        <f>(O82-W82-X82-Y82-AA82)*Assumptions!$D$19</f>
        <v>-154.8116686490383</v>
      </c>
    </row>
    <row r="83" spans="2:39" x14ac:dyDescent="0.2">
      <c r="B83" s="5">
        <f t="shared" si="17"/>
        <v>76</v>
      </c>
      <c r="C83" s="5">
        <f t="shared" si="18"/>
        <v>76</v>
      </c>
      <c r="D83" s="5">
        <f t="shared" si="19"/>
        <v>6</v>
      </c>
      <c r="E83" s="5">
        <f t="shared" si="20"/>
        <v>52</v>
      </c>
      <c r="F83" s="64">
        <f>1-(1-VLOOKUP($E83,'Annual Mortality Rates'!$B$5:$C$105,2,FALSE))^(1/12)</f>
        <v>1.4344645210206952E-4</v>
      </c>
      <c r="G83" s="74">
        <f>1-(1-IF(D83&gt;=7,2%,VLOOKUP($D83,'Annual Lapse Rates'!$B$4:$C$14,2,FALSE)))^(1/12)</f>
        <v>2.5350486138366879E-3</v>
      </c>
      <c r="H83" s="80">
        <f t="shared" si="22"/>
        <v>4</v>
      </c>
      <c r="I83" s="65">
        <f t="shared" si="23"/>
        <v>3241.3889775645739</v>
      </c>
      <c r="J83" s="66">
        <f t="shared" si="24"/>
        <v>0.46496574871439272</v>
      </c>
      <c r="K83" s="66">
        <f t="shared" si="25"/>
        <v>8.2392035393526157</v>
      </c>
      <c r="M83" s="67">
        <f t="shared" si="33"/>
        <v>57099630.881053835</v>
      </c>
      <c r="N83" s="67">
        <f>IF(AND(MOD(C83,12)=1,D83&lt;15),Assumptions!$H$4*I83,0)</f>
        <v>0</v>
      </c>
      <c r="O83" s="67"/>
      <c r="P83" s="88">
        <f t="shared" si="26"/>
        <v>152941.07958182701</v>
      </c>
      <c r="Q83" s="88">
        <f>(M83+N83-O83)*VLOOKUP(MOD(C83,12)+(MOD(C83,12)=0)*12,Assumptions!$C$22:$D$33,2,FALSE)*(F83+G83)</f>
        <v>1911.7634947728377</v>
      </c>
      <c r="R83" s="67">
        <f>IF(AND(MOD(C83,12)=0,D83&lt;15),Assumptions!$C$7*M83,0)</f>
        <v>0</v>
      </c>
      <c r="S83" s="68">
        <f>IF(MOD(C83,12)=0,M83*Assumptions!$D$17,0)</f>
        <v>0</v>
      </c>
      <c r="T83" s="68">
        <f>(M83+N83-O83-P83-Q83-R83+S83)*(D84=Assumptions!$H$9)</f>
        <v>0</v>
      </c>
      <c r="U83" s="67">
        <f>T83+AE83*(1+Assumptions!$D$17)</f>
        <v>11062630.010137826</v>
      </c>
      <c r="V83" s="67">
        <f t="shared" si="27"/>
        <v>56944778.037977234</v>
      </c>
      <c r="W83" s="67"/>
      <c r="X83" s="67">
        <f>IF(AND(MOD(C83,12)=1,D83&lt;15),Assumptions!$D$10*N83+Assumptions!$D$11*(1+Assumptions!$D$16)^(B83-1)*I83,0)</f>
        <v>0</v>
      </c>
      <c r="Y83" s="65">
        <f>Assumptions!$C$13*N83</f>
        <v>0</v>
      </c>
      <c r="Z83" s="65">
        <f>NPV(Assumptions!$D$19,N84:$N$259)</f>
        <v>47673442.72222925</v>
      </c>
      <c r="AA83" s="68">
        <f t="shared" si="28"/>
        <v>36061.381933770092</v>
      </c>
      <c r="AB83" s="96"/>
      <c r="AC83" s="67">
        <f>(AC82+N82-P82-Q82-T82-W82-X82-Y82+AD82)*IF(D83=Assumptions!$H$9,0,1)</f>
        <v>66849515.417768419</v>
      </c>
      <c r="AD83" s="91">
        <f>(AF82+N83-W83-X83-Y83)*Assumptions!$D$19-(P83+Q83)*Assumptions!$D$19/2</f>
        <v>290701.20009552996</v>
      </c>
      <c r="AE83" s="67">
        <f>(AE82+(AD83-O83-R83-Q83-S83))*IF(D83=Assumptions!$H$9,0,1)</f>
        <v>11017742.363930825</v>
      </c>
      <c r="AF83" s="91">
        <f t="shared" si="29"/>
        <v>67926459.019974291</v>
      </c>
      <c r="AG83" s="67">
        <f t="shared" si="30"/>
        <v>3823.5269895449164</v>
      </c>
      <c r="AH83" s="89">
        <f>AG83*Assumptions!$C$18</f>
        <v>1147.0580968634749</v>
      </c>
      <c r="AI83" s="67">
        <f t="shared" si="31"/>
        <v>2676.4688926814415</v>
      </c>
      <c r="AK83" s="67">
        <f t="shared" si="32"/>
        <v>-154.81166864903935</v>
      </c>
      <c r="AL83" s="70">
        <f t="shared" si="21"/>
        <v>-3978.3389999999999</v>
      </c>
      <c r="AM83" s="80">
        <f>(O83-W83-X83-Y83-AA83)*Assumptions!$D$19</f>
        <v>-154.8116686490383</v>
      </c>
    </row>
    <row r="84" spans="2:39" x14ac:dyDescent="0.2">
      <c r="B84" s="5">
        <f t="shared" si="17"/>
        <v>77</v>
      </c>
      <c r="C84" s="5">
        <f t="shared" si="18"/>
        <v>77</v>
      </c>
      <c r="D84" s="5">
        <f t="shared" si="19"/>
        <v>6</v>
      </c>
      <c r="E84" s="5">
        <f t="shared" si="20"/>
        <v>52</v>
      </c>
      <c r="F84" s="64">
        <f>1-(1-VLOOKUP($E84,'Annual Mortality Rates'!$B$5:$C$105,2,FALSE))^(1/12)</f>
        <v>1.4344645210206952E-4</v>
      </c>
      <c r="G84" s="74">
        <f>1-(1-IF(D84&gt;=7,2%,VLOOKUP($D84,'Annual Lapse Rates'!$B$4:$C$14,2,FALSE)))^(1/12)</f>
        <v>2.5350486138366879E-3</v>
      </c>
      <c r="H84" s="80">
        <f t="shared" si="22"/>
        <v>5</v>
      </c>
      <c r="I84" s="65">
        <f t="shared" si="23"/>
        <v>3232.6848082765068</v>
      </c>
      <c r="J84" s="66">
        <f t="shared" si="24"/>
        <v>0.46371716651152373</v>
      </c>
      <c r="K84" s="66">
        <f t="shared" si="25"/>
        <v>8.2170786344805915</v>
      </c>
      <c r="M84" s="67">
        <f t="shared" si="33"/>
        <v>56944778.037977234</v>
      </c>
      <c r="N84" s="67">
        <f>IF(AND(MOD(C84,12)=1,D84&lt;15),Assumptions!$H$4*I84,0)</f>
        <v>0</v>
      </c>
      <c r="O84" s="67"/>
      <c r="P84" s="88">
        <f t="shared" si="26"/>
        <v>152526.30700569972</v>
      </c>
      <c r="Q84" s="88">
        <f>(M84+N84-O84)*VLOOKUP(MOD(C84,12)+(MOD(C84,12)=0)*12,Assumptions!$C$22:$D$33,2,FALSE)*(F84+G84)</f>
        <v>2383.2235469640582</v>
      </c>
      <c r="R84" s="67">
        <f>IF(AND(MOD(C84,12)=0,D84&lt;15),Assumptions!$C$7*M84,0)</f>
        <v>0</v>
      </c>
      <c r="S84" s="68">
        <f>IF(MOD(C84,12)=0,M84*Assumptions!$D$17,0)</f>
        <v>0</v>
      </c>
      <c r="T84" s="68">
        <f>(M84+N84-O84-P84-Q84-R84+S84)*(D85=Assumptions!$H$9)</f>
        <v>0</v>
      </c>
      <c r="U84" s="67">
        <f>T84+AE84*(1+Assumptions!$D$17)</f>
        <v>11352699.840593768</v>
      </c>
      <c r="V84" s="67">
        <f t="shared" si="27"/>
        <v>56789868.507424563</v>
      </c>
      <c r="W84" s="67"/>
      <c r="X84" s="67">
        <f>IF(AND(MOD(C84,12)=1,D84&lt;15),Assumptions!$D$10*N84+Assumptions!$D$11*(1+Assumptions!$D$16)^(B84-1)*I84,0)</f>
        <v>0</v>
      </c>
      <c r="Y84" s="65">
        <f>Assumptions!$C$13*N84</f>
        <v>0</v>
      </c>
      <c r="Z84" s="65">
        <f>NPV(Assumptions!$D$19,N85:$N$259)</f>
        <v>47878105.018078811</v>
      </c>
      <c r="AA84" s="68">
        <f t="shared" si="28"/>
        <v>36061.381933770092</v>
      </c>
      <c r="AB84" s="96"/>
      <c r="AC84" s="67">
        <f>(AC83+N83-P83-Q83-T83-W83-X83-Y83+AD83)*IF(D84=Assumptions!$H$9,0,1)</f>
        <v>66985363.774787344</v>
      </c>
      <c r="AD84" s="91">
        <f>(AF83+N84-W84-X84-Y84)*Assumptions!$D$19-(P84+Q84)*Assumptions!$D$19/2</f>
        <v>291276.06879117049</v>
      </c>
      <c r="AE84" s="67">
        <f>(AE83+(AD84-O84-R84-Q84-S84))*IF(D84=Assumptions!$H$9,0,1)</f>
        <v>11306635.209175032</v>
      </c>
      <c r="AF84" s="91">
        <f t="shared" si="29"/>
        <v>68060442.334665835</v>
      </c>
      <c r="AG84" s="67">
        <f t="shared" si="30"/>
        <v>4766.4470939271851</v>
      </c>
      <c r="AH84" s="89">
        <f>AG84*Assumptions!$C$18</f>
        <v>1429.9341281781556</v>
      </c>
      <c r="AI84" s="67">
        <f t="shared" si="31"/>
        <v>3336.5129657490297</v>
      </c>
      <c r="AK84" s="67">
        <f t="shared" si="32"/>
        <v>-154.81166864903935</v>
      </c>
      <c r="AL84" s="70">
        <f t="shared" si="21"/>
        <v>-4921.259</v>
      </c>
      <c r="AM84" s="80">
        <f>(O84-W84-X84-Y84-AA84)*Assumptions!$D$19</f>
        <v>-154.8116686490383</v>
      </c>
    </row>
    <row r="85" spans="2:39" x14ac:dyDescent="0.2">
      <c r="B85" s="5">
        <f t="shared" si="17"/>
        <v>78</v>
      </c>
      <c r="C85" s="5">
        <f t="shared" si="18"/>
        <v>78</v>
      </c>
      <c r="D85" s="5">
        <f t="shared" si="19"/>
        <v>6</v>
      </c>
      <c r="E85" s="5">
        <f t="shared" si="20"/>
        <v>52</v>
      </c>
      <c r="F85" s="64">
        <f>1-(1-VLOOKUP($E85,'Annual Mortality Rates'!$B$5:$C$105,2,FALSE))^(1/12)</f>
        <v>1.4344645210206952E-4</v>
      </c>
      <c r="G85" s="74">
        <f>1-(1-IF(D85&gt;=7,2%,VLOOKUP($D85,'Annual Lapse Rates'!$B$4:$C$14,2,FALSE)))^(1/12)</f>
        <v>2.5350486138366879E-3</v>
      </c>
      <c r="H85" s="80">
        <f t="shared" si="22"/>
        <v>6</v>
      </c>
      <c r="I85" s="65">
        <f t="shared" si="23"/>
        <v>3224.0040124755146</v>
      </c>
      <c r="J85" s="66">
        <f t="shared" si="24"/>
        <v>0.46247193715244883</v>
      </c>
      <c r="K85" s="66">
        <f t="shared" si="25"/>
        <v>8.1950131421922769</v>
      </c>
      <c r="M85" s="67">
        <f t="shared" si="33"/>
        <v>56789868.507424563</v>
      </c>
      <c r="N85" s="67">
        <f>IF(AND(MOD(C85,12)=1,D85&lt;15),Assumptions!$H$4*I85,0)</f>
        <v>0</v>
      </c>
      <c r="O85" s="67"/>
      <c r="P85" s="88">
        <f t="shared" si="26"/>
        <v>152111.38259244751</v>
      </c>
      <c r="Q85" s="88">
        <f>(M85+N85-O85)*VLOOKUP(MOD(C85,12)+(MOD(C85,12)=0)*12,Assumptions!$C$22:$D$33,2,FALSE)*(F85+G85)</f>
        <v>2852.0884236083912</v>
      </c>
      <c r="R85" s="67">
        <f>IF(AND(MOD(C85,12)=0,D85&lt;15),Assumptions!$C$7*M85,0)</f>
        <v>0</v>
      </c>
      <c r="S85" s="68">
        <f>IF(MOD(C85,12)=0,M85*Assumptions!$D$17,0)</f>
        <v>0</v>
      </c>
      <c r="T85" s="68">
        <f>(M85+N85-O85-P85-Q85-R85+S85)*(D86=Assumptions!$H$9)</f>
        <v>0</v>
      </c>
      <c r="U85" s="67">
        <f>T85+AE85*(1+Assumptions!$D$17)</f>
        <v>11642876.314053215</v>
      </c>
      <c r="V85" s="67">
        <f t="shared" si="27"/>
        <v>56634905.036408506</v>
      </c>
      <c r="W85" s="67"/>
      <c r="X85" s="67">
        <f>IF(AND(MOD(C85,12)=1,D85&lt;15),Assumptions!$D$10*N85+Assumptions!$D$11*(1+Assumptions!$D$16)^(B85-1)*I85,0)</f>
        <v>0</v>
      </c>
      <c r="Y85" s="65">
        <f>Assumptions!$C$13*N85</f>
        <v>0</v>
      </c>
      <c r="Z85" s="65">
        <f>NPV(Assumptions!$D$19,N86:$N$259)</f>
        <v>48083645.930049829</v>
      </c>
      <c r="AA85" s="68">
        <f t="shared" si="28"/>
        <v>36061.381933770092</v>
      </c>
      <c r="AB85" s="96"/>
      <c r="AC85" s="67">
        <f>(AC84+N84-P84-Q84-T84-W84-X84-Y84+AD84)*IF(D85=Assumptions!$H$9,0,1)</f>
        <v>67121730.313025847</v>
      </c>
      <c r="AD85" s="91">
        <f>(AF84+N85-W85-X85-Y85)*Assumptions!$D$19-(P85+Q85)*Assumptions!$D$19/2</f>
        <v>291851.14395745343</v>
      </c>
      <c r="AE85" s="67">
        <f>(AE84+(AD85-O85-R85-Q85-S85))*IF(D85=Assumptions!$H$9,0,1)</f>
        <v>11595634.264708877</v>
      </c>
      <c r="AF85" s="91">
        <f t="shared" si="29"/>
        <v>68194477.919183627</v>
      </c>
      <c r="AG85" s="67">
        <f t="shared" si="30"/>
        <v>5704.1768472140539</v>
      </c>
      <c r="AH85" s="89">
        <f>AG85*Assumptions!$C$18</f>
        <v>1711.2530541642161</v>
      </c>
      <c r="AI85" s="67">
        <f t="shared" si="31"/>
        <v>3992.9237930498375</v>
      </c>
      <c r="AK85" s="67">
        <f t="shared" si="32"/>
        <v>-154.81166864903935</v>
      </c>
      <c r="AL85" s="70">
        <f t="shared" si="21"/>
        <v>-5858.9889999999996</v>
      </c>
      <c r="AM85" s="80">
        <f>(O85-W85-X85-Y85-AA85)*Assumptions!$D$19</f>
        <v>-154.8116686490383</v>
      </c>
    </row>
    <row r="86" spans="2:39" x14ac:dyDescent="0.2">
      <c r="B86" s="5">
        <f t="shared" si="17"/>
        <v>79</v>
      </c>
      <c r="C86" s="5">
        <f t="shared" si="18"/>
        <v>79</v>
      </c>
      <c r="D86" s="5">
        <f t="shared" si="19"/>
        <v>6</v>
      </c>
      <c r="E86" s="5">
        <f t="shared" si="20"/>
        <v>52</v>
      </c>
      <c r="F86" s="64">
        <f>1-(1-VLOOKUP($E86,'Annual Mortality Rates'!$B$5:$C$105,2,FALSE))^(1/12)</f>
        <v>1.4344645210206952E-4</v>
      </c>
      <c r="G86" s="74">
        <f>1-(1-IF(D86&gt;=7,2%,VLOOKUP($D86,'Annual Lapse Rates'!$B$4:$C$14,2,FALSE)))^(1/12)</f>
        <v>2.5350486138366879E-3</v>
      </c>
      <c r="H86" s="80">
        <f t="shared" si="22"/>
        <v>7</v>
      </c>
      <c r="I86" s="65">
        <f t="shared" si="23"/>
        <v>3215.3465273961701</v>
      </c>
      <c r="J86" s="66">
        <f t="shared" si="24"/>
        <v>0.4612300516336903</v>
      </c>
      <c r="K86" s="66">
        <f t="shared" si="25"/>
        <v>8.1730069028299734</v>
      </c>
      <c r="M86" s="67">
        <f t="shared" si="33"/>
        <v>56634905.036408506</v>
      </c>
      <c r="N86" s="67">
        <f>IF(AND(MOD(C86,12)=1,D86&lt;15),Assumptions!$H$4*I86,0)</f>
        <v>0</v>
      </c>
      <c r="O86" s="67"/>
      <c r="P86" s="88">
        <f t="shared" si="26"/>
        <v>151696.31369993027</v>
      </c>
      <c r="Q86" s="88">
        <f>(M86+N86-O86)*VLOOKUP(MOD(C86,12)+(MOD(C86,12)=0)*12,Assumptions!$C$22:$D$33,2,FALSE)*(F86+G86)</f>
        <v>3318.3568621859745</v>
      </c>
      <c r="R86" s="67">
        <f>IF(AND(MOD(C86,12)=0,D86&lt;15),Assumptions!$C$7*M86,0)</f>
        <v>0</v>
      </c>
      <c r="S86" s="68">
        <f>IF(MOD(C86,12)=0,M86*Assumptions!$D$17,0)</f>
        <v>0</v>
      </c>
      <c r="T86" s="68">
        <f>(M86+N86-O86-P86-Q86-R86+S86)*(D87=Assumptions!$H$9)</f>
        <v>0</v>
      </c>
      <c r="U86" s="67">
        <f>T86+AE86*(1+Assumptions!$D$17)</f>
        <v>11933162.2687486</v>
      </c>
      <c r="V86" s="67">
        <f t="shared" si="27"/>
        <v>56479890.365846388</v>
      </c>
      <c r="W86" s="67"/>
      <c r="X86" s="67">
        <f>IF(AND(MOD(C86,12)=1,D86&lt;15),Assumptions!$D$10*N86+Assumptions!$D$11*(1+Assumptions!$D$16)^(B86-1)*I86,0)</f>
        <v>0</v>
      </c>
      <c r="Y86" s="65">
        <f>Assumptions!$C$13*N86</f>
        <v>0</v>
      </c>
      <c r="Z86" s="65">
        <f>NPV(Assumptions!$D$19,N87:$N$259)</f>
        <v>48290069.230045155</v>
      </c>
      <c r="AA86" s="68">
        <f t="shared" si="28"/>
        <v>36061.381933770092</v>
      </c>
      <c r="AB86" s="96"/>
      <c r="AC86" s="67">
        <f>(AC85+N85-P85-Q85-T85-W85-X85-Y85+AD85)*IF(D86=Assumptions!$H$9,0,1)</f>
        <v>67258617.985967249</v>
      </c>
      <c r="AD86" s="91">
        <f>(AF85+N86-W86-X86-Y86)*Assumptions!$D$19-(P86+Q86)*Assumptions!$D$19/2</f>
        <v>292426.44940171152</v>
      </c>
      <c r="AE86" s="67">
        <f>(AE85+(AD86-O86-R86-Q86-S86))*IF(D86=Assumptions!$H$9,0,1)</f>
        <v>11884742.357248401</v>
      </c>
      <c r="AF86" s="91">
        <f t="shared" si="29"/>
        <v>68328571.341161028</v>
      </c>
      <c r="AG86" s="67">
        <f t="shared" si="30"/>
        <v>6636.7137243804755</v>
      </c>
      <c r="AH86" s="89">
        <f>AG86*Assumptions!$C$18</f>
        <v>1991.0141173141426</v>
      </c>
      <c r="AI86" s="67">
        <f t="shared" si="31"/>
        <v>4645.6996070663326</v>
      </c>
      <c r="AK86" s="67">
        <f t="shared" si="32"/>
        <v>-154.81166864903935</v>
      </c>
      <c r="AL86" s="70">
        <f t="shared" si="21"/>
        <v>-6791.5249999999996</v>
      </c>
      <c r="AM86" s="80">
        <f>(O86-W86-X86-Y86-AA86)*Assumptions!$D$19</f>
        <v>-154.8116686490383</v>
      </c>
    </row>
    <row r="87" spans="2:39" x14ac:dyDescent="0.2">
      <c r="B87" s="5">
        <f t="shared" si="17"/>
        <v>80</v>
      </c>
      <c r="C87" s="5">
        <f t="shared" si="18"/>
        <v>80</v>
      </c>
      <c r="D87" s="5">
        <f t="shared" si="19"/>
        <v>6</v>
      </c>
      <c r="E87" s="5">
        <f t="shared" si="20"/>
        <v>52</v>
      </c>
      <c r="F87" s="64">
        <f>1-(1-VLOOKUP($E87,'Annual Mortality Rates'!$B$5:$C$105,2,FALSE))^(1/12)</f>
        <v>1.4344645210206952E-4</v>
      </c>
      <c r="G87" s="74">
        <f>1-(1-IF(D87&gt;=7,2%,VLOOKUP($D87,'Annual Lapse Rates'!$B$4:$C$14,2,FALSE)))^(1/12)</f>
        <v>2.5350486138366879E-3</v>
      </c>
      <c r="H87" s="80">
        <f t="shared" si="22"/>
        <v>8</v>
      </c>
      <c r="I87" s="65">
        <f t="shared" si="23"/>
        <v>3206.7122904417065</v>
      </c>
      <c r="J87" s="66">
        <f t="shared" si="24"/>
        <v>0.45999150097596392</v>
      </c>
      <c r="K87" s="66">
        <f t="shared" si="25"/>
        <v>8.1510597572802688</v>
      </c>
      <c r="M87" s="67">
        <f t="shared" si="33"/>
        <v>56479890.365846388</v>
      </c>
      <c r="N87" s="67">
        <f>IF(AND(MOD(C87,12)=1,D87&lt;15),Assumptions!$H$4*I87,0)</f>
        <v>0</v>
      </c>
      <c r="O87" s="67"/>
      <c r="P87" s="88">
        <f t="shared" si="26"/>
        <v>151281.10766968151</v>
      </c>
      <c r="Q87" s="88">
        <f>(M87+N87-O87)*VLOOKUP(MOD(C87,12)+(MOD(C87,12)=0)*12,Assumptions!$C$22:$D$33,2,FALSE)*(F87+G87)</f>
        <v>3782.0276917420379</v>
      </c>
      <c r="R87" s="67">
        <f>IF(AND(MOD(C87,12)=0,D87&lt;15),Assumptions!$C$7*M87,0)</f>
        <v>0</v>
      </c>
      <c r="S87" s="68">
        <f>IF(MOD(C87,12)=0,M87*Assumptions!$D$17,0)</f>
        <v>0</v>
      </c>
      <c r="T87" s="68">
        <f>(M87+N87-O87-P87-Q87-R87+S87)*(D88=Assumptions!$H$9)</f>
        <v>0</v>
      </c>
      <c r="U87" s="67">
        <f>T87+AE87*(1+Assumptions!$D$17)</f>
        <v>12223560.568074038</v>
      </c>
      <c r="V87" s="67">
        <f t="shared" si="27"/>
        <v>56324827.230484962</v>
      </c>
      <c r="W87" s="67"/>
      <c r="X87" s="67">
        <f>IF(AND(MOD(C87,12)=1,D87&lt;15),Assumptions!$D$10*N87+Assumptions!$D$11*(1+Assumptions!$D$16)^(B87-1)*I87,0)</f>
        <v>0</v>
      </c>
      <c r="Y87" s="65">
        <f>Assumptions!$C$13*N87</f>
        <v>0</v>
      </c>
      <c r="Z87" s="65">
        <f>NPV(Assumptions!$D$19,N88:$N$259)</f>
        <v>48497378.706160374</v>
      </c>
      <c r="AA87" s="68">
        <f t="shared" si="28"/>
        <v>36061.381933770092</v>
      </c>
      <c r="AB87" s="96"/>
      <c r="AC87" s="67">
        <f>(AC86+N86-P86-Q86-T86-W86-X86-Y86+AD86)*IF(D87=Assumptions!$H$9,0,1)</f>
        <v>67396029.764806837</v>
      </c>
      <c r="AD87" s="91">
        <f>(AF86+N87-W87-X87-Y87)*Assumptions!$D$19-(P87+Q87)*Assumptions!$D$19/2</f>
        <v>293002.00901257375</v>
      </c>
      <c r="AE87" s="67">
        <f>(AE86+(AD87-O87-R87-Q87-S87))*IF(D87=Assumptions!$H$9,0,1)</f>
        <v>12173962.338569233</v>
      </c>
      <c r="AF87" s="91">
        <f t="shared" si="29"/>
        <v>68462728.187120438</v>
      </c>
      <c r="AG87" s="67">
        <f t="shared" si="30"/>
        <v>7564.055383482133</v>
      </c>
      <c r="AH87" s="89">
        <f>AG87*Assumptions!$C$18</f>
        <v>2269.2166150446396</v>
      </c>
      <c r="AI87" s="67">
        <f t="shared" si="31"/>
        <v>5294.8387684374939</v>
      </c>
      <c r="AK87" s="67">
        <f t="shared" si="32"/>
        <v>-154.81166864903935</v>
      </c>
      <c r="AL87" s="70">
        <f t="shared" si="21"/>
        <v>-7718.8670000000002</v>
      </c>
      <c r="AM87" s="80">
        <f>(O87-W87-X87-Y87-AA87)*Assumptions!$D$19</f>
        <v>-154.8116686490383</v>
      </c>
    </row>
    <row r="88" spans="2:39" x14ac:dyDescent="0.2">
      <c r="B88" s="5">
        <f t="shared" si="17"/>
        <v>81</v>
      </c>
      <c r="C88" s="5">
        <f t="shared" si="18"/>
        <v>81</v>
      </c>
      <c r="D88" s="5">
        <f t="shared" si="19"/>
        <v>6</v>
      </c>
      <c r="E88" s="5">
        <f t="shared" si="20"/>
        <v>52</v>
      </c>
      <c r="F88" s="64">
        <f>1-(1-VLOOKUP($E88,'Annual Mortality Rates'!$B$5:$C$105,2,FALSE))^(1/12)</f>
        <v>1.4344645210206952E-4</v>
      </c>
      <c r="G88" s="74">
        <f>1-(1-IF(D88&gt;=7,2%,VLOOKUP($D88,'Annual Lapse Rates'!$B$4:$C$14,2,FALSE)))^(1/12)</f>
        <v>2.5350486138366879E-3</v>
      </c>
      <c r="H88" s="80">
        <f t="shared" si="22"/>
        <v>9</v>
      </c>
      <c r="I88" s="65">
        <f t="shared" si="23"/>
        <v>3198.1012391834506</v>
      </c>
      <c r="J88" s="66">
        <f t="shared" si="24"/>
        <v>0.45875627622409804</v>
      </c>
      <c r="K88" s="66">
        <f t="shared" si="25"/>
        <v>8.129171546857318</v>
      </c>
      <c r="M88" s="67">
        <f t="shared" si="33"/>
        <v>56324827.230484962</v>
      </c>
      <c r="N88" s="67">
        <f>IF(AND(MOD(C88,12)=1,D88&lt;15),Assumptions!$H$4*I88,0)</f>
        <v>0</v>
      </c>
      <c r="O88" s="67"/>
      <c r="P88" s="88">
        <f t="shared" si="26"/>
        <v>150865.77182670694</v>
      </c>
      <c r="Q88" s="88">
        <f>(M88+N88-O88)*VLOOKUP(MOD(C88,12)+(MOD(C88,12)=0)*12,Assumptions!$C$22:$D$33,2,FALSE)*(F88+G88)</f>
        <v>4243.0998326261333</v>
      </c>
      <c r="R88" s="67">
        <f>IF(AND(MOD(C88,12)=0,D88&lt;15),Assumptions!$C$7*M88,0)</f>
        <v>0</v>
      </c>
      <c r="S88" s="68">
        <f>IF(MOD(C88,12)=0,M88*Assumptions!$D$17,0)</f>
        <v>0</v>
      </c>
      <c r="T88" s="68">
        <f>(M88+N88-O88-P88-Q88-R88+S88)*(D89=Assumptions!$H$9)</f>
        <v>0</v>
      </c>
      <c r="U88" s="67">
        <f>T88+AE88*(1+Assumptions!$D$17)</f>
        <v>12514074.100574901</v>
      </c>
      <c r="V88" s="67">
        <f t="shared" si="27"/>
        <v>56169718.358825631</v>
      </c>
      <c r="W88" s="67"/>
      <c r="X88" s="67">
        <f>IF(AND(MOD(C88,12)=1,D88&lt;15),Assumptions!$D$10*N88+Assumptions!$D$11*(1+Assumptions!$D$16)^(B88-1)*I88,0)</f>
        <v>0</v>
      </c>
      <c r="Y88" s="65">
        <f>Assumptions!$C$13*N88</f>
        <v>0</v>
      </c>
      <c r="Z88" s="65">
        <f>NPV(Assumptions!$D$19,N89:$N$259)</f>
        <v>48705578.162753433</v>
      </c>
      <c r="AA88" s="68">
        <f t="shared" si="28"/>
        <v>36061.381933770092</v>
      </c>
      <c r="AB88" s="96"/>
      <c r="AC88" s="67">
        <f>(AC87+N87-P87-Q87-T87-W87-X87-Y87+AD87)*IF(D88=Assumptions!$H$9,0,1)</f>
        <v>67533968.638457999</v>
      </c>
      <c r="AD88" s="91">
        <f>(AF87+N88-W88-X88-Y88)*Assumptions!$D$19-(P88+Q88)*Assumptions!$D$19/2</f>
        <v>293577.84675959923</v>
      </c>
      <c r="AE88" s="67">
        <f>(AE87+(AD88-O88-R88-Q88-S88))*IF(D88=Assumptions!$H$9,0,1)</f>
        <v>12463297.085496206</v>
      </c>
      <c r="AF88" s="91">
        <f t="shared" si="29"/>
        <v>68596954.062388077</v>
      </c>
      <c r="AG88" s="67">
        <f t="shared" si="30"/>
        <v>8486.1996652525268</v>
      </c>
      <c r="AH88" s="89">
        <f>AG88*Assumptions!$C$18</f>
        <v>2545.8598995757579</v>
      </c>
      <c r="AI88" s="67">
        <f t="shared" si="31"/>
        <v>5940.3397656767684</v>
      </c>
      <c r="AK88" s="67">
        <f t="shared" si="32"/>
        <v>-154.81166864903935</v>
      </c>
      <c r="AL88" s="70">
        <f t="shared" si="21"/>
        <v>-8641.0110000000004</v>
      </c>
      <c r="AM88" s="80">
        <f>(O88-W88-X88-Y88-AA88)*Assumptions!$D$19</f>
        <v>-154.8116686490383</v>
      </c>
    </row>
    <row r="89" spans="2:39" x14ac:dyDescent="0.2">
      <c r="B89" s="5">
        <f t="shared" si="17"/>
        <v>82</v>
      </c>
      <c r="C89" s="5">
        <f t="shared" si="18"/>
        <v>82</v>
      </c>
      <c r="D89" s="5">
        <f t="shared" si="19"/>
        <v>6</v>
      </c>
      <c r="E89" s="5">
        <f t="shared" si="20"/>
        <v>52</v>
      </c>
      <c r="F89" s="64">
        <f>1-(1-VLOOKUP($E89,'Annual Mortality Rates'!$B$5:$C$105,2,FALSE))^(1/12)</f>
        <v>1.4344645210206952E-4</v>
      </c>
      <c r="G89" s="74">
        <f>1-(1-IF(D89&gt;=7,2%,VLOOKUP($D89,'Annual Lapse Rates'!$B$4:$C$14,2,FALSE)))^(1/12)</f>
        <v>2.5350486138366879E-3</v>
      </c>
      <c r="H89" s="80">
        <f t="shared" si="22"/>
        <v>10</v>
      </c>
      <c r="I89" s="65">
        <f t="shared" si="23"/>
        <v>3189.5133113603692</v>
      </c>
      <c r="J89" s="66">
        <f t="shared" si="24"/>
        <v>0.45752436844696837</v>
      </c>
      <c r="K89" s="66">
        <f t="shared" si="25"/>
        <v>8.1073421133014012</v>
      </c>
      <c r="M89" s="67">
        <f t="shared" si="33"/>
        <v>56169718.358825631</v>
      </c>
      <c r="N89" s="67">
        <f>IF(AND(MOD(C89,12)=1,D89&lt;15),Assumptions!$H$4*I89,0)</f>
        <v>0</v>
      </c>
      <c r="O89" s="67"/>
      <c r="P89" s="88">
        <f t="shared" si="26"/>
        <v>150450.31347928409</v>
      </c>
      <c r="Q89" s="88">
        <f>(M89+N89-O89)*VLOOKUP(MOD(C89,12)+(MOD(C89,12)=0)*12,Assumptions!$C$22:$D$33,2,FALSE)*(F89+G89)</f>
        <v>4701.5722962276277</v>
      </c>
      <c r="R89" s="67">
        <f>IF(AND(MOD(C89,12)=0,D89&lt;15),Assumptions!$C$7*M89,0)</f>
        <v>0</v>
      </c>
      <c r="S89" s="68">
        <f>IF(MOD(C89,12)=0,M89*Assumptions!$D$17,0)</f>
        <v>0</v>
      </c>
      <c r="T89" s="68">
        <f>(M89+N89-O89-P89-Q89-R89+S89)*(D90=Assumptions!$H$9)</f>
        <v>0</v>
      </c>
      <c r="U89" s="67">
        <f>T89+AE89*(1+Assumptions!$D$17)</f>
        <v>12804705.779937314</v>
      </c>
      <c r="V89" s="67">
        <f t="shared" si="27"/>
        <v>56014566.473050125</v>
      </c>
      <c r="W89" s="67"/>
      <c r="X89" s="67">
        <f>IF(AND(MOD(C89,12)=1,D89&lt;15),Assumptions!$D$10*N89+Assumptions!$D$11*(1+Assumptions!$D$16)^(B89-1)*I89,0)</f>
        <v>0</v>
      </c>
      <c r="Y89" s="65">
        <f>Assumptions!$C$13*N89</f>
        <v>0</v>
      </c>
      <c r="Z89" s="65">
        <f>NPV(Assumptions!$D$19,N90:$N$259)</f>
        <v>48914671.420514315</v>
      </c>
      <c r="AA89" s="68">
        <f t="shared" si="28"/>
        <v>36061.381933770092</v>
      </c>
      <c r="AB89" s="96"/>
      <c r="AC89" s="67">
        <f>(AC88+N88-P88-Q88-T88-W88-X88-Y88+AD88)*IF(D89=Assumptions!$H$9,0,1)</f>
        <v>67672437.613558263</v>
      </c>
      <c r="AD89" s="91">
        <f>(AF88+N89-W89-X89-Y89)*Assumptions!$D$19-(P89+Q89)*Assumptions!$D$19/2</f>
        <v>294153.98669291264</v>
      </c>
      <c r="AE89" s="67">
        <f>(AE88+(AD89-O89-R89-Q89-S89))*IF(D89=Assumptions!$H$9,0,1)</f>
        <v>12752749.49989289</v>
      </c>
      <c r="AF89" s="91">
        <f t="shared" si="29"/>
        <v>68731254.591009244</v>
      </c>
      <c r="AG89" s="67">
        <f t="shared" si="30"/>
        <v>9403.1445924616419</v>
      </c>
      <c r="AH89" s="89">
        <f>AG89*Assumptions!$C$18</f>
        <v>2820.9433777384925</v>
      </c>
      <c r="AI89" s="67">
        <f t="shared" si="31"/>
        <v>6582.201214723149</v>
      </c>
      <c r="AK89" s="67">
        <f t="shared" si="32"/>
        <v>-154.81166864903935</v>
      </c>
      <c r="AL89" s="70">
        <f t="shared" si="21"/>
        <v>-9557.9560000000001</v>
      </c>
      <c r="AM89" s="80">
        <f>(O89-W89-X89-Y89-AA89)*Assumptions!$D$19</f>
        <v>-154.8116686490383</v>
      </c>
    </row>
    <row r="90" spans="2:39" x14ac:dyDescent="0.2">
      <c r="B90" s="5">
        <f t="shared" si="17"/>
        <v>83</v>
      </c>
      <c r="C90" s="5">
        <f t="shared" si="18"/>
        <v>83</v>
      </c>
      <c r="D90" s="5">
        <f t="shared" si="19"/>
        <v>6</v>
      </c>
      <c r="E90" s="5">
        <f t="shared" si="20"/>
        <v>52</v>
      </c>
      <c r="F90" s="64">
        <f>1-(1-VLOOKUP($E90,'Annual Mortality Rates'!$B$5:$C$105,2,FALSE))^(1/12)</f>
        <v>1.4344645210206952E-4</v>
      </c>
      <c r="G90" s="74">
        <f>1-(1-IF(D90&gt;=7,2%,VLOOKUP($D90,'Annual Lapse Rates'!$B$4:$C$14,2,FALSE)))^(1/12)</f>
        <v>2.5350486138366879E-3</v>
      </c>
      <c r="H90" s="80">
        <f t="shared" si="22"/>
        <v>11</v>
      </c>
      <c r="I90" s="65">
        <f t="shared" si="23"/>
        <v>3180.9484448786206</v>
      </c>
      <c r="J90" s="66">
        <f t="shared" si="24"/>
        <v>0.4562957687374336</v>
      </c>
      <c r="K90" s="66">
        <f t="shared" si="25"/>
        <v>8.0855712987777686</v>
      </c>
      <c r="M90" s="67">
        <f t="shared" si="33"/>
        <v>56014566.473050125</v>
      </c>
      <c r="N90" s="67">
        <f>IF(AND(MOD(C90,12)=1,D90&lt;15),Assumptions!$H$4*I90,0)</f>
        <v>0</v>
      </c>
      <c r="O90" s="67"/>
      <c r="P90" s="88">
        <f t="shared" si="26"/>
        <v>150034.73991876331</v>
      </c>
      <c r="Q90" s="88">
        <f>(M90+N90-O90)*VLOOKUP(MOD(C90,12)+(MOD(C90,12)=0)*12,Assumptions!$C$22:$D$33,2,FALSE)*(F90+G90)</f>
        <v>5157.4441847074895</v>
      </c>
      <c r="R90" s="67">
        <f>IF(AND(MOD(C90,12)=0,D90&lt;15),Assumptions!$C$7*M90,0)</f>
        <v>0</v>
      </c>
      <c r="S90" s="68">
        <f>IF(MOD(C90,12)=0,M90*Assumptions!$D$17,0)</f>
        <v>0</v>
      </c>
      <c r="T90" s="68">
        <f>(M90+N90-O90-P90-Q90-R90+S90)*(D91=Assumptions!$H$9)</f>
        <v>0</v>
      </c>
      <c r="U90" s="67">
        <f>T90+AE90*(1+Assumptions!$D$17)</f>
        <v>13095458.544977531</v>
      </c>
      <c r="V90" s="67">
        <f t="shared" si="27"/>
        <v>55859374.288946658</v>
      </c>
      <c r="W90" s="67"/>
      <c r="X90" s="67">
        <f>IF(AND(MOD(C90,12)=1,D90&lt;15),Assumptions!$D$10*N90+Assumptions!$D$11*(1+Assumptions!$D$16)^(B90-1)*I90,0)</f>
        <v>0</v>
      </c>
      <c r="Y90" s="65">
        <f>Assumptions!$C$13*N90</f>
        <v>0</v>
      </c>
      <c r="Z90" s="65">
        <f>NPV(Assumptions!$D$19,N91:$N$259)</f>
        <v>49124662.316535354</v>
      </c>
      <c r="AA90" s="68">
        <f t="shared" si="28"/>
        <v>36061.381933770092</v>
      </c>
      <c r="AB90" s="96"/>
      <c r="AC90" s="67">
        <f>(AC89+N89-P89-Q89-T89-W89-X89-Y89+AD89)*IF(D90=Assumptions!$H$9,0,1)</f>
        <v>67811439.714475647</v>
      </c>
      <c r="AD90" s="91">
        <f>(AF89+N90-W90-X90-Y90)*Assumptions!$D$19-(P90+Q90)*Assumptions!$D$19/2</f>
        <v>294730.45294284093</v>
      </c>
      <c r="AE90" s="67">
        <f>(AE89+(AD90-O90-R90-Q90-S90))*IF(D90=Assumptions!$H$9,0,1)</f>
        <v>13042322.508651024</v>
      </c>
      <c r="AF90" s="91">
        <f t="shared" si="29"/>
        <v>68865635.415663913</v>
      </c>
      <c r="AG90" s="67">
        <f t="shared" si="30"/>
        <v>10314.888369409076</v>
      </c>
      <c r="AH90" s="89">
        <f>AG90*Assumptions!$C$18</f>
        <v>3094.4665108227227</v>
      </c>
      <c r="AI90" s="67">
        <f t="shared" si="31"/>
        <v>7220.4218585863537</v>
      </c>
      <c r="AK90" s="67">
        <f t="shared" si="32"/>
        <v>-154.81166864903935</v>
      </c>
      <c r="AL90" s="70">
        <f t="shared" si="21"/>
        <v>-10469.700000000001</v>
      </c>
      <c r="AM90" s="80">
        <f>(O90-W90-X90-Y90-AA90)*Assumptions!$D$19</f>
        <v>-154.8116686490383</v>
      </c>
    </row>
    <row r="91" spans="2:39" x14ac:dyDescent="0.2">
      <c r="B91" s="5">
        <f t="shared" si="17"/>
        <v>84</v>
      </c>
      <c r="C91" s="5">
        <f t="shared" si="18"/>
        <v>84</v>
      </c>
      <c r="D91" s="5">
        <f t="shared" si="19"/>
        <v>6</v>
      </c>
      <c r="E91" s="5">
        <f t="shared" si="20"/>
        <v>52</v>
      </c>
      <c r="F91" s="64">
        <f>1-(1-VLOOKUP($E91,'Annual Mortality Rates'!$B$5:$C$105,2,FALSE))^(1/12)</f>
        <v>1.4344645210206952E-4</v>
      </c>
      <c r="G91" s="74">
        <f>1-(1-IF(D91&gt;=7,2%,VLOOKUP($D91,'Annual Lapse Rates'!$B$4:$C$14,2,FALSE)))^(1/12)</f>
        <v>2.5350486138366879E-3</v>
      </c>
      <c r="H91" s="80">
        <f t="shared" si="22"/>
        <v>12</v>
      </c>
      <c r="I91" s="65">
        <f t="shared" si="23"/>
        <v>3172.4065778111053</v>
      </c>
      <c r="J91" s="66">
        <f t="shared" si="24"/>
        <v>0.45507046821227098</v>
      </c>
      <c r="K91" s="66">
        <f t="shared" si="25"/>
        <v>8.0638589458755146</v>
      </c>
      <c r="M91" s="67">
        <f t="shared" si="33"/>
        <v>55859374.288946658</v>
      </c>
      <c r="N91" s="67">
        <f>IF(AND(MOD(C91,12)=1,D91&lt;15),Assumptions!$H$4*I91,0)</f>
        <v>0</v>
      </c>
      <c r="O91" s="67"/>
      <c r="P91" s="88">
        <f t="shared" si="26"/>
        <v>149619.05841936992</v>
      </c>
      <c r="Q91" s="88">
        <f>(M91+N91-O91)*VLOOKUP(MOD(C91,12)+(MOD(C91,12)=0)*12,Assumptions!$C$22:$D$33,2,FALSE)*(F91+G91)</f>
        <v>5610.7146907263732</v>
      </c>
      <c r="R91" s="67">
        <f>IF(AND(MOD(C91,12)=0,D91&lt;15),Assumptions!$C$7*M91,0)</f>
        <v>27929.68714447333</v>
      </c>
      <c r="S91" s="68">
        <f>IF(MOD(C91,12)=0,M91*Assumptions!$D$17,0)</f>
        <v>227578.00533031291</v>
      </c>
      <c r="T91" s="68">
        <f>(M91+N91-O91-P91-Q91-R91+S91)*(D92=Assumptions!$H$9)</f>
        <v>0</v>
      </c>
      <c r="U91" s="67">
        <f>T91+AE91*(1+Assumptions!$D$17)</f>
        <v>13129786.697189638</v>
      </c>
      <c r="V91" s="67">
        <f t="shared" si="27"/>
        <v>55903792.834022395</v>
      </c>
      <c r="W91" s="67"/>
      <c r="X91" s="67">
        <f>IF(AND(MOD(C91,12)=1,D91&lt;15),Assumptions!$D$10*N91+Assumptions!$D$11*(1+Assumptions!$D$16)^(B91-1)*I91,0)</f>
        <v>0</v>
      </c>
      <c r="Y91" s="65">
        <f>Assumptions!$C$13*N91</f>
        <v>0</v>
      </c>
      <c r="Z91" s="65">
        <f>NPV(Assumptions!$D$19,N92:$N$259)</f>
        <v>49335554.704381466</v>
      </c>
      <c r="AA91" s="68">
        <f t="shared" si="28"/>
        <v>36061.381933770092</v>
      </c>
      <c r="AB91" s="96"/>
      <c r="AC91" s="67">
        <f>(AC90+N90-P90-Q90-T90-W90-X90-Y90+AD90)*IF(D91=Assumptions!$H$9,0,1)</f>
        <v>67950977.983315021</v>
      </c>
      <c r="AD91" s="91">
        <f>(AF90+N91-W91-X91-Y91)*Assumptions!$D$19-(P91+Q91)*Assumptions!$D$19/2</f>
        <v>295307.2697195526</v>
      </c>
      <c r="AE91" s="67">
        <f>(AE90+(AD91-O91-R91-Q91-S91))*IF(D91=Assumptions!$H$9,0,1)</f>
        <v>13076511.371205064</v>
      </c>
      <c r="AF91" s="91">
        <f t="shared" si="29"/>
        <v>68944242.823293701</v>
      </c>
      <c r="AG91" s="67">
        <f t="shared" si="30"/>
        <v>67080.803670394758</v>
      </c>
      <c r="AH91" s="89">
        <f>AG91*Assumptions!$C$18</f>
        <v>20124.241101118427</v>
      </c>
      <c r="AI91" s="67">
        <f t="shared" si="31"/>
        <v>46956.562569276328</v>
      </c>
      <c r="AK91" s="67">
        <f t="shared" si="32"/>
        <v>27774.875475824294</v>
      </c>
      <c r="AL91" s="70">
        <f t="shared" si="21"/>
        <v>-39305.928</v>
      </c>
      <c r="AM91" s="80">
        <f>(O91-W91-X91-Y91-AA91)*Assumptions!$D$19</f>
        <v>-154.8116686490383</v>
      </c>
    </row>
    <row r="92" spans="2:39" x14ac:dyDescent="0.2">
      <c r="B92" s="5">
        <f t="shared" si="17"/>
        <v>85</v>
      </c>
      <c r="C92" s="5">
        <f t="shared" si="18"/>
        <v>85</v>
      </c>
      <c r="D92" s="5">
        <f t="shared" si="19"/>
        <v>7</v>
      </c>
      <c r="E92" s="5">
        <f t="shared" si="20"/>
        <v>53</v>
      </c>
      <c r="F92" s="64">
        <f>1-(1-VLOOKUP($E92,'Annual Mortality Rates'!$B$5:$C$105,2,FALSE))^(1/12)</f>
        <v>1.5763659934686647E-4</v>
      </c>
      <c r="G92" s="74">
        <f>1-(1-IF(D92&gt;=7,2%,VLOOKUP($D92,'Annual Lapse Rates'!$B$4:$C$14,2,FALSE)))^(1/12)</f>
        <v>1.6821425527395739E-3</v>
      </c>
      <c r="H92" s="80">
        <f t="shared" si="22"/>
        <v>1</v>
      </c>
      <c r="I92" s="65">
        <f t="shared" si="23"/>
        <v>3163.8876483970175</v>
      </c>
      <c r="J92" s="66">
        <f t="shared" si="24"/>
        <v>0.4987444896088602</v>
      </c>
      <c r="K92" s="66">
        <f t="shared" si="25"/>
        <v>5.336440099126988</v>
      </c>
      <c r="M92" s="67">
        <f t="shared" si="33"/>
        <v>55903792.834022395</v>
      </c>
      <c r="N92" s="67">
        <f>IF(AND(MOD(C92,12)=1,D92&lt;15),Assumptions!$H$4*I92,0)</f>
        <v>7909719.1209925441</v>
      </c>
      <c r="O92" s="67"/>
      <c r="P92" s="88">
        <f t="shared" si="26"/>
        <v>117402.7689162553</v>
      </c>
      <c r="Q92" s="88">
        <f>(M92+N92-O92)*VLOOKUP(MOD(C92,12)+(MOD(C92,12)=0)*12,Assumptions!$C$22:$D$33,2,FALSE)*(F92+G92)</f>
        <v>366.88365286329787</v>
      </c>
      <c r="R92" s="67">
        <f>IF(AND(MOD(C92,12)=0,D92&lt;15),Assumptions!$C$7*M92,0)</f>
        <v>0</v>
      </c>
      <c r="S92" s="68">
        <f>IF(MOD(C92,12)=0,M92*Assumptions!$D$17,0)</f>
        <v>0</v>
      </c>
      <c r="T92" s="68">
        <f>(M92+N92-O92-P92-Q92-R92+S92)*(D93=Assumptions!$H$9)</f>
        <v>0</v>
      </c>
      <c r="U92" s="67">
        <f>T92+AE92*(1+Assumptions!$D$17)</f>
        <v>13460000.305786589</v>
      </c>
      <c r="V92" s="67">
        <f t="shared" si="27"/>
        <v>63695742.302445814</v>
      </c>
      <c r="W92" s="67"/>
      <c r="X92" s="67">
        <f>IF(AND(MOD(C92,12)=1,D92&lt;15),Assumptions!$D$10*N92+Assumptions!$D$11*(1+Assumptions!$D$16)^(B92-1)*I92,0)</f>
        <v>63171.626177443337</v>
      </c>
      <c r="Y92" s="65">
        <f>Assumptions!$C$13*N92</f>
        <v>39548.59560496272</v>
      </c>
      <c r="Z92" s="65">
        <f>NPV(Assumptions!$D$19,N93:$N$259)</f>
        <v>41637633.333168417</v>
      </c>
      <c r="AA92" s="68">
        <f t="shared" si="28"/>
        <v>31903.123057404144</v>
      </c>
      <c r="AB92" s="96"/>
      <c r="AC92" s="67">
        <f>(AC91+N91-P91-Q91-T91-W91-X91-Y91+AD91)*IF(D92=Assumptions!$H$9,0,1)</f>
        <v>68091055.47992447</v>
      </c>
      <c r="AD92" s="91">
        <f>(AF91+N92-W92-X92-Y92)*Assumptions!$D$19-(P92+Q92)*Assumptions!$D$19/2</f>
        <v>329240.61993899348</v>
      </c>
      <c r="AE92" s="67">
        <f>(AE91+(AD92-O92-R92-Q92-S92))*IF(D92=Assumptions!$H$9,0,1)</f>
        <v>13405385.107491193</v>
      </c>
      <c r="AF92" s="91">
        <f t="shared" si="29"/>
        <v>77069224.286879599</v>
      </c>
      <c r="AG92" s="67">
        <f t="shared" si="30"/>
        <v>-106144.71335302142</v>
      </c>
      <c r="AH92" s="89">
        <f>AG92*Assumptions!$C$18</f>
        <v>-31843.414005906423</v>
      </c>
      <c r="AI92" s="67">
        <f t="shared" si="31"/>
        <v>-74301.299347114997</v>
      </c>
      <c r="AK92" s="67">
        <f t="shared" si="32"/>
        <v>-107456.41926057165</v>
      </c>
      <c r="AL92" s="70">
        <f t="shared" si="21"/>
        <v>-1311.7059999999999</v>
      </c>
      <c r="AM92" s="80">
        <f>(O92-W92-X92-Y92-AA92)*Assumptions!$D$19</f>
        <v>-577.93860179964099</v>
      </c>
    </row>
    <row r="93" spans="2:39" x14ac:dyDescent="0.2">
      <c r="B93" s="5">
        <f t="shared" si="17"/>
        <v>86</v>
      </c>
      <c r="C93" s="5">
        <f t="shared" si="18"/>
        <v>86</v>
      </c>
      <c r="D93" s="5">
        <f t="shared" si="19"/>
        <v>7</v>
      </c>
      <c r="E93" s="5">
        <f t="shared" si="20"/>
        <v>53</v>
      </c>
      <c r="F93" s="64">
        <f>1-(1-VLOOKUP($E93,'Annual Mortality Rates'!$B$5:$C$105,2,FALSE))^(1/12)</f>
        <v>1.5763659934686647E-4</v>
      </c>
      <c r="G93" s="74">
        <f>1-(1-IF(D93&gt;=7,2%,VLOOKUP($D93,'Annual Lapse Rates'!$B$4:$C$14,2,FALSE)))^(1/12)</f>
        <v>1.6821425527395739E-3</v>
      </c>
      <c r="H93" s="80">
        <f t="shared" si="22"/>
        <v>2</v>
      </c>
      <c r="I93" s="65">
        <f t="shared" si="23"/>
        <v>3158.052463808282</v>
      </c>
      <c r="J93" s="66">
        <f t="shared" si="24"/>
        <v>0.49782465095373069</v>
      </c>
      <c r="K93" s="66">
        <f t="shared" si="25"/>
        <v>5.3221100454557666</v>
      </c>
      <c r="M93" s="67">
        <f t="shared" si="33"/>
        <v>63695742.302445814</v>
      </c>
      <c r="N93" s="67">
        <f>IF(AND(MOD(C93,12)=1,D93&lt;15),Assumptions!$H$4*I93,0)</f>
        <v>0</v>
      </c>
      <c r="O93" s="67"/>
      <c r="P93" s="88">
        <f t="shared" si="26"/>
        <v>117186.09876471017</v>
      </c>
      <c r="Q93" s="88">
        <f>(M93+N93-O93)*VLOOKUP(MOD(C93,12)+(MOD(C93,12)=0)*12,Assumptions!$C$22:$D$33,2,FALSE)*(F93+G93)</f>
        <v>732.41311727943855</v>
      </c>
      <c r="R93" s="67">
        <f>IF(AND(MOD(C93,12)=0,D93&lt;15),Assumptions!$C$7*M93,0)</f>
        <v>0</v>
      </c>
      <c r="S93" s="68">
        <f>IF(MOD(C93,12)=0,M93*Assumptions!$D$17,0)</f>
        <v>0</v>
      </c>
      <c r="T93" s="68">
        <f>(M93+N93-O93-P93-Q93-R93+S93)*(D94=Assumptions!$H$9)</f>
        <v>0</v>
      </c>
      <c r="U93" s="67">
        <f>T93+AE93*(1+Assumptions!$D$17)</f>
        <v>13791217.236991234</v>
      </c>
      <c r="V93" s="67">
        <f t="shared" si="27"/>
        <v>63577823.790563822</v>
      </c>
      <c r="W93" s="67"/>
      <c r="X93" s="67">
        <f>IF(AND(MOD(C93,12)=1,D93&lt;15),Assumptions!$D$10*N93+Assumptions!$D$11*(1+Assumptions!$D$16)^(B93-1)*I93,0)</f>
        <v>0</v>
      </c>
      <c r="Y93" s="65">
        <f>Assumptions!$C$13*N93</f>
        <v>0</v>
      </c>
      <c r="Z93" s="65">
        <f>NPV(Assumptions!$D$19,N94:$N$259)</f>
        <v>41816383.87319883</v>
      </c>
      <c r="AA93" s="68">
        <f t="shared" si="28"/>
        <v>31903.123057404144</v>
      </c>
      <c r="AB93" s="96"/>
      <c r="AC93" s="67">
        <f>(AC92+N92-P92-Q92-T92-W92-X92-Y92+AD92)*IF(D93=Assumptions!$H$9,0,1)</f>
        <v>76109525.346504495</v>
      </c>
      <c r="AD93" s="91">
        <f>(AF92+N93-W93-X93-Y93)*Assumptions!$D$19-(P93+Q93)*Assumptions!$D$19/2</f>
        <v>330605.40093666554</v>
      </c>
      <c r="AE93" s="67">
        <f>(AE92+(AD93-O93-R93-Q93-S93))*IF(D93=Assumptions!$H$9,0,1)</f>
        <v>13735258.09531058</v>
      </c>
      <c r="AF93" s="91">
        <f t="shared" si="29"/>
        <v>77281178.762816995</v>
      </c>
      <c r="AG93" s="67">
        <f t="shared" si="30"/>
        <v>1464.8262345590629</v>
      </c>
      <c r="AH93" s="89">
        <f>AG93*Assumptions!$C$18</f>
        <v>439.44787036771885</v>
      </c>
      <c r="AI93" s="67">
        <f t="shared" si="31"/>
        <v>1025.378364191344</v>
      </c>
      <c r="AK93" s="67">
        <f t="shared" si="32"/>
        <v>-136.96024530350041</v>
      </c>
      <c r="AL93" s="70">
        <f t="shared" si="21"/>
        <v>-1601.7860000000001</v>
      </c>
      <c r="AM93" s="80">
        <f>(O93-W93-X93-Y93-AA93)*Assumptions!$D$19</f>
        <v>-136.9602453034997</v>
      </c>
    </row>
    <row r="94" spans="2:39" x14ac:dyDescent="0.2">
      <c r="B94" s="5">
        <f t="shared" si="17"/>
        <v>87</v>
      </c>
      <c r="C94" s="5">
        <f t="shared" si="18"/>
        <v>87</v>
      </c>
      <c r="D94" s="5">
        <f t="shared" si="19"/>
        <v>7</v>
      </c>
      <c r="E94" s="5">
        <f t="shared" si="20"/>
        <v>53</v>
      </c>
      <c r="F94" s="64">
        <f>1-(1-VLOOKUP($E94,'Annual Mortality Rates'!$B$5:$C$105,2,FALSE))^(1/12)</f>
        <v>1.5763659934686647E-4</v>
      </c>
      <c r="G94" s="74">
        <f>1-(1-IF(D94&gt;=7,2%,VLOOKUP($D94,'Annual Lapse Rates'!$B$4:$C$14,2,FALSE)))^(1/12)</f>
        <v>1.6821425527395739E-3</v>
      </c>
      <c r="H94" s="80">
        <f t="shared" si="22"/>
        <v>3</v>
      </c>
      <c r="I94" s="65">
        <f t="shared" si="23"/>
        <v>3152.2325291118727</v>
      </c>
      <c r="J94" s="66">
        <f t="shared" si="24"/>
        <v>0.49690721623976786</v>
      </c>
      <c r="K94" s="66">
        <f t="shared" si="25"/>
        <v>5.3122944331559641</v>
      </c>
      <c r="M94" s="67">
        <f t="shared" si="33"/>
        <v>63577823.790563822</v>
      </c>
      <c r="N94" s="67">
        <f>IF(AND(MOD(C94,12)=1,D94&lt;15),Assumptions!$H$4*I94,0)</f>
        <v>0</v>
      </c>
      <c r="O94" s="67"/>
      <c r="P94" s="88">
        <f t="shared" si="26"/>
        <v>116969.15474490462</v>
      </c>
      <c r="Q94" s="88">
        <f>(M94+N94-O94)*VLOOKUP(MOD(C94,12)+(MOD(C94,12)=0)*12,Assumptions!$C$22:$D$33,2,FALSE)*(F94+G94)</f>
        <v>1096.585825733481</v>
      </c>
      <c r="R94" s="67">
        <f>IF(AND(MOD(C94,12)=0,D94&lt;15),Assumptions!$C$7*M94,0)</f>
        <v>0</v>
      </c>
      <c r="S94" s="68">
        <f>IF(MOD(C94,12)=0,M94*Assumptions!$D$17,0)</f>
        <v>0</v>
      </c>
      <c r="T94" s="68">
        <f>(M94+N94-O94-P94-Q94-R94+S94)*(D95=Assumptions!$H$9)</f>
        <v>0</v>
      </c>
      <c r="U94" s="67">
        <f>T94+AE94*(1+Assumptions!$D$17)</f>
        <v>14122981.8231034</v>
      </c>
      <c r="V94" s="67">
        <f t="shared" si="27"/>
        <v>63459758.04999318</v>
      </c>
      <c r="W94" s="67"/>
      <c r="X94" s="67">
        <f>IF(AND(MOD(C94,12)=1,D94&lt;15),Assumptions!$D$10*N94+Assumptions!$D$11*(1+Assumptions!$D$16)^(B94-1)*I94,0)</f>
        <v>0</v>
      </c>
      <c r="Y94" s="65">
        <f>Assumptions!$C$13*N94</f>
        <v>0</v>
      </c>
      <c r="Z94" s="65">
        <f>NPV(Assumptions!$D$19,N95:$N$259)</f>
        <v>41995901.790070906</v>
      </c>
      <c r="AA94" s="68">
        <f t="shared" si="28"/>
        <v>31903.123057404144</v>
      </c>
      <c r="AB94" s="96"/>
      <c r="AC94" s="67">
        <f>(AC93+N93-P93-Q93-T93-W93-X93-Y93+AD93)*IF(D94=Assumptions!$H$9,0,1)</f>
        <v>76322212.235559165</v>
      </c>
      <c r="AD94" s="91">
        <f>(AF93+N94-W94-X94-Y94)*Assumptions!$D$19-(P94+Q94)*Assumptions!$D$19/2</f>
        <v>331515.00639211538</v>
      </c>
      <c r="AE94" s="67">
        <f>(AE93+(AD94-O94-R94-Q94-S94))*IF(D94=Assumptions!$H$9,0,1)</f>
        <v>14065676.515876962</v>
      </c>
      <c r="AF94" s="91">
        <f t="shared" si="29"/>
        <v>77493531.442812726</v>
      </c>
      <c r="AG94" s="67">
        <f t="shared" si="30"/>
        <v>2193.1716514802538</v>
      </c>
      <c r="AH94" s="89">
        <f>AG94*Assumptions!$C$18</f>
        <v>657.95149544407616</v>
      </c>
      <c r="AI94" s="67">
        <f t="shared" si="31"/>
        <v>1535.2201560361777</v>
      </c>
      <c r="AK94" s="67">
        <f t="shared" si="32"/>
        <v>-136.96024530350041</v>
      </c>
      <c r="AL94" s="70">
        <f t="shared" si="21"/>
        <v>-2330.1320000000001</v>
      </c>
      <c r="AM94" s="80">
        <f>(O94-W94-X94-Y94-AA94)*Assumptions!$D$19</f>
        <v>-136.9602453034997</v>
      </c>
    </row>
    <row r="95" spans="2:39" x14ac:dyDescent="0.2">
      <c r="B95" s="5">
        <f t="shared" si="17"/>
        <v>88</v>
      </c>
      <c r="C95" s="5">
        <f t="shared" si="18"/>
        <v>88</v>
      </c>
      <c r="D95" s="5">
        <f t="shared" si="19"/>
        <v>7</v>
      </c>
      <c r="E95" s="5">
        <f t="shared" si="20"/>
        <v>53</v>
      </c>
      <c r="F95" s="64">
        <f>1-(1-VLOOKUP($E95,'Annual Mortality Rates'!$B$5:$C$105,2,FALSE))^(1/12)</f>
        <v>1.5763659934686647E-4</v>
      </c>
      <c r="G95" s="74">
        <f>1-(1-IF(D95&gt;=7,2%,VLOOKUP($D95,'Annual Lapse Rates'!$B$4:$C$14,2,FALSE)))^(1/12)</f>
        <v>1.6821425527395739E-3</v>
      </c>
      <c r="H95" s="80">
        <f t="shared" si="22"/>
        <v>4</v>
      </c>
      <c r="I95" s="65">
        <f t="shared" si="23"/>
        <v>3146.4233274624771</v>
      </c>
      <c r="J95" s="66">
        <f t="shared" si="24"/>
        <v>0.49599147344683692</v>
      </c>
      <c r="K95" s="66">
        <f t="shared" si="25"/>
        <v>5.3025044733489688</v>
      </c>
      <c r="M95" s="67">
        <f t="shared" si="33"/>
        <v>63459758.04999318</v>
      </c>
      <c r="N95" s="67">
        <f>IF(AND(MOD(C95,12)=1,D95&lt;15),Assumptions!$H$4*I95,0)</f>
        <v>0</v>
      </c>
      <c r="O95" s="67"/>
      <c r="P95" s="88">
        <f t="shared" si="26"/>
        <v>116751.93985682711</v>
      </c>
      <c r="Q95" s="88">
        <f>(M95+N95-O95)*VLOOKUP(MOD(C95,12)+(MOD(C95,12)=0)*12,Assumptions!$C$22:$D$33,2,FALSE)*(F95+G95)</f>
        <v>1459.3992482103388</v>
      </c>
      <c r="R95" s="67">
        <f>IF(AND(MOD(C95,12)=0,D95&lt;15),Assumptions!$C$7*M95,0)</f>
        <v>0</v>
      </c>
      <c r="S95" s="68">
        <f>IF(MOD(C95,12)=0,M95*Assumptions!$D$17,0)</f>
        <v>0</v>
      </c>
      <c r="T95" s="68">
        <f>(M95+N95-O95-P95-Q95-R95+S95)*(D96=Assumptions!$H$9)</f>
        <v>0</v>
      </c>
      <c r="U95" s="67">
        <f>T95+AE95*(1+Assumptions!$D$17)</f>
        <v>14455297.148916779</v>
      </c>
      <c r="V95" s="67">
        <f t="shared" si="27"/>
        <v>63341546.71088814</v>
      </c>
      <c r="W95" s="67"/>
      <c r="X95" s="67">
        <f>IF(AND(MOD(C95,12)=1,D95&lt;15),Assumptions!$D$10*N95+Assumptions!$D$11*(1+Assumptions!$D$16)^(B95-1)*I95,0)</f>
        <v>0</v>
      </c>
      <c r="Y95" s="65">
        <f>Assumptions!$C$13*N95</f>
        <v>0</v>
      </c>
      <c r="Z95" s="65">
        <f>NPV(Assumptions!$D$19,N96:$N$259)</f>
        <v>42176190.378136732</v>
      </c>
      <c r="AA95" s="68">
        <f t="shared" si="28"/>
        <v>31903.123057404144</v>
      </c>
      <c r="AB95" s="96"/>
      <c r="AC95" s="67">
        <f>(AC94+N94-P94-Q94-T94-W94-X94-Y94+AD94)*IF(D95=Assumptions!$H$9,0,1)</f>
        <v>76535661.501380652</v>
      </c>
      <c r="AD95" s="91">
        <f>(AF94+N95-W95-X95-Y95)*Assumptions!$D$19-(P95+Q95)*Assumptions!$D$19/2</f>
        <v>332426.32483844005</v>
      </c>
      <c r="AE95" s="67">
        <f>(AE94+(AD95-O95-R95-Q95-S95))*IF(D95=Assumptions!$H$9,0,1)</f>
        <v>14396643.441467192</v>
      </c>
      <c r="AF95" s="91">
        <f t="shared" si="29"/>
        <v>77706287.029297918</v>
      </c>
      <c r="AG95" s="67">
        <f t="shared" si="30"/>
        <v>2918.798496420728</v>
      </c>
      <c r="AH95" s="89">
        <f>AG95*Assumptions!$C$18</f>
        <v>875.63954892621837</v>
      </c>
      <c r="AI95" s="67">
        <f t="shared" si="31"/>
        <v>2043.1589474945097</v>
      </c>
      <c r="AK95" s="67">
        <f t="shared" si="32"/>
        <v>-136.96024530350041</v>
      </c>
      <c r="AL95" s="70">
        <f t="shared" si="21"/>
        <v>-3055.759</v>
      </c>
      <c r="AM95" s="80">
        <f>(O95-W95-X95-Y95-AA95)*Assumptions!$D$19</f>
        <v>-136.9602453034997</v>
      </c>
    </row>
    <row r="96" spans="2:39" x14ac:dyDescent="0.2">
      <c r="B96" s="5">
        <f t="shared" si="17"/>
        <v>89</v>
      </c>
      <c r="C96" s="5">
        <f t="shared" si="18"/>
        <v>89</v>
      </c>
      <c r="D96" s="5">
        <f t="shared" si="19"/>
        <v>7</v>
      </c>
      <c r="E96" s="5">
        <f t="shared" si="20"/>
        <v>53</v>
      </c>
      <c r="F96" s="64">
        <f>1-(1-VLOOKUP($E96,'Annual Mortality Rates'!$B$5:$C$105,2,FALSE))^(1/12)</f>
        <v>1.5763659934686647E-4</v>
      </c>
      <c r="G96" s="74">
        <f>1-(1-IF(D96&gt;=7,2%,VLOOKUP($D96,'Annual Lapse Rates'!$B$4:$C$14,2,FALSE)))^(1/12)</f>
        <v>1.6821425527395739E-3</v>
      </c>
      <c r="H96" s="80">
        <f t="shared" si="22"/>
        <v>5</v>
      </c>
      <c r="I96" s="65">
        <f t="shared" si="23"/>
        <v>3140.6248315156813</v>
      </c>
      <c r="J96" s="66">
        <f t="shared" si="24"/>
        <v>0.49507741826445745</v>
      </c>
      <c r="K96" s="66">
        <f t="shared" si="25"/>
        <v>5.2927325680570751</v>
      </c>
      <c r="M96" s="67">
        <f t="shared" si="33"/>
        <v>63341546.71088814</v>
      </c>
      <c r="N96" s="67">
        <f>IF(AND(MOD(C96,12)=1,D96&lt;15),Assumptions!$H$4*I96,0)</f>
        <v>0</v>
      </c>
      <c r="O96" s="67"/>
      <c r="P96" s="88">
        <f t="shared" si="26"/>
        <v>116534.45709960144</v>
      </c>
      <c r="Q96" s="88">
        <f>(M96+N96-O96)*VLOOKUP(MOD(C96,12)+(MOD(C96,12)=0)*12,Assumptions!$C$22:$D$33,2,FALSE)*(F96+G96)</f>
        <v>1820.8508921812725</v>
      </c>
      <c r="R96" s="67">
        <f>IF(AND(MOD(C96,12)=0,D96&lt;15),Assumptions!$C$7*M96,0)</f>
        <v>0</v>
      </c>
      <c r="S96" s="68">
        <f>IF(MOD(C96,12)=0,M96*Assumptions!$D$17,0)</f>
        <v>0</v>
      </c>
      <c r="T96" s="68">
        <f>(M96+N96-O96-P96-Q96-R96+S96)*(D97=Assumptions!$H$9)</f>
        <v>0</v>
      </c>
      <c r="U96" s="67">
        <f>T96+AE96*(1+Assumptions!$D$17)</f>
        <v>14788166.321996452</v>
      </c>
      <c r="V96" s="67">
        <f t="shared" si="27"/>
        <v>63223191.40289636</v>
      </c>
      <c r="W96" s="67"/>
      <c r="X96" s="67">
        <f>IF(AND(MOD(C96,12)=1,D96&lt;15),Assumptions!$D$10*N96+Assumptions!$D$11*(1+Assumptions!$D$16)^(B96-1)*I96,0)</f>
        <v>0</v>
      </c>
      <c r="Y96" s="65">
        <f>Assumptions!$C$13*N96</f>
        <v>0</v>
      </c>
      <c r="Z96" s="65">
        <f>NPV(Assumptions!$D$19,N97:$N$259)</f>
        <v>42357252.945891082</v>
      </c>
      <c r="AA96" s="68">
        <f t="shared" si="28"/>
        <v>31903.123057404144</v>
      </c>
      <c r="AB96" s="96"/>
      <c r="AC96" s="67">
        <f>(AC95+N95-P95-Q95-T95-W95-X95-Y95+AD95)*IF(D96=Assumptions!$H$9,0,1)</f>
        <v>76749876.487114057</v>
      </c>
      <c r="AD96" s="91">
        <f>(AF95+N96-W96-X96-Y96)*Assumptions!$D$19-(P96+Q96)*Assumptions!$D$19/2</f>
        <v>333339.37646210921</v>
      </c>
      <c r="AE96" s="67">
        <f>(AE95+(AD96-O96-R96-Q96-S96))*IF(D96=Assumptions!$H$9,0,1)</f>
        <v>14728161.967037121</v>
      </c>
      <c r="AF96" s="91">
        <f t="shared" si="29"/>
        <v>77919450.246876076</v>
      </c>
      <c r="AG96" s="67">
        <f t="shared" si="30"/>
        <v>3641.701784349978</v>
      </c>
      <c r="AH96" s="89">
        <f>AG96*Assumptions!$C$18</f>
        <v>1092.5105353049933</v>
      </c>
      <c r="AI96" s="67">
        <f t="shared" si="31"/>
        <v>2549.1912490449849</v>
      </c>
      <c r="AK96" s="67">
        <f t="shared" si="32"/>
        <v>-136.96024530350041</v>
      </c>
      <c r="AL96" s="70">
        <f t="shared" si="21"/>
        <v>-3778.6619999999998</v>
      </c>
      <c r="AM96" s="80">
        <f>(O96-W96-X96-Y96-AA96)*Assumptions!$D$19</f>
        <v>-136.9602453034997</v>
      </c>
    </row>
    <row r="97" spans="2:39" x14ac:dyDescent="0.2">
      <c r="B97" s="5">
        <f t="shared" si="17"/>
        <v>90</v>
      </c>
      <c r="C97" s="5">
        <f t="shared" si="18"/>
        <v>90</v>
      </c>
      <c r="D97" s="5">
        <f t="shared" si="19"/>
        <v>7</v>
      </c>
      <c r="E97" s="5">
        <f t="shared" si="20"/>
        <v>53</v>
      </c>
      <c r="F97" s="64">
        <f>1-(1-VLOOKUP($E97,'Annual Mortality Rates'!$B$5:$C$105,2,FALSE))^(1/12)</f>
        <v>1.5763659934686647E-4</v>
      </c>
      <c r="G97" s="74">
        <f>1-(1-IF(D97&gt;=7,2%,VLOOKUP($D97,'Annual Lapse Rates'!$B$4:$C$14,2,FALSE)))^(1/12)</f>
        <v>1.6821425527395739E-3</v>
      </c>
      <c r="H97" s="80">
        <f t="shared" si="22"/>
        <v>6</v>
      </c>
      <c r="I97" s="65">
        <f t="shared" si="23"/>
        <v>3134.8370215293598</v>
      </c>
      <c r="J97" s="66">
        <f t="shared" si="24"/>
        <v>0.49416504758054791</v>
      </c>
      <c r="K97" s="66">
        <f t="shared" si="25"/>
        <v>5.2829786712830824</v>
      </c>
      <c r="M97" s="67">
        <f t="shared" si="33"/>
        <v>63223191.40289636</v>
      </c>
      <c r="N97" s="67">
        <f>IF(AND(MOD(C97,12)=1,D97&lt;15),Assumptions!$H$4*I97,0)</f>
        <v>0</v>
      </c>
      <c r="O97" s="67"/>
      <c r="P97" s="88">
        <f t="shared" si="26"/>
        <v>116316.7094714194</v>
      </c>
      <c r="Q97" s="88">
        <f>(M97+N97-O97)*VLOOKUP(MOD(C97,12)+(MOD(C97,12)=0)*12,Assumptions!$C$22:$D$33,2,FALSE)*(F97+G97)</f>
        <v>2180.9383025891138</v>
      </c>
      <c r="R97" s="67">
        <f>IF(AND(MOD(C97,12)=0,D97&lt;15),Assumptions!$C$7*M97,0)</f>
        <v>0</v>
      </c>
      <c r="S97" s="68">
        <f>IF(MOD(C97,12)=0,M97*Assumptions!$D$17,0)</f>
        <v>0</v>
      </c>
      <c r="T97" s="68">
        <f>(M97+N97-O97-P97-Q97-R97+S97)*(D98=Assumptions!$H$9)</f>
        <v>0</v>
      </c>
      <c r="U97" s="67">
        <f>T97+AE97*(1+Assumptions!$D$17)</f>
        <v>15121592.472736768</v>
      </c>
      <c r="V97" s="67">
        <f t="shared" si="27"/>
        <v>63104693.755122349</v>
      </c>
      <c r="W97" s="67"/>
      <c r="X97" s="67">
        <f>IF(AND(MOD(C97,12)=1,D97&lt;15),Assumptions!$D$10*N97+Assumptions!$D$11*(1+Assumptions!$D$16)^(B97-1)*I97,0)</f>
        <v>0</v>
      </c>
      <c r="Y97" s="65">
        <f>Assumptions!$C$13*N97</f>
        <v>0</v>
      </c>
      <c r="Z97" s="65">
        <f>NPV(Assumptions!$D$19,N98:$N$259)</f>
        <v>42539092.816032112</v>
      </c>
      <c r="AA97" s="68">
        <f t="shared" si="28"/>
        <v>31903.123057404144</v>
      </c>
      <c r="AB97" s="96"/>
      <c r="AC97" s="67">
        <f>(AC96+N96-P96-Q96-T96-W96-X96-Y96+AD96)*IF(D97=Assumptions!$H$9,0,1)</f>
        <v>76964860.555584371</v>
      </c>
      <c r="AD97" s="91">
        <f>(AF96+N97-W97-X97-Y97)*Assumptions!$D$19-(P97+Q97)*Assumptions!$D$19/2</f>
        <v>334254.18154470029</v>
      </c>
      <c r="AE97" s="67">
        <f>(AE96+(AD97-O97-R97-Q97-S97))*IF(D97=Assumptions!$H$9,0,1)</f>
        <v>15060235.210279232</v>
      </c>
      <c r="AF97" s="91">
        <f t="shared" si="29"/>
        <v>78133025.842344165</v>
      </c>
      <c r="AG97" s="67">
        <f t="shared" si="30"/>
        <v>4361.8766051919083</v>
      </c>
      <c r="AH97" s="89">
        <f>AG97*Assumptions!$C$18</f>
        <v>1308.5629815575724</v>
      </c>
      <c r="AI97" s="67">
        <f t="shared" si="31"/>
        <v>3053.3136236343362</v>
      </c>
      <c r="AK97" s="67">
        <f t="shared" si="32"/>
        <v>-136.96024530350041</v>
      </c>
      <c r="AL97" s="70">
        <f t="shared" si="21"/>
        <v>-4498.8370000000004</v>
      </c>
      <c r="AM97" s="80">
        <f>(O97-W97-X97-Y97-AA97)*Assumptions!$D$19</f>
        <v>-136.9602453034997</v>
      </c>
    </row>
    <row r="98" spans="2:39" x14ac:dyDescent="0.2">
      <c r="B98" s="5">
        <f t="shared" si="17"/>
        <v>91</v>
      </c>
      <c r="C98" s="5">
        <f t="shared" si="18"/>
        <v>91</v>
      </c>
      <c r="D98" s="5">
        <f t="shared" si="19"/>
        <v>7</v>
      </c>
      <c r="E98" s="5">
        <f t="shared" si="20"/>
        <v>53</v>
      </c>
      <c r="F98" s="64">
        <f>1-(1-VLOOKUP($E98,'Annual Mortality Rates'!$B$5:$C$105,2,FALSE))^(1/12)</f>
        <v>1.5763659934686647E-4</v>
      </c>
      <c r="G98" s="74">
        <f>1-(1-IF(D98&gt;=7,2%,VLOOKUP($D98,'Annual Lapse Rates'!$B$4:$C$14,2,FALSE)))^(1/12)</f>
        <v>1.6821425527395739E-3</v>
      </c>
      <c r="H98" s="80">
        <f t="shared" si="22"/>
        <v>7</v>
      </c>
      <c r="I98" s="65">
        <f t="shared" si="23"/>
        <v>3129.0598778104959</v>
      </c>
      <c r="J98" s="66">
        <f t="shared" si="24"/>
        <v>0.49325435829076808</v>
      </c>
      <c r="K98" s="66">
        <f t="shared" si="25"/>
        <v>5.2732427498179204</v>
      </c>
      <c r="M98" s="67">
        <f t="shared" si="33"/>
        <v>63104693.755122349</v>
      </c>
      <c r="N98" s="67">
        <f>IF(AND(MOD(C98,12)=1,D98&lt;15),Assumptions!$H$4*I98,0)</f>
        <v>0</v>
      </c>
      <c r="O98" s="67"/>
      <c r="P98" s="88">
        <f t="shared" si="26"/>
        <v>116098.69996947348</v>
      </c>
      <c r="Q98" s="88">
        <f>(M98+N98-O98)*VLOOKUP(MOD(C98,12)+(MOD(C98,12)=0)*12,Assumptions!$C$22:$D$33,2,FALSE)*(F98+G98)</f>
        <v>2539.659061832233</v>
      </c>
      <c r="R98" s="67">
        <f>IF(AND(MOD(C98,12)=0,D98&lt;15),Assumptions!$C$7*M98,0)</f>
        <v>0</v>
      </c>
      <c r="S98" s="68">
        <f>IF(MOD(C98,12)=0,M98*Assumptions!$D$17,0)</f>
        <v>0</v>
      </c>
      <c r="T98" s="68">
        <f>(M98+N98-O98-P98-Q98-R98+S98)*(D99=Assumptions!$H$9)</f>
        <v>0</v>
      </c>
      <c r="U98" s="67">
        <f>T98+AE98*(1+Assumptions!$D$17)</f>
        <v>15455578.754419327</v>
      </c>
      <c r="V98" s="67">
        <f t="shared" si="27"/>
        <v>62986055.396091044</v>
      </c>
      <c r="W98" s="67"/>
      <c r="X98" s="67">
        <f>IF(AND(MOD(C98,12)=1,D98&lt;15),Assumptions!$D$10*N98+Assumptions!$D$11*(1+Assumptions!$D$16)^(B98-1)*I98,0)</f>
        <v>0</v>
      </c>
      <c r="Y98" s="65">
        <f>Assumptions!$C$13*N98</f>
        <v>0</v>
      </c>
      <c r="Z98" s="65">
        <f>NPV(Assumptions!$D$19,N99:$N$259)</f>
        <v>42721713.325522326</v>
      </c>
      <c r="AA98" s="68">
        <f t="shared" si="28"/>
        <v>31903.123057404144</v>
      </c>
      <c r="AB98" s="96"/>
      <c r="AC98" s="67">
        <f>(AC97+N97-P97-Q97-T97-W97-X97-Y97+AD97)*IF(D98=Assumptions!$H$9,0,1)</f>
        <v>77180617.089355066</v>
      </c>
      <c r="AD98" s="91">
        <f>(AF97+N98-W98-X98-Y98)*Assumptions!$D$19-(P98+Q98)*Assumptions!$D$19/2</f>
        <v>335170.76046298922</v>
      </c>
      <c r="AE98" s="67">
        <f>(AE97+(AD98-O98-R98-Q98-S98))*IF(D98=Assumptions!$H$9,0,1)</f>
        <v>15392866.31168039</v>
      </c>
      <c r="AF98" s="91">
        <f t="shared" si="29"/>
        <v>78347018.584714025</v>
      </c>
      <c r="AG98" s="67">
        <f t="shared" si="30"/>
        <v>5079.3181236553355</v>
      </c>
      <c r="AH98" s="89">
        <f>AG98*Assumptions!$C$18</f>
        <v>1523.7954370966006</v>
      </c>
      <c r="AI98" s="67">
        <f t="shared" si="31"/>
        <v>3555.5226865587347</v>
      </c>
      <c r="AK98" s="67">
        <f t="shared" si="32"/>
        <v>-136.96024530350041</v>
      </c>
      <c r="AL98" s="70">
        <f t="shared" si="21"/>
        <v>-5216.2780000000002</v>
      </c>
      <c r="AM98" s="80">
        <f>(O98-W98-X98-Y98-AA98)*Assumptions!$D$19</f>
        <v>-136.9602453034997</v>
      </c>
    </row>
    <row r="99" spans="2:39" x14ac:dyDescent="0.2">
      <c r="B99" s="5">
        <f t="shared" si="17"/>
        <v>92</v>
      </c>
      <c r="C99" s="5">
        <f t="shared" si="18"/>
        <v>92</v>
      </c>
      <c r="D99" s="5">
        <f t="shared" si="19"/>
        <v>7</v>
      </c>
      <c r="E99" s="5">
        <f t="shared" si="20"/>
        <v>53</v>
      </c>
      <c r="F99" s="64">
        <f>1-(1-VLOOKUP($E99,'Annual Mortality Rates'!$B$5:$C$105,2,FALSE))^(1/12)</f>
        <v>1.5763659934686647E-4</v>
      </c>
      <c r="G99" s="74">
        <f>1-(1-IF(D99&gt;=7,2%,VLOOKUP($D99,'Annual Lapse Rates'!$B$4:$C$14,2,FALSE)))^(1/12)</f>
        <v>1.6821425527395739E-3</v>
      </c>
      <c r="H99" s="80">
        <f t="shared" si="22"/>
        <v>8</v>
      </c>
      <c r="I99" s="65">
        <f t="shared" si="23"/>
        <v>3123.2933807023869</v>
      </c>
      <c r="J99" s="66">
        <f t="shared" si="24"/>
        <v>0.49234534729650226</v>
      </c>
      <c r="K99" s="66">
        <f t="shared" si="25"/>
        <v>5.2635247705351267</v>
      </c>
      <c r="M99" s="67">
        <f t="shared" si="33"/>
        <v>62986055.396091044</v>
      </c>
      <c r="N99" s="67">
        <f>IF(AND(MOD(C99,12)=1,D99&lt;15),Assumptions!$H$4*I99,0)</f>
        <v>0</v>
      </c>
      <c r="O99" s="67"/>
      <c r="P99" s="88">
        <f t="shared" si="26"/>
        <v>115880.43158988994</v>
      </c>
      <c r="Q99" s="88">
        <f>(M99+N99-O99)*VLOOKUP(MOD(C99,12)+(MOD(C99,12)=0)*12,Assumptions!$C$22:$D$33,2,FALSE)*(F99+G99)</f>
        <v>2897.0107897472485</v>
      </c>
      <c r="R99" s="67">
        <f>IF(AND(MOD(C99,12)=0,D99&lt;15),Assumptions!$C$7*M99,0)</f>
        <v>0</v>
      </c>
      <c r="S99" s="68">
        <f>IF(MOD(C99,12)=0,M99*Assumptions!$D$17,0)</f>
        <v>0</v>
      </c>
      <c r="T99" s="68">
        <f>(M99+N99-O99-P99-Q99-R99+S99)*(D100=Assumptions!$H$9)</f>
        <v>0</v>
      </c>
      <c r="U99" s="67">
        <f>T99+AE99*(1+Assumptions!$D$17)</f>
        <v>15790128.343271051</v>
      </c>
      <c r="V99" s="67">
        <f t="shared" si="27"/>
        <v>62867277.953711413</v>
      </c>
      <c r="W99" s="67"/>
      <c r="X99" s="67">
        <f>IF(AND(MOD(C99,12)=1,D99&lt;15),Assumptions!$D$10*N99+Assumptions!$D$11*(1+Assumptions!$D$16)^(B99-1)*I99,0)</f>
        <v>0</v>
      </c>
      <c r="Y99" s="65">
        <f>Assumptions!$C$13*N99</f>
        <v>0</v>
      </c>
      <c r="Z99" s="65">
        <f>NPV(Assumptions!$D$19,N100:$N$259)</f>
        <v>42905117.825649835</v>
      </c>
      <c r="AA99" s="68">
        <f t="shared" si="28"/>
        <v>31903.123057404144</v>
      </c>
      <c r="AB99" s="96"/>
      <c r="AC99" s="67">
        <f>(AC98+N98-P98-Q98-T98-W98-X98-Y98+AD98)*IF(D99=Assumptions!$H$9,0,1)</f>
        <v>77397149.490786746</v>
      </c>
      <c r="AD99" s="91">
        <f>(AF98+N99-W99-X99-Y99)*Assumptions!$D$19-(P99+Q99)*Assumptions!$D$19/2</f>
        <v>336089.13368904212</v>
      </c>
      <c r="AE99" s="67">
        <f>(AE98+(AD99-O99-R99-Q99-S99))*IF(D99=Assumptions!$H$9,0,1)</f>
        <v>15726058.434579685</v>
      </c>
      <c r="AF99" s="91">
        <f t="shared" si="29"/>
        <v>78561433.265233681</v>
      </c>
      <c r="AG99" s="67">
        <f t="shared" si="30"/>
        <v>5794.0215794968535</v>
      </c>
      <c r="AH99" s="89">
        <f>AG99*Assumptions!$C$18</f>
        <v>1738.206473849056</v>
      </c>
      <c r="AI99" s="67">
        <f t="shared" si="31"/>
        <v>4055.8151056477973</v>
      </c>
      <c r="AK99" s="67">
        <f t="shared" si="32"/>
        <v>-136.96024530350041</v>
      </c>
      <c r="AL99" s="70">
        <f t="shared" si="21"/>
        <v>-5930.982</v>
      </c>
      <c r="AM99" s="80">
        <f>(O99-W99-X99-Y99-AA99)*Assumptions!$D$19</f>
        <v>-136.9602453034997</v>
      </c>
    </row>
    <row r="100" spans="2:39" x14ac:dyDescent="0.2">
      <c r="B100" s="5">
        <f t="shared" si="17"/>
        <v>93</v>
      </c>
      <c r="C100" s="5">
        <f t="shared" si="18"/>
        <v>93</v>
      </c>
      <c r="D100" s="5">
        <f t="shared" si="19"/>
        <v>7</v>
      </c>
      <c r="E100" s="5">
        <f t="shared" si="20"/>
        <v>53</v>
      </c>
      <c r="F100" s="64">
        <f>1-(1-VLOOKUP($E100,'Annual Mortality Rates'!$B$5:$C$105,2,FALSE))^(1/12)</f>
        <v>1.5763659934686647E-4</v>
      </c>
      <c r="G100" s="74">
        <f>1-(1-IF(D100&gt;=7,2%,VLOOKUP($D100,'Annual Lapse Rates'!$B$4:$C$14,2,FALSE)))^(1/12)</f>
        <v>1.6821425527395739E-3</v>
      </c>
      <c r="H100" s="80">
        <f t="shared" si="22"/>
        <v>9</v>
      </c>
      <c r="I100" s="65">
        <f t="shared" si="23"/>
        <v>3117.5375105845551</v>
      </c>
      <c r="J100" s="66">
        <f t="shared" si="24"/>
        <v>0.49143801150484501</v>
      </c>
      <c r="K100" s="66">
        <f t="shared" si="25"/>
        <v>5.2538247003693268</v>
      </c>
      <c r="M100" s="67">
        <f t="shared" si="33"/>
        <v>62867277.953711413</v>
      </c>
      <c r="N100" s="67">
        <f>IF(AND(MOD(C100,12)=1,D100&lt;15),Assumptions!$H$4*I100,0)</f>
        <v>0</v>
      </c>
      <c r="O100" s="67"/>
      <c r="P100" s="88">
        <f t="shared" si="26"/>
        <v>115661.90732766176</v>
      </c>
      <c r="Q100" s="88">
        <f>(M100+N100-O100)*VLOOKUP(MOD(C100,12)+(MOD(C100,12)=0)*12,Assumptions!$C$22:$D$33,2,FALSE)*(F100+G100)</f>
        <v>3252.9911435904869</v>
      </c>
      <c r="R100" s="67">
        <f>IF(AND(MOD(C100,12)=0,D100&lt;15),Assumptions!$C$7*M100,0)</f>
        <v>0</v>
      </c>
      <c r="S100" s="68">
        <f>IF(MOD(C100,12)=0,M100*Assumptions!$D$17,0)</f>
        <v>0</v>
      </c>
      <c r="T100" s="68">
        <f>(M100+N100-O100-P100-Q100-R100+S100)*(D101=Assumptions!$H$9)</f>
        <v>0</v>
      </c>
      <c r="U100" s="67">
        <f>T100+AE100*(1+Assumptions!$D$17)</f>
        <v>16125244.438522398</v>
      </c>
      <c r="V100" s="67">
        <f t="shared" si="27"/>
        <v>62748363.055240162</v>
      </c>
      <c r="W100" s="67"/>
      <c r="X100" s="67">
        <f>IF(AND(MOD(C100,12)=1,D100&lt;15),Assumptions!$D$10*N100+Assumptions!$D$11*(1+Assumptions!$D$16)^(B100-1)*I100,0)</f>
        <v>0</v>
      </c>
      <c r="Y100" s="65">
        <f>Assumptions!$C$13*N100</f>
        <v>0</v>
      </c>
      <c r="Z100" s="65">
        <f>NPV(Assumptions!$D$19,N101:$N$259)</f>
        <v>43089309.682089813</v>
      </c>
      <c r="AA100" s="68">
        <f t="shared" si="28"/>
        <v>31903.123057404144</v>
      </c>
      <c r="AB100" s="96"/>
      <c r="AC100" s="67">
        <f>(AC99+N99-P99-Q99-T99-W99-X99-Y99+AD99)*IF(D100=Assumptions!$H$9,0,1)</f>
        <v>77614461.182096153</v>
      </c>
      <c r="AD100" s="91">
        <f>(AF99+N100-W100-X100-Y100)*Assumptions!$D$19-(P100+Q100)*Assumptions!$D$19/2</f>
        <v>337009.32179030759</v>
      </c>
      <c r="AE100" s="67">
        <f>(AE99+(AD100-O100-R100-Q100-S100))*IF(D100=Assumptions!$H$9,0,1)</f>
        <v>16059814.765226403</v>
      </c>
      <c r="AF100" s="91">
        <f t="shared" si="29"/>
        <v>78776274.697409153</v>
      </c>
      <c r="AG100" s="67">
        <f t="shared" si="30"/>
        <v>6505.9822871734505</v>
      </c>
      <c r="AH100" s="89">
        <f>AG100*Assumptions!$C$18</f>
        <v>1951.794686152035</v>
      </c>
      <c r="AI100" s="67">
        <f t="shared" si="31"/>
        <v>4554.1876010214155</v>
      </c>
      <c r="AK100" s="67">
        <f t="shared" si="32"/>
        <v>-136.96024530350041</v>
      </c>
      <c r="AL100" s="70">
        <f t="shared" si="21"/>
        <v>-6642.9430000000002</v>
      </c>
      <c r="AM100" s="80">
        <f>(O100-W100-X100-Y100-AA100)*Assumptions!$D$19</f>
        <v>-136.9602453034997</v>
      </c>
    </row>
    <row r="101" spans="2:39" x14ac:dyDescent="0.2">
      <c r="B101" s="5">
        <f t="shared" si="17"/>
        <v>94</v>
      </c>
      <c r="C101" s="5">
        <f t="shared" si="18"/>
        <v>94</v>
      </c>
      <c r="D101" s="5">
        <f t="shared" si="19"/>
        <v>7</v>
      </c>
      <c r="E101" s="5">
        <f t="shared" si="20"/>
        <v>53</v>
      </c>
      <c r="F101" s="64">
        <f>1-(1-VLOOKUP($E101,'Annual Mortality Rates'!$B$5:$C$105,2,FALSE))^(1/12)</f>
        <v>1.5763659934686647E-4</v>
      </c>
      <c r="G101" s="74">
        <f>1-(1-IF(D101&gt;=7,2%,VLOOKUP($D101,'Annual Lapse Rates'!$B$4:$C$14,2,FALSE)))^(1/12)</f>
        <v>1.6821425527395739E-3</v>
      </c>
      <c r="H101" s="80">
        <f t="shared" si="22"/>
        <v>10</v>
      </c>
      <c r="I101" s="65">
        <f t="shared" si="23"/>
        <v>3111.7922478726809</v>
      </c>
      <c r="J101" s="66">
        <f t="shared" si="24"/>
        <v>0.49053234782859079</v>
      </c>
      <c r="K101" s="66">
        <f t="shared" si="25"/>
        <v>5.2441425063160798</v>
      </c>
      <c r="M101" s="67">
        <f t="shared" si="33"/>
        <v>62748363.055240162</v>
      </c>
      <c r="N101" s="67">
        <f>IF(AND(MOD(C101,12)=1,D101&lt;15),Assumptions!$H$4*I101,0)</f>
        <v>0</v>
      </c>
      <c r="O101" s="67"/>
      <c r="P101" s="88">
        <f t="shared" si="26"/>
        <v>115443.13017658186</v>
      </c>
      <c r="Q101" s="88">
        <f>(M101+N101-O101)*VLOOKUP(MOD(C101,12)+(MOD(C101,12)=0)*12,Assumptions!$C$22:$D$33,2,FALSE)*(F101+G101)</f>
        <v>3607.5978180181833</v>
      </c>
      <c r="R101" s="67">
        <f>IF(AND(MOD(C101,12)=0,D101&lt;15),Assumptions!$C$7*M101,0)</f>
        <v>0</v>
      </c>
      <c r="S101" s="68">
        <f>IF(MOD(C101,12)=0,M101*Assumptions!$D$17,0)</f>
        <v>0</v>
      </c>
      <c r="T101" s="68">
        <f>(M101+N101-O101-P101-Q101-R101+S101)*(D102=Assumptions!$H$9)</f>
        <v>0</v>
      </c>
      <c r="U101" s="67">
        <f>T101+AE101*(1+Assumptions!$D$17)</f>
        <v>16460930.262465674</v>
      </c>
      <c r="V101" s="67">
        <f t="shared" si="27"/>
        <v>62629312.327245563</v>
      </c>
      <c r="W101" s="67"/>
      <c r="X101" s="67">
        <f>IF(AND(MOD(C101,12)=1,D101&lt;15),Assumptions!$D$10*N101+Assumptions!$D$11*(1+Assumptions!$D$16)^(B101-1)*I101,0)</f>
        <v>0</v>
      </c>
      <c r="Y101" s="65">
        <f>Assumptions!$C$13*N101</f>
        <v>0</v>
      </c>
      <c r="Z101" s="65">
        <f>NPV(Assumptions!$D$19,N102:$N$259)</f>
        <v>43274292.274966337</v>
      </c>
      <c r="AA101" s="68">
        <f t="shared" si="28"/>
        <v>31903.123057404144</v>
      </c>
      <c r="AB101" s="96"/>
      <c r="AC101" s="67">
        <f>(AC100+N100-P100-Q100-T100-W100-X100-Y100+AD100)*IF(D101=Assumptions!$H$9,0,1)</f>
        <v>77832555.60541521</v>
      </c>
      <c r="AD101" s="91">
        <f>(AF100+N101-W101-X101-Y101)*Assumptions!$D$19-(P101+Q101)*Assumptions!$D$19/2</f>
        <v>337931.34542970994</v>
      </c>
      <c r="AE101" s="67">
        <f>(AE100+(AD101-O101-R101-Q101-S101))*IF(D101=Assumptions!$H$9,0,1)</f>
        <v>16394138.512838095</v>
      </c>
      <c r="AF101" s="91">
        <f t="shared" si="29"/>
        <v>78991547.717026249</v>
      </c>
      <c r="AG101" s="67">
        <f t="shared" si="30"/>
        <v>7215.1956360324984</v>
      </c>
      <c r="AH101" s="89">
        <f>AG101*Assumptions!$C$18</f>
        <v>2164.5586908097494</v>
      </c>
      <c r="AI101" s="67">
        <f t="shared" si="31"/>
        <v>5050.6369452227491</v>
      </c>
      <c r="AK101" s="67">
        <f t="shared" si="32"/>
        <v>-136.96024530350041</v>
      </c>
      <c r="AL101" s="70">
        <f t="shared" si="21"/>
        <v>-7352.1559999999999</v>
      </c>
      <c r="AM101" s="80">
        <f>(O101-W101-X101-Y101-AA101)*Assumptions!$D$19</f>
        <v>-136.9602453034997</v>
      </c>
    </row>
    <row r="102" spans="2:39" x14ac:dyDescent="0.2">
      <c r="B102" s="5">
        <f t="shared" si="17"/>
        <v>95</v>
      </c>
      <c r="C102" s="5">
        <f t="shared" si="18"/>
        <v>95</v>
      </c>
      <c r="D102" s="5">
        <f t="shared" si="19"/>
        <v>7</v>
      </c>
      <c r="E102" s="5">
        <f t="shared" si="20"/>
        <v>53</v>
      </c>
      <c r="F102" s="64">
        <f>1-(1-VLOOKUP($E102,'Annual Mortality Rates'!$B$5:$C$105,2,FALSE))^(1/12)</f>
        <v>1.5763659934686647E-4</v>
      </c>
      <c r="G102" s="74">
        <f>1-(1-IF(D102&gt;=7,2%,VLOOKUP($D102,'Annual Lapse Rates'!$B$4:$C$14,2,FALSE)))^(1/12)</f>
        <v>1.6821425527395739E-3</v>
      </c>
      <c r="H102" s="80">
        <f t="shared" si="22"/>
        <v>11</v>
      </c>
      <c r="I102" s="65">
        <f t="shared" si="23"/>
        <v>3106.057573018536</v>
      </c>
      <c r="J102" s="66">
        <f t="shared" si="24"/>
        <v>0.48962835318622339</v>
      </c>
      <c r="K102" s="66">
        <f t="shared" si="25"/>
        <v>5.2344781554317681</v>
      </c>
      <c r="M102" s="67">
        <f t="shared" si="33"/>
        <v>62629312.327245563</v>
      </c>
      <c r="N102" s="67">
        <f>IF(AND(MOD(C102,12)=1,D102&lt;15),Assumptions!$H$4*I102,0)</f>
        <v>0</v>
      </c>
      <c r="O102" s="67"/>
      <c r="P102" s="88">
        <f t="shared" si="26"/>
        <v>115224.10312917668</v>
      </c>
      <c r="Q102" s="88">
        <f>(M102+N102-O102)*VLOOKUP(MOD(C102,12)+(MOD(C102,12)=0)*12,Assumptions!$C$22:$D$33,2,FALSE)*(F102+G102)</f>
        <v>3960.8285450654489</v>
      </c>
      <c r="R102" s="67">
        <f>IF(AND(MOD(C102,12)=0,D102&lt;15),Assumptions!$C$7*M102,0)</f>
        <v>0</v>
      </c>
      <c r="S102" s="68">
        <f>IF(MOD(C102,12)=0,M102*Assumptions!$D$17,0)</f>
        <v>0</v>
      </c>
      <c r="T102" s="68">
        <f>(M102+N102-O102-P102-Q102-R102+S102)*(D103=Assumptions!$H$9)</f>
        <v>0</v>
      </c>
      <c r="U102" s="67">
        <f>T102+AE102*(1+Assumptions!$D$17)</f>
        <v>16797189.060513448</v>
      </c>
      <c r="V102" s="67">
        <f t="shared" si="27"/>
        <v>62510127.395571321</v>
      </c>
      <c r="W102" s="67"/>
      <c r="X102" s="67">
        <f>IF(AND(MOD(C102,12)=1,D102&lt;15),Assumptions!$D$10*N102+Assumptions!$D$11*(1+Assumptions!$D$16)^(B102-1)*I102,0)</f>
        <v>0</v>
      </c>
      <c r="Y102" s="65">
        <f>Assumptions!$C$13*N102</f>
        <v>0</v>
      </c>
      <c r="Z102" s="65">
        <f>NPV(Assumptions!$D$19,N103:$N$259)</f>
        <v>43460068.998914354</v>
      </c>
      <c r="AA102" s="68">
        <f t="shared" si="28"/>
        <v>31903.123057404144</v>
      </c>
      <c r="AB102" s="96"/>
      <c r="AC102" s="67">
        <f>(AC101+N101-P101-Q101-T101-W101-X101-Y101+AD101)*IF(D102=Assumptions!$H$9,0,1)</f>
        <v>78051436.222850308</v>
      </c>
      <c r="AD102" s="91">
        <f>(AF101+N102-W102-X102-Y102)*Assumptions!$D$19-(P102+Q102)*Assumptions!$D$19/2</f>
        <v>338855.22536574333</v>
      </c>
      <c r="AE102" s="67">
        <f>(AE101+(AD102-O102-R102-Q102-S102))*IF(D102=Assumptions!$H$9,0,1)</f>
        <v>16729032.909658773</v>
      </c>
      <c r="AF102" s="91">
        <f t="shared" si="29"/>
        <v>79207257.182172686</v>
      </c>
      <c r="AG102" s="67">
        <f t="shared" si="30"/>
        <v>7921.657090129389</v>
      </c>
      <c r="AH102" s="89">
        <f>AG102*Assumptions!$C$18</f>
        <v>2376.4971270388164</v>
      </c>
      <c r="AI102" s="67">
        <f t="shared" si="31"/>
        <v>5545.159963090573</v>
      </c>
      <c r="AK102" s="67">
        <f t="shared" si="32"/>
        <v>-136.96024530350041</v>
      </c>
      <c r="AL102" s="70">
        <f t="shared" si="21"/>
        <v>-8058.6170000000002</v>
      </c>
      <c r="AM102" s="80">
        <f>(O102-W102-X102-Y102-AA102)*Assumptions!$D$19</f>
        <v>-136.9602453034997</v>
      </c>
    </row>
    <row r="103" spans="2:39" x14ac:dyDescent="0.2">
      <c r="B103" s="5">
        <f t="shared" si="17"/>
        <v>96</v>
      </c>
      <c r="C103" s="5">
        <f t="shared" si="18"/>
        <v>96</v>
      </c>
      <c r="D103" s="5">
        <f t="shared" si="19"/>
        <v>7</v>
      </c>
      <c r="E103" s="5">
        <f t="shared" si="20"/>
        <v>53</v>
      </c>
      <c r="F103" s="64">
        <f>1-(1-VLOOKUP($E103,'Annual Mortality Rates'!$B$5:$C$105,2,FALSE))^(1/12)</f>
        <v>1.5763659934686647E-4</v>
      </c>
      <c r="G103" s="74">
        <f>1-(1-IF(D103&gt;=7,2%,VLOOKUP($D103,'Annual Lapse Rates'!$B$4:$C$14,2,FALSE)))^(1/12)</f>
        <v>1.6821425527395739E-3</v>
      </c>
      <c r="H103" s="80">
        <f t="shared" si="22"/>
        <v>12</v>
      </c>
      <c r="I103" s="65">
        <f t="shared" si="23"/>
        <v>3100.3334665099183</v>
      </c>
      <c r="J103" s="66">
        <f t="shared" si="24"/>
        <v>0.48872602450190561</v>
      </c>
      <c r="K103" s="66">
        <f t="shared" si="25"/>
        <v>5.2248316148334855</v>
      </c>
      <c r="M103" s="67">
        <f t="shared" si="33"/>
        <v>62510127.395571321</v>
      </c>
      <c r="N103" s="67">
        <f>IF(AND(MOD(C103,12)=1,D103&lt;15),Assumptions!$H$4*I103,0)</f>
        <v>0</v>
      </c>
      <c r="O103" s="67"/>
      <c r="P103" s="88">
        <f t="shared" si="26"/>
        <v>115004.82917663957</v>
      </c>
      <c r="Q103" s="88">
        <f>(M103+N103-O103)*VLOOKUP(MOD(C103,12)+(MOD(C103,12)=0)*12,Assumptions!$C$22:$D$33,2,FALSE)*(F103+G103)</f>
        <v>4312.6810941239846</v>
      </c>
      <c r="R103" s="67">
        <f>IF(AND(MOD(C103,12)=0,D103&lt;15),Assumptions!$C$7*M103,0)</f>
        <v>31255.063697785663</v>
      </c>
      <c r="S103" s="68">
        <f>IF(MOD(C103,12)=0,M103*Assumptions!$D$17,0)</f>
        <v>254673.99674118563</v>
      </c>
      <c r="T103" s="68">
        <f>(M103+N103-O103-P103-Q103-R103+S103)*(D104=Assumptions!$H$9)</f>
        <v>0</v>
      </c>
      <c r="U103" s="67">
        <f>T103+AE103*(1+Assumptions!$D$17)</f>
        <v>16846930.130432576</v>
      </c>
      <c r="V103" s="67">
        <f t="shared" si="27"/>
        <v>62614228.818343952</v>
      </c>
      <c r="W103" s="67"/>
      <c r="X103" s="67">
        <f>IF(AND(MOD(C103,12)=1,D103&lt;15),Assumptions!$D$10*N103+Assumptions!$D$11*(1+Assumptions!$D$16)^(B103-1)*I103,0)</f>
        <v>0</v>
      </c>
      <c r="Y103" s="65">
        <f>Assumptions!$C$13*N103</f>
        <v>0</v>
      </c>
      <c r="Z103" s="65">
        <f>NPV(Assumptions!$D$19,N104:$N$259)</f>
        <v>43646643.263141967</v>
      </c>
      <c r="AA103" s="68">
        <f t="shared" si="28"/>
        <v>31903.123057404144</v>
      </c>
      <c r="AB103" s="96"/>
      <c r="AC103" s="67">
        <f>(AC102+N102-P102-Q102-T102-W102-X102-Y102+AD102)*IF(D103=Assumptions!$H$9,0,1)</f>
        <v>78271106.516541809</v>
      </c>
      <c r="AD103" s="91">
        <f>(AF102+N103-W103-X103-Y103)*Assumptions!$D$19-(P103+Q103)*Assumptions!$D$19/2</f>
        <v>339780.98245256679</v>
      </c>
      <c r="AE103" s="67">
        <f>(AE102+(AD103-O103-R103-Q103-S103))*IF(D103=Assumptions!$H$9,0,1)</f>
        <v>16778572.150578246</v>
      </c>
      <c r="AF103" s="91">
        <f t="shared" si="29"/>
        <v>79360897.845864788</v>
      </c>
      <c r="AG103" s="67">
        <f t="shared" si="30"/>
        <v>71135.489583825401</v>
      </c>
      <c r="AH103" s="89">
        <f>AG103*Assumptions!$C$18</f>
        <v>21340.64687514762</v>
      </c>
      <c r="AI103" s="67">
        <f t="shared" si="31"/>
        <v>49794.842708677781</v>
      </c>
      <c r="AK103" s="67">
        <f t="shared" si="32"/>
        <v>31118.103452482163</v>
      </c>
      <c r="AL103" s="70">
        <f t="shared" si="21"/>
        <v>-40017.385999999999</v>
      </c>
      <c r="AM103" s="80">
        <f>(O103-W103-X103-Y103-AA103)*Assumptions!$D$19</f>
        <v>-136.9602453034997</v>
      </c>
    </row>
    <row r="104" spans="2:39" x14ac:dyDescent="0.2">
      <c r="B104" s="5">
        <f t="shared" si="17"/>
        <v>97</v>
      </c>
      <c r="C104" s="5">
        <f t="shared" si="18"/>
        <v>97</v>
      </c>
      <c r="D104" s="5">
        <f t="shared" si="19"/>
        <v>8</v>
      </c>
      <c r="E104" s="5">
        <f t="shared" si="20"/>
        <v>54</v>
      </c>
      <c r="F104" s="64">
        <f>1-(1-VLOOKUP($E104,'Annual Mortality Rates'!$B$5:$C$105,2,FALSE))^(1/12)</f>
        <v>1.7349879770289789E-4</v>
      </c>
      <c r="G104" s="74">
        <f>1-(1-IF(D104&gt;=7,2%,VLOOKUP($D104,'Annual Lapse Rates'!$B$4:$C$14,2,FALSE)))^(1/12)</f>
        <v>1.6821425527395739E-3</v>
      </c>
      <c r="H104" s="80">
        <f t="shared" si="22"/>
        <v>1</v>
      </c>
      <c r="I104" s="65">
        <f t="shared" si="23"/>
        <v>3094.619908870583</v>
      </c>
      <c r="J104" s="66">
        <f t="shared" si="24"/>
        <v>0.53691283353649755</v>
      </c>
      <c r="K104" s="66">
        <f t="shared" si="25"/>
        <v>5.2152028516989262</v>
      </c>
      <c r="M104" s="67">
        <f t="shared" si="33"/>
        <v>62614228.818343952</v>
      </c>
      <c r="N104" s="67">
        <f>IF(AND(MOD(C104,12)=1,D104&lt;15),Assumptions!$H$4*I104,0)</f>
        <v>7736549.7721764576</v>
      </c>
      <c r="O104" s="67"/>
      <c r="P104" s="88">
        <f t="shared" si="26"/>
        <v>130545.81378839262</v>
      </c>
      <c r="Q104" s="88">
        <f>(M104+N104-O104)*VLOOKUP(MOD(C104,12)+(MOD(C104,12)=0)*12,Assumptions!$C$22:$D$33,2,FALSE)*(F104+G104)</f>
        <v>407.95566808872701</v>
      </c>
      <c r="R104" s="67">
        <f>IF(AND(MOD(C104,12)=0,D104&lt;15),Assumptions!$C$7*M104,0)</f>
        <v>0</v>
      </c>
      <c r="S104" s="68">
        <f>IF(MOD(C104,12)=0,M104*Assumptions!$D$17,0)</f>
        <v>0</v>
      </c>
      <c r="T104" s="68">
        <f>(M104+N104-O104-P104-Q104-R104+S104)*(D105=Assumptions!$H$9)</f>
        <v>0</v>
      </c>
      <c r="U104" s="67">
        <f>T104+AE104*(1+Assumptions!$D$17)</f>
        <v>17221236.2757174</v>
      </c>
      <c r="V104" s="67">
        <f t="shared" si="27"/>
        <v>70219824.821063921</v>
      </c>
      <c r="W104" s="67"/>
      <c r="X104" s="67">
        <f>IF(AND(MOD(C104,12)=1,D104&lt;15),Assumptions!$D$10*N104+Assumptions!$D$11*(1+Assumptions!$D$16)^(B104-1)*I104,0)</f>
        <v>62250.71176550223</v>
      </c>
      <c r="Y104" s="65">
        <f>Assumptions!$C$13*N104</f>
        <v>38682.74886088229</v>
      </c>
      <c r="Z104" s="65">
        <f>NPV(Assumptions!$D$19,N105:$N$259)</f>
        <v>36097468.719316609</v>
      </c>
      <c r="AA104" s="68">
        <f t="shared" si="28"/>
        <v>27658.199912524229</v>
      </c>
      <c r="AB104" s="96"/>
      <c r="AC104" s="67">
        <f>(AC103+N103-P103-Q103-T103-W103-X103-Y103+AD103)*IF(D104=Assumptions!$H$9,0,1)</f>
        <v>78491569.988723621</v>
      </c>
      <c r="AD104" s="91">
        <f>(AF103+N104-W104-X104-Y104)*Assumptions!$D$19-(P104+Q104)*Assumptions!$D$19/2</f>
        <v>373195.31908935303</v>
      </c>
      <c r="AE104" s="67">
        <f>(AE103+(AD104-O104-R104-Q104-S104))*IF(D104=Assumptions!$H$9,0,1)</f>
        <v>17151359.513999511</v>
      </c>
      <c r="AF104" s="91">
        <f t="shared" si="29"/>
        <v>87343526.135150909</v>
      </c>
      <c r="AG104" s="67">
        <f t="shared" si="30"/>
        <v>-104362.47243508889</v>
      </c>
      <c r="AH104" s="89">
        <f>AG104*Assumptions!$C$18</f>
        <v>-31308.741730526664</v>
      </c>
      <c r="AI104" s="67">
        <f t="shared" si="31"/>
        <v>-73053.730704562215</v>
      </c>
      <c r="AK104" s="67">
        <f t="shared" si="32"/>
        <v>-105730.42832626626</v>
      </c>
      <c r="AL104" s="70">
        <f t="shared" si="21"/>
        <v>-1367.9559999999999</v>
      </c>
      <c r="AM104" s="80">
        <f>(O104-W104-X104-Y104-AA104)*Assumptions!$D$19</f>
        <v>-552.0445550018303</v>
      </c>
    </row>
    <row r="105" spans="2:39" x14ac:dyDescent="0.2">
      <c r="B105" s="5">
        <f t="shared" si="17"/>
        <v>98</v>
      </c>
      <c r="C105" s="5">
        <f t="shared" si="18"/>
        <v>98</v>
      </c>
      <c r="D105" s="5">
        <f t="shared" si="19"/>
        <v>8</v>
      </c>
      <c r="E105" s="5">
        <f t="shared" si="20"/>
        <v>54</v>
      </c>
      <c r="F105" s="64">
        <f>1-(1-VLOOKUP($E105,'Annual Mortality Rates'!$B$5:$C$105,2,FALSE))^(1/12)</f>
        <v>1.7349879770289789E-4</v>
      </c>
      <c r="G105" s="74">
        <f>1-(1-IF(D105&gt;=7,2%,VLOOKUP($D105,'Annual Lapse Rates'!$B$4:$C$14,2,FALSE)))^(1/12)</f>
        <v>1.6821425527395739E-3</v>
      </c>
      <c r="H105" s="80">
        <f t="shared" si="22"/>
        <v>2</v>
      </c>
      <c r="I105" s="65">
        <f t="shared" si="23"/>
        <v>3088.8677931853476</v>
      </c>
      <c r="J105" s="66">
        <f t="shared" si="24"/>
        <v>0.53591484838086123</v>
      </c>
      <c r="K105" s="66">
        <f t="shared" si="25"/>
        <v>5.2055918332662703</v>
      </c>
      <c r="M105" s="67">
        <f t="shared" si="33"/>
        <v>70219824.821063921</v>
      </c>
      <c r="N105" s="67">
        <f>IF(AND(MOD(C105,12)=1,D105&lt;15),Assumptions!$H$4*I105,0)</f>
        <v>0</v>
      </c>
      <c r="O105" s="67"/>
      <c r="P105" s="88">
        <f t="shared" si="26"/>
        <v>130302.81055879286</v>
      </c>
      <c r="Q105" s="88">
        <f>(M105+N105-O105)*VLOOKUP(MOD(C105,12)+(MOD(C105,12)=0)*12,Assumptions!$C$22:$D$33,2,FALSE)*(F105+G105)</f>
        <v>814.39256599245539</v>
      </c>
      <c r="R105" s="67">
        <f>IF(AND(MOD(C105,12)=0,D105&lt;15),Assumptions!$C$7*M105,0)</f>
        <v>0</v>
      </c>
      <c r="S105" s="68">
        <f>IF(MOD(C105,12)=0,M105*Assumptions!$D$17,0)</f>
        <v>0</v>
      </c>
      <c r="T105" s="68">
        <f>(M105+N105-O105-P105-Q105-R105+S105)*(D106=Assumptions!$H$9)</f>
        <v>0</v>
      </c>
      <c r="U105" s="67">
        <f>T105+AE105*(1+Assumptions!$D$17)</f>
        <v>17596629.769231427</v>
      </c>
      <c r="V105" s="67">
        <f t="shared" si="27"/>
        <v>70088707.617939129</v>
      </c>
      <c r="W105" s="67"/>
      <c r="X105" s="67">
        <f>IF(AND(MOD(C105,12)=1,D105&lt;15),Assumptions!$D$10*N105+Assumptions!$D$11*(1+Assumptions!$D$16)^(B105-1)*I105,0)</f>
        <v>0</v>
      </c>
      <c r="Y105" s="65">
        <f>Assumptions!$C$13*N105</f>
        <v>0</v>
      </c>
      <c r="Z105" s="65">
        <f>NPV(Assumptions!$D$19,N106:$N$259)</f>
        <v>36252435.308692113</v>
      </c>
      <c r="AA105" s="68">
        <f t="shared" si="28"/>
        <v>27658.199912524229</v>
      </c>
      <c r="AB105" s="96"/>
      <c r="AC105" s="67">
        <f>(AC104+N104-P104-Q104-T104-W104-X104-Y104+AD104)*IF(D105=Assumptions!$H$9,0,1)</f>
        <v>86369427.849906564</v>
      </c>
      <c r="AD105" s="91">
        <f>(AF104+N105-W105-X105-Y105)*Assumptions!$D$19-(P105+Q105)*Assumptions!$D$19/2</f>
        <v>374684.69220028119</v>
      </c>
      <c r="AE105" s="67">
        <f>(AE104+(AD105-O105-R105-Q105-S105))*IF(D105=Assumptions!$H$9,0,1)</f>
        <v>17525229.8136338</v>
      </c>
      <c r="AF105" s="91">
        <f t="shared" si="29"/>
        <v>87586279.231660411</v>
      </c>
      <c r="AG105" s="67">
        <f t="shared" si="30"/>
        <v>1628.7851319870097</v>
      </c>
      <c r="AH105" s="89">
        <f>AG105*Assumptions!$C$18</f>
        <v>488.63553959610289</v>
      </c>
      <c r="AI105" s="67">
        <f t="shared" si="31"/>
        <v>1140.1495923909067</v>
      </c>
      <c r="AK105" s="67">
        <f t="shared" si="32"/>
        <v>-118.73677187830617</v>
      </c>
      <c r="AL105" s="70">
        <f t="shared" si="21"/>
        <v>-1747.5219999999999</v>
      </c>
      <c r="AM105" s="80">
        <f>(O105-W105-X105-Y105-AA105)*Assumptions!$D$19</f>
        <v>-118.73677187830701</v>
      </c>
    </row>
    <row r="106" spans="2:39" x14ac:dyDescent="0.2">
      <c r="B106" s="5">
        <f t="shared" si="17"/>
        <v>99</v>
      </c>
      <c r="C106" s="5">
        <f t="shared" si="18"/>
        <v>99</v>
      </c>
      <c r="D106" s="5">
        <f t="shared" si="19"/>
        <v>8</v>
      </c>
      <c r="E106" s="5">
        <f t="shared" si="20"/>
        <v>54</v>
      </c>
      <c r="F106" s="64">
        <f>1-(1-VLOOKUP($E106,'Annual Mortality Rates'!$B$5:$C$105,2,FALSE))^(1/12)</f>
        <v>1.7349879770289789E-4</v>
      </c>
      <c r="G106" s="74">
        <f>1-(1-IF(D106&gt;=7,2%,VLOOKUP($D106,'Annual Lapse Rates'!$B$4:$C$14,2,FALSE)))^(1/12)</f>
        <v>1.6821425527395739E-3</v>
      </c>
      <c r="H106" s="80">
        <f t="shared" si="22"/>
        <v>3</v>
      </c>
      <c r="I106" s="65">
        <f t="shared" si="23"/>
        <v>3083.1262865037006</v>
      </c>
      <c r="J106" s="66">
        <f t="shared" si="24"/>
        <v>0.53491870387459239</v>
      </c>
      <c r="K106" s="66">
        <f t="shared" si="25"/>
        <v>5.1959159547038549</v>
      </c>
      <c r="M106" s="67">
        <f t="shared" si="33"/>
        <v>70088707.617939129</v>
      </c>
      <c r="N106" s="67">
        <f>IF(AND(MOD(C106,12)=1,D106&lt;15),Assumptions!$H$4*I106,0)</f>
        <v>0</v>
      </c>
      <c r="O106" s="67"/>
      <c r="P106" s="88">
        <f t="shared" si="26"/>
        <v>130059.50405492012</v>
      </c>
      <c r="Q106" s="88">
        <f>(M106+N106-O106)*VLOOKUP(MOD(C106,12)+(MOD(C106,12)=0)*12,Assumptions!$C$22:$D$33,2,FALSE)*(F106+G106)</f>
        <v>1219.3078505148765</v>
      </c>
      <c r="R106" s="67">
        <f>IF(AND(MOD(C106,12)=0,D106&lt;15),Assumptions!$C$7*M106,0)</f>
        <v>0</v>
      </c>
      <c r="S106" s="68">
        <f>IF(MOD(C106,12)=0,M106*Assumptions!$D$17,0)</f>
        <v>0</v>
      </c>
      <c r="T106" s="68">
        <f>(M106+N106-O106-P106-Q106-R106+S106)*(D107=Assumptions!$H$9)</f>
        <v>0</v>
      </c>
      <c r="U106" s="67">
        <f>T106+AE106*(1+Assumptions!$D$17)</f>
        <v>17972662.735380307</v>
      </c>
      <c r="V106" s="67">
        <f t="shared" si="27"/>
        <v>69957428.806033701</v>
      </c>
      <c r="W106" s="67"/>
      <c r="X106" s="67">
        <f>IF(AND(MOD(C106,12)=1,D106&lt;15),Assumptions!$D$10*N106+Assumptions!$D$11*(1+Assumptions!$D$16)^(B106-1)*I106,0)</f>
        <v>0</v>
      </c>
      <c r="Y106" s="65">
        <f>Assumptions!$C$13*N106</f>
        <v>0</v>
      </c>
      <c r="Z106" s="65">
        <f>NPV(Assumptions!$D$19,N107:$N$259)</f>
        <v>36408067.170306213</v>
      </c>
      <c r="AA106" s="68">
        <f t="shared" si="28"/>
        <v>27658.199912524229</v>
      </c>
      <c r="AB106" s="96"/>
      <c r="AC106" s="67">
        <f>(AC105+N105-P105-Q105-T105-W105-X105-Y105+AD105)*IF(D106=Assumptions!$H$9,0,1)</f>
        <v>86612995.338982061</v>
      </c>
      <c r="AD106" s="91">
        <f>(AF105+N106-W106-X106-Y106)*Assumptions!$D$19-(P106+Q106)*Assumptions!$D$19/2</f>
        <v>375726.48540018831</v>
      </c>
      <c r="AE106" s="67">
        <f>(AE105+(AD106-O106-R106-Q106-S106))*IF(D106=Assumptions!$H$9,0,1)</f>
        <v>17899736.991183475</v>
      </c>
      <c r="AF106" s="91">
        <f t="shared" si="29"/>
        <v>87829507.597304657</v>
      </c>
      <c r="AG106" s="67">
        <f t="shared" si="30"/>
        <v>2438.6157010218594</v>
      </c>
      <c r="AH106" s="89">
        <f>AG106*Assumptions!$C$18</f>
        <v>731.58471030655778</v>
      </c>
      <c r="AI106" s="67">
        <f t="shared" si="31"/>
        <v>1707.0309907153016</v>
      </c>
      <c r="AK106" s="67">
        <f t="shared" si="32"/>
        <v>-118.73677187830617</v>
      </c>
      <c r="AL106" s="70">
        <f t="shared" si="21"/>
        <v>-2557.3519999999999</v>
      </c>
      <c r="AM106" s="80">
        <f>(O106-W106-X106-Y106-AA106)*Assumptions!$D$19</f>
        <v>-118.73677187830701</v>
      </c>
    </row>
    <row r="107" spans="2:39" x14ac:dyDescent="0.2">
      <c r="B107" s="5">
        <f t="shared" si="17"/>
        <v>100</v>
      </c>
      <c r="C107" s="5">
        <f t="shared" si="18"/>
        <v>100</v>
      </c>
      <c r="D107" s="5">
        <f t="shared" si="19"/>
        <v>8</v>
      </c>
      <c r="E107" s="5">
        <f t="shared" si="20"/>
        <v>54</v>
      </c>
      <c r="F107" s="64">
        <f>1-(1-VLOOKUP($E107,'Annual Mortality Rates'!$B$5:$C$105,2,FALSE))^(1/12)</f>
        <v>1.7349879770289789E-4</v>
      </c>
      <c r="G107" s="74">
        <f>1-(1-IF(D107&gt;=7,2%,VLOOKUP($D107,'Annual Lapse Rates'!$B$4:$C$14,2,FALSE)))^(1/12)</f>
        <v>1.6821425527395739E-3</v>
      </c>
      <c r="H107" s="80">
        <f t="shared" si="22"/>
        <v>4</v>
      </c>
      <c r="I107" s="65">
        <f t="shared" si="23"/>
        <v>3077.3954518451224</v>
      </c>
      <c r="J107" s="66">
        <f t="shared" si="24"/>
        <v>0.5339244109514949</v>
      </c>
      <c r="K107" s="66">
        <f t="shared" si="25"/>
        <v>5.186257921997818</v>
      </c>
      <c r="M107" s="67">
        <f t="shared" si="33"/>
        <v>69957428.806033701</v>
      </c>
      <c r="N107" s="67">
        <f>IF(AND(MOD(C107,12)=1,D107&lt;15),Assumptions!$H$4*I107,0)</f>
        <v>0</v>
      </c>
      <c r="O107" s="67"/>
      <c r="P107" s="88">
        <f t="shared" si="26"/>
        <v>129815.89766311145</v>
      </c>
      <c r="Q107" s="88">
        <f>(M107+N107-O107)*VLOOKUP(MOD(C107,12)+(MOD(C107,12)=0)*12,Assumptions!$C$22:$D$33,2,FALSE)*(F107+G107)</f>
        <v>1622.6987207888933</v>
      </c>
      <c r="R107" s="67">
        <f>IF(AND(MOD(C107,12)=0,D107&lt;15),Assumptions!$C$7*M107,0)</f>
        <v>0</v>
      </c>
      <c r="S107" s="68">
        <f>IF(MOD(C107,12)=0,M107*Assumptions!$D$17,0)</f>
        <v>0</v>
      </c>
      <c r="T107" s="68">
        <f>(M107+N107-O107-P107-Q107-R107+S107)*(D108=Assumptions!$H$9)</f>
        <v>0</v>
      </c>
      <c r="U107" s="67">
        <f>T107+AE107*(1+Assumptions!$D$17)</f>
        <v>18349338.757365771</v>
      </c>
      <c r="V107" s="67">
        <f t="shared" si="27"/>
        <v>69825990.209649801</v>
      </c>
      <c r="W107" s="67"/>
      <c r="X107" s="67">
        <f>IF(AND(MOD(C107,12)=1,D107&lt;15),Assumptions!$D$10*N107+Assumptions!$D$11*(1+Assumptions!$D$16)^(B107-1)*I107,0)</f>
        <v>0</v>
      </c>
      <c r="Y107" s="65">
        <f>Assumptions!$C$13*N107</f>
        <v>0</v>
      </c>
      <c r="Z107" s="65">
        <f>NPV(Assumptions!$D$19,N108:$N$259)</f>
        <v>36564367.160175532</v>
      </c>
      <c r="AA107" s="68">
        <f t="shared" si="28"/>
        <v>27658.199912524229</v>
      </c>
      <c r="AB107" s="96"/>
      <c r="AC107" s="67">
        <f>(AC106+N106-P106-Q106-T106-W106-X106-Y106+AD106)*IF(D107=Assumptions!$H$9,0,1)</f>
        <v>86857443.012476817</v>
      </c>
      <c r="AD107" s="91">
        <f>(AF106+N107-W107-X107-Y107)*Assumptions!$D$19-(P107+Q107)*Assumptions!$D$19/2</f>
        <v>376770.32284841564</v>
      </c>
      <c r="AE107" s="67">
        <f>(AE106+(AD107-O107-R107-Q107-S107))*IF(D107=Assumptions!$H$9,0,1)</f>
        <v>18274884.615311101</v>
      </c>
      <c r="AF107" s="91">
        <f t="shared" si="29"/>
        <v>88073216.625048384</v>
      </c>
      <c r="AG107" s="67">
        <f t="shared" si="30"/>
        <v>3245.3974415772245</v>
      </c>
      <c r="AH107" s="89">
        <f>AG107*Assumptions!$C$18</f>
        <v>973.61923247316736</v>
      </c>
      <c r="AI107" s="67">
        <f t="shared" si="31"/>
        <v>2271.7782091040572</v>
      </c>
      <c r="AK107" s="67">
        <f t="shared" si="32"/>
        <v>-118.73677187830617</v>
      </c>
      <c r="AL107" s="70">
        <f t="shared" si="21"/>
        <v>-3364.134</v>
      </c>
      <c r="AM107" s="80">
        <f>(O107-W107-X107-Y107-AA107)*Assumptions!$D$19</f>
        <v>-118.73677187830701</v>
      </c>
    </row>
    <row r="108" spans="2:39" x14ac:dyDescent="0.2">
      <c r="B108" s="5">
        <f t="shared" si="17"/>
        <v>101</v>
      </c>
      <c r="C108" s="5">
        <f t="shared" si="18"/>
        <v>101</v>
      </c>
      <c r="D108" s="5">
        <f t="shared" si="19"/>
        <v>8</v>
      </c>
      <c r="E108" s="5">
        <f t="shared" si="20"/>
        <v>54</v>
      </c>
      <c r="F108" s="64">
        <f>1-(1-VLOOKUP($E108,'Annual Mortality Rates'!$B$5:$C$105,2,FALSE))^(1/12)</f>
        <v>1.7349879770289789E-4</v>
      </c>
      <c r="G108" s="74">
        <f>1-(1-IF(D108&gt;=7,2%,VLOOKUP($D108,'Annual Lapse Rates'!$B$4:$C$14,2,FALSE)))^(1/12)</f>
        <v>1.6821425527395739E-3</v>
      </c>
      <c r="H108" s="80">
        <f t="shared" si="22"/>
        <v>5</v>
      </c>
      <c r="I108" s="65">
        <f t="shared" si="23"/>
        <v>3071.6752695121731</v>
      </c>
      <c r="J108" s="66">
        <f t="shared" si="24"/>
        <v>0.53293196619408689</v>
      </c>
      <c r="K108" s="66">
        <f t="shared" si="25"/>
        <v>5.1766178411559087</v>
      </c>
      <c r="M108" s="67">
        <f t="shared" si="33"/>
        <v>69825990.209649801</v>
      </c>
      <c r="N108" s="67">
        <f>IF(AND(MOD(C108,12)=1,D108&lt;15),Assumptions!$H$4*I108,0)</f>
        <v>0</v>
      </c>
      <c r="O108" s="67"/>
      <c r="P108" s="88">
        <f t="shared" si="26"/>
        <v>129571.99476861737</v>
      </c>
      <c r="Q108" s="88">
        <f>(M108+N108-O108)*VLOOKUP(MOD(C108,12)+(MOD(C108,12)=0)*12,Assumptions!$C$22:$D$33,2,FALSE)*(F108+G108)</f>
        <v>2024.5624182596464</v>
      </c>
      <c r="R108" s="67">
        <f>IF(AND(MOD(C108,12)=0,D108&lt;15),Assumptions!$C$7*M108,0)</f>
        <v>0</v>
      </c>
      <c r="S108" s="68">
        <f>IF(MOD(C108,12)=0,M108*Assumptions!$D$17,0)</f>
        <v>0</v>
      </c>
      <c r="T108" s="68">
        <f>(M108+N108-O108-P108-Q108-R108+S108)*(D109=Assumptions!$H$9)</f>
        <v>0</v>
      </c>
      <c r="U108" s="67">
        <f>T108+AE108*(1+Assumptions!$D$17)</f>
        <v>18726661.444404352</v>
      </c>
      <c r="V108" s="67">
        <f t="shared" si="27"/>
        <v>69694393.652462929</v>
      </c>
      <c r="W108" s="67"/>
      <c r="X108" s="67">
        <f>IF(AND(MOD(C108,12)=1,D108&lt;15),Assumptions!$D$10*N108+Assumptions!$D$11*(1+Assumptions!$D$16)^(B108-1)*I108,0)</f>
        <v>0</v>
      </c>
      <c r="Y108" s="65">
        <f>Assumptions!$C$13*N108</f>
        <v>0</v>
      </c>
      <c r="Z108" s="65">
        <f>NPV(Assumptions!$D$19,N109:$N$259)</f>
        <v>36721338.146577522</v>
      </c>
      <c r="AA108" s="68">
        <f t="shared" si="28"/>
        <v>27658.199912524229</v>
      </c>
      <c r="AB108" s="96"/>
      <c r="AC108" s="67">
        <f>(AC107+N107-P107-Q107-T107-W107-X107-Y107+AD107)*IF(D108=Assumptions!$H$9,0,1)</f>
        <v>87102774.738941327</v>
      </c>
      <c r="AD108" s="91">
        <f>(AF107+N108-W108-X108-Y108)*Assumptions!$D$19-(P108+Q108)*Assumptions!$D$19/2</f>
        <v>377816.22769563878</v>
      </c>
      <c r="AE108" s="67">
        <f>(AE107+(AD108-O108-R108-Q108-S108))*IF(D108=Assumptions!$H$9,0,1)</f>
        <v>18650676.280588482</v>
      </c>
      <c r="AF108" s="91">
        <f t="shared" si="29"/>
        <v>88317411.733138889</v>
      </c>
      <c r="AG108" s="67">
        <f t="shared" si="30"/>
        <v>4049.124836516392</v>
      </c>
      <c r="AH108" s="89">
        <f>AG108*Assumptions!$C$18</f>
        <v>1214.7374509549174</v>
      </c>
      <c r="AI108" s="67">
        <f t="shared" si="31"/>
        <v>2834.3873855614747</v>
      </c>
      <c r="AK108" s="67">
        <f t="shared" si="32"/>
        <v>-118.73677187830617</v>
      </c>
      <c r="AL108" s="70">
        <f t="shared" si="21"/>
        <v>-4167.8620000000001</v>
      </c>
      <c r="AM108" s="80">
        <f>(O108-W108-X108-Y108-AA108)*Assumptions!$D$19</f>
        <v>-118.73677187830701</v>
      </c>
    </row>
    <row r="109" spans="2:39" x14ac:dyDescent="0.2">
      <c r="B109" s="5">
        <f t="shared" si="17"/>
        <v>102</v>
      </c>
      <c r="C109" s="5">
        <f t="shared" si="18"/>
        <v>102</v>
      </c>
      <c r="D109" s="5">
        <f t="shared" si="19"/>
        <v>8</v>
      </c>
      <c r="E109" s="5">
        <f t="shared" si="20"/>
        <v>54</v>
      </c>
      <c r="F109" s="64">
        <f>1-(1-VLOOKUP($E109,'Annual Mortality Rates'!$B$5:$C$105,2,FALSE))^(1/12)</f>
        <v>1.7349879770289789E-4</v>
      </c>
      <c r="G109" s="74">
        <f>1-(1-IF(D109&gt;=7,2%,VLOOKUP($D109,'Annual Lapse Rates'!$B$4:$C$14,2,FALSE)))^(1/12)</f>
        <v>1.6821425527395739E-3</v>
      </c>
      <c r="H109" s="80">
        <f t="shared" si="22"/>
        <v>6</v>
      </c>
      <c r="I109" s="65">
        <f t="shared" si="23"/>
        <v>3065.9657197048232</v>
      </c>
      <c r="J109" s="66">
        <f t="shared" si="24"/>
        <v>0.53194136616708687</v>
      </c>
      <c r="K109" s="66">
        <f t="shared" si="25"/>
        <v>5.1669956790442253</v>
      </c>
      <c r="M109" s="67">
        <f t="shared" si="33"/>
        <v>69694393.652462929</v>
      </c>
      <c r="N109" s="67">
        <f>IF(AND(MOD(C109,12)=1,D109&lt;15),Assumptions!$H$4*I109,0)</f>
        <v>0</v>
      </c>
      <c r="O109" s="67"/>
      <c r="P109" s="88">
        <f t="shared" si="26"/>
        <v>129327.79875552554</v>
      </c>
      <c r="Q109" s="88">
        <f>(M109+N109-O109)*VLOOKUP(MOD(C109,12)+(MOD(C109,12)=0)*12,Assumptions!$C$22:$D$33,2,FALSE)*(F109+G109)</f>
        <v>2424.8962266661042</v>
      </c>
      <c r="R109" s="67">
        <f>IF(AND(MOD(C109,12)=0,D109&lt;15),Assumptions!$C$7*M109,0)</f>
        <v>0</v>
      </c>
      <c r="S109" s="68">
        <f>IF(MOD(C109,12)=0,M109*Assumptions!$D$17,0)</f>
        <v>0</v>
      </c>
      <c r="T109" s="68">
        <f>(M109+N109-O109-P109-Q109-R109+S109)*(D110=Assumptions!$H$9)</f>
        <v>0</v>
      </c>
      <c r="U109" s="67">
        <f>T109+AE109*(1+Assumptions!$D$17)</f>
        <v>19104634.431793798</v>
      </c>
      <c r="V109" s="67">
        <f t="shared" si="27"/>
        <v>69562640.957480744</v>
      </c>
      <c r="W109" s="67"/>
      <c r="X109" s="67">
        <f>IF(AND(MOD(C109,12)=1,D109&lt;15),Assumptions!$D$10*N109+Assumptions!$D$11*(1+Assumptions!$D$16)^(B109-1)*I109,0)</f>
        <v>0</v>
      </c>
      <c r="Y109" s="65">
        <f>Assumptions!$C$13*N109</f>
        <v>0</v>
      </c>
      <c r="Z109" s="65">
        <f>NPV(Assumptions!$D$19,N110:$N$259)</f>
        <v>36878983.010103211</v>
      </c>
      <c r="AA109" s="68">
        <f t="shared" si="28"/>
        <v>27658.199912524229</v>
      </c>
      <c r="AB109" s="96"/>
      <c r="AC109" s="67">
        <f>(AC108+N108-P108-Q108-T108-W108-X108-Y108+AD108)*IF(D109=Assumptions!$H$9,0,1)</f>
        <v>87348994.409450099</v>
      </c>
      <c r="AD109" s="91">
        <f>(AF108+N109-W109-X109-Y109)*Assumptions!$D$19-(P109+Q109)*Assumptions!$D$19/2</f>
        <v>378864.22320098343</v>
      </c>
      <c r="AE109" s="67">
        <f>(AE108+(AD109-O109-R109-Q109-S109))*IF(D109=Assumptions!$H$9,0,1)</f>
        <v>19027115.607562799</v>
      </c>
      <c r="AF109" s="91">
        <f t="shared" si="29"/>
        <v>88562098.365131021</v>
      </c>
      <c r="AG109" s="67">
        <f t="shared" si="30"/>
        <v>4849.7924533264013</v>
      </c>
      <c r="AH109" s="89">
        <f>AG109*Assumptions!$C$18</f>
        <v>1454.9377359979203</v>
      </c>
      <c r="AI109" s="67">
        <f t="shared" si="31"/>
        <v>3394.854717328481</v>
      </c>
      <c r="AK109" s="67">
        <f t="shared" si="32"/>
        <v>-118.73677187830617</v>
      </c>
      <c r="AL109" s="70">
        <f t="shared" si="21"/>
        <v>-4968.5290000000005</v>
      </c>
      <c r="AM109" s="80">
        <f>(O109-W109-X109-Y109-AA109)*Assumptions!$D$19</f>
        <v>-118.73677187830701</v>
      </c>
    </row>
    <row r="110" spans="2:39" x14ac:dyDescent="0.2">
      <c r="B110" s="5">
        <f t="shared" si="17"/>
        <v>103</v>
      </c>
      <c r="C110" s="5">
        <f t="shared" si="18"/>
        <v>103</v>
      </c>
      <c r="D110" s="5">
        <f t="shared" si="19"/>
        <v>8</v>
      </c>
      <c r="E110" s="5">
        <f t="shared" si="20"/>
        <v>54</v>
      </c>
      <c r="F110" s="64">
        <f>1-(1-VLOOKUP($E110,'Annual Mortality Rates'!$B$5:$C$105,2,FALSE))^(1/12)</f>
        <v>1.7349879770289789E-4</v>
      </c>
      <c r="G110" s="74">
        <f>1-(1-IF(D110&gt;=7,2%,VLOOKUP($D110,'Annual Lapse Rates'!$B$4:$C$14,2,FALSE)))^(1/12)</f>
        <v>1.6821425527395739E-3</v>
      </c>
      <c r="H110" s="80">
        <f t="shared" si="22"/>
        <v>7</v>
      </c>
      <c r="I110" s="65">
        <f t="shared" si="23"/>
        <v>3060.2667826596116</v>
      </c>
      <c r="J110" s="66">
        <f t="shared" si="24"/>
        <v>0.53095260744155814</v>
      </c>
      <c r="K110" s="66">
        <f t="shared" si="25"/>
        <v>5.1573914023562963</v>
      </c>
      <c r="M110" s="67">
        <f t="shared" si="33"/>
        <v>69562640.957480744</v>
      </c>
      <c r="N110" s="67">
        <f>IF(AND(MOD(C110,12)=1,D110&lt;15),Assumptions!$H$4*I110,0)</f>
        <v>0</v>
      </c>
      <c r="O110" s="67"/>
      <c r="P110" s="88">
        <f t="shared" si="26"/>
        <v>129083.31300668437</v>
      </c>
      <c r="Q110" s="88">
        <f>(M110+N110-O110)*VLOOKUP(MOD(C110,12)+(MOD(C110,12)=0)*12,Assumptions!$C$22:$D$33,2,FALSE)*(F110+G110)</f>
        <v>2823.6974720212211</v>
      </c>
      <c r="R110" s="67">
        <f>IF(AND(MOD(C110,12)=0,D110&lt;15),Assumptions!$C$7*M110,0)</f>
        <v>0</v>
      </c>
      <c r="S110" s="68">
        <f>IF(MOD(C110,12)=0,M110*Assumptions!$D$17,0)</f>
        <v>0</v>
      </c>
      <c r="T110" s="68">
        <f>(M110+N110-O110-P110-Q110-R110+S110)*(D111=Assumptions!$H$9)</f>
        <v>0</v>
      </c>
      <c r="U110" s="67">
        <f>T110+AE110*(1+Assumptions!$D$17)</f>
        <v>19483261.380979612</v>
      </c>
      <c r="V110" s="67">
        <f t="shared" si="27"/>
        <v>69430733.947002038</v>
      </c>
      <c r="W110" s="67"/>
      <c r="X110" s="67">
        <f>IF(AND(MOD(C110,12)=1,D110&lt;15),Assumptions!$D$10*N110+Assumptions!$D$11*(1+Assumptions!$D$16)^(B110-1)*I110,0)</f>
        <v>0</v>
      </c>
      <c r="Y110" s="65">
        <f>Assumptions!$C$13*N110</f>
        <v>0</v>
      </c>
      <c r="Z110" s="65">
        <f>NPV(Assumptions!$D$19,N111:$N$259)</f>
        <v>37037304.643710017</v>
      </c>
      <c r="AA110" s="68">
        <f t="shared" si="28"/>
        <v>27658.199912524229</v>
      </c>
      <c r="AB110" s="96"/>
      <c r="AC110" s="67">
        <f>(AC109+N109-P109-Q109-T109-W109-X109-Y109+AD109)*IF(D110=Assumptions!$H$9,0,1)</f>
        <v>87596105.93766889</v>
      </c>
      <c r="AD110" s="91">
        <f>(AF109+N110-W110-X110-Y110)*Assumptions!$D$19-(P110+Q110)*Assumptions!$D$19/2</f>
        <v>379914.33273213252</v>
      </c>
      <c r="AE110" s="67">
        <f>(AE109+(AD110-O110-R110-Q110-S110))*IF(D110=Assumptions!$H$9,0,1)</f>
        <v>19404206.242822912</v>
      </c>
      <c r="AF110" s="91">
        <f t="shared" si="29"/>
        <v>88807281.989912435</v>
      </c>
      <c r="AG110" s="67">
        <f t="shared" si="30"/>
        <v>5647.3949440332945</v>
      </c>
      <c r="AH110" s="89">
        <f>AG110*Assumptions!$C$18</f>
        <v>1694.2184832099883</v>
      </c>
      <c r="AI110" s="67">
        <f t="shared" si="31"/>
        <v>3953.1764608233061</v>
      </c>
      <c r="AK110" s="67">
        <f t="shared" si="32"/>
        <v>-118.73677187830617</v>
      </c>
      <c r="AL110" s="70">
        <f t="shared" si="21"/>
        <v>-5766.1319999999996</v>
      </c>
      <c r="AM110" s="80">
        <f>(O110-W110-X110-Y110-AA110)*Assumptions!$D$19</f>
        <v>-118.73677187830701</v>
      </c>
    </row>
    <row r="111" spans="2:39" x14ac:dyDescent="0.2">
      <c r="B111" s="5">
        <f t="shared" si="17"/>
        <v>104</v>
      </c>
      <c r="C111" s="5">
        <f t="shared" si="18"/>
        <v>104</v>
      </c>
      <c r="D111" s="5">
        <f t="shared" si="19"/>
        <v>8</v>
      </c>
      <c r="E111" s="5">
        <f t="shared" si="20"/>
        <v>54</v>
      </c>
      <c r="F111" s="64">
        <f>1-(1-VLOOKUP($E111,'Annual Mortality Rates'!$B$5:$C$105,2,FALSE))^(1/12)</f>
        <v>1.7349879770289789E-4</v>
      </c>
      <c r="G111" s="74">
        <f>1-(1-IF(D111&gt;=7,2%,VLOOKUP($D111,'Annual Lapse Rates'!$B$4:$C$14,2,FALSE)))^(1/12)</f>
        <v>1.6821425527395739E-3</v>
      </c>
      <c r="H111" s="80">
        <f t="shared" si="22"/>
        <v>8</v>
      </c>
      <c r="I111" s="65">
        <f t="shared" si="23"/>
        <v>3054.578438649814</v>
      </c>
      <c r="J111" s="66">
        <f t="shared" si="24"/>
        <v>0.52996568659493781</v>
      </c>
      <c r="K111" s="66">
        <f t="shared" si="25"/>
        <v>5.1478049778471622</v>
      </c>
      <c r="M111" s="67">
        <f t="shared" si="33"/>
        <v>69430733.947002038</v>
      </c>
      <c r="N111" s="67">
        <f>IF(AND(MOD(C111,12)=1,D111&lt;15),Assumptions!$H$4*I111,0)</f>
        <v>0</v>
      </c>
      <c r="O111" s="67"/>
      <c r="P111" s="88">
        <f t="shared" si="26"/>
        <v>128838.54090362684</v>
      </c>
      <c r="Q111" s="88">
        <f>(M111+N111-O111)*VLOOKUP(MOD(C111,12)+(MOD(C111,12)=0)*12,Assumptions!$C$22:$D$33,2,FALSE)*(F111+G111)</f>
        <v>3220.9635225906709</v>
      </c>
      <c r="R111" s="67">
        <f>IF(AND(MOD(C111,12)=0,D111&lt;15),Assumptions!$C$7*M111,0)</f>
        <v>0</v>
      </c>
      <c r="S111" s="68">
        <f>IF(MOD(C111,12)=0,M111*Assumptions!$D$17,0)</f>
        <v>0</v>
      </c>
      <c r="T111" s="68">
        <f>(M111+N111-O111-P111-Q111-R111+S111)*(D112=Assumptions!$H$9)</f>
        <v>0</v>
      </c>
      <c r="U111" s="67">
        <f>T111+AE111*(1+Assumptions!$D$17)</f>
        <v>19862545.979621764</v>
      </c>
      <c r="V111" s="67">
        <f t="shared" si="27"/>
        <v>69298674.442575827</v>
      </c>
      <c r="W111" s="67"/>
      <c r="X111" s="67">
        <f>IF(AND(MOD(C111,12)=1,D111&lt;15),Assumptions!$D$10*N111+Assumptions!$D$11*(1+Assumptions!$D$16)^(B111-1)*I111,0)</f>
        <v>0</v>
      </c>
      <c r="Y111" s="65">
        <f>Assumptions!$C$13*N111</f>
        <v>0</v>
      </c>
      <c r="Z111" s="65">
        <f>NPV(Assumptions!$D$19,N112:$N$259)</f>
        <v>37196305.952774845</v>
      </c>
      <c r="AA111" s="68">
        <f t="shared" si="28"/>
        <v>27658.199912524229</v>
      </c>
      <c r="AB111" s="96"/>
      <c r="AC111" s="67">
        <f>(AC110+N110-P110-Q110-T110-W110-X110-Y110+AD110)*IF(D111=Assumptions!$H$9,0,1)</f>
        <v>87844113.259922311</v>
      </c>
      <c r="AD111" s="91">
        <f>(AF110+N111-W111-X111-Y111)*Assumptions!$D$19-(P111+Q111)*Assumptions!$D$19/2</f>
        <v>380966.57976543484</v>
      </c>
      <c r="AE111" s="67">
        <f>(AE110+(AD111-O111-R111-Q111-S111))*IF(D111=Assumptions!$H$9,0,1)</f>
        <v>19781951.859065756</v>
      </c>
      <c r="AF111" s="91">
        <f t="shared" si="29"/>
        <v>89052968.101729065</v>
      </c>
      <c r="AG111" s="67">
        <f t="shared" si="30"/>
        <v>6441.9270451782504</v>
      </c>
      <c r="AH111" s="89">
        <f>AG111*Assumptions!$C$18</f>
        <v>1932.5781135534751</v>
      </c>
      <c r="AI111" s="67">
        <f t="shared" si="31"/>
        <v>4509.3489316247751</v>
      </c>
      <c r="AK111" s="67">
        <f t="shared" si="32"/>
        <v>-118.73677187830617</v>
      </c>
      <c r="AL111" s="70">
        <f t="shared" si="21"/>
        <v>-6560.6639999999998</v>
      </c>
      <c r="AM111" s="80">
        <f>(O111-W111-X111-Y111-AA111)*Assumptions!$D$19</f>
        <v>-118.73677187830701</v>
      </c>
    </row>
    <row r="112" spans="2:39" x14ac:dyDescent="0.2">
      <c r="B112" s="5">
        <f t="shared" si="17"/>
        <v>105</v>
      </c>
      <c r="C112" s="5">
        <f t="shared" si="18"/>
        <v>105</v>
      </c>
      <c r="D112" s="5">
        <f t="shared" si="19"/>
        <v>8</v>
      </c>
      <c r="E112" s="5">
        <f t="shared" si="20"/>
        <v>54</v>
      </c>
      <c r="F112" s="64">
        <f>1-(1-VLOOKUP($E112,'Annual Mortality Rates'!$B$5:$C$105,2,FALSE))^(1/12)</f>
        <v>1.7349879770289789E-4</v>
      </c>
      <c r="G112" s="74">
        <f>1-(1-IF(D112&gt;=7,2%,VLOOKUP($D112,'Annual Lapse Rates'!$B$4:$C$14,2,FALSE)))^(1/12)</f>
        <v>1.6821425527395739E-3</v>
      </c>
      <c r="H112" s="80">
        <f t="shared" si="22"/>
        <v>9</v>
      </c>
      <c r="I112" s="65">
        <f t="shared" si="23"/>
        <v>3048.9006679853719</v>
      </c>
      <c r="J112" s="66">
        <f t="shared" si="24"/>
        <v>0.52898060021102433</v>
      </c>
      <c r="K112" s="66">
        <f t="shared" si="25"/>
        <v>5.1382363723336599</v>
      </c>
      <c r="M112" s="67">
        <f t="shared" si="33"/>
        <v>69298674.442575827</v>
      </c>
      <c r="N112" s="67">
        <f>IF(AND(MOD(C112,12)=1,D112&lt;15),Assumptions!$H$4*I112,0)</f>
        <v>0</v>
      </c>
      <c r="O112" s="67"/>
      <c r="P112" s="88">
        <f t="shared" si="26"/>
        <v>128593.48582649461</v>
      </c>
      <c r="Q112" s="88">
        <f>(M112+N112-O112)*VLOOKUP(MOD(C112,12)+(MOD(C112,12)=0)*12,Assumptions!$C$22:$D$33,2,FALSE)*(F112+G112)</f>
        <v>3616.6917888701614</v>
      </c>
      <c r="R112" s="67">
        <f>IF(AND(MOD(C112,12)=0,D112&lt;15),Assumptions!$C$7*M112,0)</f>
        <v>0</v>
      </c>
      <c r="S112" s="68">
        <f>IF(MOD(C112,12)=0,M112*Assumptions!$D$17,0)</f>
        <v>0</v>
      </c>
      <c r="T112" s="68">
        <f>(M112+N112-O112-P112-Q112-R112+S112)*(D113=Assumptions!$H$9)</f>
        <v>0</v>
      </c>
      <c r="U112" s="67">
        <f>T112+AE112*(1+Assumptions!$D$17)</f>
        <v>20242491.94166147</v>
      </c>
      <c r="V112" s="67">
        <f t="shared" si="27"/>
        <v>69166464.264960468</v>
      </c>
      <c r="W112" s="67"/>
      <c r="X112" s="67">
        <f>IF(AND(MOD(C112,12)=1,D112&lt;15),Assumptions!$D$10*N112+Assumptions!$D$11*(1+Assumptions!$D$16)^(B112-1)*I112,0)</f>
        <v>0</v>
      </c>
      <c r="Y112" s="65">
        <f>Assumptions!$C$13*N112</f>
        <v>0</v>
      </c>
      <c r="Z112" s="65">
        <f>NPV(Assumptions!$D$19,N113:$N$259)</f>
        <v>37355989.855147332</v>
      </c>
      <c r="AA112" s="68">
        <f t="shared" si="28"/>
        <v>27658.199912524229</v>
      </c>
      <c r="AB112" s="96"/>
      <c r="AC112" s="67">
        <f>(AC111+N111-P111-Q111-T111-W111-X111-Y111+AD111)*IF(D112=Assumptions!$H$9,0,1)</f>
        <v>88093020.335261539</v>
      </c>
      <c r="AD112" s="91">
        <f>(AF111+N112-W112-X112-Y112)*Assumptions!$D$19-(P112+Q112)*Assumptions!$D$19/2</f>
        <v>382020.98788601503</v>
      </c>
      <c r="AE112" s="67">
        <f>(AE111+(AD112-O112-R112-Q112-S112))*IF(D112=Assumptions!$H$9,0,1)</f>
        <v>20160356.155162901</v>
      </c>
      <c r="AF112" s="91">
        <f t="shared" si="29"/>
        <v>89299162.22021085</v>
      </c>
      <c r="AG112" s="67">
        <f t="shared" si="30"/>
        <v>7233.3835777353379</v>
      </c>
      <c r="AH112" s="89">
        <f>AG112*Assumptions!$C$18</f>
        <v>2170.0150733206015</v>
      </c>
      <c r="AI112" s="67">
        <f t="shared" si="31"/>
        <v>5063.3685044147369</v>
      </c>
      <c r="AK112" s="67">
        <f t="shared" si="32"/>
        <v>-118.73677187830617</v>
      </c>
      <c r="AL112" s="70">
        <f t="shared" si="21"/>
        <v>-7352.12</v>
      </c>
      <c r="AM112" s="80">
        <f>(O112-W112-X112-Y112-AA112)*Assumptions!$D$19</f>
        <v>-118.73677187830701</v>
      </c>
    </row>
    <row r="113" spans="2:39" x14ac:dyDescent="0.2">
      <c r="B113" s="5">
        <f t="shared" si="17"/>
        <v>106</v>
      </c>
      <c r="C113" s="5">
        <f t="shared" si="18"/>
        <v>106</v>
      </c>
      <c r="D113" s="5">
        <f t="shared" si="19"/>
        <v>8</v>
      </c>
      <c r="E113" s="5">
        <f t="shared" si="20"/>
        <v>54</v>
      </c>
      <c r="F113" s="64">
        <f>1-(1-VLOOKUP($E113,'Annual Mortality Rates'!$B$5:$C$105,2,FALSE))^(1/12)</f>
        <v>1.7349879770289789E-4</v>
      </c>
      <c r="G113" s="74">
        <f>1-(1-IF(D113&gt;=7,2%,VLOOKUP($D113,'Annual Lapse Rates'!$B$4:$C$14,2,FALSE)))^(1/12)</f>
        <v>1.6821425527395739E-3</v>
      </c>
      <c r="H113" s="80">
        <f t="shared" si="22"/>
        <v>10</v>
      </c>
      <c r="I113" s="65">
        <f t="shared" si="23"/>
        <v>3043.2334510128271</v>
      </c>
      <c r="J113" s="66">
        <f t="shared" si="24"/>
        <v>0.5279973448799663</v>
      </c>
      <c r="K113" s="66">
        <f t="shared" si="25"/>
        <v>5.1286855526943054</v>
      </c>
      <c r="M113" s="67">
        <f t="shared" si="33"/>
        <v>69166464.264960468</v>
      </c>
      <c r="N113" s="67">
        <f>IF(AND(MOD(C113,12)=1,D113&lt;15),Assumptions!$H$4*I113,0)</f>
        <v>0</v>
      </c>
      <c r="O113" s="67"/>
      <c r="P113" s="88">
        <f t="shared" si="26"/>
        <v>128348.15115396222</v>
      </c>
      <c r="Q113" s="88">
        <f>(M113+N113-O113)*VLOOKUP(MOD(C113,12)+(MOD(C113,12)=0)*12,Assumptions!$C$22:$D$33,2,FALSE)*(F113+G113)</f>
        <v>4010.8797235613192</v>
      </c>
      <c r="R113" s="67">
        <f>IF(AND(MOD(C113,12)=0,D113&lt;15),Assumptions!$C$7*M113,0)</f>
        <v>0</v>
      </c>
      <c r="S113" s="68">
        <f>IF(MOD(C113,12)=0,M113*Assumptions!$D$17,0)</f>
        <v>0</v>
      </c>
      <c r="T113" s="68">
        <f>(M113+N113-O113-P113-Q113-R113+S113)*(D114=Assumptions!$H$9)</f>
        <v>0</v>
      </c>
      <c r="U113" s="67">
        <f>T113+AE113*(1+Assumptions!$D$17)</f>
        <v>20623103.007388189</v>
      </c>
      <c r="V113" s="67">
        <f t="shared" si="27"/>
        <v>69034105.234082937</v>
      </c>
      <c r="W113" s="67"/>
      <c r="X113" s="67">
        <f>IF(AND(MOD(C113,12)=1,D113&lt;15),Assumptions!$D$10*N113+Assumptions!$D$11*(1+Assumptions!$D$16)^(B113-1)*I113,0)</f>
        <v>0</v>
      </c>
      <c r="Y113" s="65">
        <f>Assumptions!$C$13*N113</f>
        <v>0</v>
      </c>
      <c r="Z113" s="65">
        <f>NPV(Assumptions!$D$19,N114:$N$259)</f>
        <v>37516359.281203516</v>
      </c>
      <c r="AA113" s="68">
        <f t="shared" si="28"/>
        <v>27658.199912524229</v>
      </c>
      <c r="AB113" s="96"/>
      <c r="AC113" s="67">
        <f>(AC112+N112-P112-Q112-T112-W112-X112-Y112+AD112)*IF(D113=Assumptions!$H$9,0,1)</f>
        <v>88342831.145532191</v>
      </c>
      <c r="AD113" s="91">
        <f>(AF112+N113-W113-X113-Y113)*Assumptions!$D$19-(P113+Q113)*Assumptions!$D$19/2</f>
        <v>383077.58078788366</v>
      </c>
      <c r="AE113" s="67">
        <f>(AE112+(AD113-O113-R113-Q113-S113))*IF(D113=Assumptions!$H$9,0,1)</f>
        <v>20539422.856227223</v>
      </c>
      <c r="AF113" s="91">
        <f t="shared" si="29"/>
        <v>89545869.890397638</v>
      </c>
      <c r="AG113" s="67">
        <f t="shared" si="30"/>
        <v>8021.759447133576</v>
      </c>
      <c r="AH113" s="89">
        <f>AG113*Assumptions!$C$18</f>
        <v>2406.5278341400726</v>
      </c>
      <c r="AI113" s="67">
        <f t="shared" si="31"/>
        <v>5615.2316129935034</v>
      </c>
      <c r="AK113" s="67">
        <f t="shared" si="32"/>
        <v>-118.73677187830617</v>
      </c>
      <c r="AL113" s="70">
        <f t="shared" si="21"/>
        <v>-8140.4960000000001</v>
      </c>
      <c r="AM113" s="80">
        <f>(O113-W113-X113-Y113-AA113)*Assumptions!$D$19</f>
        <v>-118.73677187830701</v>
      </c>
    </row>
    <row r="114" spans="2:39" x14ac:dyDescent="0.2">
      <c r="B114" s="5">
        <f t="shared" si="17"/>
        <v>107</v>
      </c>
      <c r="C114" s="5">
        <f t="shared" si="18"/>
        <v>107</v>
      </c>
      <c r="D114" s="5">
        <f t="shared" si="19"/>
        <v>8</v>
      </c>
      <c r="E114" s="5">
        <f t="shared" si="20"/>
        <v>54</v>
      </c>
      <c r="F114" s="64">
        <f>1-(1-VLOOKUP($E114,'Annual Mortality Rates'!$B$5:$C$105,2,FALSE))^(1/12)</f>
        <v>1.7349879770289789E-4</v>
      </c>
      <c r="G114" s="74">
        <f>1-(1-IF(D114&gt;=7,2%,VLOOKUP($D114,'Annual Lapse Rates'!$B$4:$C$14,2,FALSE)))^(1/12)</f>
        <v>1.6821425527395739E-3</v>
      </c>
      <c r="H114" s="80">
        <f t="shared" si="22"/>
        <v>11</v>
      </c>
      <c r="I114" s="65">
        <f t="shared" si="23"/>
        <v>3037.5767681152529</v>
      </c>
      <c r="J114" s="66">
        <f t="shared" si="24"/>
        <v>0.52701591719825058</v>
      </c>
      <c r="K114" s="66">
        <f t="shared" si="25"/>
        <v>5.1191524858691801</v>
      </c>
      <c r="M114" s="67">
        <f t="shared" si="33"/>
        <v>69034105.234082937</v>
      </c>
      <c r="N114" s="67">
        <f>IF(AND(MOD(C114,12)=1,D114&lt;15),Assumptions!$H$4*I114,0)</f>
        <v>0</v>
      </c>
      <c r="O114" s="67"/>
      <c r="P114" s="88">
        <f t="shared" si="26"/>
        <v>128102.54026316137</v>
      </c>
      <c r="Q114" s="88">
        <f>(M114+N114-O114)*VLOOKUP(MOD(C114,12)+(MOD(C114,12)=0)*12,Assumptions!$C$22:$D$33,2,FALSE)*(F114+G114)</f>
        <v>4403.5248215461725</v>
      </c>
      <c r="R114" s="67">
        <f>IF(AND(MOD(C114,12)=0,D114&lt;15),Assumptions!$C$7*M114,0)</f>
        <v>0</v>
      </c>
      <c r="S114" s="68">
        <f>IF(MOD(C114,12)=0,M114*Assumptions!$D$17,0)</f>
        <v>0</v>
      </c>
      <c r="T114" s="68">
        <f>(M114+N114-O114-P114-Q114-R114+S114)*(D115=Assumptions!$H$9)</f>
        <v>0</v>
      </c>
      <c r="U114" s="67">
        <f>T114+AE114*(1+Assumptions!$D$17)</f>
        <v>21004382.943506673</v>
      </c>
      <c r="V114" s="67">
        <f t="shared" si="27"/>
        <v>68901599.168998227</v>
      </c>
      <c r="W114" s="67"/>
      <c r="X114" s="67">
        <f>IF(AND(MOD(C114,12)=1,D114&lt;15),Assumptions!$D$10*N114+Assumptions!$D$11*(1+Assumptions!$D$16)^(B114-1)*I114,0)</f>
        <v>0</v>
      </c>
      <c r="Y114" s="65">
        <f>Assumptions!$C$13*N114</f>
        <v>0</v>
      </c>
      <c r="Z114" s="65">
        <f>NPV(Assumptions!$D$19,N115:$N$259)</f>
        <v>37677417.173899561</v>
      </c>
      <c r="AA114" s="68">
        <f t="shared" si="28"/>
        <v>27658.199912524229</v>
      </c>
      <c r="AB114" s="96"/>
      <c r="AC114" s="67">
        <f>(AC113+N113-P113-Q113-T113-W113-X113-Y113+AD113)*IF(D114=Assumptions!$H$9,0,1)</f>
        <v>88593549.695442542</v>
      </c>
      <c r="AD114" s="91">
        <f>(AF113+N114-W114-X114-Y114)*Assumptions!$D$19-(P114+Q114)*Assumptions!$D$19/2</f>
        <v>384136.38227404904</v>
      </c>
      <c r="AE114" s="67">
        <f>(AE113+(AD114-O114-R114-Q114-S114))*IF(D114=Assumptions!$H$9,0,1)</f>
        <v>20919155.713679727</v>
      </c>
      <c r="AF114" s="91">
        <f t="shared" si="29"/>
        <v>89793096.682765439</v>
      </c>
      <c r="AG114" s="67">
        <f t="shared" si="30"/>
        <v>8807.0496430866187</v>
      </c>
      <c r="AH114" s="89">
        <f>AG114*Assumptions!$C$18</f>
        <v>2642.1148929259857</v>
      </c>
      <c r="AI114" s="67">
        <f t="shared" si="31"/>
        <v>6164.9347501606335</v>
      </c>
      <c r="AK114" s="67">
        <f t="shared" si="32"/>
        <v>-118.73677187830617</v>
      </c>
      <c r="AL114" s="70">
        <f t="shared" si="21"/>
        <v>-8925.7860000000001</v>
      </c>
      <c r="AM114" s="80">
        <f>(O114-W114-X114-Y114-AA114)*Assumptions!$D$19</f>
        <v>-118.73677187830701</v>
      </c>
    </row>
    <row r="115" spans="2:39" x14ac:dyDescent="0.2">
      <c r="B115" s="5">
        <f t="shared" si="17"/>
        <v>108</v>
      </c>
      <c r="C115" s="5">
        <f t="shared" si="18"/>
        <v>108</v>
      </c>
      <c r="D115" s="5">
        <f t="shared" si="19"/>
        <v>8</v>
      </c>
      <c r="E115" s="5">
        <f t="shared" si="20"/>
        <v>54</v>
      </c>
      <c r="F115" s="64">
        <f>1-(1-VLOOKUP($E115,'Annual Mortality Rates'!$B$5:$C$105,2,FALSE))^(1/12)</f>
        <v>1.7349879770289789E-4</v>
      </c>
      <c r="G115" s="74">
        <f>1-(1-IF(D115&gt;=7,2%,VLOOKUP($D115,'Annual Lapse Rates'!$B$4:$C$14,2,FALSE)))^(1/12)</f>
        <v>1.6821425527395739E-3</v>
      </c>
      <c r="H115" s="80">
        <f t="shared" si="22"/>
        <v>12</v>
      </c>
      <c r="I115" s="65">
        <f t="shared" si="23"/>
        <v>3031.9305997121855</v>
      </c>
      <c r="J115" s="66">
        <f t="shared" si="24"/>
        <v>0.52603631376869031</v>
      </c>
      <c r="K115" s="66">
        <f t="shared" si="25"/>
        <v>5.1096371388598163</v>
      </c>
      <c r="M115" s="67">
        <f t="shared" si="33"/>
        <v>68901599.168998227</v>
      </c>
      <c r="N115" s="67">
        <f>IF(AND(MOD(C115,12)=1,D115&lt;15),Assumptions!$H$4*I115,0)</f>
        <v>0</v>
      </c>
      <c r="O115" s="67"/>
      <c r="P115" s="88">
        <f t="shared" si="26"/>
        <v>127856.65652960577</v>
      </c>
      <c r="Q115" s="88">
        <f>(M115+N115-O115)*VLOOKUP(MOD(C115,12)+(MOD(C115,12)=0)*12,Assumptions!$C$22:$D$33,2,FALSE)*(F115+G115)</f>
        <v>4794.6246198602166</v>
      </c>
      <c r="R115" s="67">
        <f>IF(AND(MOD(C115,12)=0,D115&lt;15),Assumptions!$C$7*M115,0)</f>
        <v>34450.799584499116</v>
      </c>
      <c r="S115" s="68">
        <f>IF(MOD(C115,12)=0,M115*Assumptions!$D$17,0)</f>
        <v>280713.64390582131</v>
      </c>
      <c r="T115" s="68">
        <f>(M115+N115-O115-P115-Q115-R115+S115)*(D116=Assumptions!$H$9)</f>
        <v>0</v>
      </c>
      <c r="U115" s="67">
        <f>T115+AE115*(1+Assumptions!$D$17)</f>
        <v>21069887.080758911</v>
      </c>
      <c r="V115" s="67">
        <f t="shared" si="27"/>
        <v>69015210.73217009</v>
      </c>
      <c r="W115" s="67"/>
      <c r="X115" s="67">
        <f>IF(AND(MOD(C115,12)=1,D115&lt;15),Assumptions!$D$10*N115+Assumptions!$D$11*(1+Assumptions!$D$16)^(B115-1)*I115,0)</f>
        <v>0</v>
      </c>
      <c r="Y115" s="65">
        <f>Assumptions!$C$13*N115</f>
        <v>0</v>
      </c>
      <c r="Z115" s="65">
        <f>NPV(Assumptions!$D$19,N116:$N$259)</f>
        <v>37839166.488825701</v>
      </c>
      <c r="AA115" s="68">
        <f t="shared" si="28"/>
        <v>27658.199912524229</v>
      </c>
      <c r="AB115" s="96"/>
      <c r="AC115" s="67">
        <f>(AC114+N114-P114-Q114-T114-W114-X114-Y114+AD114)*IF(D115=Assumptions!$H$9,0,1)</f>
        <v>88845180.012631878</v>
      </c>
      <c r="AD115" s="91">
        <f>(AF114+N115-W115-X115-Y115)*Assumptions!$D$19-(P115+Q115)*Assumptions!$D$19/2</f>
        <v>385197.41625662992</v>
      </c>
      <c r="AE115" s="67">
        <f>(AE114+(AD115-O115-R115-Q115-S115))*IF(D115=Assumptions!$H$9,0,1)</f>
        <v>20984394.061826177</v>
      </c>
      <c r="AF115" s="91">
        <f t="shared" si="29"/>
        <v>89971946.594083756</v>
      </c>
      <c r="AG115" s="67">
        <f t="shared" si="30"/>
        <v>78490.848408707127</v>
      </c>
      <c r="AH115" s="89">
        <f>AG115*Assumptions!$C$18</f>
        <v>23547.254522612136</v>
      </c>
      <c r="AI115" s="67">
        <f t="shared" si="31"/>
        <v>54943.59388609499</v>
      </c>
      <c r="AK115" s="67">
        <f t="shared" si="32"/>
        <v>34332.06281262081</v>
      </c>
      <c r="AL115" s="70">
        <f t="shared" si="21"/>
        <v>-44158.786</v>
      </c>
      <c r="AM115" s="80">
        <f>(O115-W115-X115-Y115-AA115)*Assumptions!$D$19</f>
        <v>-118.73677187830701</v>
      </c>
    </row>
    <row r="116" spans="2:39" x14ac:dyDescent="0.2">
      <c r="B116" s="5">
        <f t="shared" si="17"/>
        <v>109</v>
      </c>
      <c r="C116" s="5">
        <f t="shared" si="18"/>
        <v>109</v>
      </c>
      <c r="D116" s="5">
        <f t="shared" si="19"/>
        <v>9</v>
      </c>
      <c r="E116" s="5">
        <f t="shared" si="20"/>
        <v>55</v>
      </c>
      <c r="F116" s="64">
        <f>1-(1-VLOOKUP($E116,'Annual Mortality Rates'!$B$5:$C$105,2,FALSE))^(1/12)</f>
        <v>1.9186901267576051E-4</v>
      </c>
      <c r="G116" s="74">
        <f>1-(1-IF(D116&gt;=7,2%,VLOOKUP($D116,'Annual Lapse Rates'!$B$4:$C$14,2,FALSE)))^(1/12)</f>
        <v>1.6821425527395739E-3</v>
      </c>
      <c r="H116" s="80">
        <f t="shared" si="22"/>
        <v>1</v>
      </c>
      <c r="I116" s="65">
        <f t="shared" si="23"/>
        <v>3026.2949262595571</v>
      </c>
      <c r="J116" s="66">
        <f t="shared" si="24"/>
        <v>0.58065221956708468</v>
      </c>
      <c r="K116" s="66">
        <f t="shared" si="25"/>
        <v>5.1001394787290835</v>
      </c>
      <c r="M116" s="67">
        <f t="shared" si="33"/>
        <v>69015210.73217009</v>
      </c>
      <c r="N116" s="67">
        <f>IF(AND(MOD(C116,12)=1,D116&lt;15),Assumptions!$H$4*I116,0)</f>
        <v>7565737.3156488929</v>
      </c>
      <c r="O116" s="67"/>
      <c r="P116" s="88">
        <f t="shared" si="26"/>
        <v>143513.58233208366</v>
      </c>
      <c r="Q116" s="88">
        <f>(M116+N116-O116)*VLOOKUP(MOD(C116,12)+(MOD(C116,12)=0)*12,Assumptions!$C$22:$D$33,2,FALSE)*(F116+G116)</f>
        <v>448.47994478776144</v>
      </c>
      <c r="R116" s="67">
        <f>IF(AND(MOD(C116,12)=0,D116&lt;15),Assumptions!$C$7*M116,0)</f>
        <v>0</v>
      </c>
      <c r="S116" s="68">
        <f>IF(MOD(C116,12)=0,M116*Assumptions!$D$17,0)</f>
        <v>0</v>
      </c>
      <c r="T116" s="68">
        <f>(M116+N116-O116-P116-Q116-R116+S116)*(D117=Assumptions!$H$9)</f>
        <v>0</v>
      </c>
      <c r="U116" s="67">
        <f>T116+AE116*(1+Assumptions!$D$17)</f>
        <v>21489134.701177973</v>
      </c>
      <c r="V116" s="67">
        <f t="shared" si="27"/>
        <v>76436985.985542119</v>
      </c>
      <c r="W116" s="67"/>
      <c r="X116" s="67">
        <f>IF(AND(MOD(C116,12)=1,D116&lt;15),Assumptions!$D$10*N116+Assumptions!$D$11*(1+Assumptions!$D$16)^(B116-1)*I116,0)</f>
        <v>61337.25332765386</v>
      </c>
      <c r="Y116" s="65">
        <f>Assumptions!$C$13*N116</f>
        <v>37828.686578244466</v>
      </c>
      <c r="Z116" s="65">
        <f>NPV(Assumptions!$D$19,N117:$N$259)</f>
        <v>30435872.878611684</v>
      </c>
      <c r="AA116" s="68">
        <f t="shared" si="28"/>
        <v>23320.235087241683</v>
      </c>
      <c r="AB116" s="96"/>
      <c r="AC116" s="67">
        <f>(AC115+N115-P115-Q115-T115-W115-X115-Y115+AD115)*IF(D116=Assumptions!$H$9,0,1)</f>
        <v>89097726.147739053</v>
      </c>
      <c r="AD116" s="91">
        <f>(AF115+N116-W116-X116-Y116)*Assumptions!$D$19-(P116+Q116)*Assumptions!$D$19/2</f>
        <v>417994.96430115547</v>
      </c>
      <c r="AE116" s="67">
        <f>(AE115+(AD116-O116-R116-Q116-S116))*IF(D116=Assumptions!$H$9,0,1)</f>
        <v>21401940.546182543</v>
      </c>
      <c r="AF116" s="91">
        <f t="shared" si="29"/>
        <v>97815606.296637416</v>
      </c>
      <c r="AG116" s="67">
        <f t="shared" si="30"/>
        <v>-102606.94484159391</v>
      </c>
      <c r="AH116" s="89">
        <f>AG116*Assumptions!$C$18</f>
        <v>-30782.083452478171</v>
      </c>
      <c r="AI116" s="67">
        <f t="shared" si="31"/>
        <v>-71824.861389115744</v>
      </c>
      <c r="AK116" s="67">
        <f t="shared" si="32"/>
        <v>-104029.7384103214</v>
      </c>
      <c r="AL116" s="70">
        <f t="shared" si="21"/>
        <v>-1422.7940000000001</v>
      </c>
      <c r="AM116" s="80">
        <f>(O116-W116-X116-Y116-AA116)*Assumptions!$D$19</f>
        <v>-525.83367914052849</v>
      </c>
    </row>
    <row r="117" spans="2:39" x14ac:dyDescent="0.2">
      <c r="B117" s="5">
        <f t="shared" si="17"/>
        <v>110</v>
      </c>
      <c r="C117" s="5">
        <f t="shared" si="18"/>
        <v>110</v>
      </c>
      <c r="D117" s="5">
        <f t="shared" si="19"/>
        <v>9</v>
      </c>
      <c r="E117" s="5">
        <f t="shared" si="20"/>
        <v>55</v>
      </c>
      <c r="F117" s="64">
        <f>1-(1-VLOOKUP($E117,'Annual Mortality Rates'!$B$5:$C$105,2,FALSE))^(1/12)</f>
        <v>1.9186901267576051E-4</v>
      </c>
      <c r="G117" s="74">
        <f>1-(1-IF(D117&gt;=7,2%,VLOOKUP($D117,'Annual Lapse Rates'!$B$4:$C$14,2,FALSE)))^(1/12)</f>
        <v>1.6821425527395739E-3</v>
      </c>
      <c r="H117" s="80">
        <f t="shared" si="22"/>
        <v>2</v>
      </c>
      <c r="I117" s="65">
        <f t="shared" si="23"/>
        <v>3020.6141345612609</v>
      </c>
      <c r="J117" s="66">
        <f t="shared" si="24"/>
        <v>0.57956225167271591</v>
      </c>
      <c r="K117" s="66">
        <f t="shared" si="25"/>
        <v>5.0906594726010717</v>
      </c>
      <c r="M117" s="67">
        <f t="shared" si="33"/>
        <v>76436985.985542119</v>
      </c>
      <c r="N117" s="67">
        <f>IF(AND(MOD(C117,12)=1,D117&lt;15),Assumptions!$H$4*I117,0)</f>
        <v>0</v>
      </c>
      <c r="O117" s="67"/>
      <c r="P117" s="88">
        <f t="shared" si="26"/>
        <v>143243.79576239578</v>
      </c>
      <c r="Q117" s="88">
        <f>(M117+N117-O117)*VLOOKUP(MOD(C117,12)+(MOD(C117,12)=0)*12,Assumptions!$C$22:$D$33,2,FALSE)*(F117+G117)</f>
        <v>895.27372351497365</v>
      </c>
      <c r="R117" s="67">
        <f>IF(AND(MOD(C117,12)=0,D117&lt;15),Assumptions!$C$7*M117,0)</f>
        <v>0</v>
      </c>
      <c r="S117" s="68">
        <f>IF(MOD(C117,12)=0,M117*Assumptions!$D$17,0)</f>
        <v>0</v>
      </c>
      <c r="T117" s="68">
        <f>(M117+N117-O117-P117-Q117-R117+S117)*(D118=Assumptions!$H$9)</f>
        <v>0</v>
      </c>
      <c r="U117" s="67">
        <f>T117+AE117*(1+Assumptions!$D$17)</f>
        <v>21909558.763211139</v>
      </c>
      <c r="V117" s="67">
        <f t="shared" si="27"/>
        <v>76292846.916056216</v>
      </c>
      <c r="W117" s="67"/>
      <c r="X117" s="67">
        <f>IF(AND(MOD(C117,12)=1,D117&lt;15),Assumptions!$D$10*N117+Assumptions!$D$11*(1+Assumptions!$D$16)^(B117-1)*I117,0)</f>
        <v>0</v>
      </c>
      <c r="Y117" s="65">
        <f>Assumptions!$C$13*N117</f>
        <v>0</v>
      </c>
      <c r="Z117" s="65">
        <f>NPV(Assumptions!$D$19,N118:$N$259)</f>
        <v>30566534.212550063</v>
      </c>
      <c r="AA117" s="68">
        <f t="shared" si="28"/>
        <v>23320.235087241683</v>
      </c>
      <c r="AB117" s="96"/>
      <c r="AC117" s="67">
        <f>(AC116+N116-P116-Q116-T116-W116-X116-Y116+AD116)*IF(D117=Assumptions!$H$9,0,1)</f>
        <v>96838330.425506338</v>
      </c>
      <c r="AD117" s="91">
        <f>(AF116+N117-W117-X117-Y117)*Assumptions!$D$19-(P117+Q117)*Assumptions!$D$19/2</f>
        <v>419613.42617314163</v>
      </c>
      <c r="AE117" s="67">
        <f>(AE116+(AD117-O117-R117-Q117-S117))*IF(D117=Assumptions!$H$9,0,1)</f>
        <v>21820658.69863217</v>
      </c>
      <c r="AF117" s="91">
        <f t="shared" si="29"/>
        <v>98090185.379601136</v>
      </c>
      <c r="AG117" s="67">
        <f t="shared" si="30"/>
        <v>1790.5474470258923</v>
      </c>
      <c r="AH117" s="89">
        <f>AG117*Assumptions!$C$18</f>
        <v>537.1642341077677</v>
      </c>
      <c r="AI117" s="67">
        <f t="shared" si="31"/>
        <v>1253.3832129181246</v>
      </c>
      <c r="AK117" s="67">
        <f t="shared" si="32"/>
        <v>-100.11387011663101</v>
      </c>
      <c r="AL117" s="70">
        <f t="shared" si="21"/>
        <v>-1890.6610000000001</v>
      </c>
      <c r="AM117" s="80">
        <f>(O117-W117-X117-Y117-AA117)*Assumptions!$D$19</f>
        <v>-100.11387011663248</v>
      </c>
    </row>
    <row r="118" spans="2:39" x14ac:dyDescent="0.2">
      <c r="B118" s="5">
        <f t="shared" si="17"/>
        <v>111</v>
      </c>
      <c r="C118" s="5">
        <f t="shared" si="18"/>
        <v>111</v>
      </c>
      <c r="D118" s="5">
        <f t="shared" si="19"/>
        <v>9</v>
      </c>
      <c r="E118" s="5">
        <f t="shared" si="20"/>
        <v>55</v>
      </c>
      <c r="F118" s="64">
        <f>1-(1-VLOOKUP($E118,'Annual Mortality Rates'!$B$5:$C$105,2,FALSE))^(1/12)</f>
        <v>1.9186901267576051E-4</v>
      </c>
      <c r="G118" s="74">
        <f>1-(1-IF(D118&gt;=7,2%,VLOOKUP($D118,'Annual Lapse Rates'!$B$4:$C$14,2,FALSE)))^(1/12)</f>
        <v>1.6821425527395739E-3</v>
      </c>
      <c r="H118" s="80">
        <f t="shared" si="22"/>
        <v>3</v>
      </c>
      <c r="I118" s="65">
        <f t="shared" si="23"/>
        <v>3014.9439128369872</v>
      </c>
      <c r="J118" s="66">
        <f t="shared" si="24"/>
        <v>0.57847431182882691</v>
      </c>
      <c r="K118" s="66">
        <f t="shared" si="25"/>
        <v>5.0811035711521182</v>
      </c>
      <c r="M118" s="67">
        <f t="shared" si="33"/>
        <v>76292846.916056216</v>
      </c>
      <c r="N118" s="67">
        <f>IF(AND(MOD(C118,12)=1,D118&lt;15),Assumptions!$H$4*I118,0)</f>
        <v>0</v>
      </c>
      <c r="O118" s="67"/>
      <c r="P118" s="88">
        <f t="shared" si="26"/>
        <v>142973.67747915097</v>
      </c>
      <c r="Q118" s="88">
        <f>(M118+N118-O118)*VLOOKUP(MOD(C118,12)+(MOD(C118,12)=0)*12,Assumptions!$C$22:$D$33,2,FALSE)*(F118+G118)</f>
        <v>1340.3782263670405</v>
      </c>
      <c r="R118" s="67">
        <f>IF(AND(MOD(C118,12)=0,D118&lt;15),Assumptions!$C$7*M118,0)</f>
        <v>0</v>
      </c>
      <c r="S118" s="68">
        <f>IF(MOD(C118,12)=0,M118*Assumptions!$D$17,0)</f>
        <v>0</v>
      </c>
      <c r="T118" s="68">
        <f>(M118+N118-O118-P118-Q118-R118+S118)*(D119=Assumptions!$H$9)</f>
        <v>0</v>
      </c>
      <c r="U118" s="67">
        <f>T118+AE118*(1+Assumptions!$D$17)</f>
        <v>22330719.101834673</v>
      </c>
      <c r="V118" s="67">
        <f t="shared" si="27"/>
        <v>76148532.860350698</v>
      </c>
      <c r="W118" s="67"/>
      <c r="X118" s="67">
        <f>IF(AND(MOD(C118,12)=1,D118&lt;15),Assumptions!$D$10*N118+Assumptions!$D$11*(1+Assumptions!$D$16)^(B118-1)*I118,0)</f>
        <v>0</v>
      </c>
      <c r="Y118" s="65">
        <f>Assumptions!$C$13*N118</f>
        <v>0</v>
      </c>
      <c r="Z118" s="65">
        <f>NPV(Assumptions!$D$19,N119:$N$259)</f>
        <v>30697756.476160306</v>
      </c>
      <c r="AA118" s="68">
        <f t="shared" si="28"/>
        <v>23320.235087241683</v>
      </c>
      <c r="AB118" s="96"/>
      <c r="AC118" s="67">
        <f>(AC117+N117-P117-Q117-T117-W117-X117-Y117+AD117)*IF(D118=Assumptions!$H$9,0,1)</f>
        <v>97113804.782193571</v>
      </c>
      <c r="AD118" s="91">
        <f>(AF117+N118-W118-X118-Y118)*Assumptions!$D$19-(P118+Q118)*Assumptions!$D$19/2</f>
        <v>420791.81975587941</v>
      </c>
      <c r="AE118" s="67">
        <f>(AE117+(AD118-O118-R118-Q118-S118))*IF(D118=Assumptions!$H$9,0,1)</f>
        <v>22240110.140161682</v>
      </c>
      <c r="AF118" s="91">
        <f t="shared" si="29"/>
        <v>98365322.765425131</v>
      </c>
      <c r="AG118" s="67">
        <f t="shared" si="30"/>
        <v>2680.7564527335926</v>
      </c>
      <c r="AH118" s="89">
        <f>AG118*Assumptions!$C$18</f>
        <v>804.22693582007776</v>
      </c>
      <c r="AI118" s="67">
        <f t="shared" si="31"/>
        <v>1876.5295169135147</v>
      </c>
      <c r="AK118" s="67">
        <f t="shared" si="32"/>
        <v>-100.11387011663101</v>
      </c>
      <c r="AL118" s="70">
        <f t="shared" si="21"/>
        <v>-2780.87</v>
      </c>
      <c r="AM118" s="80">
        <f>(O118-W118-X118-Y118-AA118)*Assumptions!$D$19</f>
        <v>-100.11387011663248</v>
      </c>
    </row>
    <row r="119" spans="2:39" x14ac:dyDescent="0.2">
      <c r="B119" s="5">
        <f t="shared" si="17"/>
        <v>112</v>
      </c>
      <c r="C119" s="5">
        <f t="shared" si="18"/>
        <v>112</v>
      </c>
      <c r="D119" s="5">
        <f t="shared" si="19"/>
        <v>9</v>
      </c>
      <c r="E119" s="5">
        <f t="shared" si="20"/>
        <v>55</v>
      </c>
      <c r="F119" s="64">
        <f>1-(1-VLOOKUP($E119,'Annual Mortality Rates'!$B$5:$C$105,2,FALSE))^(1/12)</f>
        <v>1.9186901267576051E-4</v>
      </c>
      <c r="G119" s="74">
        <f>1-(1-IF(D119&gt;=7,2%,VLOOKUP($D119,'Annual Lapse Rates'!$B$4:$C$14,2,FALSE)))^(1/12)</f>
        <v>1.6821425527395739E-3</v>
      </c>
      <c r="H119" s="80">
        <f t="shared" si="22"/>
        <v>4</v>
      </c>
      <c r="I119" s="65">
        <f t="shared" si="23"/>
        <v>3009.2843349540062</v>
      </c>
      <c r="J119" s="66">
        <f t="shared" si="24"/>
        <v>0.57738841420825771</v>
      </c>
      <c r="K119" s="66">
        <f t="shared" si="25"/>
        <v>5.0715654499062488</v>
      </c>
      <c r="M119" s="67">
        <f t="shared" si="33"/>
        <v>76148532.860350698</v>
      </c>
      <c r="N119" s="67">
        <f>IF(AND(MOD(C119,12)=1,D119&lt;15),Assumptions!$H$4*I119,0)</f>
        <v>0</v>
      </c>
      <c r="O119" s="67"/>
      <c r="P119" s="88">
        <f t="shared" si="26"/>
        <v>142703.23126970686</v>
      </c>
      <c r="Q119" s="88">
        <f>(M119+N119-O119)*VLOOKUP(MOD(C119,12)+(MOD(C119,12)=0)*12,Assumptions!$C$22:$D$33,2,FALSE)*(F119+G119)</f>
        <v>1783.7903908713356</v>
      </c>
      <c r="R119" s="67">
        <f>IF(AND(MOD(C119,12)=0,D119&lt;15),Assumptions!$C$7*M119,0)</f>
        <v>0</v>
      </c>
      <c r="S119" s="68">
        <f>IF(MOD(C119,12)=0,M119*Assumptions!$D$17,0)</f>
        <v>0</v>
      </c>
      <c r="T119" s="68">
        <f>(M119+N119-O119-P119-Q119-R119+S119)*(D120=Assumptions!$H$9)</f>
        <v>0</v>
      </c>
      <c r="U119" s="67">
        <f>T119+AE119*(1+Assumptions!$D$17)</f>
        <v>22752619.827197328</v>
      </c>
      <c r="V119" s="67">
        <f t="shared" si="27"/>
        <v>76004045.838690132</v>
      </c>
      <c r="W119" s="67"/>
      <c r="X119" s="67">
        <f>IF(AND(MOD(C119,12)=1,D119&lt;15),Assumptions!$D$10*N119+Assumptions!$D$11*(1+Assumptions!$D$16)^(B119-1)*I119,0)</f>
        <v>0</v>
      </c>
      <c r="Y119" s="65">
        <f>Assumptions!$C$13*N119</f>
        <v>0</v>
      </c>
      <c r="Z119" s="65">
        <f>NPV(Assumptions!$D$19,N120:$N$259)</f>
        <v>30829542.077515915</v>
      </c>
      <c r="AA119" s="68">
        <f t="shared" si="28"/>
        <v>23320.235087241683</v>
      </c>
      <c r="AB119" s="96"/>
      <c r="AC119" s="67">
        <f>(AC118+N118-P118-Q118-T118-W118-X118-Y118+AD118)*IF(D119=Assumptions!$H$9,0,1)</f>
        <v>97390282.546243936</v>
      </c>
      <c r="AD119" s="91">
        <f>(AF118+N119-W119-X119-Y119)*Assumptions!$D$19-(P119+Q119)*Assumptions!$D$19/2</f>
        <v>421972.61447171395</v>
      </c>
      <c r="AE119" s="67">
        <f>(AE118+(AD119-O119-R119-Q119-S119))*IF(D119=Assumptions!$H$9,0,1)</f>
        <v>22660298.964242525</v>
      </c>
      <c r="AF119" s="91">
        <f t="shared" si="29"/>
        <v>98641024.567845404</v>
      </c>
      <c r="AG119" s="67">
        <f t="shared" si="30"/>
        <v>3567.5807817336754</v>
      </c>
      <c r="AH119" s="89">
        <f>AG119*Assumptions!$C$18</f>
        <v>1070.2742345201025</v>
      </c>
      <c r="AI119" s="67">
        <f t="shared" si="31"/>
        <v>2497.3065472135731</v>
      </c>
      <c r="AK119" s="67">
        <f t="shared" si="32"/>
        <v>-100.11387011663101</v>
      </c>
      <c r="AL119" s="70">
        <f t="shared" si="21"/>
        <v>-3667.6950000000002</v>
      </c>
      <c r="AM119" s="80">
        <f>(O119-W119-X119-Y119-AA119)*Assumptions!$D$19</f>
        <v>-100.11387011663248</v>
      </c>
    </row>
    <row r="120" spans="2:39" x14ac:dyDescent="0.2">
      <c r="B120" s="5">
        <f t="shared" si="17"/>
        <v>113</v>
      </c>
      <c r="C120" s="5">
        <f t="shared" si="18"/>
        <v>113</v>
      </c>
      <c r="D120" s="5">
        <f t="shared" si="19"/>
        <v>9</v>
      </c>
      <c r="E120" s="5">
        <f t="shared" si="20"/>
        <v>55</v>
      </c>
      <c r="F120" s="64">
        <f>1-(1-VLOOKUP($E120,'Annual Mortality Rates'!$B$5:$C$105,2,FALSE))^(1/12)</f>
        <v>1.9186901267576051E-4</v>
      </c>
      <c r="G120" s="74">
        <f>1-(1-IF(D120&gt;=7,2%,VLOOKUP($D120,'Annual Lapse Rates'!$B$4:$C$14,2,FALSE)))^(1/12)</f>
        <v>1.6821425527395739E-3</v>
      </c>
      <c r="H120" s="80">
        <f t="shared" si="22"/>
        <v>5</v>
      </c>
      <c r="I120" s="65">
        <f t="shared" si="23"/>
        <v>3003.6353810898918</v>
      </c>
      <c r="J120" s="66">
        <f t="shared" si="24"/>
        <v>0.57630455500769917</v>
      </c>
      <c r="K120" s="66">
        <f t="shared" si="25"/>
        <v>5.0620452331187433</v>
      </c>
      <c r="M120" s="67">
        <f t="shared" si="33"/>
        <v>76004045.838690132</v>
      </c>
      <c r="N120" s="67">
        <f>IF(AND(MOD(C120,12)=1,D120&lt;15),Assumptions!$H$4*I120,0)</f>
        <v>0</v>
      </c>
      <c r="O120" s="67"/>
      <c r="P120" s="88">
        <f t="shared" si="26"/>
        <v>142432.46092006253</v>
      </c>
      <c r="Q120" s="88">
        <f>(M120+N120-O120)*VLOOKUP(MOD(C120,12)+(MOD(C120,12)=0)*12,Assumptions!$C$22:$D$33,2,FALSE)*(F120+G120)</f>
        <v>2225.507201875977</v>
      </c>
      <c r="R120" s="67">
        <f>IF(AND(MOD(C120,12)=0,D120&lt;15),Assumptions!$C$7*M120,0)</f>
        <v>0</v>
      </c>
      <c r="S120" s="68">
        <f>IF(MOD(C120,12)=0,M120*Assumptions!$D$17,0)</f>
        <v>0</v>
      </c>
      <c r="T120" s="68">
        <f>(M120+N120-O120-P120-Q120-R120+S120)*(D121=Assumptions!$H$9)</f>
        <v>0</v>
      </c>
      <c r="U120" s="67">
        <f>T120+AE120*(1+Assumptions!$D$17)</f>
        <v>23175265.078826856</v>
      </c>
      <c r="V120" s="67">
        <f t="shared" si="27"/>
        <v>75859387.870568186</v>
      </c>
      <c r="W120" s="67"/>
      <c r="X120" s="67">
        <f>IF(AND(MOD(C120,12)=1,D120&lt;15),Assumptions!$D$10*N120+Assumptions!$D$11*(1+Assumptions!$D$16)^(B120-1)*I120,0)</f>
        <v>0</v>
      </c>
      <c r="Y120" s="65">
        <f>Assumptions!$C$13*N120</f>
        <v>0</v>
      </c>
      <c r="Z120" s="65">
        <f>NPV(Assumptions!$D$19,N121:$N$259)</f>
        <v>30961893.43502827</v>
      </c>
      <c r="AA120" s="68">
        <f t="shared" si="28"/>
        <v>23320.235087241683</v>
      </c>
      <c r="AB120" s="96"/>
      <c r="AC120" s="67">
        <f>(AC119+N119-P119-Q119-T119-W119-X119-Y119+AD119)*IF(D120=Assumptions!$H$9,0,1)</f>
        <v>97667768.139055088</v>
      </c>
      <c r="AD120" s="91">
        <f>(AF119+N120-W120-X120-Y120)*Assumptions!$D$19-(P120+Q120)*Assumptions!$D$19/2</f>
        <v>423155.83656528563</v>
      </c>
      <c r="AE120" s="67">
        <f>(AE119+(AD120-O120-R120-Q120-S120))*IF(D120=Assumptions!$H$9,0,1)</f>
        <v>23081229.293605935</v>
      </c>
      <c r="AF120" s="91">
        <f t="shared" si="29"/>
        <v>98917296.929086879</v>
      </c>
      <c r="AG120" s="67">
        <f t="shared" si="30"/>
        <v>4451.0144037483842</v>
      </c>
      <c r="AH120" s="89">
        <f>AG120*Assumptions!$C$18</f>
        <v>1335.3043211245151</v>
      </c>
      <c r="AI120" s="67">
        <f t="shared" si="31"/>
        <v>3115.7100826238693</v>
      </c>
      <c r="AK120" s="67">
        <f t="shared" si="32"/>
        <v>-100.11387011663101</v>
      </c>
      <c r="AL120" s="70">
        <f t="shared" si="21"/>
        <v>-4551.1279999999997</v>
      </c>
      <c r="AM120" s="80">
        <f>(O120-W120-X120-Y120-AA120)*Assumptions!$D$19</f>
        <v>-100.11387011663248</v>
      </c>
    </row>
    <row r="121" spans="2:39" x14ac:dyDescent="0.2">
      <c r="B121" s="5">
        <f t="shared" si="17"/>
        <v>114</v>
      </c>
      <c r="C121" s="5">
        <f t="shared" si="18"/>
        <v>114</v>
      </c>
      <c r="D121" s="5">
        <f t="shared" si="19"/>
        <v>9</v>
      </c>
      <c r="E121" s="5">
        <f t="shared" si="20"/>
        <v>55</v>
      </c>
      <c r="F121" s="64">
        <f>1-(1-VLOOKUP($E121,'Annual Mortality Rates'!$B$5:$C$105,2,FALSE))^(1/12)</f>
        <v>1.9186901267576051E-4</v>
      </c>
      <c r="G121" s="74">
        <f>1-(1-IF(D121&gt;=7,2%,VLOOKUP($D121,'Annual Lapse Rates'!$B$4:$C$14,2,FALSE)))^(1/12)</f>
        <v>1.6821425527395739E-3</v>
      </c>
      <c r="H121" s="80">
        <f t="shared" si="22"/>
        <v>6</v>
      </c>
      <c r="I121" s="65">
        <f t="shared" si="23"/>
        <v>2997.9970313017657</v>
      </c>
      <c r="J121" s="66">
        <f t="shared" si="24"/>
        <v>0.5752227304007308</v>
      </c>
      <c r="K121" s="66">
        <f t="shared" si="25"/>
        <v>5.0525428874454539</v>
      </c>
      <c r="M121" s="67">
        <f t="shared" si="33"/>
        <v>75859387.870568186</v>
      </c>
      <c r="N121" s="67">
        <f>IF(AND(MOD(C121,12)=1,D121&lt;15),Assumptions!$H$4*I121,0)</f>
        <v>0</v>
      </c>
      <c r="O121" s="67"/>
      <c r="P121" s="88">
        <f t="shared" si="26"/>
        <v>142161.37021477253</v>
      </c>
      <c r="Q121" s="88">
        <f>(M121+N121-O121)*VLOOKUP(MOD(C121,12)+(MOD(C121,12)=0)*12,Assumptions!$C$22:$D$33,2,FALSE)*(F121+G121)</f>
        <v>2665.5256915269852</v>
      </c>
      <c r="R121" s="67">
        <f>IF(AND(MOD(C121,12)=0,D121&lt;15),Assumptions!$C$7*M121,0)</f>
        <v>0</v>
      </c>
      <c r="S121" s="68">
        <f>IF(MOD(C121,12)=0,M121*Assumptions!$D$17,0)</f>
        <v>0</v>
      </c>
      <c r="T121" s="68">
        <f>(M121+N121-O121-P121-Q121-R121+S121)*(D122=Assumptions!$H$9)</f>
        <v>0</v>
      </c>
      <c r="U121" s="67">
        <f>T121+AE121*(1+Assumptions!$D$17)</f>
        <v>23598659.025705226</v>
      </c>
      <c r="V121" s="67">
        <f t="shared" si="27"/>
        <v>75714560.974661887</v>
      </c>
      <c r="W121" s="67"/>
      <c r="X121" s="67">
        <f>IF(AND(MOD(C121,12)=1,D121&lt;15),Assumptions!$D$10*N121+Assumptions!$D$11*(1+Assumptions!$D$16)^(B121-1)*I121,0)</f>
        <v>0</v>
      </c>
      <c r="Y121" s="65">
        <f>Assumptions!$C$13*N121</f>
        <v>0</v>
      </c>
      <c r="Z121" s="65">
        <f>NPV(Assumptions!$D$19,N122:$N$259)</f>
        <v>31094812.977491003</v>
      </c>
      <c r="AA121" s="68">
        <f t="shared" si="28"/>
        <v>23320.235087241683</v>
      </c>
      <c r="AB121" s="96"/>
      <c r="AC121" s="67">
        <f>(AC120+N120-P120-Q120-T120-W120-X120-Y120+AD120)*IF(D121=Assumptions!$H$9,0,1)</f>
        <v>97946266.007498428</v>
      </c>
      <c r="AD121" s="91">
        <f>(AF120+N121-W121-X121-Y121)*Assumptions!$D$19-(P121+Q121)*Assumptions!$D$19/2</f>
        <v>424341.51240343961</v>
      </c>
      <c r="AE121" s="67">
        <f>(AE120+(AD121-O121-R121-Q121-S121))*IF(D121=Assumptions!$H$9,0,1)</f>
        <v>23502905.280317847</v>
      </c>
      <c r="AF121" s="91">
        <f t="shared" si="29"/>
        <v>99194146.019892484</v>
      </c>
      <c r="AG121" s="67">
        <f t="shared" si="30"/>
        <v>5331.051383062033</v>
      </c>
      <c r="AH121" s="89">
        <f>AG121*Assumptions!$C$18</f>
        <v>1599.3154149186098</v>
      </c>
      <c r="AI121" s="67">
        <f t="shared" si="31"/>
        <v>3731.7359681434232</v>
      </c>
      <c r="AK121" s="67">
        <f t="shared" si="32"/>
        <v>-100.11387011663101</v>
      </c>
      <c r="AL121" s="70">
        <f t="shared" si="21"/>
        <v>-5431.165</v>
      </c>
      <c r="AM121" s="80">
        <f>(O121-W121-X121-Y121-AA121)*Assumptions!$D$19</f>
        <v>-100.11387011663248</v>
      </c>
    </row>
    <row r="122" spans="2:39" x14ac:dyDescent="0.2">
      <c r="B122" s="5">
        <f t="shared" si="17"/>
        <v>115</v>
      </c>
      <c r="C122" s="5">
        <f t="shared" si="18"/>
        <v>115</v>
      </c>
      <c r="D122" s="5">
        <f t="shared" si="19"/>
        <v>9</v>
      </c>
      <c r="E122" s="5">
        <f t="shared" si="20"/>
        <v>55</v>
      </c>
      <c r="F122" s="64">
        <f>1-(1-VLOOKUP($E122,'Annual Mortality Rates'!$B$5:$C$105,2,FALSE))^(1/12)</f>
        <v>1.9186901267576051E-4</v>
      </c>
      <c r="G122" s="74">
        <f>1-(1-IF(D122&gt;=7,2%,VLOOKUP($D122,'Annual Lapse Rates'!$B$4:$C$14,2,FALSE)))^(1/12)</f>
        <v>1.6821425527395739E-3</v>
      </c>
      <c r="H122" s="80">
        <f t="shared" si="22"/>
        <v>7</v>
      </c>
      <c r="I122" s="65">
        <f t="shared" si="23"/>
        <v>2992.3692656839198</v>
      </c>
      <c r="J122" s="66">
        <f t="shared" si="24"/>
        <v>0.57414293656806414</v>
      </c>
      <c r="K122" s="66">
        <f t="shared" si="25"/>
        <v>5.043058379339616</v>
      </c>
      <c r="M122" s="67">
        <f t="shared" si="33"/>
        <v>75714560.974661887</v>
      </c>
      <c r="N122" s="67">
        <f>IF(AND(MOD(C122,12)=1,D122&lt;15),Assumptions!$H$4*I122,0)</f>
        <v>0</v>
      </c>
      <c r="O122" s="67"/>
      <c r="P122" s="88">
        <f t="shared" si="26"/>
        <v>141889.96293686092</v>
      </c>
      <c r="Q122" s="88">
        <f>(M122+N122-O122)*VLOOKUP(MOD(C122,12)+(MOD(C122,12)=0)*12,Assumptions!$C$22:$D$33,2,FALSE)*(F122+G122)</f>
        <v>3103.8429392438325</v>
      </c>
      <c r="R122" s="67">
        <f>IF(AND(MOD(C122,12)=0,D122&lt;15),Assumptions!$C$7*M122,0)</f>
        <v>0</v>
      </c>
      <c r="S122" s="68">
        <f>IF(MOD(C122,12)=0,M122*Assumptions!$D$17,0)</f>
        <v>0</v>
      </c>
      <c r="T122" s="68">
        <f>(M122+N122-O122-P122-Q122-R122+S122)*(D123=Assumptions!$H$9)</f>
        <v>0</v>
      </c>
      <c r="U122" s="67">
        <f>T122+AE122*(1+Assumptions!$D$17)</f>
        <v>24022805.866343975</v>
      </c>
      <c r="V122" s="67">
        <f t="shared" si="27"/>
        <v>75569567.168785781</v>
      </c>
      <c r="W122" s="67"/>
      <c r="X122" s="67">
        <f>IF(AND(MOD(C122,12)=1,D122&lt;15),Assumptions!$D$10*N122+Assumptions!$D$11*(1+Assumptions!$D$16)^(B122-1)*I122,0)</f>
        <v>0</v>
      </c>
      <c r="Y122" s="65">
        <f>Assumptions!$C$13*N122</f>
        <v>0</v>
      </c>
      <c r="Z122" s="65">
        <f>NPV(Assumptions!$D$19,N123:$N$259)</f>
        <v>31228303.144124549</v>
      </c>
      <c r="AA122" s="68">
        <f t="shared" si="28"/>
        <v>23320.235087241683</v>
      </c>
      <c r="AB122" s="96"/>
      <c r="AC122" s="67">
        <f>(AC121+N121-P121-Q121-T121-W121-X121-Y121+AD121)*IF(D122=Assumptions!$H$9,0,1)</f>
        <v>98225780.623995572</v>
      </c>
      <c r="AD122" s="91">
        <f>(AF121+N122-W122-X122-Y122)*Assumptions!$D$19-(P122+Q122)*Assumptions!$D$19/2</f>
        <v>425529.66847535071</v>
      </c>
      <c r="AE122" s="67">
        <f>(AE121+(AD122-O122-R122-Q122-S122))*IF(D122=Assumptions!$H$9,0,1)</f>
        <v>23925331.105853952</v>
      </c>
      <c r="AF122" s="91">
        <f t="shared" si="29"/>
        <v>99471578.03955248</v>
      </c>
      <c r="AG122" s="67">
        <f t="shared" si="30"/>
        <v>6207.6858784937649</v>
      </c>
      <c r="AH122" s="89">
        <f>AG122*Assumptions!$C$18</f>
        <v>1862.3057635481293</v>
      </c>
      <c r="AI122" s="67">
        <f t="shared" si="31"/>
        <v>4345.3801149456358</v>
      </c>
      <c r="AK122" s="67">
        <f t="shared" si="32"/>
        <v>-100.11387011663101</v>
      </c>
      <c r="AL122" s="70">
        <f t="shared" si="21"/>
        <v>-6307.8</v>
      </c>
      <c r="AM122" s="80">
        <f>(O122-W122-X122-Y122-AA122)*Assumptions!$D$19</f>
        <v>-100.11387011663248</v>
      </c>
    </row>
    <row r="123" spans="2:39" x14ac:dyDescent="0.2">
      <c r="B123" s="5">
        <f t="shared" si="17"/>
        <v>116</v>
      </c>
      <c r="C123" s="5">
        <f t="shared" si="18"/>
        <v>116</v>
      </c>
      <c r="D123" s="5">
        <f t="shared" si="19"/>
        <v>9</v>
      </c>
      <c r="E123" s="5">
        <f t="shared" si="20"/>
        <v>55</v>
      </c>
      <c r="F123" s="64">
        <f>1-(1-VLOOKUP($E123,'Annual Mortality Rates'!$B$5:$C$105,2,FALSE))^(1/12)</f>
        <v>1.9186901267576051E-4</v>
      </c>
      <c r="G123" s="74">
        <f>1-(1-IF(D123&gt;=7,2%,VLOOKUP($D123,'Annual Lapse Rates'!$B$4:$C$14,2,FALSE)))^(1/12)</f>
        <v>1.6821425527395739E-3</v>
      </c>
      <c r="H123" s="80">
        <f t="shared" si="22"/>
        <v>8</v>
      </c>
      <c r="I123" s="65">
        <f t="shared" si="23"/>
        <v>2986.7520643680123</v>
      </c>
      <c r="J123" s="66">
        <f t="shared" si="24"/>
        <v>0.57306516969758003</v>
      </c>
      <c r="K123" s="66">
        <f t="shared" si="25"/>
        <v>5.0335916753169929</v>
      </c>
      <c r="M123" s="67">
        <f t="shared" si="33"/>
        <v>75569567.168785781</v>
      </c>
      <c r="N123" s="67">
        <f>IF(AND(MOD(C123,12)=1,D123&lt;15),Assumptions!$H$4*I123,0)</f>
        <v>0</v>
      </c>
      <c r="O123" s="67"/>
      <c r="P123" s="88">
        <f t="shared" si="26"/>
        <v>141618.24286773551</v>
      </c>
      <c r="Q123" s="88">
        <f>(M123+N123-O123)*VLOOKUP(MOD(C123,12)+(MOD(C123,12)=0)*12,Assumptions!$C$22:$D$33,2,FALSE)*(F123+G123)</f>
        <v>3540.4560716933875</v>
      </c>
      <c r="R123" s="67">
        <f>IF(AND(MOD(C123,12)=0,D123&lt;15),Assumptions!$C$7*M123,0)</f>
        <v>0</v>
      </c>
      <c r="S123" s="68">
        <f>IF(MOD(C123,12)=0,M123*Assumptions!$D$17,0)</f>
        <v>0</v>
      </c>
      <c r="T123" s="68">
        <f>(M123+N123-O123-P123-Q123-R123+S123)*(D124=Assumptions!$H$9)</f>
        <v>0</v>
      </c>
      <c r="U123" s="67">
        <f>T123+AE123*(1+Assumptions!$D$17)</f>
        <v>24447709.828859735</v>
      </c>
      <c r="V123" s="67">
        <f t="shared" si="27"/>
        <v>75424408.469846353</v>
      </c>
      <c r="W123" s="67"/>
      <c r="X123" s="67">
        <f>IF(AND(MOD(C123,12)=1,D123&lt;15),Assumptions!$D$10*N123+Assumptions!$D$11*(1+Assumptions!$D$16)^(B123-1)*I123,0)</f>
        <v>0</v>
      </c>
      <c r="Y123" s="65">
        <f>Assumptions!$C$13*N123</f>
        <v>0</v>
      </c>
      <c r="Z123" s="65">
        <f>NPV(Assumptions!$D$19,N124:$N$259)</f>
        <v>31362366.384620957</v>
      </c>
      <c r="AA123" s="68">
        <f t="shared" si="28"/>
        <v>23320.235087241683</v>
      </c>
      <c r="AB123" s="96"/>
      <c r="AC123" s="67">
        <f>(AC122+N122-P122-Q122-T122-W122-X122-Y122+AD122)*IF(D123=Assumptions!$H$9,0,1)</f>
        <v>98506316.486594811</v>
      </c>
      <c r="AD123" s="91">
        <f>(AF122+N123-W123-X123-Y123)*Assumptions!$D$19-(P123+Q123)*Assumptions!$D$19/2</f>
        <v>426720.33139264974</v>
      </c>
      <c r="AE123" s="67">
        <f>(AE122+(AD123-O123-R123-Q123-S123))*IF(D123=Assumptions!$H$9,0,1)</f>
        <v>24348510.981174909</v>
      </c>
      <c r="AF123" s="91">
        <f t="shared" si="29"/>
        <v>99749599.215934008</v>
      </c>
      <c r="AG123" s="67">
        <f t="shared" si="30"/>
        <v>7080.9121433858527</v>
      </c>
      <c r="AH123" s="89">
        <f>AG123*Assumptions!$C$18</f>
        <v>2124.2736430157556</v>
      </c>
      <c r="AI123" s="67">
        <f t="shared" si="31"/>
        <v>4956.6385003700971</v>
      </c>
      <c r="AK123" s="67">
        <f t="shared" si="32"/>
        <v>-100.11387011663101</v>
      </c>
      <c r="AL123" s="70">
        <f t="shared" si="21"/>
        <v>-7181.0259999999998</v>
      </c>
      <c r="AM123" s="80">
        <f>(O123-W123-X123-Y123-AA123)*Assumptions!$D$19</f>
        <v>-100.11387011663248</v>
      </c>
    </row>
    <row r="124" spans="2:39" x14ac:dyDescent="0.2">
      <c r="B124" s="5">
        <f t="shared" si="17"/>
        <v>117</v>
      </c>
      <c r="C124" s="5">
        <f t="shared" si="18"/>
        <v>117</v>
      </c>
      <c r="D124" s="5">
        <f t="shared" si="19"/>
        <v>9</v>
      </c>
      <c r="E124" s="5">
        <f t="shared" si="20"/>
        <v>55</v>
      </c>
      <c r="F124" s="64">
        <f>1-(1-VLOOKUP($E124,'Annual Mortality Rates'!$B$5:$C$105,2,FALSE))^(1/12)</f>
        <v>1.9186901267576051E-4</v>
      </c>
      <c r="G124" s="74">
        <f>1-(1-IF(D124&gt;=7,2%,VLOOKUP($D124,'Annual Lapse Rates'!$B$4:$C$14,2,FALSE)))^(1/12)</f>
        <v>1.6821425527395739E-3</v>
      </c>
      <c r="H124" s="80">
        <f t="shared" si="22"/>
        <v>9</v>
      </c>
      <c r="I124" s="65">
        <f t="shared" si="23"/>
        <v>2981.1454075229976</v>
      </c>
      <c r="J124" s="66">
        <f t="shared" si="24"/>
        <v>0.57198942598431524</v>
      </c>
      <c r="K124" s="66">
        <f t="shared" si="25"/>
        <v>5.0241427419561999</v>
      </c>
      <c r="M124" s="67">
        <f t="shared" si="33"/>
        <v>75424408.469846353</v>
      </c>
      <c r="N124" s="67">
        <f>IF(AND(MOD(C124,12)=1,D124&lt;15),Assumptions!$H$4*I124,0)</f>
        <v>0</v>
      </c>
      <c r="O124" s="67"/>
      <c r="P124" s="88">
        <f t="shared" si="26"/>
        <v>141346.21378710237</v>
      </c>
      <c r="Q124" s="88">
        <f>(M124+N124-O124)*VLOOKUP(MOD(C124,12)+(MOD(C124,12)=0)*12,Assumptions!$C$22:$D$33,2,FALSE)*(F124+G124)</f>
        <v>3975.362262762254</v>
      </c>
      <c r="R124" s="67">
        <f>IF(AND(MOD(C124,12)=0,D124&lt;15),Assumptions!$C$7*M124,0)</f>
        <v>0</v>
      </c>
      <c r="S124" s="68">
        <f>IF(MOD(C124,12)=0,M124*Assumptions!$D$17,0)</f>
        <v>0</v>
      </c>
      <c r="T124" s="68">
        <f>(M124+N124-O124-P124-Q124-R124+S124)*(D125=Assumptions!$H$9)</f>
        <v>0</v>
      </c>
      <c r="U124" s="67">
        <f>T124+AE124*(1+Assumptions!$D$17)</f>
        <v>24873375.1710499</v>
      </c>
      <c r="V124" s="67">
        <f t="shared" si="27"/>
        <v>75279086.893796489</v>
      </c>
      <c r="W124" s="67"/>
      <c r="X124" s="67">
        <f>IF(AND(MOD(C124,12)=1,D124&lt;15),Assumptions!$D$10*N124+Assumptions!$D$11*(1+Assumptions!$D$16)^(B124-1)*I124,0)</f>
        <v>0</v>
      </c>
      <c r="Y124" s="65">
        <f>Assumptions!$C$13*N124</f>
        <v>0</v>
      </c>
      <c r="Z124" s="65">
        <f>NPV(Assumptions!$D$19,N125:$N$259)</f>
        <v>31497005.159188807</v>
      </c>
      <c r="AA124" s="68">
        <f t="shared" si="28"/>
        <v>23320.235087241683</v>
      </c>
      <c r="AB124" s="96"/>
      <c r="AC124" s="67">
        <f>(AC123+N123-P123-Q123-T123-W123-X123-Y123+AD123)*IF(D124=Assumptions!$H$9,0,1)</f>
        <v>98787878.119048029</v>
      </c>
      <c r="AD124" s="91">
        <f>(AF123+N124-W124-X124-Y124)*Assumptions!$D$19-(P124+Q124)*Assumptions!$D$19/2</f>
        <v>427913.52788955026</v>
      </c>
      <c r="AE124" s="67">
        <f>(AE123+(AD124-O124-R124-Q124-S124))*IF(D124=Assumptions!$H$9,0,1)</f>
        <v>24772449.146801695</v>
      </c>
      <c r="AF124" s="91">
        <f t="shared" si="29"/>
        <v>100028215.80551094</v>
      </c>
      <c r="AG124" s="67">
        <f t="shared" si="30"/>
        <v>7950.7245255180751</v>
      </c>
      <c r="AH124" s="89">
        <f>AG124*Assumptions!$C$18</f>
        <v>2385.2173576554223</v>
      </c>
      <c r="AI124" s="67">
        <f t="shared" si="31"/>
        <v>5565.5071678626528</v>
      </c>
      <c r="AK124" s="67">
        <f t="shared" si="32"/>
        <v>-100.11387011663101</v>
      </c>
      <c r="AL124" s="70">
        <f t="shared" si="21"/>
        <v>-8050.8379999999997</v>
      </c>
      <c r="AM124" s="80">
        <f>(O124-W124-X124-Y124-AA124)*Assumptions!$D$19</f>
        <v>-100.11387011663248</v>
      </c>
    </row>
    <row r="125" spans="2:39" x14ac:dyDescent="0.2">
      <c r="B125" s="5">
        <f t="shared" si="17"/>
        <v>118</v>
      </c>
      <c r="C125" s="5">
        <f t="shared" si="18"/>
        <v>118</v>
      </c>
      <c r="D125" s="5">
        <f t="shared" si="19"/>
        <v>9</v>
      </c>
      <c r="E125" s="5">
        <f t="shared" si="20"/>
        <v>55</v>
      </c>
      <c r="F125" s="64">
        <f>1-(1-VLOOKUP($E125,'Annual Mortality Rates'!$B$5:$C$105,2,FALSE))^(1/12)</f>
        <v>1.9186901267576051E-4</v>
      </c>
      <c r="G125" s="74">
        <f>1-(1-IF(D125&gt;=7,2%,VLOOKUP($D125,'Annual Lapse Rates'!$B$4:$C$14,2,FALSE)))^(1/12)</f>
        <v>1.6821425527395739E-3</v>
      </c>
      <c r="H125" s="80">
        <f t="shared" si="22"/>
        <v>10</v>
      </c>
      <c r="I125" s="65">
        <f t="shared" si="23"/>
        <v>2975.5492753550575</v>
      </c>
      <c r="J125" s="66">
        <f t="shared" si="24"/>
        <v>0.57091570163044947</v>
      </c>
      <c r="K125" s="66">
        <f t="shared" si="25"/>
        <v>5.0147115458985922</v>
      </c>
      <c r="M125" s="67">
        <f t="shared" si="33"/>
        <v>75279086.893796489</v>
      </c>
      <c r="N125" s="67">
        <f>IF(AND(MOD(C125,12)=1,D125&lt;15),Assumptions!$H$4*I125,0)</f>
        <v>0</v>
      </c>
      <c r="O125" s="67"/>
      <c r="P125" s="88">
        <f t="shared" si="26"/>
        <v>141073.87947288054</v>
      </c>
      <c r="Q125" s="88">
        <f>(M125+N125-O125)*VLOOKUP(MOD(C125,12)+(MOD(C125,12)=0)*12,Assumptions!$C$22:$D$33,2,FALSE)*(F125+G125)</f>
        <v>4408.5587335275168</v>
      </c>
      <c r="R125" s="67">
        <f>IF(AND(MOD(C125,12)=0,D125&lt;15),Assumptions!$C$7*M125,0)</f>
        <v>0</v>
      </c>
      <c r="S125" s="68">
        <f>IF(MOD(C125,12)=0,M125*Assumptions!$D$17,0)</f>
        <v>0</v>
      </c>
      <c r="T125" s="68">
        <f>(M125+N125-O125-P125-Q125-R125+S125)*(D126=Assumptions!$H$9)</f>
        <v>0</v>
      </c>
      <c r="U125" s="67">
        <f>T125+AE125*(1+Assumptions!$D$17)</f>
        <v>25299806.180468444</v>
      </c>
      <c r="V125" s="67">
        <f t="shared" si="27"/>
        <v>75133604.455590084</v>
      </c>
      <c r="W125" s="67"/>
      <c r="X125" s="67">
        <f>IF(AND(MOD(C125,12)=1,D125&lt;15),Assumptions!$D$10*N125+Assumptions!$D$11*(1+Assumptions!$D$16)^(B125-1)*I125,0)</f>
        <v>0</v>
      </c>
      <c r="Y125" s="65">
        <f>Assumptions!$C$13*N125</f>
        <v>0</v>
      </c>
      <c r="Z125" s="65">
        <f>NPV(Assumptions!$D$19,N126:$N$259)</f>
        <v>31632221.938598331</v>
      </c>
      <c r="AA125" s="68">
        <f t="shared" si="28"/>
        <v>23320.235087241683</v>
      </c>
      <c r="AB125" s="96"/>
      <c r="AC125" s="67">
        <f>(AC124+N124-P124-Q124-T124-W124-X124-Y124+AD124)*IF(D125=Assumptions!$H$9,0,1)</f>
        <v>99070470.070887715</v>
      </c>
      <c r="AD125" s="91">
        <f>(AF124+N125-W125-X125-Y125)*Assumptions!$D$19-(P125+Q125)*Assumptions!$D$19/2</f>
        <v>429109.28482297744</v>
      </c>
      <c r="AE125" s="67">
        <f>(AE124+(AD125-O125-R125-Q125-S125))*IF(D125=Assumptions!$H$9,0,1)</f>
        <v>25197149.872891147</v>
      </c>
      <c r="AF125" s="91">
        <f t="shared" si="29"/>
        <v>100307434.09339398</v>
      </c>
      <c r="AG125" s="67">
        <f t="shared" si="30"/>
        <v>8817.117467053642</v>
      </c>
      <c r="AH125" s="89">
        <f>AG125*Assumptions!$C$18</f>
        <v>2645.1352401160925</v>
      </c>
      <c r="AI125" s="67">
        <f t="shared" si="31"/>
        <v>6171.9822269375491</v>
      </c>
      <c r="AK125" s="67">
        <f t="shared" si="32"/>
        <v>-100.11387011663101</v>
      </c>
      <c r="AL125" s="70">
        <f t="shared" si="21"/>
        <v>-8917.2309999999998</v>
      </c>
      <c r="AM125" s="80">
        <f>(O125-W125-X125-Y125-AA125)*Assumptions!$D$19</f>
        <v>-100.11387011663248</v>
      </c>
    </row>
    <row r="126" spans="2:39" x14ac:dyDescent="0.2">
      <c r="B126" s="5">
        <f t="shared" si="17"/>
        <v>119</v>
      </c>
      <c r="C126" s="5">
        <f t="shared" si="18"/>
        <v>119</v>
      </c>
      <c r="D126" s="5">
        <f t="shared" si="19"/>
        <v>9</v>
      </c>
      <c r="E126" s="5">
        <f t="shared" si="20"/>
        <v>55</v>
      </c>
      <c r="F126" s="64">
        <f>1-(1-VLOOKUP($E126,'Annual Mortality Rates'!$B$5:$C$105,2,FALSE))^(1/12)</f>
        <v>1.9186901267576051E-4</v>
      </c>
      <c r="G126" s="74">
        <f>1-(1-IF(D126&gt;=7,2%,VLOOKUP($D126,'Annual Lapse Rates'!$B$4:$C$14,2,FALSE)))^(1/12)</f>
        <v>1.6821425527395739E-3</v>
      </c>
      <c r="H126" s="80">
        <f t="shared" si="22"/>
        <v>11</v>
      </c>
      <c r="I126" s="65">
        <f t="shared" si="23"/>
        <v>2969.9636481075286</v>
      </c>
      <c r="J126" s="66">
        <f t="shared" si="24"/>
        <v>0.5698439928452913</v>
      </c>
      <c r="K126" s="66">
        <f t="shared" si="25"/>
        <v>5.0052980538481453</v>
      </c>
      <c r="M126" s="67">
        <f t="shared" si="33"/>
        <v>75133604.455590084</v>
      </c>
      <c r="N126" s="67">
        <f>IF(AND(MOD(C126,12)=1,D126&lt;15),Assumptions!$H$4*I126,0)</f>
        <v>0</v>
      </c>
      <c r="O126" s="67"/>
      <c r="P126" s="88">
        <f t="shared" si="26"/>
        <v>140801.24370111691</v>
      </c>
      <c r="Q126" s="88">
        <f>(M126+N126-O126)*VLOOKUP(MOD(C126,12)+(MOD(C126,12)=0)*12,Assumptions!$C$22:$D$33,2,FALSE)*(F126+G126)</f>
        <v>4840.0427522258942</v>
      </c>
      <c r="R126" s="67">
        <f>IF(AND(MOD(C126,12)=0,D126&lt;15),Assumptions!$C$7*M126,0)</f>
        <v>0</v>
      </c>
      <c r="S126" s="68">
        <f>IF(MOD(C126,12)=0,M126*Assumptions!$D$17,0)</f>
        <v>0</v>
      </c>
      <c r="T126" s="68">
        <f>(M126+N126-O126-P126-Q126-R126+S126)*(D127=Assumptions!$H$9)</f>
        <v>0</v>
      </c>
      <c r="U126" s="67">
        <f>T126+AE126*(1+Assumptions!$D$17)</f>
        <v>25727007.174501926</v>
      </c>
      <c r="V126" s="67">
        <f t="shared" si="27"/>
        <v>74987963.169136748</v>
      </c>
      <c r="W126" s="67"/>
      <c r="X126" s="67">
        <f>IF(AND(MOD(C126,12)=1,D126&lt;15),Assumptions!$D$10*N126+Assumptions!$D$11*(1+Assumptions!$D$16)^(B126-1)*I126,0)</f>
        <v>0</v>
      </c>
      <c r="Y126" s="65">
        <f>Assumptions!$C$13*N126</f>
        <v>0</v>
      </c>
      <c r="Z126" s="65">
        <f>NPV(Assumptions!$D$19,N127:$N$259)</f>
        <v>31768019.204226837</v>
      </c>
      <c r="AA126" s="68">
        <f t="shared" si="28"/>
        <v>23320.235087241683</v>
      </c>
      <c r="AB126" s="96"/>
      <c r="AC126" s="67">
        <f>(AC125+N125-P125-Q125-T125-W125-X125-Y125+AD125)*IF(D126=Assumptions!$H$9,0,1)</f>
        <v>99354096.917504281</v>
      </c>
      <c r="AD126" s="91">
        <f>(AF125+N126-W126-X126-Y126)*Assumptions!$D$19-(P126+Q126)*Assumptions!$D$19/2</f>
        <v>430307.62917269708</v>
      </c>
      <c r="AE126" s="67">
        <f>(AE125+(AD126-O126-R126-Q126-S126))*IF(D126=Assumptions!$H$9,0,1)</f>
        <v>25622617.459311619</v>
      </c>
      <c r="AF126" s="91">
        <f t="shared" si="29"/>
        <v>100587260.39336112</v>
      </c>
      <c r="AG126" s="67">
        <f t="shared" si="30"/>
        <v>9680.0855044402415</v>
      </c>
      <c r="AH126" s="89">
        <f>AG126*Assumptions!$C$18</f>
        <v>2904.0256513320724</v>
      </c>
      <c r="AI126" s="67">
        <f t="shared" si="31"/>
        <v>6776.0598531081687</v>
      </c>
      <c r="AK126" s="67">
        <f t="shared" si="32"/>
        <v>-100.11387011663101</v>
      </c>
      <c r="AL126" s="70">
        <f t="shared" si="21"/>
        <v>-9780.1990000000005</v>
      </c>
      <c r="AM126" s="80">
        <f>(O126-W126-X126-Y126-AA126)*Assumptions!$D$19</f>
        <v>-100.11387011663248</v>
      </c>
    </row>
    <row r="127" spans="2:39" x14ac:dyDescent="0.2">
      <c r="B127" s="5">
        <f t="shared" si="17"/>
        <v>120</v>
      </c>
      <c r="C127" s="5">
        <f t="shared" si="18"/>
        <v>120</v>
      </c>
      <c r="D127" s="5">
        <f t="shared" si="19"/>
        <v>9</v>
      </c>
      <c r="E127" s="5">
        <f t="shared" si="20"/>
        <v>55</v>
      </c>
      <c r="F127" s="64">
        <f>1-(1-VLOOKUP($E127,'Annual Mortality Rates'!$B$5:$C$105,2,FALSE))^(1/12)</f>
        <v>1.9186901267576051E-4</v>
      </c>
      <c r="G127" s="74">
        <f>1-(1-IF(D127&gt;=7,2%,VLOOKUP($D127,'Annual Lapse Rates'!$B$4:$C$14,2,FALSE)))^(1/12)</f>
        <v>1.6821425527395739E-3</v>
      </c>
      <c r="H127" s="80">
        <f t="shared" si="22"/>
        <v>12</v>
      </c>
      <c r="I127" s="65">
        <f t="shared" si="23"/>
        <v>2964.3885060608354</v>
      </c>
      <c r="J127" s="66">
        <f t="shared" si="24"/>
        <v>0.56877429584526518</v>
      </c>
      <c r="K127" s="66">
        <f t="shared" si="25"/>
        <v>4.9959022325713356</v>
      </c>
      <c r="M127" s="67">
        <f t="shared" si="33"/>
        <v>74987963.169136748</v>
      </c>
      <c r="N127" s="67">
        <f>IF(AND(MOD(C127,12)=1,D127&lt;15),Assumptions!$H$4*I127,0)</f>
        <v>0</v>
      </c>
      <c r="O127" s="67"/>
      <c r="P127" s="88">
        <f t="shared" si="26"/>
        <v>140528.3102459014</v>
      </c>
      <c r="Q127" s="88">
        <f>(M127+N127-O127)*VLOOKUP(MOD(C127,12)+(MOD(C127,12)=0)*12,Assumptions!$C$22:$D$33,2,FALSE)*(F127+G127)</f>
        <v>5269.8116342213034</v>
      </c>
      <c r="R127" s="67">
        <f>IF(AND(MOD(C127,12)=0,D127&lt;15),Assumptions!$C$7*M127,0)</f>
        <v>37493.981584568377</v>
      </c>
      <c r="S127" s="68">
        <f>IF(MOD(C127,12)=0,M127*Assumptions!$D$17,0)</f>
        <v>305510.24423472676</v>
      </c>
      <c r="T127" s="68">
        <f>(M127+N127-O127-P127-Q127-R127+S127)*(D128=Assumptions!$H$9)</f>
        <v>0</v>
      </c>
      <c r="U127" s="67">
        <f>T127+AE127*(1+Assumptions!$D$17)</f>
        <v>25810580.832952026</v>
      </c>
      <c r="V127" s="67">
        <f t="shared" si="27"/>
        <v>75110181.309906781</v>
      </c>
      <c r="W127" s="67"/>
      <c r="X127" s="67">
        <f>IF(AND(MOD(C127,12)=1,D127&lt;15),Assumptions!$D$10*N127+Assumptions!$D$11*(1+Assumptions!$D$16)^(B127-1)*I127,0)</f>
        <v>0</v>
      </c>
      <c r="Y127" s="65">
        <f>Assumptions!$C$13*N127</f>
        <v>0</v>
      </c>
      <c r="Z127" s="65">
        <f>NPV(Assumptions!$D$19,N128:$N$259)</f>
        <v>31904399.448104165</v>
      </c>
      <c r="AA127" s="68">
        <f t="shared" si="28"/>
        <v>23320.235087241683</v>
      </c>
      <c r="AB127" s="96"/>
      <c r="AC127" s="67">
        <f>(AC126+N126-P126-Q126-T126-W126-X126-Y126+AD126)*IF(D127=Assumptions!$H$9,0,1)</f>
        <v>99638763.260223642</v>
      </c>
      <c r="AD127" s="91">
        <f>(AF126+N127-W127-X127-Y127)*Assumptions!$D$19-(P127+Q127)*Assumptions!$D$19/2</f>
        <v>431508.58804144693</v>
      </c>
      <c r="AE127" s="67">
        <f>(AE126+(AD127-O127-R127-Q127-S127))*IF(D127=Assumptions!$H$9,0,1)</f>
        <v>25705852.009899549</v>
      </c>
      <c r="AF127" s="91">
        <f t="shared" si="29"/>
        <v>100792713.08471909</v>
      </c>
      <c r="AG127" s="67">
        <f t="shared" si="30"/>
        <v>85527.586437575286</v>
      </c>
      <c r="AH127" s="89">
        <f>AG127*Assumptions!$C$18</f>
        <v>25658.275931272587</v>
      </c>
      <c r="AI127" s="67">
        <f t="shared" si="31"/>
        <v>59869.310506302703</v>
      </c>
      <c r="AK127" s="67">
        <f t="shared" si="32"/>
        <v>37393.867714451742</v>
      </c>
      <c r="AL127" s="70">
        <f t="shared" si="21"/>
        <v>-48133.718999999997</v>
      </c>
      <c r="AM127" s="80">
        <f>(O127-W127-X127-Y127-AA127)*Assumptions!$D$19</f>
        <v>-100.11387011663248</v>
      </c>
    </row>
    <row r="128" spans="2:39" x14ac:dyDescent="0.2">
      <c r="B128" s="5">
        <f t="shared" si="17"/>
        <v>121</v>
      </c>
      <c r="C128" s="5">
        <f t="shared" si="18"/>
        <v>121</v>
      </c>
      <c r="D128" s="5">
        <f t="shared" si="19"/>
        <v>10</v>
      </c>
      <c r="E128" s="5">
        <f t="shared" si="20"/>
        <v>56</v>
      </c>
      <c r="F128" s="64">
        <f>1-(1-VLOOKUP($E128,'Annual Mortality Rates'!$B$5:$C$105,2,FALSE))^(1/12)</f>
        <v>2.1274876474763893E-4</v>
      </c>
      <c r="G128" s="74">
        <f>1-(1-IF(D128&gt;=7,2%,VLOOKUP($D128,'Annual Lapse Rates'!$B$4:$C$14,2,FALSE)))^(1/12)</f>
        <v>1.6821425527395739E-3</v>
      </c>
      <c r="H128" s="80">
        <f t="shared" si="22"/>
        <v>1</v>
      </c>
      <c r="I128" s="65">
        <f t="shared" si="23"/>
        <v>2958.8238295324186</v>
      </c>
      <c r="J128" s="66">
        <f t="shared" si="24"/>
        <v>0.6294861148389006</v>
      </c>
      <c r="K128" s="66">
        <f t="shared" si="25"/>
        <v>4.9865240488970253</v>
      </c>
      <c r="M128" s="67">
        <f t="shared" si="33"/>
        <v>75110181.309906781</v>
      </c>
      <c r="N128" s="67">
        <f>IF(AND(MOD(C128,12)=1,D128&lt;15),Assumptions!$H$4*I128,0)</f>
        <v>7397059.573831046</v>
      </c>
      <c r="O128" s="67"/>
      <c r="P128" s="88">
        <f t="shared" si="26"/>
        <v>156342.25438042081</v>
      </c>
      <c r="Q128" s="88">
        <f>(M128+N128-O128)*VLOOKUP(MOD(C128,12)+(MOD(C128,12)=0)*12,Assumptions!$C$22:$D$33,2,FALSE)*(F128+G128)</f>
        <v>488.56954493881506</v>
      </c>
      <c r="R128" s="67">
        <f>IF(AND(MOD(C128,12)=0,D128&lt;15),Assumptions!$C$7*M128,0)</f>
        <v>0</v>
      </c>
      <c r="S128" s="68">
        <f>IF(MOD(C128,12)=0,M128*Assumptions!$D$17,0)</f>
        <v>0</v>
      </c>
      <c r="T128" s="68">
        <f>(M128+N128-O128-P128-Q128-R128+S128)*(D129=Assumptions!$H$9)</f>
        <v>0</v>
      </c>
      <c r="U128" s="67">
        <f>T128+AE128*(1+Assumptions!$D$17)</f>
        <v>26275683.784236833</v>
      </c>
      <c r="V128" s="67">
        <f t="shared" si="27"/>
        <v>82350410.059812471</v>
      </c>
      <c r="W128" s="67"/>
      <c r="X128" s="67">
        <f>IF(AND(MOD(C128,12)=1,D128&lt;15),Assumptions!$D$10*N128+Assumptions!$D$11*(1+Assumptions!$D$16)^(B128-1)*I128,0)</f>
        <v>60429.43116581432</v>
      </c>
      <c r="Y128" s="65">
        <f>Assumptions!$C$13*N128</f>
        <v>36985.297869155234</v>
      </c>
      <c r="Z128" s="65">
        <f>NPV(Assumptions!$D$19,N129:$N$259)</f>
        <v>24644305.599127416</v>
      </c>
      <c r="AA128" s="68">
        <f t="shared" si="28"/>
        <v>18882.684995617346</v>
      </c>
      <c r="AB128" s="96"/>
      <c r="AC128" s="67">
        <f>(AC127+N127-P127-Q127-T127-W127-X127-Y127+AD127)*IF(D128=Assumptions!$H$9,0,1)</f>
        <v>99924473.726384953</v>
      </c>
      <c r="AD128" s="91">
        <f>(AF127+N128-W128-X128-Y128)*Assumptions!$D$19-(P128+Q128)*Assumptions!$D$19/2</f>
        <v>463704.32251361583</v>
      </c>
      <c r="AE128" s="67">
        <f>(AE127+(AD128-O128-R128-Q128-S128))*IF(D128=Assumptions!$H$9,0,1)</f>
        <v>26169067.762868226</v>
      </c>
      <c r="AF128" s="91">
        <f t="shared" si="29"/>
        <v>108500595.13768508</v>
      </c>
      <c r="AG128" s="67">
        <f t="shared" si="30"/>
        <v>-100875.14003671228</v>
      </c>
      <c r="AH128" s="89">
        <f>AG128*Assumptions!$C$18</f>
        <v>-30262.542011013684</v>
      </c>
      <c r="AI128" s="67">
        <f t="shared" si="31"/>
        <v>-70612.598025698593</v>
      </c>
      <c r="AK128" s="67">
        <f t="shared" si="32"/>
        <v>-102351.5444281486</v>
      </c>
      <c r="AL128" s="70">
        <f t="shared" si="21"/>
        <v>-1476.404</v>
      </c>
      <c r="AM128" s="80">
        <f>(O128-W128-X128-Y128-AA128)*Assumptions!$D$19</f>
        <v>-499.26530155470829</v>
      </c>
    </row>
    <row r="129" spans="2:39" x14ac:dyDescent="0.2">
      <c r="B129" s="5">
        <f t="shared" si="17"/>
        <v>122</v>
      </c>
      <c r="C129" s="5">
        <f t="shared" si="18"/>
        <v>122</v>
      </c>
      <c r="D129" s="5">
        <f t="shared" si="19"/>
        <v>10</v>
      </c>
      <c r="E129" s="5">
        <f t="shared" si="20"/>
        <v>56</v>
      </c>
      <c r="F129" s="64">
        <f>1-(1-VLOOKUP($E129,'Annual Mortality Rates'!$B$5:$C$105,2,FALSE))^(1/12)</f>
        <v>2.1274876474763893E-4</v>
      </c>
      <c r="G129" s="74">
        <f>1-(1-IF(D129&gt;=7,2%,VLOOKUP($D129,'Annual Lapse Rates'!$B$4:$C$14,2,FALSE)))^(1/12)</f>
        <v>1.6821425527395739E-3</v>
      </c>
      <c r="H129" s="80">
        <f t="shared" si="22"/>
        <v>2</v>
      </c>
      <c r="I129" s="65">
        <f t="shared" si="23"/>
        <v>2953.2078193686825</v>
      </c>
      <c r="J129" s="66">
        <f t="shared" si="24"/>
        <v>0.62829131561375562</v>
      </c>
      <c r="K129" s="66">
        <f t="shared" si="25"/>
        <v>4.9771634697163449</v>
      </c>
      <c r="M129" s="67">
        <f t="shared" si="33"/>
        <v>82350410.059812471</v>
      </c>
      <c r="N129" s="67">
        <f>IF(AND(MOD(C129,12)=1,D129&lt;15),Assumptions!$H$4*I129,0)</f>
        <v>0</v>
      </c>
      <c r="O129" s="67"/>
      <c r="P129" s="88">
        <f t="shared" si="26"/>
        <v>156045.07701385027</v>
      </c>
      <c r="Q129" s="88">
        <f>(M129+N129-O129)*VLOOKUP(MOD(C129,12)+(MOD(C129,12)=0)*12,Assumptions!$C$22:$D$33,2,FALSE)*(F129+G129)</f>
        <v>975.28173133656435</v>
      </c>
      <c r="R129" s="67">
        <f>IF(AND(MOD(C129,12)=0,D129&lt;15),Assumptions!$C$7*M129,0)</f>
        <v>0</v>
      </c>
      <c r="S129" s="68">
        <f>IF(MOD(C129,12)=0,M129*Assumptions!$D$17,0)</f>
        <v>0</v>
      </c>
      <c r="T129" s="68">
        <f>(M129+N129-O129-P129-Q129-R129+S129)*(D130=Assumptions!$H$9)</f>
        <v>0</v>
      </c>
      <c r="U129" s="67">
        <f>T129+AE129*(1+Assumptions!$D$17)</f>
        <v>26742057.336179003</v>
      </c>
      <c r="V129" s="67">
        <f t="shared" si="27"/>
        <v>82193389.701067284</v>
      </c>
      <c r="W129" s="67"/>
      <c r="X129" s="67">
        <f>IF(AND(MOD(C129,12)=1,D129&lt;15),Assumptions!$D$10*N129+Assumptions!$D$11*(1+Assumptions!$D$16)^(B129-1)*I129,0)</f>
        <v>0</v>
      </c>
      <c r="Y129" s="65">
        <f>Assumptions!$C$13*N129</f>
        <v>0</v>
      </c>
      <c r="Z129" s="65">
        <f>NPV(Assumptions!$D$19,N130:$N$259)</f>
        <v>24750103.709679712</v>
      </c>
      <c r="AA129" s="68">
        <f t="shared" si="28"/>
        <v>18882.684995617346</v>
      </c>
      <c r="AB129" s="96"/>
      <c r="AC129" s="67">
        <f>(AC128+N128-P128-Q128-T128-W128-X128-Y128+AD128)*IF(D129=Assumptions!$H$9,0,1)</f>
        <v>107530992.06976928</v>
      </c>
      <c r="AD129" s="91">
        <f>(AF128+N129-W129-X129-Y129)*Assumptions!$D$19-(P129+Q129)*Assumptions!$D$19/2</f>
        <v>465456.47977748857</v>
      </c>
      <c r="AE129" s="67">
        <f>(AE128+(AD129-O129-R129-Q129-S129))*IF(D129=Assumptions!$H$9,0,1)</f>
        <v>26633548.960914377</v>
      </c>
      <c r="AF129" s="91">
        <f t="shared" si="29"/>
        <v>108808055.97698604</v>
      </c>
      <c r="AG129" s="67">
        <f t="shared" si="30"/>
        <v>1950.5634626779938</v>
      </c>
      <c r="AH129" s="89">
        <f>AG129*Assumptions!$C$18</f>
        <v>585.16903880339817</v>
      </c>
      <c r="AI129" s="67">
        <f t="shared" si="31"/>
        <v>1365.3944238745958</v>
      </c>
      <c r="AK129" s="67">
        <f t="shared" si="32"/>
        <v>-81.063448375731241</v>
      </c>
      <c r="AL129" s="70">
        <f t="shared" si="21"/>
        <v>-2031.627</v>
      </c>
      <c r="AM129" s="80">
        <f>(O129-W129-X129-Y129-AA129)*Assumptions!$D$19</f>
        <v>-81.063448375730701</v>
      </c>
    </row>
    <row r="130" spans="2:39" x14ac:dyDescent="0.2">
      <c r="B130" s="5">
        <f t="shared" si="17"/>
        <v>123</v>
      </c>
      <c r="C130" s="5">
        <f t="shared" si="18"/>
        <v>123</v>
      </c>
      <c r="D130" s="5">
        <f t="shared" si="19"/>
        <v>10</v>
      </c>
      <c r="E130" s="5">
        <f t="shared" si="20"/>
        <v>56</v>
      </c>
      <c r="F130" s="64">
        <f>1-(1-VLOOKUP($E130,'Annual Mortality Rates'!$B$5:$C$105,2,FALSE))^(1/12)</f>
        <v>2.1274876474763893E-4</v>
      </c>
      <c r="G130" s="74">
        <f>1-(1-IF(D130&gt;=7,2%,VLOOKUP($D130,'Annual Lapse Rates'!$B$4:$C$14,2,FALSE)))^(1/12)</f>
        <v>1.6821425527395739E-3</v>
      </c>
      <c r="H130" s="80">
        <f t="shared" si="22"/>
        <v>3</v>
      </c>
      <c r="I130" s="65">
        <f t="shared" si="23"/>
        <v>2947.6023645833525</v>
      </c>
      <c r="J130" s="66">
        <f t="shared" si="24"/>
        <v>0.62709876203232784</v>
      </c>
      <c r="K130" s="66">
        <f t="shared" si="25"/>
        <v>4.9677165400433063</v>
      </c>
      <c r="M130" s="67">
        <f t="shared" si="33"/>
        <v>82193389.701067284</v>
      </c>
      <c r="N130" s="67">
        <f>IF(AND(MOD(C130,12)=1,D130&lt;15),Assumptions!$H$4*I130,0)</f>
        <v>0</v>
      </c>
      <c r="O130" s="67"/>
      <c r="P130" s="88">
        <f t="shared" si="26"/>
        <v>155747.54049939528</v>
      </c>
      <c r="Q130" s="88">
        <f>(M130+N130-O130)*VLOOKUP(MOD(C130,12)+(MOD(C130,12)=0)*12,Assumptions!$C$22:$D$33,2,FALSE)*(F130+G130)</f>
        <v>1460.1331921818312</v>
      </c>
      <c r="R130" s="67">
        <f>IF(AND(MOD(C130,12)=0,D130&lt;15),Assumptions!$C$7*M130,0)</f>
        <v>0</v>
      </c>
      <c r="S130" s="68">
        <f>IF(MOD(C130,12)=0,M130*Assumptions!$D$17,0)</f>
        <v>0</v>
      </c>
      <c r="T130" s="68">
        <f>(M130+N130-O130-P130-Q130-R130+S130)*(D131=Assumptions!$H$9)</f>
        <v>0</v>
      </c>
      <c r="U130" s="67">
        <f>T130+AE130*(1+Assumptions!$D$17)</f>
        <v>27209268.965879783</v>
      </c>
      <c r="V130" s="67">
        <f t="shared" si="27"/>
        <v>82036182.027375713</v>
      </c>
      <c r="W130" s="67"/>
      <c r="X130" s="67">
        <f>IF(AND(MOD(C130,12)=1,D130&lt;15),Assumptions!$D$10*N130+Assumptions!$D$11*(1+Assumptions!$D$16)^(B130-1)*I130,0)</f>
        <v>0</v>
      </c>
      <c r="Y130" s="65">
        <f>Assumptions!$C$13*N130</f>
        <v>0</v>
      </c>
      <c r="Z130" s="65">
        <f>NPV(Assumptions!$D$19,N131:$N$259)</f>
        <v>24856356.011978317</v>
      </c>
      <c r="AA130" s="68">
        <f t="shared" si="28"/>
        <v>18882.684995617346</v>
      </c>
      <c r="AB130" s="96"/>
      <c r="AC130" s="67">
        <f>(AC129+N129-P129-Q129-T129-W129-X129-Y129+AD129)*IF(D130=Assumptions!$H$9,0,1)</f>
        <v>107839428.19080158</v>
      </c>
      <c r="AD130" s="91">
        <f>(AF129+N130-W130-X130-Y130)*Assumptions!$D$19-(P130+Q130)*Assumptions!$D$19/2</f>
        <v>466776.00841879525</v>
      </c>
      <c r="AE130" s="67">
        <f>(AE129+(AD130-O130-R130-Q130-S130))*IF(D130=Assumptions!$H$9,0,1)</f>
        <v>27098864.83614099</v>
      </c>
      <c r="AF130" s="91">
        <f t="shared" si="29"/>
        <v>109116164.17852108</v>
      </c>
      <c r="AG130" s="67">
        <f t="shared" si="30"/>
        <v>2920.2663843538612</v>
      </c>
      <c r="AH130" s="89">
        <f>AG130*Assumptions!$C$18</f>
        <v>876.07991530615834</v>
      </c>
      <c r="AI130" s="67">
        <f t="shared" si="31"/>
        <v>2044.1864690477028</v>
      </c>
      <c r="AK130" s="67">
        <f t="shared" si="32"/>
        <v>-81.063448375731241</v>
      </c>
      <c r="AL130" s="70">
        <f t="shared" si="21"/>
        <v>-3001.33</v>
      </c>
      <c r="AM130" s="80">
        <f>(O130-W130-X130-Y130-AA130)*Assumptions!$D$19</f>
        <v>-81.063448375730701</v>
      </c>
    </row>
    <row r="131" spans="2:39" x14ac:dyDescent="0.2">
      <c r="B131" s="5">
        <f t="shared" si="17"/>
        <v>124</v>
      </c>
      <c r="C131" s="5">
        <f t="shared" si="18"/>
        <v>124</v>
      </c>
      <c r="D131" s="5">
        <f t="shared" si="19"/>
        <v>10</v>
      </c>
      <c r="E131" s="5">
        <f t="shared" si="20"/>
        <v>56</v>
      </c>
      <c r="F131" s="64">
        <f>1-(1-VLOOKUP($E131,'Annual Mortality Rates'!$B$5:$C$105,2,FALSE))^(1/12)</f>
        <v>2.1274876474763893E-4</v>
      </c>
      <c r="G131" s="74">
        <f>1-(1-IF(D131&gt;=7,2%,VLOOKUP($D131,'Annual Lapse Rates'!$B$4:$C$14,2,FALSE)))^(1/12)</f>
        <v>1.6821425527395739E-3</v>
      </c>
      <c r="H131" s="80">
        <f t="shared" si="22"/>
        <v>4</v>
      </c>
      <c r="I131" s="65">
        <f t="shared" si="23"/>
        <v>2942.0075492812766</v>
      </c>
      <c r="J131" s="66">
        <f t="shared" si="24"/>
        <v>0.62590847198782007</v>
      </c>
      <c r="K131" s="66">
        <f t="shared" si="25"/>
        <v>4.9582873660214446</v>
      </c>
      <c r="M131" s="67">
        <f t="shared" si="33"/>
        <v>82036182.027375713</v>
      </c>
      <c r="N131" s="67">
        <f>IF(AND(MOD(C131,12)=1,D131&lt;15),Assumptions!$H$4*I131,0)</f>
        <v>0</v>
      </c>
      <c r="O131" s="67"/>
      <c r="P131" s="88">
        <f t="shared" si="26"/>
        <v>155449.64904347478</v>
      </c>
      <c r="Q131" s="88">
        <f>(M131+N131-O131)*VLOOKUP(MOD(C131,12)+(MOD(C131,12)=0)*12,Assumptions!$C$22:$D$33,2,FALSE)*(F131+G131)</f>
        <v>1943.1206130434348</v>
      </c>
      <c r="R131" s="67">
        <f>IF(AND(MOD(C131,12)=0,D131&lt;15),Assumptions!$C$7*M131,0)</f>
        <v>0</v>
      </c>
      <c r="S131" s="68">
        <f>IF(MOD(C131,12)=0,M131*Assumptions!$D$17,0)</f>
        <v>0</v>
      </c>
      <c r="T131" s="68">
        <f>(M131+N131-O131-P131-Q131-R131+S131)*(D132=Assumptions!$H$9)</f>
        <v>0</v>
      </c>
      <c r="U131" s="67">
        <f>T131+AE131*(1+Assumptions!$D$17)</f>
        <v>27677323.340207335</v>
      </c>
      <c r="V131" s="67">
        <f t="shared" si="27"/>
        <v>81878789.257719204</v>
      </c>
      <c r="W131" s="67"/>
      <c r="X131" s="67">
        <f>IF(AND(MOD(C131,12)=1,D131&lt;15),Assumptions!$D$10*N131+Assumptions!$D$11*(1+Assumptions!$D$16)^(B131-1)*I131,0)</f>
        <v>0</v>
      </c>
      <c r="Y131" s="65">
        <f>Assumptions!$C$13*N131</f>
        <v>0</v>
      </c>
      <c r="Z131" s="65">
        <f>NPV(Assumptions!$D$19,N132:$N$259)</f>
        <v>24963064.455870349</v>
      </c>
      <c r="AA131" s="68">
        <f t="shared" si="28"/>
        <v>18882.684995617346</v>
      </c>
      <c r="AB131" s="96"/>
      <c r="AC131" s="67">
        <f>(AC130+N130-P130-Q130-T130-W130-X130-Y130+AD130)*IF(D131=Assumptions!$H$9,0,1)</f>
        <v>108148996.5255288</v>
      </c>
      <c r="AD131" s="91">
        <f>(AF130+N131-W131-X131-Y131)*Assumptions!$D$19-(P131+Q131)*Assumptions!$D$19/2</f>
        <v>468098.32095202192</v>
      </c>
      <c r="AE131" s="67">
        <f>(AE130+(AD131-O131-R131-Q131-S131))*IF(D131=Assumptions!$H$9,0,1)</f>
        <v>27565020.036479969</v>
      </c>
      <c r="AF131" s="91">
        <f t="shared" si="29"/>
        <v>109424926.60920355</v>
      </c>
      <c r="AG131" s="67">
        <f t="shared" si="30"/>
        <v>3886.2412260816782</v>
      </c>
      <c r="AH131" s="89">
        <f>AG131*Assumptions!$C$18</f>
        <v>1165.8723678245035</v>
      </c>
      <c r="AI131" s="67">
        <f t="shared" si="31"/>
        <v>2720.3688582571749</v>
      </c>
      <c r="AK131" s="67">
        <f t="shared" si="32"/>
        <v>-81.063448375731241</v>
      </c>
      <c r="AL131" s="70">
        <f t="shared" si="21"/>
        <v>-3967.3049999999998</v>
      </c>
      <c r="AM131" s="80">
        <f>(O131-W131-X131-Y131-AA131)*Assumptions!$D$19</f>
        <v>-81.063448375730701</v>
      </c>
    </row>
    <row r="132" spans="2:39" x14ac:dyDescent="0.2">
      <c r="B132" s="5">
        <f t="shared" si="17"/>
        <v>125</v>
      </c>
      <c r="C132" s="5">
        <f t="shared" si="18"/>
        <v>125</v>
      </c>
      <c r="D132" s="5">
        <f t="shared" si="19"/>
        <v>10</v>
      </c>
      <c r="E132" s="5">
        <f t="shared" si="20"/>
        <v>56</v>
      </c>
      <c r="F132" s="64">
        <f>1-(1-VLOOKUP($E132,'Annual Mortality Rates'!$B$5:$C$105,2,FALSE))^(1/12)</f>
        <v>2.1274876474763893E-4</v>
      </c>
      <c r="G132" s="74">
        <f>1-(1-IF(D132&gt;=7,2%,VLOOKUP($D132,'Annual Lapse Rates'!$B$4:$C$14,2,FALSE)))^(1/12)</f>
        <v>1.6821425527395739E-3</v>
      </c>
      <c r="H132" s="80">
        <f t="shared" si="22"/>
        <v>5</v>
      </c>
      <c r="I132" s="65">
        <f t="shared" si="23"/>
        <v>2936.4233534432674</v>
      </c>
      <c r="J132" s="66">
        <f t="shared" si="24"/>
        <v>0.62472044122117465</v>
      </c>
      <c r="K132" s="66">
        <f t="shared" si="25"/>
        <v>4.9488760891271042</v>
      </c>
      <c r="M132" s="67">
        <f t="shared" si="33"/>
        <v>81878789.257719204</v>
      </c>
      <c r="N132" s="67">
        <f>IF(AND(MOD(C132,12)=1,D132&lt;15),Assumptions!$H$4*I132,0)</f>
        <v>0</v>
      </c>
      <c r="O132" s="67"/>
      <c r="P132" s="88">
        <f t="shared" si="26"/>
        <v>155151.40685081738</v>
      </c>
      <c r="Q132" s="88">
        <f>(M132+N132-O132)*VLOOKUP(MOD(C132,12)+(MOD(C132,12)=0)*12,Assumptions!$C$22:$D$33,2,FALSE)*(F132+G132)</f>
        <v>2424.2407320440216</v>
      </c>
      <c r="R132" s="67">
        <f>IF(AND(MOD(C132,12)=0,D132&lt;15),Assumptions!$C$7*M132,0)</f>
        <v>0</v>
      </c>
      <c r="S132" s="68">
        <f>IF(MOD(C132,12)=0,M132*Assumptions!$D$17,0)</f>
        <v>0</v>
      </c>
      <c r="T132" s="68">
        <f>(M132+N132-O132-P132-Q132-R132+S132)*(D133=Assumptions!$H$9)</f>
        <v>0</v>
      </c>
      <c r="U132" s="67">
        <f>T132+AE132*(1+Assumptions!$D$17)</f>
        <v>28146225.158902735</v>
      </c>
      <c r="V132" s="67">
        <f t="shared" si="27"/>
        <v>81721213.610136345</v>
      </c>
      <c r="W132" s="67"/>
      <c r="X132" s="67">
        <f>IF(AND(MOD(C132,12)=1,D132&lt;15),Assumptions!$D$10*N132+Assumptions!$D$11*(1+Assumptions!$D$16)^(B132-1)*I132,0)</f>
        <v>0</v>
      </c>
      <c r="Y132" s="65">
        <f>Assumptions!$C$13*N132</f>
        <v>0</v>
      </c>
      <c r="Z132" s="65">
        <f>NPV(Assumptions!$D$19,N133:$N$259)</f>
        <v>25070230.999573652</v>
      </c>
      <c r="AA132" s="68">
        <f t="shared" si="28"/>
        <v>18882.684995617346</v>
      </c>
      <c r="AB132" s="96"/>
      <c r="AC132" s="67">
        <f>(AC131+N131-P131-Q131-T131-W131-X131-Y131+AD131)*IF(D132=Assumptions!$H$9,0,1)</f>
        <v>108459702.07682432</v>
      </c>
      <c r="AD132" s="91">
        <f>(AF131+N132-W132-X132-Y132)*Assumptions!$D$19-(P132+Q132)*Assumptions!$D$19/2</f>
        <v>469423.44685483346</v>
      </c>
      <c r="AE132" s="67">
        <f>(AE131+(AD132-O132-R132-Q132-S132))*IF(D132=Assumptions!$H$9,0,1)</f>
        <v>28032019.242602758</v>
      </c>
      <c r="AF132" s="91">
        <f t="shared" si="29"/>
        <v>109734350.16774347</v>
      </c>
      <c r="AG132" s="67">
        <f t="shared" si="30"/>
        <v>4848.481464089069</v>
      </c>
      <c r="AH132" s="89">
        <f>AG132*Assumptions!$C$18</f>
        <v>1454.5444392267207</v>
      </c>
      <c r="AI132" s="67">
        <f t="shared" si="31"/>
        <v>3393.9370248623482</v>
      </c>
      <c r="AK132" s="67">
        <f t="shared" si="32"/>
        <v>-81.063448375731241</v>
      </c>
      <c r="AL132" s="70">
        <f t="shared" si="21"/>
        <v>-4929.5450000000001</v>
      </c>
      <c r="AM132" s="80">
        <f>(O132-W132-X132-Y132-AA132)*Assumptions!$D$19</f>
        <v>-81.063448375730701</v>
      </c>
    </row>
    <row r="133" spans="2:39" x14ac:dyDescent="0.2">
      <c r="B133" s="5">
        <f t="shared" si="17"/>
        <v>126</v>
      </c>
      <c r="C133" s="5">
        <f t="shared" si="18"/>
        <v>126</v>
      </c>
      <c r="D133" s="5">
        <f t="shared" si="19"/>
        <v>10</v>
      </c>
      <c r="E133" s="5">
        <f t="shared" si="20"/>
        <v>56</v>
      </c>
      <c r="F133" s="64">
        <f>1-(1-VLOOKUP($E133,'Annual Mortality Rates'!$B$5:$C$105,2,FALSE))^(1/12)</f>
        <v>2.1274876474763893E-4</v>
      </c>
      <c r="G133" s="74">
        <f>1-(1-IF(D133&gt;=7,2%,VLOOKUP($D133,'Annual Lapse Rates'!$B$4:$C$14,2,FALSE)))^(1/12)</f>
        <v>1.6821425527395739E-3</v>
      </c>
      <c r="H133" s="80">
        <f t="shared" si="22"/>
        <v>6</v>
      </c>
      <c r="I133" s="65">
        <f t="shared" si="23"/>
        <v>2930.849756912919</v>
      </c>
      <c r="J133" s="66">
        <f t="shared" si="24"/>
        <v>0.62353466544414138</v>
      </c>
      <c r="K133" s="66">
        <f t="shared" si="25"/>
        <v>4.9394826756851575</v>
      </c>
      <c r="M133" s="67">
        <f t="shared" si="33"/>
        <v>81721213.610136345</v>
      </c>
      <c r="N133" s="67">
        <f>IF(AND(MOD(C133,12)=1,D133&lt;15),Assumptions!$H$4*I133,0)</f>
        <v>0</v>
      </c>
      <c r="O133" s="67"/>
      <c r="P133" s="88">
        <f t="shared" si="26"/>
        <v>154852.81812436521</v>
      </c>
      <c r="Q133" s="88">
        <f>(M133+N133-O133)*VLOOKUP(MOD(C133,12)+(MOD(C133,12)=0)*12,Assumptions!$C$22:$D$33,2,FALSE)*(F133+G133)</f>
        <v>2903.4903398318484</v>
      </c>
      <c r="R133" s="67">
        <f>IF(AND(MOD(C133,12)=0,D133&lt;15),Assumptions!$C$7*M133,0)</f>
        <v>0</v>
      </c>
      <c r="S133" s="68">
        <f>IF(MOD(C133,12)=0,M133*Assumptions!$D$17,0)</f>
        <v>0</v>
      </c>
      <c r="T133" s="68">
        <f>(M133+N133-O133-P133-Q133-R133+S133)*(D134=Assumptions!$H$9)</f>
        <v>0</v>
      </c>
      <c r="U133" s="67">
        <f>T133+AE133*(1+Assumptions!$D$17)</f>
        <v>28615979.1546642</v>
      </c>
      <c r="V133" s="67">
        <f t="shared" si="27"/>
        <v>81563457.301672146</v>
      </c>
      <c r="W133" s="67"/>
      <c r="X133" s="67">
        <f>IF(AND(MOD(C133,12)=1,D133&lt;15),Assumptions!$D$10*N133+Assumptions!$D$11*(1+Assumptions!$D$16)^(B133-1)*I133,0)</f>
        <v>0</v>
      </c>
      <c r="Y133" s="65">
        <f>Assumptions!$C$13*N133</f>
        <v>0</v>
      </c>
      <c r="Z133" s="65">
        <f>NPV(Assumptions!$D$19,N134:$N$259)</f>
        <v>25177857.609712686</v>
      </c>
      <c r="AA133" s="68">
        <f t="shared" si="28"/>
        <v>18882.684995617346</v>
      </c>
      <c r="AB133" s="96"/>
      <c r="AC133" s="67">
        <f>(AC132+N132-P132-Q132-T132-W132-X132-Y132+AD132)*IF(D133=Assumptions!$H$9,0,1)</f>
        <v>108771549.87609629</v>
      </c>
      <c r="AD133" s="91">
        <f>(AF132+N133-W133-X133-Y133)*Assumptions!$D$19-(P133+Q133)*Assumptions!$D$19/2</f>
        <v>470751.41574128909</v>
      </c>
      <c r="AE133" s="67">
        <f>(AE132+(AD133-O133-R133-Q133-S133))*IF(D133=Assumptions!$H$9,0,1)</f>
        <v>28499867.168004215</v>
      </c>
      <c r="AF133" s="91">
        <f t="shared" si="29"/>
        <v>110044441.78468074</v>
      </c>
      <c r="AG133" s="67">
        <f t="shared" si="30"/>
        <v>5806.9806796591147</v>
      </c>
      <c r="AH133" s="89">
        <f>AG133*Assumptions!$C$18</f>
        <v>1742.0942038977344</v>
      </c>
      <c r="AI133" s="67">
        <f t="shared" si="31"/>
        <v>4064.8864757613801</v>
      </c>
      <c r="AK133" s="67">
        <f t="shared" si="32"/>
        <v>-81.063448375731241</v>
      </c>
      <c r="AL133" s="70">
        <f t="shared" si="21"/>
        <v>-5888.0439999999999</v>
      </c>
      <c r="AM133" s="80">
        <f>(O133-W133-X133-Y133-AA133)*Assumptions!$D$19</f>
        <v>-81.063448375730701</v>
      </c>
    </row>
    <row r="134" spans="2:39" x14ac:dyDescent="0.2">
      <c r="B134" s="5">
        <f t="shared" si="17"/>
        <v>127</v>
      </c>
      <c r="C134" s="5">
        <f t="shared" si="18"/>
        <v>127</v>
      </c>
      <c r="D134" s="5">
        <f t="shared" si="19"/>
        <v>10</v>
      </c>
      <c r="E134" s="5">
        <f t="shared" si="20"/>
        <v>56</v>
      </c>
      <c r="F134" s="64">
        <f>1-(1-VLOOKUP($E134,'Annual Mortality Rates'!$B$5:$C$105,2,FALSE))^(1/12)</f>
        <v>2.1274876474763893E-4</v>
      </c>
      <c r="G134" s="74">
        <f>1-(1-IF(D134&gt;=7,2%,VLOOKUP($D134,'Annual Lapse Rates'!$B$4:$C$14,2,FALSE)))^(1/12)</f>
        <v>1.6821425527395739E-3</v>
      </c>
      <c r="H134" s="80">
        <f t="shared" si="22"/>
        <v>7</v>
      </c>
      <c r="I134" s="65">
        <f t="shared" si="23"/>
        <v>2925.2867395717894</v>
      </c>
      <c r="J134" s="66">
        <f t="shared" si="24"/>
        <v>0.62235114037654637</v>
      </c>
      <c r="K134" s="66">
        <f t="shared" si="25"/>
        <v>4.9301070917896572</v>
      </c>
      <c r="M134" s="67">
        <f t="shared" si="33"/>
        <v>81563457.301672146</v>
      </c>
      <c r="N134" s="67">
        <f>IF(AND(MOD(C134,12)=1,D134&lt;15),Assumptions!$H$4*I134,0)</f>
        <v>0</v>
      </c>
      <c r="O134" s="67"/>
      <c r="P134" s="88">
        <f t="shared" si="26"/>
        <v>154553.88706517755</v>
      </c>
      <c r="Q134" s="88">
        <f>(M134+N134-O134)*VLOOKUP(MOD(C134,12)+(MOD(C134,12)=0)*12,Assumptions!$C$22:$D$33,2,FALSE)*(F134+G134)</f>
        <v>3380.8662795507594</v>
      </c>
      <c r="R134" s="67">
        <f>IF(AND(MOD(C134,12)=0,D134&lt;15),Assumptions!$C$7*M134,0)</f>
        <v>0</v>
      </c>
      <c r="S134" s="68">
        <f>IF(MOD(C134,12)=0,M134*Assumptions!$D$17,0)</f>
        <v>0</v>
      </c>
      <c r="T134" s="68">
        <f>(M134+N134-O134-P134-Q134-R134+S134)*(D135=Assumptions!$H$9)</f>
        <v>0</v>
      </c>
      <c r="U134" s="67">
        <f>T134+AE134*(1+Assumptions!$D$17)</f>
        <v>29086590.093231473</v>
      </c>
      <c r="V134" s="67">
        <f t="shared" si="27"/>
        <v>81405522.548327416</v>
      </c>
      <c r="W134" s="67"/>
      <c r="X134" s="67">
        <f>IF(AND(MOD(C134,12)=1,D134&lt;15),Assumptions!$D$10*N134+Assumptions!$D$11*(1+Assumptions!$D$16)^(B134-1)*I134,0)</f>
        <v>0</v>
      </c>
      <c r="Y134" s="65">
        <f>Assumptions!$C$13*N134</f>
        <v>0</v>
      </c>
      <c r="Z134" s="65">
        <f>NPV(Assumptions!$D$19,N135:$N$259)</f>
        <v>25285946.261354662</v>
      </c>
      <c r="AA134" s="68">
        <f t="shared" si="28"/>
        <v>18882.684995617346</v>
      </c>
      <c r="AB134" s="96"/>
      <c r="AC134" s="67">
        <f>(AC133+N133-P133-Q133-T133-W133-X133-Y133+AD133)*IF(D134=Assumptions!$H$9,0,1)</f>
        <v>109084544.98337339</v>
      </c>
      <c r="AD134" s="91">
        <f>(AF133+N134-W134-X134-Y134)*Assumptions!$D$19-(P134+Q134)*Assumptions!$D$19/2</f>
        <v>472082.25736198516</v>
      </c>
      <c r="AE134" s="67">
        <f>(AE133+(AD134-O134-R134-Q134-S134))*IF(D134=Assumptions!$H$9,0,1)</f>
        <v>28968568.559086651</v>
      </c>
      <c r="AF134" s="91">
        <f t="shared" si="29"/>
        <v>110355208.42241845</v>
      </c>
      <c r="AG134" s="67">
        <f t="shared" si="30"/>
        <v>6761.7325591013068</v>
      </c>
      <c r="AH134" s="89">
        <f>AG134*Assumptions!$C$18</f>
        <v>2028.519767730392</v>
      </c>
      <c r="AI134" s="67">
        <f t="shared" si="31"/>
        <v>4733.2127913709146</v>
      </c>
      <c r="AK134" s="67">
        <f t="shared" si="32"/>
        <v>-81.063448375731241</v>
      </c>
      <c r="AL134" s="70">
        <f t="shared" si="21"/>
        <v>-6842.7960000000003</v>
      </c>
      <c r="AM134" s="80">
        <f>(O134-W134-X134-Y134-AA134)*Assumptions!$D$19</f>
        <v>-81.063448375730701</v>
      </c>
    </row>
    <row r="135" spans="2:39" x14ac:dyDescent="0.2">
      <c r="B135" s="5">
        <f t="shared" si="17"/>
        <v>128</v>
      </c>
      <c r="C135" s="5">
        <f t="shared" si="18"/>
        <v>128</v>
      </c>
      <c r="D135" s="5">
        <f t="shared" si="19"/>
        <v>10</v>
      </c>
      <c r="E135" s="5">
        <f t="shared" si="20"/>
        <v>56</v>
      </c>
      <c r="F135" s="64">
        <f>1-(1-VLOOKUP($E135,'Annual Mortality Rates'!$B$5:$C$105,2,FALSE))^(1/12)</f>
        <v>2.1274876474763893E-4</v>
      </c>
      <c r="G135" s="74">
        <f>1-(1-IF(D135&gt;=7,2%,VLOOKUP($D135,'Annual Lapse Rates'!$B$4:$C$14,2,FALSE)))^(1/12)</f>
        <v>1.6821425527395739E-3</v>
      </c>
      <c r="H135" s="80">
        <f t="shared" si="22"/>
        <v>8</v>
      </c>
      <c r="I135" s="65">
        <f t="shared" si="23"/>
        <v>2919.7342813396235</v>
      </c>
      <c r="J135" s="66">
        <f t="shared" si="24"/>
        <v>0.62116986174634015</v>
      </c>
      <c r="K135" s="66">
        <f t="shared" si="25"/>
        <v>4.920749303598515</v>
      </c>
      <c r="M135" s="67">
        <f t="shared" si="33"/>
        <v>81405522.548327416</v>
      </c>
      <c r="N135" s="67">
        <f>IF(AND(MOD(C135,12)=1,D135&lt;15),Assumptions!$H$4*I135,0)</f>
        <v>0</v>
      </c>
      <c r="O135" s="67"/>
      <c r="P135" s="88">
        <f t="shared" si="26"/>
        <v>154254.61787233516</v>
      </c>
      <c r="Q135" s="88">
        <f>(M135+N135-O135)*VLOOKUP(MOD(C135,12)+(MOD(C135,12)=0)*12,Assumptions!$C$22:$D$33,2,FALSE)*(F135+G135)</f>
        <v>3856.3654468083787</v>
      </c>
      <c r="R135" s="67">
        <f>IF(AND(MOD(C135,12)=0,D135&lt;15),Assumptions!$C$7*M135,0)</f>
        <v>0</v>
      </c>
      <c r="S135" s="68">
        <f>IF(MOD(C135,12)=0,M135*Assumptions!$D$17,0)</f>
        <v>0</v>
      </c>
      <c r="T135" s="68">
        <f>(M135+N135-O135-P135-Q135-R135+S135)*(D136=Assumptions!$H$9)</f>
        <v>0</v>
      </c>
      <c r="U135" s="67">
        <f>T135+AE135*(1+Assumptions!$D$17)</f>
        <v>29558062.773470372</v>
      </c>
      <c r="V135" s="67">
        <f t="shared" si="27"/>
        <v>81247411.565008268</v>
      </c>
      <c r="W135" s="67"/>
      <c r="X135" s="67">
        <f>IF(AND(MOD(C135,12)=1,D135&lt;15),Assumptions!$D$10*N135+Assumptions!$D$11*(1+Assumptions!$D$16)^(B135-1)*I135,0)</f>
        <v>0</v>
      </c>
      <c r="Y135" s="65">
        <f>Assumptions!$C$13*N135</f>
        <v>0</v>
      </c>
      <c r="Z135" s="65">
        <f>NPV(Assumptions!$D$19,N136:$N$259)</f>
        <v>25394498.938045748</v>
      </c>
      <c r="AA135" s="68">
        <f t="shared" si="28"/>
        <v>18882.684995617346</v>
      </c>
      <c r="AB135" s="96"/>
      <c r="AC135" s="67">
        <f>(AC134+N134-P134-Q134-T134-W134-X134-Y134+AD134)*IF(D135=Assumptions!$H$9,0,1)</f>
        <v>109398692.48739064</v>
      </c>
      <c r="AD135" s="91">
        <f>(AF134+N135-W135-X135-Y135)*Assumptions!$D$19-(P135+Q135)*Assumptions!$D$19/2</f>
        <v>473416.00160419848</v>
      </c>
      <c r="AE135" s="67">
        <f>(AE134+(AD135-O135-R135-Q135-S135))*IF(D135=Assumptions!$H$9,0,1)</f>
        <v>29438128.19524404</v>
      </c>
      <c r="AF135" s="91">
        <f t="shared" si="29"/>
        <v>110666657.07525669</v>
      </c>
      <c r="AG135" s="67">
        <f t="shared" si="30"/>
        <v>7712.7308936183108</v>
      </c>
      <c r="AH135" s="89">
        <f>AG135*Assumptions!$C$18</f>
        <v>2313.8192680854931</v>
      </c>
      <c r="AI135" s="67">
        <f t="shared" si="31"/>
        <v>5398.9116255328172</v>
      </c>
      <c r="AK135" s="67">
        <f t="shared" si="32"/>
        <v>-81.063448375731241</v>
      </c>
      <c r="AL135" s="70">
        <f t="shared" si="21"/>
        <v>-7793.7939999999999</v>
      </c>
      <c r="AM135" s="80">
        <f>(O135-W135-X135-Y135-AA135)*Assumptions!$D$19</f>
        <v>-81.063448375730701</v>
      </c>
    </row>
    <row r="136" spans="2:39" x14ac:dyDescent="0.2">
      <c r="B136" s="5">
        <f t="shared" ref="B136:B199" si="34">B135+1</f>
        <v>129</v>
      </c>
      <c r="C136" s="5">
        <f t="shared" ref="C136:C199" si="35">$C$4+B136</f>
        <v>129</v>
      </c>
      <c r="D136" s="5">
        <f t="shared" ref="D136:D199" si="36">ROUNDDOWN((C136-1)/12,0)</f>
        <v>10</v>
      </c>
      <c r="E136" s="5">
        <f t="shared" ref="E136:E199" si="37">ROUNDDOWN(($E$4+B136)/12,0)</f>
        <v>56</v>
      </c>
      <c r="F136" s="64">
        <f>1-(1-VLOOKUP($E136,'Annual Mortality Rates'!$B$5:$C$105,2,FALSE))^(1/12)</f>
        <v>2.1274876474763893E-4</v>
      </c>
      <c r="G136" s="74">
        <f>1-(1-IF(D136&gt;=7,2%,VLOOKUP($D136,'Annual Lapse Rates'!$B$4:$C$14,2,FALSE)))^(1/12)</f>
        <v>1.6821425527395739E-3</v>
      </c>
      <c r="H136" s="80">
        <f t="shared" si="22"/>
        <v>9</v>
      </c>
      <c r="I136" s="65">
        <f t="shared" si="23"/>
        <v>2914.192362174279</v>
      </c>
      <c r="J136" s="66">
        <f t="shared" si="24"/>
        <v>0.61999082528958183</v>
      </c>
      <c r="K136" s="66">
        <f t="shared" si="25"/>
        <v>4.9114092773338793</v>
      </c>
      <c r="M136" s="67">
        <f t="shared" si="33"/>
        <v>81247411.565008268</v>
      </c>
      <c r="N136" s="67">
        <f>IF(AND(MOD(C136,12)=1,D136&lt;15),Assumptions!$H$4*I136,0)</f>
        <v>0</v>
      </c>
      <c r="O136" s="67"/>
      <c r="P136" s="88">
        <f t="shared" si="26"/>
        <v>153955.01474284433</v>
      </c>
      <c r="Q136" s="88">
        <f>(M136+N136-O136)*VLOOKUP(MOD(C136,12)+(MOD(C136,12)=0)*12,Assumptions!$C$22:$D$33,2,FALSE)*(F136+G136)</f>
        <v>4329.9847896424963</v>
      </c>
      <c r="R136" s="67">
        <f>IF(AND(MOD(C136,12)=0,D136&lt;15),Assumptions!$C$7*M136,0)</f>
        <v>0</v>
      </c>
      <c r="S136" s="68">
        <f>IF(MOD(C136,12)=0,M136*Assumptions!$D$17,0)</f>
        <v>0</v>
      </c>
      <c r="T136" s="68">
        <f>(M136+N136-O136-P136-Q136-R136+S136)*(D137=Assumptions!$H$9)</f>
        <v>0</v>
      </c>
      <c r="U136" s="67">
        <f>T136+AE136*(1+Assumptions!$D$17)</f>
        <v>30030402.027457543</v>
      </c>
      <c r="V136" s="67">
        <f t="shared" si="27"/>
        <v>81089126.565475777</v>
      </c>
      <c r="W136" s="67"/>
      <c r="X136" s="67">
        <f>IF(AND(MOD(C136,12)=1,D136&lt;15),Assumptions!$D$10*N136+Assumptions!$D$11*(1+Assumptions!$D$16)^(B136-1)*I136,0)</f>
        <v>0</v>
      </c>
      <c r="Y136" s="65">
        <f>Assumptions!$C$13*N136</f>
        <v>0</v>
      </c>
      <c r="Z136" s="65">
        <f>NPV(Assumptions!$D$19,N137:$N$259)</f>
        <v>25503517.631847486</v>
      </c>
      <c r="AA136" s="68">
        <f t="shared" si="28"/>
        <v>18882.684995617346</v>
      </c>
      <c r="AB136" s="96"/>
      <c r="AC136" s="67">
        <f>(AC135+N135-P135-Q135-T135-W135-X135-Y135+AD135)*IF(D136=Assumptions!$H$9,0,1)</f>
        <v>109713997.50567569</v>
      </c>
      <c r="AD136" s="91">
        <f>(AF135+N136-W136-X136-Y136)*Assumptions!$D$19-(P136+Q136)*Assumptions!$D$19/2</f>
        <v>474752.67849203188</v>
      </c>
      <c r="AE136" s="67">
        <f>(AE135+(AD136-O136-R136-Q136-S136))*IF(D136=Assumptions!$H$9,0,1)</f>
        <v>29908550.888946429</v>
      </c>
      <c r="AF136" s="91">
        <f t="shared" si="29"/>
        <v>110978794.76942658</v>
      </c>
      <c r="AG136" s="67">
        <f t="shared" si="30"/>
        <v>8659.9695792936836</v>
      </c>
      <c r="AH136" s="89">
        <f>AG136*Assumptions!$C$18</f>
        <v>2597.9908737881051</v>
      </c>
      <c r="AI136" s="67">
        <f t="shared" si="31"/>
        <v>6061.9787055055785</v>
      </c>
      <c r="AK136" s="67">
        <f t="shared" si="32"/>
        <v>-81.063448375731241</v>
      </c>
      <c r="AL136" s="70">
        <f t="shared" ref="AL136:AL199" si="38">ROUND(AK136-AG136,3)</f>
        <v>-8741.0329999999994</v>
      </c>
      <c r="AM136" s="80">
        <f>(O136-W136-X136-Y136-AA136)*Assumptions!$D$19</f>
        <v>-81.063448375730701</v>
      </c>
    </row>
    <row r="137" spans="2:39" x14ac:dyDescent="0.2">
      <c r="B137" s="5">
        <f t="shared" si="34"/>
        <v>130</v>
      </c>
      <c r="C137" s="5">
        <f t="shared" si="35"/>
        <v>130</v>
      </c>
      <c r="D137" s="5">
        <f t="shared" si="36"/>
        <v>10</v>
      </c>
      <c r="E137" s="5">
        <f t="shared" si="37"/>
        <v>56</v>
      </c>
      <c r="F137" s="64">
        <f>1-(1-VLOOKUP($E137,'Annual Mortality Rates'!$B$5:$C$105,2,FALSE))^(1/12)</f>
        <v>2.1274876474763893E-4</v>
      </c>
      <c r="G137" s="74">
        <f>1-(1-IF(D137&gt;=7,2%,VLOOKUP($D137,'Annual Lapse Rates'!$B$4:$C$14,2,FALSE)))^(1/12)</f>
        <v>1.6821425527395739E-3</v>
      </c>
      <c r="H137" s="80">
        <f t="shared" ref="H137:H200" si="39">MOD(C137,12)+(MOD(C137,12)=0)*12</f>
        <v>10</v>
      </c>
      <c r="I137" s="65">
        <f t="shared" ref="I137:I200" si="40">I136-J136-K136</f>
        <v>2908.6609620716554</v>
      </c>
      <c r="J137" s="66">
        <f t="shared" ref="J137:J187" si="41">$I137*F137</f>
        <v>0.61881402675042374</v>
      </c>
      <c r="K137" s="66">
        <f t="shared" ref="K137:K187" si="42">IF(G137=100%,I137-J137,$I136*G137)</f>
        <v>4.9020869792820108</v>
      </c>
      <c r="M137" s="67">
        <f t="shared" si="33"/>
        <v>81089126.565475777</v>
      </c>
      <c r="N137" s="67">
        <f>IF(AND(MOD(C137,12)=1,D137&lt;15),Assumptions!$H$4*I137,0)</f>
        <v>0</v>
      </c>
      <c r="O137" s="67"/>
      <c r="P137" s="88">
        <f t="shared" ref="P137:P200" si="43">(M137+N137-O137)*(F137+G137)</f>
        <v>153655.08187154174</v>
      </c>
      <c r="Q137" s="88">
        <f>(M137+N137-O137)*VLOOKUP(MOD(C137,12)+(MOD(C137,12)=0)*12,Assumptions!$C$22:$D$33,2,FALSE)*(F137+G137)</f>
        <v>4801.7213084856794</v>
      </c>
      <c r="R137" s="67">
        <f>IF(AND(MOD(C137,12)=0,D137&lt;15),Assumptions!$C$7*M137,0)</f>
        <v>0</v>
      </c>
      <c r="S137" s="68">
        <f>IF(MOD(C137,12)=0,M137*Assumptions!$D$17,0)</f>
        <v>0</v>
      </c>
      <c r="T137" s="68">
        <f>(M137+N137-O137-P137-Q137-R137+S137)*(D138=Assumptions!$H$9)</f>
        <v>0</v>
      </c>
      <c r="U137" s="67">
        <f>T137+AE137*(1+Assumptions!$D$17)</f>
        <v>30503612.720565367</v>
      </c>
      <c r="V137" s="67">
        <f t="shared" ref="V137:V200" si="44">M137+N137-O137-P137-Q137-R137+S137-T137</f>
        <v>80930669.762295753</v>
      </c>
      <c r="W137" s="67"/>
      <c r="X137" s="67">
        <f>IF(AND(MOD(C137,12)=1,D137&lt;15),Assumptions!$D$10*N137+Assumptions!$D$11*(1+Assumptions!$D$16)^(B137-1)*I137,0)</f>
        <v>0</v>
      </c>
      <c r="Y137" s="65">
        <f>Assumptions!$C$13*N137</f>
        <v>0</v>
      </c>
      <c r="Z137" s="65">
        <f>NPV(Assumptions!$D$19,N138:$N$259)</f>
        <v>25613004.34337334</v>
      </c>
      <c r="AA137" s="68">
        <f t="shared" ref="AA137:AA200" si="45">IF(MOD(C137,12)=1,Z137*$AA$4/12,AA136)</f>
        <v>18882.684995617346</v>
      </c>
      <c r="AB137" s="96"/>
      <c r="AC137" s="67">
        <f>(AC136+N136-P136-Q136-T136-W136-X136-Y136+AD136)*IF(D137=Assumptions!$H$9,0,1)</f>
        <v>110030465.18463522</v>
      </c>
      <c r="AD137" s="91">
        <f>(AF136+N137-W137-X137-Y137)*Assumptions!$D$19-(P137+Q137)*Assumptions!$D$19/2</f>
        <v>476092.3181865603</v>
      </c>
      <c r="AE137" s="67">
        <f>(AE136+(AD137-O137-R137-Q137-S137))*IF(D137=Assumptions!$H$9,0,1)</f>
        <v>30379841.485824503</v>
      </c>
      <c r="AF137" s="91">
        <f t="shared" ref="AF137:AF200" si="46">V137+AE137-AA137</f>
        <v>111291628.56312463</v>
      </c>
      <c r="AG137" s="67">
        <f t="shared" ref="AG137:AG200" si="47">(N137-P137-T137-W137-X137-Y137)+(AF136-AF137)+AD137</f>
        <v>9603.4426169759245</v>
      </c>
      <c r="AH137" s="89">
        <f>AG137*Assumptions!$C$18</f>
        <v>2881.0327850927774</v>
      </c>
      <c r="AI137" s="67">
        <f t="shared" ref="AI137:AI200" si="48">AG137-AH137</f>
        <v>6722.4098318831475</v>
      </c>
      <c r="AK137" s="67">
        <f t="shared" ref="AK137:AK200" si="49">O137+R137-W137-X137-Y137+AM137+AA137-AA136</f>
        <v>-81.063448375731241</v>
      </c>
      <c r="AL137" s="70">
        <f t="shared" si="38"/>
        <v>-9684.5059999999994</v>
      </c>
      <c r="AM137" s="80">
        <f>(O137-W137-X137-Y137-AA137)*Assumptions!$D$19</f>
        <v>-81.063448375730701</v>
      </c>
    </row>
    <row r="138" spans="2:39" x14ac:dyDescent="0.2">
      <c r="B138" s="5">
        <f t="shared" si="34"/>
        <v>131</v>
      </c>
      <c r="C138" s="5">
        <f t="shared" si="35"/>
        <v>131</v>
      </c>
      <c r="D138" s="5">
        <f t="shared" si="36"/>
        <v>10</v>
      </c>
      <c r="E138" s="5">
        <f t="shared" si="37"/>
        <v>56</v>
      </c>
      <c r="F138" s="64">
        <f>1-(1-VLOOKUP($E138,'Annual Mortality Rates'!$B$5:$C$105,2,FALSE))^(1/12)</f>
        <v>2.1274876474763893E-4</v>
      </c>
      <c r="G138" s="74">
        <f>1-(1-IF(D138&gt;=7,2%,VLOOKUP($D138,'Annual Lapse Rates'!$B$4:$C$14,2,FALSE)))^(1/12)</f>
        <v>1.6821425527395739E-3</v>
      </c>
      <c r="H138" s="80">
        <f t="shared" si="39"/>
        <v>11</v>
      </c>
      <c r="I138" s="65">
        <f t="shared" si="40"/>
        <v>2903.1400610656228</v>
      </c>
      <c r="J138" s="66">
        <f t="shared" si="41"/>
        <v>0.61763946188109631</v>
      </c>
      <c r="K138" s="66">
        <f t="shared" si="42"/>
        <v>4.8927823757931597</v>
      </c>
      <c r="M138" s="67">
        <f t="shared" ref="M138:M201" si="50">V137</f>
        <v>80930669.762295753</v>
      </c>
      <c r="N138" s="67">
        <f>IF(AND(MOD(C138,12)=1,D138&lt;15),Assumptions!$H$4*I138,0)</f>
        <v>0</v>
      </c>
      <c r="O138" s="67"/>
      <c r="P138" s="88">
        <f t="shared" si="43"/>
        <v>153354.82345099913</v>
      </c>
      <c r="Q138" s="88">
        <f>(M138+N138-O138)*VLOOKUP(MOD(C138,12)+(MOD(C138,12)=0)*12,Assumptions!$C$22:$D$33,2,FALSE)*(F138+G138)</f>
        <v>5271.5720561280959</v>
      </c>
      <c r="R138" s="67">
        <f>IF(AND(MOD(C138,12)=0,D138&lt;15),Assumptions!$C$7*M138,0)</f>
        <v>0</v>
      </c>
      <c r="S138" s="68">
        <f>IF(MOD(C138,12)=0,M138*Assumptions!$D$17,0)</f>
        <v>0</v>
      </c>
      <c r="T138" s="68">
        <f>(M138+N138-O138-P138-Q138-R138+S138)*(D139=Assumptions!$H$9)</f>
        <v>0</v>
      </c>
      <c r="U138" s="67">
        <f>T138+AE138*(1+Assumptions!$D$17)</f>
        <v>30977699.751547083</v>
      </c>
      <c r="V138" s="67">
        <f t="shared" si="44"/>
        <v>80772043.366788626</v>
      </c>
      <c r="W138" s="67"/>
      <c r="X138" s="67">
        <f>IF(AND(MOD(C138,12)=1,D138&lt;15),Assumptions!$D$10*N138+Assumptions!$D$11*(1+Assumptions!$D$16)^(B138-1)*I138,0)</f>
        <v>0</v>
      </c>
      <c r="Y138" s="65">
        <f>Assumptions!$C$13*N138</f>
        <v>0</v>
      </c>
      <c r="Z138" s="65">
        <f>NPV(Assumptions!$D$19,N139:$N$259)</f>
        <v>25722961.081825439</v>
      </c>
      <c r="AA138" s="68">
        <f t="shared" si="45"/>
        <v>18882.684995617346</v>
      </c>
      <c r="AB138" s="96"/>
      <c r="AC138" s="67">
        <f>(AC137+N137-P137-Q137-T137-W137-X137-Y137+AD137)*IF(D138=Assumptions!$H$9,0,1)</f>
        <v>110348100.69964176</v>
      </c>
      <c r="AD138" s="91">
        <f>(AF137+N138-W138-X138-Y138)*Assumptions!$D$19-(P138+Q138)*Assumptions!$D$19/2</f>
        <v>477434.95098597853</v>
      </c>
      <c r="AE138" s="67">
        <f>(AE137+(AD138-O138-R138-Q138-S138))*IF(D138=Assumptions!$H$9,0,1)</f>
        <v>30852004.864754353</v>
      </c>
      <c r="AF138" s="91">
        <f t="shared" si="46"/>
        <v>111605165.54654735</v>
      </c>
      <c r="AG138" s="67">
        <f t="shared" si="47"/>
        <v>10543.144112253038</v>
      </c>
      <c r="AH138" s="89">
        <f>AG138*Assumptions!$C$18</f>
        <v>3162.9432336759114</v>
      </c>
      <c r="AI138" s="67">
        <f t="shared" si="48"/>
        <v>7380.2008785771268</v>
      </c>
      <c r="AK138" s="67">
        <f t="shared" si="49"/>
        <v>-81.063448375731241</v>
      </c>
      <c r="AL138" s="70">
        <f t="shared" si="38"/>
        <v>-10624.208000000001</v>
      </c>
      <c r="AM138" s="80">
        <f>(O138-W138-X138-Y138-AA138)*Assumptions!$D$19</f>
        <v>-81.063448375730701</v>
      </c>
    </row>
    <row r="139" spans="2:39" x14ac:dyDescent="0.2">
      <c r="B139" s="5">
        <f t="shared" si="34"/>
        <v>132</v>
      </c>
      <c r="C139" s="5">
        <f t="shared" si="35"/>
        <v>132</v>
      </c>
      <c r="D139" s="5">
        <f t="shared" si="36"/>
        <v>10</v>
      </c>
      <c r="E139" s="5">
        <f t="shared" si="37"/>
        <v>56</v>
      </c>
      <c r="F139" s="64">
        <f>1-(1-VLOOKUP($E139,'Annual Mortality Rates'!$B$5:$C$105,2,FALSE))^(1/12)</f>
        <v>2.1274876474763893E-4</v>
      </c>
      <c r="G139" s="74">
        <f>1-(1-IF(D139&gt;=7,2%,VLOOKUP($D139,'Annual Lapse Rates'!$B$4:$C$14,2,FALSE)))^(1/12)</f>
        <v>1.6821425527395739E-3</v>
      </c>
      <c r="H139" s="80">
        <f t="shared" si="39"/>
        <v>12</v>
      </c>
      <c r="I139" s="65">
        <f t="shared" si="40"/>
        <v>2897.6296392279487</v>
      </c>
      <c r="J139" s="66">
        <f t="shared" si="41"/>
        <v>0.61646712644189272</v>
      </c>
      <c r="K139" s="66">
        <f t="shared" si="42"/>
        <v>4.8834954332814489</v>
      </c>
      <c r="M139" s="67">
        <f t="shared" si="50"/>
        <v>80772043.366788626</v>
      </c>
      <c r="N139" s="67">
        <f>IF(AND(MOD(C139,12)=1,D139&lt;15),Assumptions!$H$4*I139,0)</f>
        <v>0</v>
      </c>
      <c r="O139" s="67"/>
      <c r="P139" s="88">
        <f t="shared" si="43"/>
        <v>153054.24367142838</v>
      </c>
      <c r="Q139" s="88">
        <f>(M139+N139-O139)*VLOOKUP(MOD(C139,12)+(MOD(C139,12)=0)*12,Assumptions!$C$22:$D$33,2,FALSE)*(F139+G139)</f>
        <v>5739.5341376785655</v>
      </c>
      <c r="R139" s="67">
        <f>IF(AND(MOD(C139,12)=0,D139&lt;15),Assumptions!$C$7*M139,0)</f>
        <v>40386.021683394312</v>
      </c>
      <c r="S139" s="68">
        <f>IF(MOD(C139,12)=0,M139*Assumptions!$D$17,0)</f>
        <v>329075.30293450976</v>
      </c>
      <c r="T139" s="68">
        <f>(M139+N139-O139-P139-Q139-R139+S139)*(D140=Assumptions!$H$9)</f>
        <v>0</v>
      </c>
      <c r="U139" s="67">
        <f>T139+AE139*(1+Assumptions!$D$17)</f>
        <v>31081701.496834405</v>
      </c>
      <c r="V139" s="67">
        <f t="shared" si="44"/>
        <v>80901938.87023063</v>
      </c>
      <c r="W139" s="67"/>
      <c r="X139" s="67">
        <f>IF(AND(MOD(C139,12)=1,D139&lt;15),Assumptions!$D$10*N139+Assumptions!$D$11*(1+Assumptions!$D$16)^(B139-1)*I139,0)</f>
        <v>0</v>
      </c>
      <c r="Y139" s="65">
        <f>Assumptions!$C$13*N139</f>
        <v>0</v>
      </c>
      <c r="Z139" s="65">
        <f>NPV(Assumptions!$D$19,N140:$N$259)</f>
        <v>25833389.865031399</v>
      </c>
      <c r="AA139" s="68">
        <f t="shared" si="45"/>
        <v>18882.684995617346</v>
      </c>
      <c r="AB139" s="96"/>
      <c r="AC139" s="67">
        <f>(AC138+N138-P138-Q138-T138-W138-X138-Y138+AD138)*IF(D139=Assumptions!$H$9,0,1)</f>
        <v>110666909.25512062</v>
      </c>
      <c r="AD139" s="91">
        <f>(AF138+N139-W139-X139-Y139)*Assumptions!$D$19-(P139+Q139)*Assumptions!$D$19/2</f>
        <v>478780.60732575069</v>
      </c>
      <c r="AE139" s="67">
        <f>(AE138+(AD139-O139-R139-Q139-S139))*IF(D139=Assumptions!$H$9,0,1)</f>
        <v>30955584.613324519</v>
      </c>
      <c r="AF139" s="91">
        <f t="shared" si="46"/>
        <v>111838640.79855953</v>
      </c>
      <c r="AG139" s="67">
        <f t="shared" si="47"/>
        <v>92251.11164214398</v>
      </c>
      <c r="AH139" s="89">
        <f>AG139*Assumptions!$C$18</f>
        <v>27675.333492643193</v>
      </c>
      <c r="AI139" s="67">
        <f t="shared" si="48"/>
        <v>64575.778149500788</v>
      </c>
      <c r="AK139" s="67">
        <f t="shared" si="49"/>
        <v>40304.958235018581</v>
      </c>
      <c r="AL139" s="70">
        <f t="shared" si="38"/>
        <v>-51946.152999999998</v>
      </c>
      <c r="AM139" s="80">
        <f>(O139-W139-X139-Y139-AA139)*Assumptions!$D$19</f>
        <v>-81.063448375730701</v>
      </c>
    </row>
    <row r="140" spans="2:39" x14ac:dyDescent="0.2">
      <c r="B140" s="5">
        <f t="shared" si="34"/>
        <v>133</v>
      </c>
      <c r="C140" s="5">
        <f t="shared" si="35"/>
        <v>133</v>
      </c>
      <c r="D140" s="5">
        <f t="shared" si="36"/>
        <v>11</v>
      </c>
      <c r="E140" s="5">
        <f t="shared" si="37"/>
        <v>57</v>
      </c>
      <c r="F140" s="64">
        <f>1-(1-VLOOKUP($E140,'Annual Mortality Rates'!$B$5:$C$105,2,FALSE))^(1/12)</f>
        <v>2.3864632065639935E-4</v>
      </c>
      <c r="G140" s="74">
        <f>1-(1-IF(D140&gt;=7,2%,VLOOKUP($D140,'Annual Lapse Rates'!$B$4:$C$14,2,FALSE)))^(1/12)</f>
        <v>1.6821425527395739E-3</v>
      </c>
      <c r="H140" s="80">
        <f t="shared" si="39"/>
        <v>1</v>
      </c>
      <c r="I140" s="65">
        <f t="shared" si="40"/>
        <v>2892.1296766682253</v>
      </c>
      <c r="J140" s="66">
        <f t="shared" si="41"/>
        <v>0.69019610619805383</v>
      </c>
      <c r="K140" s="66">
        <f t="shared" si="42"/>
        <v>4.8742261182247519</v>
      </c>
      <c r="M140" s="67">
        <f t="shared" si="50"/>
        <v>80901938.87023063</v>
      </c>
      <c r="N140" s="67">
        <f>IF(AND(MOD(C140,12)=1,D140&lt;15),Assumptions!$H$4*I140,0)</f>
        <v>7230324.1916705631</v>
      </c>
      <c r="O140" s="67"/>
      <c r="P140" s="88">
        <f t="shared" si="43"/>
        <v>169283.47027650676</v>
      </c>
      <c r="Q140" s="88">
        <f>(M140+N140-O140)*VLOOKUP(MOD(C140,12)+(MOD(C140,12)=0)*12,Assumptions!$C$22:$D$33,2,FALSE)*(F140+G140)</f>
        <v>529.01084461408357</v>
      </c>
      <c r="R140" s="67">
        <f>IF(AND(MOD(C140,12)=0,D140&lt;15),Assumptions!$C$7*M140,0)</f>
        <v>0</v>
      </c>
      <c r="S140" s="68">
        <f>IF(MOD(C140,12)=0,M140*Assumptions!$D$17,0)</f>
        <v>0</v>
      </c>
      <c r="T140" s="68">
        <f>(M140+N140-O140-P140-Q140-R140+S140)*(D141=Assumptions!$H$9)</f>
        <v>0</v>
      </c>
      <c r="U140" s="67">
        <f>T140+AE140*(1+Assumptions!$D$17)</f>
        <v>31593638.052143812</v>
      </c>
      <c r="V140" s="67">
        <f t="shared" si="44"/>
        <v>87962450.580780074</v>
      </c>
      <c r="W140" s="67"/>
      <c r="X140" s="67">
        <f>IF(AND(MOD(C140,12)=1,D140&lt;15),Assumptions!$D$10*N140+Assumptions!$D$11*(1+Assumptions!$D$16)^(B140-1)*I140,0)</f>
        <v>59525.619245700444</v>
      </c>
      <c r="Y140" s="65">
        <f>Assumptions!$C$13*N140</f>
        <v>36151.620958352818</v>
      </c>
      <c r="Z140" s="65">
        <f>NPV(Assumptions!$D$19,N141:$N$259)</f>
        <v>18713968.527810834</v>
      </c>
      <c r="AA140" s="68">
        <f t="shared" si="45"/>
        <v>14338.8082616968</v>
      </c>
      <c r="AB140" s="96"/>
      <c r="AC140" s="67">
        <f>(AC139+N139-P139-Q139-T139-W139-X139-Y139+AD139)*IF(D140=Assumptions!$H$9,0,1)</f>
        <v>110986896.08463725</v>
      </c>
      <c r="AD140" s="91">
        <f>(AF139+N140-W140-X140-Y140)*Assumptions!$D$19-(P140+Q140)*Assumptions!$D$19/2</f>
        <v>510388.33615047799</v>
      </c>
      <c r="AE140" s="67">
        <f>(AE139+(AD140-O140-R140-Q140-S140))*IF(D140=Assumptions!$H$9,0,1)</f>
        <v>31465443.938630383</v>
      </c>
      <c r="AF140" s="91">
        <f t="shared" si="46"/>
        <v>119413555.71114877</v>
      </c>
      <c r="AG140" s="67">
        <f t="shared" si="47"/>
        <v>-99163.09524875565</v>
      </c>
      <c r="AH140" s="89">
        <f>AG140*Assumptions!$C$18</f>
        <v>-29748.928574626694</v>
      </c>
      <c r="AI140" s="67">
        <f t="shared" si="48"/>
        <v>-69414.166674128952</v>
      </c>
      <c r="AK140" s="67">
        <f t="shared" si="49"/>
        <v>-100693.41630998446</v>
      </c>
      <c r="AL140" s="70">
        <f t="shared" si="38"/>
        <v>-1530.3209999999999</v>
      </c>
      <c r="AM140" s="80">
        <f>(O140-W140-X140-Y140-AA140)*Assumptions!$D$19</f>
        <v>-472.29937201066173</v>
      </c>
    </row>
    <row r="141" spans="2:39" x14ac:dyDescent="0.2">
      <c r="B141" s="5">
        <f t="shared" si="34"/>
        <v>134</v>
      </c>
      <c r="C141" s="5">
        <f t="shared" si="35"/>
        <v>134</v>
      </c>
      <c r="D141" s="5">
        <f t="shared" si="36"/>
        <v>11</v>
      </c>
      <c r="E141" s="5">
        <f t="shared" si="37"/>
        <v>57</v>
      </c>
      <c r="F141" s="64">
        <f>1-(1-VLOOKUP($E141,'Annual Mortality Rates'!$B$5:$C$105,2,FALSE))^(1/12)</f>
        <v>2.3864632065639935E-4</v>
      </c>
      <c r="G141" s="74">
        <f>1-(1-IF(D141&gt;=7,2%,VLOOKUP($D141,'Annual Lapse Rates'!$B$4:$C$14,2,FALSE)))^(1/12)</f>
        <v>1.6821425527395739E-3</v>
      </c>
      <c r="H141" s="80">
        <f t="shared" si="39"/>
        <v>2</v>
      </c>
      <c r="I141" s="65">
        <f t="shared" si="40"/>
        <v>2886.5652544438026</v>
      </c>
      <c r="J141" s="66">
        <f t="shared" si="41"/>
        <v>0.68886817730761674</v>
      </c>
      <c r="K141" s="66">
        <f t="shared" si="42"/>
        <v>4.8649743971645671</v>
      </c>
      <c r="M141" s="67">
        <f t="shared" si="50"/>
        <v>87962450.580780074</v>
      </c>
      <c r="N141" s="67">
        <f>IF(AND(MOD(C141,12)=1,D141&lt;15),Assumptions!$H$4*I141,0)</f>
        <v>0</v>
      </c>
      <c r="O141" s="67"/>
      <c r="P141" s="88">
        <f t="shared" si="43"/>
        <v>168957.29635220554</v>
      </c>
      <c r="Q141" s="88">
        <f>(M141+N141-O141)*VLOOKUP(MOD(C141,12)+(MOD(C141,12)=0)*12,Assumptions!$C$22:$D$33,2,FALSE)*(F141+G141)</f>
        <v>1055.9831022012845</v>
      </c>
      <c r="R141" s="67">
        <f>IF(AND(MOD(C141,12)=0,D141&lt;15),Assumptions!$C$7*M141,0)</f>
        <v>0</v>
      </c>
      <c r="S141" s="68">
        <f>IF(MOD(C141,12)=0,M141*Assumptions!$D$17,0)</f>
        <v>0</v>
      </c>
      <c r="T141" s="68">
        <f>(M141+N141-O141-P141-Q141-R141+S141)*(D142=Assumptions!$H$9)</f>
        <v>0</v>
      </c>
      <c r="U141" s="67">
        <f>T141+AE141*(1+Assumptions!$D$17)</f>
        <v>32106942.828125484</v>
      </c>
      <c r="V141" s="67">
        <f t="shared" si="44"/>
        <v>87792437.301325664</v>
      </c>
      <c r="W141" s="67"/>
      <c r="X141" s="67">
        <f>IF(AND(MOD(C141,12)=1,D141&lt;15),Assumptions!$D$10*N141+Assumptions!$D$11*(1+Assumptions!$D$16)^(B141-1)*I141,0)</f>
        <v>0</v>
      </c>
      <c r="Y141" s="65">
        <f>Assumptions!$C$13*N141</f>
        <v>0</v>
      </c>
      <c r="Z141" s="65">
        <f>NPV(Assumptions!$D$19,N142:$N$259)</f>
        <v>18794307.675660376</v>
      </c>
      <c r="AA141" s="68">
        <f t="shared" si="45"/>
        <v>14338.8082616968</v>
      </c>
      <c r="AB141" s="96"/>
      <c r="AC141" s="67">
        <f>(AC140+N140-P140-Q140-T140-W140-X140-Y140+AD140)*IF(D141=Assumptions!$H$9,0,1)</f>
        <v>118462118.89113313</v>
      </c>
      <c r="AD141" s="91">
        <f>(AF140+N141-W141-X141-Y141)*Assumptions!$D$19-(P141+Q141)*Assumptions!$D$19/2</f>
        <v>512277.97739819135</v>
      </c>
      <c r="AE141" s="67">
        <f>(AE140+(AD141-O141-R141-Q141-S141))*IF(D141=Assumptions!$H$9,0,1)</f>
        <v>31976665.932926372</v>
      </c>
      <c r="AF141" s="91">
        <f t="shared" si="46"/>
        <v>119754764.42599034</v>
      </c>
      <c r="AG141" s="67">
        <f t="shared" si="47"/>
        <v>2111.9662044113502</v>
      </c>
      <c r="AH141" s="89">
        <f>AG141*Assumptions!$C$18</f>
        <v>633.58986132340499</v>
      </c>
      <c r="AI141" s="67">
        <f t="shared" si="48"/>
        <v>1478.3763430879453</v>
      </c>
      <c r="AK141" s="67">
        <f t="shared" si="49"/>
        <v>-61.556565899465568</v>
      </c>
      <c r="AL141" s="70">
        <f t="shared" si="38"/>
        <v>-2173.5230000000001</v>
      </c>
      <c r="AM141" s="80">
        <f>(O141-W141-X141-Y141-AA141)*Assumptions!$D$19</f>
        <v>-61.55656589946507</v>
      </c>
    </row>
    <row r="142" spans="2:39" x14ac:dyDescent="0.2">
      <c r="B142" s="5">
        <f t="shared" si="34"/>
        <v>135</v>
      </c>
      <c r="C142" s="5">
        <f t="shared" si="35"/>
        <v>135</v>
      </c>
      <c r="D142" s="5">
        <f t="shared" si="36"/>
        <v>11</v>
      </c>
      <c r="E142" s="5">
        <f t="shared" si="37"/>
        <v>57</v>
      </c>
      <c r="F142" s="64">
        <f>1-(1-VLOOKUP($E142,'Annual Mortality Rates'!$B$5:$C$105,2,FALSE))^(1/12)</f>
        <v>2.3864632065639935E-4</v>
      </c>
      <c r="G142" s="74">
        <f>1-(1-IF(D142&gt;=7,2%,VLOOKUP($D142,'Annual Lapse Rates'!$B$4:$C$14,2,FALSE)))^(1/12)</f>
        <v>1.6821425527395739E-3</v>
      </c>
      <c r="H142" s="80">
        <f t="shared" si="39"/>
        <v>3</v>
      </c>
      <c r="I142" s="65">
        <f t="shared" si="40"/>
        <v>2881.0114118693305</v>
      </c>
      <c r="J142" s="66">
        <f t="shared" si="41"/>
        <v>0.68754277321171409</v>
      </c>
      <c r="K142" s="66">
        <f t="shared" si="42"/>
        <v>4.8556142457594555</v>
      </c>
      <c r="M142" s="67">
        <f t="shared" si="50"/>
        <v>87792437.301325664</v>
      </c>
      <c r="N142" s="67">
        <f>IF(AND(MOD(C142,12)=1,D142&lt;15),Assumptions!$H$4*I142,0)</f>
        <v>0</v>
      </c>
      <c r="O142" s="67"/>
      <c r="P142" s="88">
        <f t="shared" si="43"/>
        <v>168630.73673669994</v>
      </c>
      <c r="Q142" s="88">
        <f>(M142+N142-O142)*VLOOKUP(MOD(C142,12)+(MOD(C142,12)=0)*12,Assumptions!$C$22:$D$33,2,FALSE)*(F142+G142)</f>
        <v>1580.9131569065621</v>
      </c>
      <c r="R142" s="67">
        <f>IF(AND(MOD(C142,12)=0,D142&lt;15),Assumptions!$C$7*M142,0)</f>
        <v>0</v>
      </c>
      <c r="S142" s="68">
        <f>IF(MOD(C142,12)=0,M142*Assumptions!$D$17,0)</f>
        <v>0</v>
      </c>
      <c r="T142" s="68">
        <f>(M142+N142-O142-P142-Q142-R142+S142)*(D143=Assumptions!$H$9)</f>
        <v>0</v>
      </c>
      <c r="U142" s="67">
        <f>T142+AE142*(1+Assumptions!$D$17)</f>
        <v>32621190.886193279</v>
      </c>
      <c r="V142" s="67">
        <f t="shared" si="44"/>
        <v>87622225.651432052</v>
      </c>
      <c r="W142" s="67"/>
      <c r="X142" s="67">
        <f>IF(AND(MOD(C142,12)=1,D142&lt;15),Assumptions!$D$10*N142+Assumptions!$D$11*(1+Assumptions!$D$16)^(B142-1)*I142,0)</f>
        <v>0</v>
      </c>
      <c r="Y142" s="65">
        <f>Assumptions!$C$13*N142</f>
        <v>0</v>
      </c>
      <c r="Z142" s="65">
        <f>NPV(Assumptions!$D$19,N143:$N$259)</f>
        <v>18874991.719819196</v>
      </c>
      <c r="AA142" s="68">
        <f t="shared" si="45"/>
        <v>14338.8082616968</v>
      </c>
      <c r="AB142" s="96"/>
      <c r="AC142" s="67">
        <f>(AC141+N141-P141-Q141-T141-W141-X141-Y141+AD141)*IF(D142=Assumptions!$H$9,0,1)</f>
        <v>118804383.58907691</v>
      </c>
      <c r="AD142" s="91">
        <f>(AF141+N142-W142-X142-Y142)*Assumptions!$D$19-(P142+Q142)*Assumptions!$D$19/2</f>
        <v>513742.3620845534</v>
      </c>
      <c r="AE142" s="67">
        <f>(AE141+(AD142-O142-R142-Q142-S142))*IF(D142=Assumptions!$H$9,0,1)</f>
        <v>32488827.38185402</v>
      </c>
      <c r="AF142" s="91">
        <f t="shared" si="46"/>
        <v>120096714.22502437</v>
      </c>
      <c r="AG142" s="67">
        <f t="shared" si="47"/>
        <v>3161.8263138242182</v>
      </c>
      <c r="AH142" s="89">
        <f>AG142*Assumptions!$C$18</f>
        <v>948.54789414726542</v>
      </c>
      <c r="AI142" s="67">
        <f t="shared" si="48"/>
        <v>2213.2784196769526</v>
      </c>
      <c r="AK142" s="67">
        <f t="shared" si="49"/>
        <v>-61.556565899465568</v>
      </c>
      <c r="AL142" s="70">
        <f t="shared" si="38"/>
        <v>-3223.3829999999998</v>
      </c>
      <c r="AM142" s="80">
        <f>(O142-W142-X142-Y142-AA142)*Assumptions!$D$19</f>
        <v>-61.55656589946507</v>
      </c>
    </row>
    <row r="143" spans="2:39" x14ac:dyDescent="0.2">
      <c r="B143" s="5">
        <f t="shared" si="34"/>
        <v>136</v>
      </c>
      <c r="C143" s="5">
        <f t="shared" si="35"/>
        <v>136</v>
      </c>
      <c r="D143" s="5">
        <f t="shared" si="36"/>
        <v>11</v>
      </c>
      <c r="E143" s="5">
        <f t="shared" si="37"/>
        <v>57</v>
      </c>
      <c r="F143" s="64">
        <f>1-(1-VLOOKUP($E143,'Annual Mortality Rates'!$B$5:$C$105,2,FALSE))^(1/12)</f>
        <v>2.3864632065639935E-4</v>
      </c>
      <c r="G143" s="74">
        <f>1-(1-IF(D143&gt;=7,2%,VLOOKUP($D143,'Annual Lapse Rates'!$B$4:$C$14,2,FALSE)))^(1/12)</f>
        <v>1.6821425527395739E-3</v>
      </c>
      <c r="H143" s="80">
        <f t="shared" si="39"/>
        <v>4</v>
      </c>
      <c r="I143" s="65">
        <f t="shared" si="40"/>
        <v>2875.4682548503592</v>
      </c>
      <c r="J143" s="66">
        <f t="shared" si="41"/>
        <v>0.68621991918431591</v>
      </c>
      <c r="K143" s="66">
        <f t="shared" si="42"/>
        <v>4.8462718908337195</v>
      </c>
      <c r="M143" s="67">
        <f t="shared" si="50"/>
        <v>87622225.651432052</v>
      </c>
      <c r="N143" s="67">
        <f>IF(AND(MOD(C143,12)=1,D143&lt;15),Assumptions!$H$4*I143,0)</f>
        <v>0</v>
      </c>
      <c r="O143" s="67"/>
      <c r="P143" s="88">
        <f t="shared" si="43"/>
        <v>168303.79609346192</v>
      </c>
      <c r="Q143" s="88">
        <f>(M143+N143-O143)*VLOOKUP(MOD(C143,12)+(MOD(C143,12)=0)*12,Assumptions!$C$22:$D$33,2,FALSE)*(F143+G143)</f>
        <v>2103.7974511682742</v>
      </c>
      <c r="R143" s="67">
        <f>IF(AND(MOD(C143,12)=0,D143&lt;15),Assumptions!$C$7*M143,0)</f>
        <v>0</v>
      </c>
      <c r="S143" s="68">
        <f>IF(MOD(C143,12)=0,M143*Assumptions!$D$17,0)</f>
        <v>0</v>
      </c>
      <c r="T143" s="68">
        <f>(M143+N143-O143-P143-Q143-R143+S143)*(D144=Assumptions!$H$9)</f>
        <v>0</v>
      </c>
      <c r="U143" s="67">
        <f>T143+AE143*(1+Assumptions!$D$17)</f>
        <v>33136387.480112012</v>
      </c>
      <c r="V143" s="67">
        <f t="shared" si="44"/>
        <v>87451818.05788742</v>
      </c>
      <c r="W143" s="67"/>
      <c r="X143" s="67">
        <f>IF(AND(MOD(C143,12)=1,D143&lt;15),Assumptions!$D$10*N143+Assumptions!$D$11*(1+Assumptions!$D$16)^(B143-1)*I143,0)</f>
        <v>0</v>
      </c>
      <c r="Y143" s="65">
        <f>Assumptions!$C$13*N143</f>
        <v>0</v>
      </c>
      <c r="Z143" s="65">
        <f>NPV(Assumptions!$D$19,N144:$N$259)</f>
        <v>18956022.140928641</v>
      </c>
      <c r="AA143" s="68">
        <f t="shared" si="45"/>
        <v>14338.8082616968</v>
      </c>
      <c r="AB143" s="96"/>
      <c r="AC143" s="67">
        <f>(AC142+N142-P142-Q142-T142-W142-X142-Y142+AD142)*IF(D143=Assumptions!$H$9,0,1)</f>
        <v>119147914.30126785</v>
      </c>
      <c r="AD143" s="91">
        <f>(AF142+N143-W143-X143-Y143)*Assumptions!$D$19-(P143+Q143)*Assumptions!$D$19/2</f>
        <v>515209.93345766584</v>
      </c>
      <c r="AE143" s="67">
        <f>(AE142+(AD143-O143-R143-Q143-S143))*IF(D143=Assumptions!$H$9,0,1)</f>
        <v>33001933.517860517</v>
      </c>
      <c r="AF143" s="91">
        <f t="shared" si="46"/>
        <v>120439412.76748624</v>
      </c>
      <c r="AG143" s="67">
        <f t="shared" si="47"/>
        <v>4207.5949023318244</v>
      </c>
      <c r="AH143" s="89">
        <f>AG143*Assumptions!$C$18</f>
        <v>1262.2784706995474</v>
      </c>
      <c r="AI143" s="67">
        <f t="shared" si="48"/>
        <v>2945.3164316322773</v>
      </c>
      <c r="AK143" s="67">
        <f t="shared" si="49"/>
        <v>-61.556565899465568</v>
      </c>
      <c r="AL143" s="70">
        <f t="shared" si="38"/>
        <v>-4269.1509999999998</v>
      </c>
      <c r="AM143" s="80">
        <f>(O143-W143-X143-Y143-AA143)*Assumptions!$D$19</f>
        <v>-61.55656589946507</v>
      </c>
    </row>
    <row r="144" spans="2:39" x14ac:dyDescent="0.2">
      <c r="B144" s="5">
        <f t="shared" si="34"/>
        <v>137</v>
      </c>
      <c r="C144" s="5">
        <f t="shared" si="35"/>
        <v>137</v>
      </c>
      <c r="D144" s="5">
        <f t="shared" si="36"/>
        <v>11</v>
      </c>
      <c r="E144" s="5">
        <f t="shared" si="37"/>
        <v>57</v>
      </c>
      <c r="F144" s="64">
        <f>1-(1-VLOOKUP($E144,'Annual Mortality Rates'!$B$5:$C$105,2,FALSE))^(1/12)</f>
        <v>2.3864632065639935E-4</v>
      </c>
      <c r="G144" s="74">
        <f>1-(1-IF(D144&gt;=7,2%,VLOOKUP($D144,'Annual Lapse Rates'!$B$4:$C$14,2,FALSE)))^(1/12)</f>
        <v>1.6821425527395739E-3</v>
      </c>
      <c r="H144" s="80">
        <f t="shared" si="39"/>
        <v>5</v>
      </c>
      <c r="I144" s="65">
        <f t="shared" si="40"/>
        <v>2869.9357630403415</v>
      </c>
      <c r="J144" s="66">
        <f t="shared" si="41"/>
        <v>0.68489961036979352</v>
      </c>
      <c r="K144" s="66">
        <f t="shared" si="42"/>
        <v>4.836947510535591</v>
      </c>
      <c r="M144" s="67">
        <f t="shared" si="50"/>
        <v>87451818.05788742</v>
      </c>
      <c r="N144" s="67">
        <f>IF(AND(MOD(C144,12)=1,D144&lt;15),Assumptions!$H$4*I144,0)</f>
        <v>0</v>
      </c>
      <c r="O144" s="67"/>
      <c r="P144" s="88">
        <f t="shared" si="43"/>
        <v>167976.47908383922</v>
      </c>
      <c r="Q144" s="88">
        <f>(M144+N144-O144)*VLOOKUP(MOD(C144,12)+(MOD(C144,12)=0)*12,Assumptions!$C$22:$D$33,2,FALSE)*(F144+G144)</f>
        <v>2624.6324856849878</v>
      </c>
      <c r="R144" s="67">
        <f>IF(AND(MOD(C144,12)=0,D144&lt;15),Assumptions!$C$7*M144,0)</f>
        <v>0</v>
      </c>
      <c r="S144" s="68">
        <f>IF(MOD(C144,12)=0,M144*Assumptions!$D$17,0)</f>
        <v>0</v>
      </c>
      <c r="T144" s="68">
        <f>(M144+N144-O144-P144-Q144-R144+S144)*(D145=Assumptions!$H$9)</f>
        <v>0</v>
      </c>
      <c r="U144" s="67">
        <f>T144+AE144*(1+Assumptions!$D$17)</f>
        <v>33652537.900172681</v>
      </c>
      <c r="V144" s="67">
        <f t="shared" si="44"/>
        <v>87281216.946317896</v>
      </c>
      <c r="W144" s="67"/>
      <c r="X144" s="67">
        <f>IF(AND(MOD(C144,12)=1,D144&lt;15),Assumptions!$D$10*N144+Assumptions!$D$11*(1+Assumptions!$D$16)^(B144-1)*I144,0)</f>
        <v>0</v>
      </c>
      <c r="Y144" s="65">
        <f>Assumptions!$C$13*N144</f>
        <v>0</v>
      </c>
      <c r="Z144" s="65">
        <f>NPV(Assumptions!$D$19,N145:$N$259)</f>
        <v>19037400.425986461</v>
      </c>
      <c r="AA144" s="68">
        <f t="shared" si="45"/>
        <v>14338.8082616968</v>
      </c>
      <c r="AB144" s="96"/>
      <c r="AC144" s="67">
        <f>(AC143+N143-P143-Q143-T143-W143-X143-Y143+AD143)*IF(D144=Assumptions!$H$9,0,1)</f>
        <v>119492716.64118089</v>
      </c>
      <c r="AD144" s="91">
        <f>(AF143+N144-W144-X144-Y144)*Assumptions!$D$19-(P144+Q144)*Assumptions!$D$19/2</f>
        <v>516680.72439616488</v>
      </c>
      <c r="AE144" s="67">
        <f>(AE143+(AD144-O144-R144-Q144-S144))*IF(D144=Assumptions!$H$9,0,1)</f>
        <v>33515989.609770998</v>
      </c>
      <c r="AF144" s="91">
        <f t="shared" si="46"/>
        <v>120782867.7478272</v>
      </c>
      <c r="AG144" s="67">
        <f t="shared" si="47"/>
        <v>5249.2649713680148</v>
      </c>
      <c r="AH144" s="89">
        <f>AG144*Assumptions!$C$18</f>
        <v>1574.7794914104045</v>
      </c>
      <c r="AI144" s="67">
        <f t="shared" si="48"/>
        <v>3674.4854799576106</v>
      </c>
      <c r="AK144" s="67">
        <f t="shared" si="49"/>
        <v>-61.556565899465568</v>
      </c>
      <c r="AL144" s="70">
        <f t="shared" si="38"/>
        <v>-5310.8220000000001</v>
      </c>
      <c r="AM144" s="80">
        <f>(O144-W144-X144-Y144-AA144)*Assumptions!$D$19</f>
        <v>-61.55656589946507</v>
      </c>
    </row>
    <row r="145" spans="2:39" x14ac:dyDescent="0.2">
      <c r="B145" s="5">
        <f t="shared" si="34"/>
        <v>138</v>
      </c>
      <c r="C145" s="5">
        <f t="shared" si="35"/>
        <v>138</v>
      </c>
      <c r="D145" s="5">
        <f t="shared" si="36"/>
        <v>11</v>
      </c>
      <c r="E145" s="5">
        <f t="shared" si="37"/>
        <v>57</v>
      </c>
      <c r="F145" s="64">
        <f>1-(1-VLOOKUP($E145,'Annual Mortality Rates'!$B$5:$C$105,2,FALSE))^(1/12)</f>
        <v>2.3864632065639935E-4</v>
      </c>
      <c r="G145" s="74">
        <f>1-(1-IF(D145&gt;=7,2%,VLOOKUP($D145,'Annual Lapse Rates'!$B$4:$C$14,2,FALSE)))^(1/12)</f>
        <v>1.6821425527395739E-3</v>
      </c>
      <c r="H145" s="80">
        <f t="shared" si="39"/>
        <v>6</v>
      </c>
      <c r="I145" s="65">
        <f t="shared" si="40"/>
        <v>2864.413915919436</v>
      </c>
      <c r="J145" s="66">
        <f t="shared" si="41"/>
        <v>0.68358184187116222</v>
      </c>
      <c r="K145" s="66">
        <f t="shared" si="42"/>
        <v>4.8276410706392774</v>
      </c>
      <c r="M145" s="67">
        <f t="shared" si="50"/>
        <v>87281216.946317896</v>
      </c>
      <c r="N145" s="67">
        <f>IF(AND(MOD(C145,12)=1,D145&lt;15),Assumptions!$H$4*I145,0)</f>
        <v>0</v>
      </c>
      <c r="O145" s="67"/>
      <c r="P145" s="88">
        <f t="shared" si="43"/>
        <v>167648.79036694748</v>
      </c>
      <c r="Q145" s="88">
        <f>(M145+N145-O145)*VLOOKUP(MOD(C145,12)+(MOD(C145,12)=0)*12,Assumptions!$C$22:$D$33,2,FALSE)*(F145+G145)</f>
        <v>3143.4148193802657</v>
      </c>
      <c r="R145" s="67">
        <f>IF(AND(MOD(C145,12)=0,D145&lt;15),Assumptions!$C$7*M145,0)</f>
        <v>0</v>
      </c>
      <c r="S145" s="68">
        <f>IF(MOD(C145,12)=0,M145*Assumptions!$D$17,0)</f>
        <v>0</v>
      </c>
      <c r="T145" s="68">
        <f>(M145+N145-O145-P145-Q145-R145+S145)*(D146=Assumptions!$H$9)</f>
        <v>0</v>
      </c>
      <c r="U145" s="67">
        <f>T145+AE145*(1+Assumptions!$D$17)</f>
        <v>34169647.473285601</v>
      </c>
      <c r="V145" s="67">
        <f t="shared" si="44"/>
        <v>87110424.741131574</v>
      </c>
      <c r="W145" s="67"/>
      <c r="X145" s="67">
        <f>IF(AND(MOD(C145,12)=1,D145&lt;15),Assumptions!$D$10*N145+Assumptions!$D$11*(1+Assumptions!$D$16)^(B145-1)*I145,0)</f>
        <v>0</v>
      </c>
      <c r="Y145" s="65">
        <f>Assumptions!$C$13*N145</f>
        <v>0</v>
      </c>
      <c r="Z145" s="65">
        <f>NPV(Assumptions!$D$19,N146:$N$259)</f>
        <v>19119128.06837409</v>
      </c>
      <c r="AA145" s="68">
        <f t="shared" si="45"/>
        <v>14338.8082616968</v>
      </c>
      <c r="AB145" s="96"/>
      <c r="AC145" s="67">
        <f>(AC144+N144-P144-Q144-T144-W144-X144-Y144+AD144)*IF(D145=Assumptions!$H$9,0,1)</f>
        <v>119838796.25400753</v>
      </c>
      <c r="AD145" s="91">
        <f>(AF144+N145-W145-X145-Y145)*Assumptions!$D$19-(P145+Q145)*Assumptions!$D$19/2</f>
        <v>518154.76792974846</v>
      </c>
      <c r="AE145" s="67">
        <f>(AE144+(AD145-O145-R145-Q145-S145))*IF(D145=Assumptions!$H$9,0,1)</f>
        <v>34031000.962881364</v>
      </c>
      <c r="AF145" s="91">
        <f t="shared" si="46"/>
        <v>121127086.89575124</v>
      </c>
      <c r="AG145" s="67">
        <f t="shared" si="47"/>
        <v>6286.8296387651935</v>
      </c>
      <c r="AH145" s="89">
        <f>AG145*Assumptions!$C$18</f>
        <v>1886.0488916295581</v>
      </c>
      <c r="AI145" s="67">
        <f t="shared" si="48"/>
        <v>4400.7807471356355</v>
      </c>
      <c r="AK145" s="67">
        <f t="shared" si="49"/>
        <v>-61.556565899465568</v>
      </c>
      <c r="AL145" s="70">
        <f t="shared" si="38"/>
        <v>-6348.3860000000004</v>
      </c>
      <c r="AM145" s="80">
        <f>(O145-W145-X145-Y145-AA145)*Assumptions!$D$19</f>
        <v>-61.55656589946507</v>
      </c>
    </row>
    <row r="146" spans="2:39" x14ac:dyDescent="0.2">
      <c r="B146" s="5">
        <f t="shared" si="34"/>
        <v>139</v>
      </c>
      <c r="C146" s="5">
        <f t="shared" si="35"/>
        <v>139</v>
      </c>
      <c r="D146" s="5">
        <f t="shared" si="36"/>
        <v>11</v>
      </c>
      <c r="E146" s="5">
        <f t="shared" si="37"/>
        <v>57</v>
      </c>
      <c r="F146" s="64">
        <f>1-(1-VLOOKUP($E146,'Annual Mortality Rates'!$B$5:$C$105,2,FALSE))^(1/12)</f>
        <v>2.3864632065639935E-4</v>
      </c>
      <c r="G146" s="74">
        <f>1-(1-IF(D146&gt;=7,2%,VLOOKUP($D146,'Annual Lapse Rates'!$B$4:$C$14,2,FALSE)))^(1/12)</f>
        <v>1.6821425527395739E-3</v>
      </c>
      <c r="H146" s="80">
        <f t="shared" si="39"/>
        <v>7</v>
      </c>
      <c r="I146" s="65">
        <f t="shared" si="40"/>
        <v>2858.9026930069253</v>
      </c>
      <c r="J146" s="66">
        <f t="shared" si="41"/>
        <v>0.68226660880077428</v>
      </c>
      <c r="K146" s="66">
        <f t="shared" si="42"/>
        <v>4.8183525366274793</v>
      </c>
      <c r="M146" s="67">
        <f t="shared" si="50"/>
        <v>87110424.741131574</v>
      </c>
      <c r="N146" s="67">
        <f>IF(AND(MOD(C146,12)=1,D146&lt;15),Assumptions!$H$4*I146,0)</f>
        <v>0</v>
      </c>
      <c r="O146" s="67"/>
      <c r="P146" s="88">
        <f t="shared" si="43"/>
        <v>167320.73459956283</v>
      </c>
      <c r="Q146" s="88">
        <f>(M146+N146-O146)*VLOOKUP(MOD(C146,12)+(MOD(C146,12)=0)*12,Assumptions!$C$22:$D$33,2,FALSE)*(F146+G146)</f>
        <v>3660.141069365437</v>
      </c>
      <c r="R146" s="67">
        <f>IF(AND(MOD(C146,12)=0,D146&lt;15),Assumptions!$C$7*M146,0)</f>
        <v>0</v>
      </c>
      <c r="S146" s="68">
        <f>IF(MOD(C146,12)=0,M146*Assumptions!$D$17,0)</f>
        <v>0</v>
      </c>
      <c r="T146" s="68">
        <f>(M146+N146-O146-P146-Q146-R146+S146)*(D147=Assumptions!$H$9)</f>
        <v>0</v>
      </c>
      <c r="U146" s="67">
        <f>T146+AE146*(1+Assumptions!$D$17)</f>
        <v>34687721.563073896</v>
      </c>
      <c r="V146" s="67">
        <f t="shared" si="44"/>
        <v>86939443.865462646</v>
      </c>
      <c r="W146" s="67"/>
      <c r="X146" s="67">
        <f>IF(AND(MOD(C146,12)=1,D146&lt;15),Assumptions!$D$10*N146+Assumptions!$D$11*(1+Assumptions!$D$16)^(B146-1)*I146,0)</f>
        <v>0</v>
      </c>
      <c r="Y146" s="65">
        <f>Assumptions!$C$13*N146</f>
        <v>0</v>
      </c>
      <c r="Z146" s="65">
        <f>NPV(Assumptions!$D$19,N147:$N$259)</f>
        <v>19201206.567884058</v>
      </c>
      <c r="AA146" s="68">
        <f t="shared" si="45"/>
        <v>14338.8082616968</v>
      </c>
      <c r="AB146" s="96"/>
      <c r="AC146" s="67">
        <f>(AC145+N145-P145-Q145-T145-W145-X145-Y145+AD145)*IF(D146=Assumptions!$H$9,0,1)</f>
        <v>120186158.81675096</v>
      </c>
      <c r="AD146" s="91">
        <f>(AF145+N146-W146-X146-Y146)*Assumptions!$D$19-(P146+Q146)*Assumptions!$D$19/2</f>
        <v>519632.09723933495</v>
      </c>
      <c r="AE146" s="67">
        <f>(AE145+(AD146-O146-R146-Q146-S146))*IF(D146=Assumptions!$H$9,0,1)</f>
        <v>34546972.919051334</v>
      </c>
      <c r="AF146" s="91">
        <f t="shared" si="46"/>
        <v>121472077.97625229</v>
      </c>
      <c r="AG146" s="67">
        <f t="shared" si="47"/>
        <v>7320.2821387223667</v>
      </c>
      <c r="AH146" s="89">
        <f>AG146*Assumptions!$C$18</f>
        <v>2196.0846416167101</v>
      </c>
      <c r="AI146" s="67">
        <f t="shared" si="48"/>
        <v>5124.197497105657</v>
      </c>
      <c r="AK146" s="67">
        <f t="shared" si="49"/>
        <v>-61.556565899465568</v>
      </c>
      <c r="AL146" s="70">
        <f t="shared" si="38"/>
        <v>-7381.8389999999999</v>
      </c>
      <c r="AM146" s="80">
        <f>(O146-W146-X146-Y146-AA146)*Assumptions!$D$19</f>
        <v>-61.55656589946507</v>
      </c>
    </row>
    <row r="147" spans="2:39" x14ac:dyDescent="0.2">
      <c r="B147" s="5">
        <f t="shared" si="34"/>
        <v>140</v>
      </c>
      <c r="C147" s="5">
        <f t="shared" si="35"/>
        <v>140</v>
      </c>
      <c r="D147" s="5">
        <f t="shared" si="36"/>
        <v>11</v>
      </c>
      <c r="E147" s="5">
        <f t="shared" si="37"/>
        <v>57</v>
      </c>
      <c r="F147" s="64">
        <f>1-(1-VLOOKUP($E147,'Annual Mortality Rates'!$B$5:$C$105,2,FALSE))^(1/12)</f>
        <v>2.3864632065639935E-4</v>
      </c>
      <c r="G147" s="74">
        <f>1-(1-IF(D147&gt;=7,2%,VLOOKUP($D147,'Annual Lapse Rates'!$B$4:$C$14,2,FALSE)))^(1/12)</f>
        <v>1.6821425527395739E-3</v>
      </c>
      <c r="H147" s="80">
        <f t="shared" si="39"/>
        <v>8</v>
      </c>
      <c r="I147" s="65">
        <f t="shared" si="40"/>
        <v>2853.4020738614968</v>
      </c>
      <c r="J147" s="66">
        <f t="shared" si="41"/>
        <v>0.68095390628038566</v>
      </c>
      <c r="K147" s="66">
        <f t="shared" si="42"/>
        <v>4.8090818740487116</v>
      </c>
      <c r="M147" s="67">
        <f t="shared" si="50"/>
        <v>86939443.865462646</v>
      </c>
      <c r="N147" s="67">
        <f>IF(AND(MOD(C147,12)=1,D147&lt;15),Assumptions!$H$4*I147,0)</f>
        <v>0</v>
      </c>
      <c r="O147" s="67"/>
      <c r="P147" s="88">
        <f t="shared" si="43"/>
        <v>166992.31643601446</v>
      </c>
      <c r="Q147" s="88">
        <f>(M147+N147-O147)*VLOOKUP(MOD(C147,12)+(MOD(C147,12)=0)*12,Assumptions!$C$22:$D$33,2,FALSE)*(F147+G147)</f>
        <v>4174.807910900362</v>
      </c>
      <c r="R147" s="67">
        <f>IF(AND(MOD(C147,12)=0,D147&lt;15),Assumptions!$C$7*M147,0)</f>
        <v>0</v>
      </c>
      <c r="S147" s="68">
        <f>IF(MOD(C147,12)=0,M147*Assumptions!$D$17,0)</f>
        <v>0</v>
      </c>
      <c r="T147" s="68">
        <f>(M147+N147-O147-P147-Q147-R147+S147)*(D148=Assumptions!$H$9)</f>
        <v>0</v>
      </c>
      <c r="U147" s="67">
        <f>T147+AE147*(1+Assumptions!$D$17)</f>
        <v>35206765.569967061</v>
      </c>
      <c r="V147" s="67">
        <f t="shared" si="44"/>
        <v>86768276.741115734</v>
      </c>
      <c r="W147" s="67"/>
      <c r="X147" s="67">
        <f>IF(AND(MOD(C147,12)=1,D147&lt;15),Assumptions!$D$10*N147+Assumptions!$D$11*(1+Assumptions!$D$16)^(B147-1)*I147,0)</f>
        <v>0</v>
      </c>
      <c r="Y147" s="65">
        <f>Assumptions!$C$13*N147</f>
        <v>0</v>
      </c>
      <c r="Z147" s="65">
        <f>NPV(Assumptions!$D$19,N148:$N$259)</f>
        <v>19283637.430747505</v>
      </c>
      <c r="AA147" s="68">
        <f t="shared" si="45"/>
        <v>14338.8082616968</v>
      </c>
      <c r="AB147" s="96"/>
      <c r="AC147" s="67">
        <f>(AC146+N146-P146-Q146-T146-W146-X146-Y146+AD146)*IF(D147=Assumptions!$H$9,0,1)</f>
        <v>120534810.03832136</v>
      </c>
      <c r="AD147" s="91">
        <f>(AF146+N147-W147-X147-Y147)*Assumptions!$D$19-(P147+Q147)*Assumptions!$D$19/2</f>
        <v>521112.74565722299</v>
      </c>
      <c r="AE147" s="67">
        <f>(AE146+(AD147-O147-R147-Q147-S147))*IF(D147=Assumptions!$H$9,0,1)</f>
        <v>35063910.856797658</v>
      </c>
      <c r="AF147" s="91">
        <f t="shared" si="46"/>
        <v>121817848.78965169</v>
      </c>
      <c r="AG147" s="67">
        <f t="shared" si="47"/>
        <v>8349.615821804211</v>
      </c>
      <c r="AH147" s="89">
        <f>AG147*Assumptions!$C$18</f>
        <v>2504.8847465412632</v>
      </c>
      <c r="AI147" s="67">
        <f t="shared" si="48"/>
        <v>5844.7310752629473</v>
      </c>
      <c r="AK147" s="67">
        <f t="shared" si="49"/>
        <v>-61.556565899465568</v>
      </c>
      <c r="AL147" s="70">
        <f t="shared" si="38"/>
        <v>-8411.1720000000005</v>
      </c>
      <c r="AM147" s="80">
        <f>(O147-W147-X147-Y147-AA147)*Assumptions!$D$19</f>
        <v>-61.55656589946507</v>
      </c>
    </row>
    <row r="148" spans="2:39" x14ac:dyDescent="0.2">
      <c r="B148" s="5">
        <f t="shared" si="34"/>
        <v>141</v>
      </c>
      <c r="C148" s="5">
        <f t="shared" si="35"/>
        <v>141</v>
      </c>
      <c r="D148" s="5">
        <f t="shared" si="36"/>
        <v>11</v>
      </c>
      <c r="E148" s="5">
        <f t="shared" si="37"/>
        <v>57</v>
      </c>
      <c r="F148" s="64">
        <f>1-(1-VLOOKUP($E148,'Annual Mortality Rates'!$B$5:$C$105,2,FALSE))^(1/12)</f>
        <v>2.3864632065639935E-4</v>
      </c>
      <c r="G148" s="74">
        <f>1-(1-IF(D148&gt;=7,2%,VLOOKUP($D148,'Annual Lapse Rates'!$B$4:$C$14,2,FALSE)))^(1/12)</f>
        <v>1.6821425527395739E-3</v>
      </c>
      <c r="H148" s="80">
        <f t="shared" si="39"/>
        <v>9</v>
      </c>
      <c r="I148" s="65">
        <f t="shared" si="40"/>
        <v>2847.9120380811673</v>
      </c>
      <c r="J148" s="66">
        <f t="shared" si="41"/>
        <v>0.67964372944113804</v>
      </c>
      <c r="K148" s="66">
        <f t="shared" si="42"/>
        <v>4.7998290485177728</v>
      </c>
      <c r="M148" s="67">
        <f t="shared" si="50"/>
        <v>86768276.741115734</v>
      </c>
      <c r="N148" s="67">
        <f>IF(AND(MOD(C148,12)=1,D148&lt;15),Assumptions!$H$4*I148,0)</f>
        <v>0</v>
      </c>
      <c r="O148" s="67"/>
      <c r="P148" s="88">
        <f t="shared" si="43"/>
        <v>166663.54052807772</v>
      </c>
      <c r="Q148" s="88">
        <f>(M148+N148-O148)*VLOOKUP(MOD(C148,12)+(MOD(C148,12)=0)*12,Assumptions!$C$22:$D$33,2,FALSE)*(F148+G148)</f>
        <v>4687.4120773521854</v>
      </c>
      <c r="R148" s="67">
        <f>IF(AND(MOD(C148,12)=0,D148&lt;15),Assumptions!$C$7*M148,0)</f>
        <v>0</v>
      </c>
      <c r="S148" s="68">
        <f>IF(MOD(C148,12)=0,M148*Assumptions!$D$17,0)</f>
        <v>0</v>
      </c>
      <c r="T148" s="68">
        <f>(M148+N148-O148-P148-Q148-R148+S148)*(D149=Assumptions!$H$9)</f>
        <v>0</v>
      </c>
      <c r="U148" s="67">
        <f>T148+AE148*(1+Assumptions!$D$17)</f>
        <v>35726784.931294791</v>
      </c>
      <c r="V148" s="67">
        <f t="shared" si="44"/>
        <v>86596925.788510308</v>
      </c>
      <c r="W148" s="67"/>
      <c r="X148" s="67">
        <f>IF(AND(MOD(C148,12)=1,D148&lt;15),Assumptions!$D$10*N148+Assumptions!$D$11*(1+Assumptions!$D$16)^(B148-1)*I148,0)</f>
        <v>0</v>
      </c>
      <c r="Y148" s="65">
        <f>Assumptions!$C$13*N148</f>
        <v>0</v>
      </c>
      <c r="Z148" s="65">
        <f>NPV(Assumptions!$D$19,N149:$N$259)</f>
        <v>19366422.169661835</v>
      </c>
      <c r="AA148" s="68">
        <f t="shared" si="45"/>
        <v>14338.8082616968</v>
      </c>
      <c r="AB148" s="96"/>
      <c r="AC148" s="67">
        <f>(AC147+N147-P147-Q147-T147-W147-X147-Y147+AD147)*IF(D148=Assumptions!$H$9,0,1)</f>
        <v>120884755.65963167</v>
      </c>
      <c r="AD148" s="91">
        <f>(AF147+N148-W148-X148-Y148)*Assumptions!$D$19-(P148+Q148)*Assumptions!$D$19/2</f>
        <v>522596.7466672525</v>
      </c>
      <c r="AE148" s="67">
        <f>(AE147+(AD148-O148-R148-Q148-S148))*IF(D148=Assumptions!$H$9,0,1)</f>
        <v>35581820.191387556</v>
      </c>
      <c r="AF148" s="91">
        <f t="shared" si="46"/>
        <v>122164407.17163616</v>
      </c>
      <c r="AG148" s="67">
        <f t="shared" si="47"/>
        <v>9374.8241547024809</v>
      </c>
      <c r="AH148" s="89">
        <f>AG148*Assumptions!$C$18</f>
        <v>2812.4472464107444</v>
      </c>
      <c r="AI148" s="67">
        <f t="shared" si="48"/>
        <v>6562.376908291737</v>
      </c>
      <c r="AK148" s="67">
        <f t="shared" si="49"/>
        <v>-61.556565899465568</v>
      </c>
      <c r="AL148" s="70">
        <f t="shared" si="38"/>
        <v>-9436.3809999999994</v>
      </c>
      <c r="AM148" s="80">
        <f>(O148-W148-X148-Y148-AA148)*Assumptions!$D$19</f>
        <v>-61.55656589946507</v>
      </c>
    </row>
    <row r="149" spans="2:39" x14ac:dyDescent="0.2">
      <c r="B149" s="5">
        <f t="shared" si="34"/>
        <v>142</v>
      </c>
      <c r="C149" s="5">
        <f t="shared" si="35"/>
        <v>142</v>
      </c>
      <c r="D149" s="5">
        <f t="shared" si="36"/>
        <v>11</v>
      </c>
      <c r="E149" s="5">
        <f t="shared" si="37"/>
        <v>57</v>
      </c>
      <c r="F149" s="64">
        <f>1-(1-VLOOKUP($E149,'Annual Mortality Rates'!$B$5:$C$105,2,FALSE))^(1/12)</f>
        <v>2.3864632065639935E-4</v>
      </c>
      <c r="G149" s="74">
        <f>1-(1-IF(D149&gt;=7,2%,VLOOKUP($D149,'Annual Lapse Rates'!$B$4:$C$14,2,FALSE)))^(1/12)</f>
        <v>1.6821425527395739E-3</v>
      </c>
      <c r="H149" s="80">
        <f t="shared" si="39"/>
        <v>10</v>
      </c>
      <c r="I149" s="65">
        <f t="shared" si="40"/>
        <v>2842.4325653032083</v>
      </c>
      <c r="J149" s="66">
        <f t="shared" si="41"/>
        <v>0.67833607342354119</v>
      </c>
      <c r="K149" s="66">
        <f t="shared" si="42"/>
        <v>4.7905940257156177</v>
      </c>
      <c r="M149" s="67">
        <f t="shared" si="50"/>
        <v>86596925.788510308</v>
      </c>
      <c r="N149" s="67">
        <f>IF(AND(MOD(C149,12)=1,D149&lt;15),Assumptions!$H$4*I149,0)</f>
        <v>0</v>
      </c>
      <c r="O149" s="67"/>
      <c r="P149" s="88">
        <f t="shared" si="43"/>
        <v>166334.41152486741</v>
      </c>
      <c r="Q149" s="88">
        <f>(M149+N149-O149)*VLOOKUP(MOD(C149,12)+(MOD(C149,12)=0)*12,Assumptions!$C$22:$D$33,2,FALSE)*(F149+G149)</f>
        <v>5197.9503601521064</v>
      </c>
      <c r="R149" s="67">
        <f>IF(AND(MOD(C149,12)=0,D149&lt;15),Assumptions!$C$7*M149,0)</f>
        <v>0</v>
      </c>
      <c r="S149" s="68">
        <f>IF(MOD(C149,12)=0,M149*Assumptions!$D$17,0)</f>
        <v>0</v>
      </c>
      <c r="T149" s="68">
        <f>(M149+N149-O149-P149-Q149-R149+S149)*(D150=Assumptions!$H$9)</f>
        <v>0</v>
      </c>
      <c r="U149" s="67">
        <f>T149+AE149*(1+Assumptions!$D$17)</f>
        <v>36247785.121380992</v>
      </c>
      <c r="V149" s="67">
        <f t="shared" si="44"/>
        <v>86425393.426625296</v>
      </c>
      <c r="W149" s="67"/>
      <c r="X149" s="67">
        <f>IF(AND(MOD(C149,12)=1,D149&lt;15),Assumptions!$D$10*N149+Assumptions!$D$11*(1+Assumptions!$D$16)^(B149-1)*I149,0)</f>
        <v>0</v>
      </c>
      <c r="Y149" s="65">
        <f>Assumptions!$C$13*N149</f>
        <v>0</v>
      </c>
      <c r="Z149" s="65">
        <f>NPV(Assumptions!$D$19,N150:$N$259)</f>
        <v>19449562.303818461</v>
      </c>
      <c r="AA149" s="68">
        <f t="shared" si="45"/>
        <v>14338.8082616968</v>
      </c>
      <c r="AB149" s="96"/>
      <c r="AC149" s="67">
        <f>(AC148+N148-P148-Q148-T148-W148-X148-Y148+AD148)*IF(D149=Assumptions!$H$9,0,1)</f>
        <v>121236001.45369349</v>
      </c>
      <c r="AD149" s="91">
        <f>(AF148+N149-W149-X149-Y149)*Assumptions!$D$19-(P149+Q149)*Assumptions!$D$19/2</f>
        <v>524084.13390496833</v>
      </c>
      <c r="AE149" s="67">
        <f>(AE148+(AD149-O149-R149-Q149-S149))*IF(D149=Assumptions!$H$9,0,1)</f>
        <v>36100706.374932371</v>
      </c>
      <c r="AF149" s="91">
        <f t="shared" si="46"/>
        <v>122511760.99329597</v>
      </c>
      <c r="AG149" s="67">
        <f t="shared" si="47"/>
        <v>10395.900720297534</v>
      </c>
      <c r="AH149" s="89">
        <f>AG149*Assumptions!$C$18</f>
        <v>3118.77021608926</v>
      </c>
      <c r="AI149" s="67">
        <f t="shared" si="48"/>
        <v>7277.1305042082731</v>
      </c>
      <c r="AK149" s="67">
        <f t="shared" si="49"/>
        <v>-61.556565899465568</v>
      </c>
      <c r="AL149" s="70">
        <f t="shared" si="38"/>
        <v>-10457.457</v>
      </c>
      <c r="AM149" s="80">
        <f>(O149-W149-X149-Y149-AA149)*Assumptions!$D$19</f>
        <v>-61.55656589946507</v>
      </c>
    </row>
    <row r="150" spans="2:39" x14ac:dyDescent="0.2">
      <c r="B150" s="5">
        <f t="shared" si="34"/>
        <v>143</v>
      </c>
      <c r="C150" s="5">
        <f t="shared" si="35"/>
        <v>143</v>
      </c>
      <c r="D150" s="5">
        <f t="shared" si="36"/>
        <v>11</v>
      </c>
      <c r="E150" s="5">
        <f t="shared" si="37"/>
        <v>57</v>
      </c>
      <c r="F150" s="64">
        <f>1-(1-VLOOKUP($E150,'Annual Mortality Rates'!$B$5:$C$105,2,FALSE))^(1/12)</f>
        <v>2.3864632065639935E-4</v>
      </c>
      <c r="G150" s="74">
        <f>1-(1-IF(D150&gt;=7,2%,VLOOKUP($D150,'Annual Lapse Rates'!$B$4:$C$14,2,FALSE)))^(1/12)</f>
        <v>1.6821425527395739E-3</v>
      </c>
      <c r="H150" s="80">
        <f t="shared" si="39"/>
        <v>11</v>
      </c>
      <c r="I150" s="65">
        <f t="shared" si="40"/>
        <v>2836.9636352040693</v>
      </c>
      <c r="J150" s="66">
        <f t="shared" si="41"/>
        <v>0.67703093337745468</v>
      </c>
      <c r="K150" s="66">
        <f t="shared" si="42"/>
        <v>4.7813767713892341</v>
      </c>
      <c r="M150" s="67">
        <f t="shared" si="50"/>
        <v>86425393.426625296</v>
      </c>
      <c r="N150" s="67">
        <f>IF(AND(MOD(C150,12)=1,D150&lt;15),Assumptions!$H$4*I150,0)</f>
        <v>0</v>
      </c>
      <c r="O150" s="67"/>
      <c r="P150" s="88">
        <f t="shared" si="43"/>
        <v>166004.93407273135</v>
      </c>
      <c r="Q150" s="88">
        <f>(M150+N150-O150)*VLOOKUP(MOD(C150,12)+(MOD(C150,12)=0)*12,Assumptions!$C$22:$D$33,2,FALSE)*(F150+G150)</f>
        <v>5706.4196087501414</v>
      </c>
      <c r="R150" s="67">
        <f>IF(AND(MOD(C150,12)=0,D150&lt;15),Assumptions!$C$7*M150,0)</f>
        <v>0</v>
      </c>
      <c r="S150" s="68">
        <f>IF(MOD(C150,12)=0,M150*Assumptions!$D$17,0)</f>
        <v>0</v>
      </c>
      <c r="T150" s="68">
        <f>(M150+N150-O150-P150-Q150-R150+S150)*(D151=Assumptions!$H$9)</f>
        <v>0</v>
      </c>
      <c r="U150" s="67">
        <f>T150+AE150*(1+Assumptions!$D$17)</f>
        <v>36769771.651638031</v>
      </c>
      <c r="V150" s="67">
        <f t="shared" si="44"/>
        <v>86253682.072943807</v>
      </c>
      <c r="W150" s="67"/>
      <c r="X150" s="67">
        <f>IF(AND(MOD(C150,12)=1,D150&lt;15),Assumptions!$D$10*N150+Assumptions!$D$11*(1+Assumptions!$D$16)^(B150-1)*I150,0)</f>
        <v>0</v>
      </c>
      <c r="Y150" s="65">
        <f>Assumptions!$C$13*N150</f>
        <v>0</v>
      </c>
      <c r="Z150" s="65">
        <f>NPV(Assumptions!$D$19,N151:$N$259)</f>
        <v>19533059.358930703</v>
      </c>
      <c r="AA150" s="68">
        <f t="shared" si="45"/>
        <v>14338.8082616968</v>
      </c>
      <c r="AB150" s="96"/>
      <c r="AC150" s="67">
        <f>(AC149+N149-P149-Q149-T149-W149-X149-Y149+AD149)*IF(D150=Assumptions!$H$9,0,1)</f>
        <v>121588553.22571345</v>
      </c>
      <c r="AD150" s="91">
        <f>(AF149+N150-W150-X150-Y150)*Assumptions!$D$19-(P150+Q150)*Assumptions!$D$19/2</f>
        <v>525574.94115778431</v>
      </c>
      <c r="AE150" s="67">
        <f>(AE149+(AD150-O150-R150-Q150-S150))*IF(D150=Assumptions!$H$9,0,1)</f>
        <v>36620574.896481402</v>
      </c>
      <c r="AF150" s="91">
        <f t="shared" si="46"/>
        <v>122859918.16116351</v>
      </c>
      <c r="AG150" s="67">
        <f t="shared" si="47"/>
        <v>11412.839217511646</v>
      </c>
      <c r="AH150" s="89">
        <f>AG150*Assumptions!$C$18</f>
        <v>3423.8517652534938</v>
      </c>
      <c r="AI150" s="67">
        <f t="shared" si="48"/>
        <v>7988.9874522581522</v>
      </c>
      <c r="AK150" s="67">
        <f t="shared" si="49"/>
        <v>-61.556565899465568</v>
      </c>
      <c r="AL150" s="70">
        <f t="shared" si="38"/>
        <v>-11474.396000000001</v>
      </c>
      <c r="AM150" s="80">
        <f>(O150-W150-X150-Y150-AA150)*Assumptions!$D$19</f>
        <v>-61.55656589946507</v>
      </c>
    </row>
    <row r="151" spans="2:39" x14ac:dyDescent="0.2">
      <c r="B151" s="5">
        <f t="shared" si="34"/>
        <v>144</v>
      </c>
      <c r="C151" s="5">
        <f t="shared" si="35"/>
        <v>144</v>
      </c>
      <c r="D151" s="5">
        <f t="shared" si="36"/>
        <v>11</v>
      </c>
      <c r="E151" s="5">
        <f t="shared" si="37"/>
        <v>57</v>
      </c>
      <c r="F151" s="64">
        <f>1-(1-VLOOKUP($E151,'Annual Mortality Rates'!$B$5:$C$105,2,FALSE))^(1/12)</f>
        <v>2.3864632065639935E-4</v>
      </c>
      <c r="G151" s="74">
        <f>1-(1-IF(D151&gt;=7,2%,VLOOKUP($D151,'Annual Lapse Rates'!$B$4:$C$14,2,FALSE)))^(1/12)</f>
        <v>1.6821425527395739E-3</v>
      </c>
      <c r="H151" s="80">
        <f t="shared" si="39"/>
        <v>12</v>
      </c>
      <c r="I151" s="65">
        <f t="shared" si="40"/>
        <v>2831.5052274993027</v>
      </c>
      <c r="J151" s="66">
        <f t="shared" si="41"/>
        <v>0.67572830446206955</v>
      </c>
      <c r="K151" s="66">
        <f t="shared" si="42"/>
        <v>4.7721772513515148</v>
      </c>
      <c r="M151" s="67">
        <f t="shared" si="50"/>
        <v>86253682.072943807</v>
      </c>
      <c r="N151" s="67">
        <f>IF(AND(MOD(C151,12)=1,D151&lt;15),Assumptions!$H$4*I151,0)</f>
        <v>0</v>
      </c>
      <c r="O151" s="67"/>
      <c r="P151" s="88">
        <f t="shared" si="43"/>
        <v>165675.11281514418</v>
      </c>
      <c r="Q151" s="88">
        <f>(M151+N151-O151)*VLOOKUP(MOD(C151,12)+(MOD(C151,12)=0)*12,Assumptions!$C$22:$D$33,2,FALSE)*(F151+G151)</f>
        <v>6212.8167305679081</v>
      </c>
      <c r="R151" s="67">
        <f>IF(AND(MOD(C151,12)=0,D151&lt;15),Assumptions!$C$7*M151,0)</f>
        <v>43126.841036471902</v>
      </c>
      <c r="S151" s="68">
        <f>IF(MOD(C151,12)=0,M151*Assumptions!$D$17,0)</f>
        <v>351408.17756062397</v>
      </c>
      <c r="T151" s="68">
        <f>(M151+N151-O151-P151-Q151-R151+S151)*(D152=Assumptions!$H$9)</f>
        <v>0</v>
      </c>
      <c r="U151" s="67">
        <f>T151+AE151*(1+Assumptions!$D$17)</f>
        <v>36896607.667561345</v>
      </c>
      <c r="V151" s="67">
        <f t="shared" si="44"/>
        <v>86390075.47992225</v>
      </c>
      <c r="W151" s="67"/>
      <c r="X151" s="67">
        <f>IF(AND(MOD(C151,12)=1,D151&lt;15),Assumptions!$D$10*N151+Assumptions!$D$11*(1+Assumptions!$D$16)^(B151-1)*I151,0)</f>
        <v>0</v>
      </c>
      <c r="Y151" s="65">
        <f>Assumptions!$C$13*N151</f>
        <v>0</v>
      </c>
      <c r="Z151" s="65">
        <f>NPV(Assumptions!$D$19,N152:$N$259)</f>
        <v>19616914.867261764</v>
      </c>
      <c r="AA151" s="68">
        <f t="shared" si="45"/>
        <v>14338.8082616968</v>
      </c>
      <c r="AB151" s="96"/>
      <c r="AC151" s="67">
        <f>(AC150+N150-P150-Q150-T150-W150-X150-Y150+AD150)*IF(D151=Assumptions!$H$9,0,1)</f>
        <v>121942416.81318974</v>
      </c>
      <c r="AD151" s="91">
        <f>(AF150+N151-W151-X151-Y151)*Assumptions!$D$19-(P151+Q151)*Assumptions!$D$19/2</f>
        <v>527069.20236514928</v>
      </c>
      <c r="AE151" s="67">
        <f>(AE150+(AD151-O151-R151-Q151-S151))*IF(D151=Assumptions!$H$9,0,1)</f>
        <v>36746896.263518885</v>
      </c>
      <c r="AF151" s="91">
        <f t="shared" si="46"/>
        <v>123122632.93517944</v>
      </c>
      <c r="AG151" s="67">
        <f t="shared" si="47"/>
        <v>98679.315534071822</v>
      </c>
      <c r="AH151" s="89">
        <f>AG151*Assumptions!$C$18</f>
        <v>29603.794660221545</v>
      </c>
      <c r="AI151" s="67">
        <f t="shared" si="48"/>
        <v>69075.52087385027</v>
      </c>
      <c r="AK151" s="67">
        <f t="shared" si="49"/>
        <v>43065.284470572435</v>
      </c>
      <c r="AL151" s="70">
        <f t="shared" si="38"/>
        <v>-55614.031000000003</v>
      </c>
      <c r="AM151" s="80">
        <f>(O151-W151-X151-Y151-AA151)*Assumptions!$D$19</f>
        <v>-61.55656589946507</v>
      </c>
    </row>
    <row r="152" spans="2:39" x14ac:dyDescent="0.2">
      <c r="B152" s="5">
        <f t="shared" si="34"/>
        <v>145</v>
      </c>
      <c r="C152" s="5">
        <f t="shared" si="35"/>
        <v>145</v>
      </c>
      <c r="D152" s="5">
        <f t="shared" si="36"/>
        <v>12</v>
      </c>
      <c r="E152" s="5">
        <f t="shared" si="37"/>
        <v>58</v>
      </c>
      <c r="F152" s="64">
        <f>1-(1-VLOOKUP($E152,'Annual Mortality Rates'!$B$5:$C$105,2,FALSE))^(1/12)</f>
        <v>2.6705857925313214E-4</v>
      </c>
      <c r="G152" s="74">
        <f>1-(1-IF(D152&gt;=7,2%,VLOOKUP($D152,'Annual Lapse Rates'!$B$4:$C$14,2,FALSE)))^(1/12)</f>
        <v>1.6821425527395739E-3</v>
      </c>
      <c r="H152" s="80">
        <f t="shared" si="39"/>
        <v>1</v>
      </c>
      <c r="I152" s="65">
        <f t="shared" si="40"/>
        <v>2826.0573219434891</v>
      </c>
      <c r="J152" s="66">
        <f t="shared" si="41"/>
        <v>0.75472285328613964</v>
      </c>
      <c r="K152" s="66">
        <f t="shared" si="42"/>
        <v>4.7629954314811247</v>
      </c>
      <c r="M152" s="67">
        <f t="shared" si="50"/>
        <v>86390075.47992225</v>
      </c>
      <c r="N152" s="67">
        <f>IF(AND(MOD(C152,12)=1,D152&lt;15),Assumptions!$H$4*I152,0)</f>
        <v>7065143.3048587227</v>
      </c>
      <c r="O152" s="67"/>
      <c r="P152" s="88">
        <f t="shared" si="43"/>
        <v>182163.01824592109</v>
      </c>
      <c r="Q152" s="88">
        <f>(M152+N152-O152)*VLOOKUP(MOD(C152,12)+(MOD(C152,12)=0)*12,Assumptions!$C$22:$D$33,2,FALSE)*(F152+G152)</f>
        <v>569.2594320185035</v>
      </c>
      <c r="R152" s="67">
        <f>IF(AND(MOD(C152,12)=0,D152&lt;15),Assumptions!$C$7*M152,0)</f>
        <v>0</v>
      </c>
      <c r="S152" s="68">
        <f>IF(MOD(C152,12)=0,M152*Assumptions!$D$17,0)</f>
        <v>0</v>
      </c>
      <c r="T152" s="68">
        <f>(M152+N152-O152-P152-Q152-R152+S152)*(D153=Assumptions!$H$9)</f>
        <v>0</v>
      </c>
      <c r="U152" s="67">
        <f>T152+AE152*(1+Assumptions!$D$17)</f>
        <v>37456410.993173778</v>
      </c>
      <c r="V152" s="67">
        <f t="shared" si="44"/>
        <v>93272486.507103041</v>
      </c>
      <c r="W152" s="67"/>
      <c r="X152" s="67">
        <f>IF(AND(MOD(C152,12)=1,D152&lt;15),Assumptions!$D$10*N152+Assumptions!$D$11*(1+Assumptions!$D$16)^(B152-1)*I152,0)</f>
        <v>58622.522586162231</v>
      </c>
      <c r="Y152" s="65">
        <f>Assumptions!$C$13*N152</f>
        <v>35325.716524293617</v>
      </c>
      <c r="Z152" s="65">
        <f>NPV(Assumptions!$D$19,N153:$N$259)</f>
        <v>12635987.062794136</v>
      </c>
      <c r="AA152" s="68">
        <f t="shared" si="45"/>
        <v>9681.805087009061</v>
      </c>
      <c r="AB152" s="96"/>
      <c r="AC152" s="67">
        <f>(AC151+N151-P151-Q151-T151-W151-X151-Y151+AD151)*IF(D152=Assumptions!$H$9,0,1)</f>
        <v>122297598.08600917</v>
      </c>
      <c r="AD152" s="91">
        <f>(AF151+N152-W152-X152-Y152)*Assumptions!$D$19-(P152+Q152)*Assumptions!$D$19/2</f>
        <v>558101.13118559658</v>
      </c>
      <c r="AE152" s="67">
        <f>(AE151+(AD152-O152-R152-Q152-S152))*IF(D152=Assumptions!$H$9,0,1)</f>
        <v>37304428.135272466</v>
      </c>
      <c r="AF152" s="91">
        <f t="shared" si="46"/>
        <v>130567232.83728848</v>
      </c>
      <c r="AG152" s="67">
        <f t="shared" si="47"/>
        <v>-97466.723421099829</v>
      </c>
      <c r="AH152" s="89">
        <f>AG152*Assumptions!$C$18</f>
        <v>-29240.017026329948</v>
      </c>
      <c r="AI152" s="67">
        <f t="shared" si="48"/>
        <v>-68226.706394769877</v>
      </c>
      <c r="AK152" s="67">
        <f t="shared" si="49"/>
        <v>-99050.126513203606</v>
      </c>
      <c r="AL152" s="70">
        <f t="shared" si="38"/>
        <v>-1583.403</v>
      </c>
      <c r="AM152" s="80">
        <f>(O152-W152-X152-Y152-AA152)*Assumptions!$D$19</f>
        <v>-444.88422806002757</v>
      </c>
    </row>
    <row r="153" spans="2:39" x14ac:dyDescent="0.2">
      <c r="B153" s="5">
        <f t="shared" si="34"/>
        <v>146</v>
      </c>
      <c r="C153" s="5">
        <f t="shared" si="35"/>
        <v>146</v>
      </c>
      <c r="D153" s="5">
        <f t="shared" si="36"/>
        <v>12</v>
      </c>
      <c r="E153" s="5">
        <f t="shared" si="37"/>
        <v>58</v>
      </c>
      <c r="F153" s="64">
        <f>1-(1-VLOOKUP($E153,'Annual Mortality Rates'!$B$5:$C$105,2,FALSE))^(1/12)</f>
        <v>2.6705857925313214E-4</v>
      </c>
      <c r="G153" s="74">
        <f>1-(1-IF(D153&gt;=7,2%,VLOOKUP($D153,'Annual Lapse Rates'!$B$4:$C$14,2,FALSE)))^(1/12)</f>
        <v>1.6821425527395739E-3</v>
      </c>
      <c r="H153" s="80">
        <f t="shared" si="39"/>
        <v>2</v>
      </c>
      <c r="I153" s="65">
        <f t="shared" si="40"/>
        <v>2820.5396036587217</v>
      </c>
      <c r="J153" s="66">
        <f t="shared" si="41"/>
        <v>0.75324929928029061</v>
      </c>
      <c r="K153" s="66">
        <f t="shared" si="42"/>
        <v>4.7538312777223846</v>
      </c>
      <c r="M153" s="67">
        <f t="shared" si="50"/>
        <v>93272486.507103041</v>
      </c>
      <c r="N153" s="67">
        <f>IF(AND(MOD(C153,12)=1,D153&lt;15),Assumptions!$H$4*I153,0)</f>
        <v>0</v>
      </c>
      <c r="O153" s="67"/>
      <c r="P153" s="88">
        <f t="shared" si="43"/>
        <v>181806.83628341966</v>
      </c>
      <c r="Q153" s="88">
        <f>(M153+N153-O153)*VLOOKUP(MOD(C153,12)+(MOD(C153,12)=0)*12,Assumptions!$C$22:$D$33,2,FALSE)*(F153+G153)</f>
        <v>1136.2927267713731</v>
      </c>
      <c r="R153" s="67">
        <f>IF(AND(MOD(C153,12)=0,D153&lt;15),Assumptions!$C$7*M153,0)</f>
        <v>0</v>
      </c>
      <c r="S153" s="68">
        <f>IF(MOD(C153,12)=0,M153*Assumptions!$D$17,0)</f>
        <v>0</v>
      </c>
      <c r="T153" s="68">
        <f>(M153+N153-O153-P153-Q153-R153+S153)*(D154=Assumptions!$H$9)</f>
        <v>0</v>
      </c>
      <c r="U153" s="67">
        <f>T153+AE153*(1+Assumptions!$D$17)</f>
        <v>38017685.129861347</v>
      </c>
      <c r="V153" s="67">
        <f t="shared" si="44"/>
        <v>93089543.378092855</v>
      </c>
      <c r="W153" s="67"/>
      <c r="X153" s="67">
        <f>IF(AND(MOD(C153,12)=1,D153&lt;15),Assumptions!$D$10*N153+Assumptions!$D$11*(1+Assumptions!$D$16)^(B153-1)*I153,0)</f>
        <v>0</v>
      </c>
      <c r="Y153" s="65">
        <f>Assumptions!$C$13*N153</f>
        <v>0</v>
      </c>
      <c r="Z153" s="65">
        <f>NPV(Assumptions!$D$19,N154:$N$259)</f>
        <v>12690233.409920031</v>
      </c>
      <c r="AA153" s="68">
        <f t="shared" si="45"/>
        <v>9681.805087009061</v>
      </c>
      <c r="AB153" s="96"/>
      <c r="AC153" s="67">
        <f>(AC152+N152-P152-Q152-T152-W152-X152-Y152+AD152)*IF(D153=Assumptions!$H$9,0,1)</f>
        <v>129644162.0052651</v>
      </c>
      <c r="AD153" s="91">
        <f>(AF152+N153-W153-X153-Y153)*Assumptions!$D$19-(P153+Q153)*Assumptions!$D$19/2</f>
        <v>560133.00760327827</v>
      </c>
      <c r="AE153" s="67">
        <f>(AE152+(AD153-O153-R153-Q153-S153))*IF(D153=Assumptions!$H$9,0,1)</f>
        <v>37863424.850148976</v>
      </c>
      <c r="AF153" s="91">
        <f t="shared" si="46"/>
        <v>130943286.42315482</v>
      </c>
      <c r="AG153" s="67">
        <f t="shared" si="47"/>
        <v>2272.5854535265826</v>
      </c>
      <c r="AH153" s="89">
        <f>AG153*Assumptions!$C$18</f>
        <v>681.77563605797479</v>
      </c>
      <c r="AI153" s="67">
        <f t="shared" si="48"/>
        <v>1590.8098174686079</v>
      </c>
      <c r="AK153" s="67">
        <f t="shared" si="49"/>
        <v>-41.564031123582026</v>
      </c>
      <c r="AL153" s="70">
        <f t="shared" si="38"/>
        <v>-2314.1489999999999</v>
      </c>
      <c r="AM153" s="80">
        <f>(O153-W153-X153-Y153-AA153)*Assumptions!$D$19</f>
        <v>-41.564031123582623</v>
      </c>
    </row>
    <row r="154" spans="2:39" x14ac:dyDescent="0.2">
      <c r="B154" s="5">
        <f t="shared" si="34"/>
        <v>147</v>
      </c>
      <c r="C154" s="5">
        <f t="shared" si="35"/>
        <v>147</v>
      </c>
      <c r="D154" s="5">
        <f t="shared" si="36"/>
        <v>12</v>
      </c>
      <c r="E154" s="5">
        <f t="shared" si="37"/>
        <v>58</v>
      </c>
      <c r="F154" s="64">
        <f>1-(1-VLOOKUP($E154,'Annual Mortality Rates'!$B$5:$C$105,2,FALSE))^(1/12)</f>
        <v>2.6705857925313214E-4</v>
      </c>
      <c r="G154" s="74">
        <f>1-(1-IF(D154&gt;=7,2%,VLOOKUP($D154,'Annual Lapse Rates'!$B$4:$C$14,2,FALSE)))^(1/12)</f>
        <v>1.6821425527395739E-3</v>
      </c>
      <c r="H154" s="80">
        <f t="shared" si="39"/>
        <v>3</v>
      </c>
      <c r="I154" s="65">
        <f t="shared" si="40"/>
        <v>2815.0325230817189</v>
      </c>
      <c r="J154" s="66">
        <f t="shared" si="41"/>
        <v>0.75177858616556381</v>
      </c>
      <c r="K154" s="66">
        <f t="shared" si="42"/>
        <v>4.7445496890015484</v>
      </c>
      <c r="M154" s="67">
        <f t="shared" si="50"/>
        <v>93089543.378092855</v>
      </c>
      <c r="N154" s="67">
        <f>IF(AND(MOD(C154,12)=1,D154&lt;15),Assumptions!$H$4*I154,0)</f>
        <v>0</v>
      </c>
      <c r="O154" s="67"/>
      <c r="P154" s="88">
        <f t="shared" si="43"/>
        <v>181450.24332926271</v>
      </c>
      <c r="Q154" s="88">
        <f>(M154+N154-O154)*VLOOKUP(MOD(C154,12)+(MOD(C154,12)=0)*12,Assumptions!$C$22:$D$33,2,FALSE)*(F154+G154)</f>
        <v>1701.0960312118382</v>
      </c>
      <c r="R154" s="67">
        <f>IF(AND(MOD(C154,12)=0,D154&lt;15),Assumptions!$C$7*M154,0)</f>
        <v>0</v>
      </c>
      <c r="S154" s="68">
        <f>IF(MOD(C154,12)=0,M154*Assumptions!$D$17,0)</f>
        <v>0</v>
      </c>
      <c r="T154" s="68">
        <f>(M154+N154-O154-P154-Q154-R154+S154)*(D155=Assumptions!$H$9)</f>
        <v>0</v>
      </c>
      <c r="U154" s="67">
        <f>T154+AE154*(1+Assumptions!$D$17)</f>
        <v>38580012.690356202</v>
      </c>
      <c r="V154" s="67">
        <f t="shared" si="44"/>
        <v>92906392.03873238</v>
      </c>
      <c r="W154" s="67"/>
      <c r="X154" s="67">
        <f>IF(AND(MOD(C154,12)=1,D154&lt;15),Assumptions!$D$10*N154+Assumptions!$D$11*(1+Assumptions!$D$16)^(B154-1)*I154,0)</f>
        <v>0</v>
      </c>
      <c r="Y154" s="65">
        <f>Assumptions!$C$13*N154</f>
        <v>0</v>
      </c>
      <c r="Z154" s="65">
        <f>NPV(Assumptions!$D$19,N155:$N$259)</f>
        <v>12744712.636848817</v>
      </c>
      <c r="AA154" s="68">
        <f t="shared" si="45"/>
        <v>9681.805087009061</v>
      </c>
      <c r="AB154" s="96"/>
      <c r="AC154" s="67">
        <f>(AC153+N153-P153-Q153-T153-W153-X153-Y153+AD153)*IF(D154=Assumptions!$H$9,0,1)</f>
        <v>130021351.88385819</v>
      </c>
      <c r="AD154" s="91">
        <f>(AF153+N154-W154-X154-Y154)*Assumptions!$D$19-(P154+Q154)*Assumptions!$D$19/2</f>
        <v>561746.96035030368</v>
      </c>
      <c r="AE154" s="67">
        <f>(AE153+(AD154-O154-R154-Q154-S154))*IF(D154=Assumptions!$H$9,0,1)</f>
        <v>38423470.714468069</v>
      </c>
      <c r="AF154" s="91">
        <f t="shared" si="46"/>
        <v>131320180.94811343</v>
      </c>
      <c r="AG154" s="67">
        <f t="shared" si="47"/>
        <v>3402.192062430433</v>
      </c>
      <c r="AH154" s="89">
        <f>AG154*Assumptions!$C$18</f>
        <v>1020.6576187291298</v>
      </c>
      <c r="AI154" s="67">
        <f t="shared" si="48"/>
        <v>2381.5344437013032</v>
      </c>
      <c r="AK154" s="67">
        <f t="shared" si="49"/>
        <v>-41.564031123582026</v>
      </c>
      <c r="AL154" s="70">
        <f t="shared" si="38"/>
        <v>-3443.7559999999999</v>
      </c>
      <c r="AM154" s="80">
        <f>(O154-W154-X154-Y154-AA154)*Assumptions!$D$19</f>
        <v>-41.564031123582623</v>
      </c>
    </row>
    <row r="155" spans="2:39" x14ac:dyDescent="0.2">
      <c r="B155" s="5">
        <f t="shared" si="34"/>
        <v>148</v>
      </c>
      <c r="C155" s="5">
        <f t="shared" si="35"/>
        <v>148</v>
      </c>
      <c r="D155" s="5">
        <f t="shared" si="36"/>
        <v>12</v>
      </c>
      <c r="E155" s="5">
        <f t="shared" si="37"/>
        <v>58</v>
      </c>
      <c r="F155" s="64">
        <f>1-(1-VLOOKUP($E155,'Annual Mortality Rates'!$B$5:$C$105,2,FALSE))^(1/12)</f>
        <v>2.6705857925313214E-4</v>
      </c>
      <c r="G155" s="74">
        <f>1-(1-IF(D155&gt;=7,2%,VLOOKUP($D155,'Annual Lapse Rates'!$B$4:$C$14,2,FALSE)))^(1/12)</f>
        <v>1.6821425527395739E-3</v>
      </c>
      <c r="H155" s="80">
        <f t="shared" si="39"/>
        <v>4</v>
      </c>
      <c r="I155" s="65">
        <f t="shared" si="40"/>
        <v>2809.536194806552</v>
      </c>
      <c r="J155" s="66">
        <f t="shared" si="41"/>
        <v>0.7503107445452889</v>
      </c>
      <c r="K155" s="66">
        <f t="shared" si="42"/>
        <v>4.7352859944216057</v>
      </c>
      <c r="M155" s="67">
        <f t="shared" si="50"/>
        <v>92906392.03873238</v>
      </c>
      <c r="N155" s="67">
        <f>IF(AND(MOD(C155,12)=1,D155&lt;15),Assumptions!$H$4*I155,0)</f>
        <v>0</v>
      </c>
      <c r="O155" s="67"/>
      <c r="P155" s="88">
        <f t="shared" si="43"/>
        <v>181093.2445312553</v>
      </c>
      <c r="Q155" s="88">
        <f>(M155+N155-O155)*VLOOKUP(MOD(C155,12)+(MOD(C155,12)=0)*12,Assumptions!$C$22:$D$33,2,FALSE)*(F155+G155)</f>
        <v>2263.6655566406912</v>
      </c>
      <c r="R155" s="67">
        <f>IF(AND(MOD(C155,12)=0,D155&lt;15),Assumptions!$C$7*M155,0)</f>
        <v>0</v>
      </c>
      <c r="S155" s="68">
        <f>IF(MOD(C155,12)=0,M155*Assumptions!$D$17,0)</f>
        <v>0</v>
      </c>
      <c r="T155" s="68">
        <f>(M155+N155-O155-P155-Q155-R155+S155)*(D156=Assumptions!$H$9)</f>
        <v>0</v>
      </c>
      <c r="U155" s="67">
        <f>T155+AE155*(1+Assumptions!$D$17)</f>
        <v>39143399.54809045</v>
      </c>
      <c r="V155" s="67">
        <f t="shared" si="44"/>
        <v>92723035.128644481</v>
      </c>
      <c r="W155" s="67"/>
      <c r="X155" s="67">
        <f>IF(AND(MOD(C155,12)=1,D155&lt;15),Assumptions!$D$10*N155+Assumptions!$D$11*(1+Assumptions!$D$16)^(B155-1)*I155,0)</f>
        <v>0</v>
      </c>
      <c r="Y155" s="65">
        <f>Assumptions!$C$13*N155</f>
        <v>0</v>
      </c>
      <c r="Z155" s="65">
        <f>NPV(Assumptions!$D$19,N156:$N$259)</f>
        <v>12799425.743334495</v>
      </c>
      <c r="AA155" s="68">
        <f t="shared" si="45"/>
        <v>9681.805087009061</v>
      </c>
      <c r="AB155" s="96"/>
      <c r="AC155" s="67">
        <f>(AC154+N154-P154-Q154-T154-W154-X154-Y154+AD154)*IF(D155=Assumptions!$H$9,0,1)</f>
        <v>130399947.50484802</v>
      </c>
      <c r="AD155" s="91">
        <f>(AF154+N155-W155-X155-Y155)*Assumptions!$D$19-(P155+Q155)*Assumptions!$D$19/2</f>
        <v>563364.52891844662</v>
      </c>
      <c r="AE155" s="67">
        <f>(AE154+(AD155-O155-R155-Q155-S155))*IF(D155=Assumptions!$H$9,0,1)</f>
        <v>38984571.577829875</v>
      </c>
      <c r="AF155" s="91">
        <f t="shared" si="46"/>
        <v>131697924.90138735</v>
      </c>
      <c r="AG155" s="67">
        <f t="shared" si="47"/>
        <v>4527.3311132690869</v>
      </c>
      <c r="AH155" s="89">
        <f>AG155*Assumptions!$C$18</f>
        <v>1358.1993339807261</v>
      </c>
      <c r="AI155" s="67">
        <f t="shared" si="48"/>
        <v>3169.131779288361</v>
      </c>
      <c r="AK155" s="67">
        <f t="shared" si="49"/>
        <v>-41.564031123582026</v>
      </c>
      <c r="AL155" s="70">
        <f t="shared" si="38"/>
        <v>-4568.8950000000004</v>
      </c>
      <c r="AM155" s="80">
        <f>(O155-W155-X155-Y155-AA155)*Assumptions!$D$19</f>
        <v>-41.564031123582623</v>
      </c>
    </row>
    <row r="156" spans="2:39" x14ac:dyDescent="0.2">
      <c r="B156" s="5">
        <f t="shared" si="34"/>
        <v>149</v>
      </c>
      <c r="C156" s="5">
        <f t="shared" si="35"/>
        <v>149</v>
      </c>
      <c r="D156" s="5">
        <f t="shared" si="36"/>
        <v>12</v>
      </c>
      <c r="E156" s="5">
        <f t="shared" si="37"/>
        <v>58</v>
      </c>
      <c r="F156" s="64">
        <f>1-(1-VLOOKUP($E156,'Annual Mortality Rates'!$B$5:$C$105,2,FALSE))^(1/12)</f>
        <v>2.6705857925313214E-4</v>
      </c>
      <c r="G156" s="74">
        <f>1-(1-IF(D156&gt;=7,2%,VLOOKUP($D156,'Annual Lapse Rates'!$B$4:$C$14,2,FALSE)))^(1/12)</f>
        <v>1.6821425527395739E-3</v>
      </c>
      <c r="H156" s="80">
        <f t="shared" si="39"/>
        <v>5</v>
      </c>
      <c r="I156" s="65">
        <f t="shared" si="40"/>
        <v>2804.0505980675848</v>
      </c>
      <c r="J156" s="66">
        <f t="shared" si="41"/>
        <v>0.7488457688738247</v>
      </c>
      <c r="K156" s="66">
        <f t="shared" si="42"/>
        <v>4.7260403867461225</v>
      </c>
      <c r="M156" s="67">
        <f t="shared" si="50"/>
        <v>92723035.128644481</v>
      </c>
      <c r="N156" s="67">
        <f>IF(AND(MOD(C156,12)=1,D156&lt;15),Assumptions!$H$4*I156,0)</f>
        <v>0</v>
      </c>
      <c r="O156" s="67"/>
      <c r="P156" s="88">
        <f t="shared" si="43"/>
        <v>180735.84503455326</v>
      </c>
      <c r="Q156" s="88">
        <f>(M156+N156-O156)*VLOOKUP(MOD(C156,12)+(MOD(C156,12)=0)*12,Assumptions!$C$22:$D$33,2,FALSE)*(F156+G156)</f>
        <v>2823.9975786648947</v>
      </c>
      <c r="R156" s="67">
        <f>IF(AND(MOD(C156,12)=0,D156&lt;15),Assumptions!$C$7*M156,0)</f>
        <v>0</v>
      </c>
      <c r="S156" s="68">
        <f>IF(MOD(C156,12)=0,M156*Assumptions!$D$17,0)</f>
        <v>0</v>
      </c>
      <c r="T156" s="68">
        <f>(M156+N156-O156-P156-Q156-R156+S156)*(D157=Assumptions!$H$9)</f>
        <v>0</v>
      </c>
      <c r="U156" s="67">
        <f>T156+AE156*(1+Assumptions!$D$17)</f>
        <v>39707851.616825491</v>
      </c>
      <c r="V156" s="67">
        <f t="shared" si="44"/>
        <v>92539475.286031261</v>
      </c>
      <c r="W156" s="67"/>
      <c r="X156" s="67">
        <f>IF(AND(MOD(C156,12)=1,D156&lt;15),Assumptions!$D$10*N156+Assumptions!$D$11*(1+Assumptions!$D$16)^(B156-1)*I156,0)</f>
        <v>0</v>
      </c>
      <c r="Y156" s="65">
        <f>Assumptions!$C$13*N156</f>
        <v>0</v>
      </c>
      <c r="Z156" s="65">
        <f>NPV(Assumptions!$D$19,N157:$N$259)</f>
        <v>12854373.733423013</v>
      </c>
      <c r="AA156" s="68">
        <f t="shared" si="45"/>
        <v>9681.805087009061</v>
      </c>
      <c r="AB156" s="96"/>
      <c r="AC156" s="67">
        <f>(AC155+N155-P155-Q155-T155-W155-X155-Y155+AD155)*IF(D156=Assumptions!$H$9,0,1)</f>
        <v>130779955.12367857</v>
      </c>
      <c r="AD156" s="91">
        <f>(AF155+N156-W156-X156-Y156)*Assumptions!$D$19-(P156+Q156)*Assumptions!$D$19/2</f>
        <v>564985.74974892836</v>
      </c>
      <c r="AE156" s="67">
        <f>(AE155+(AD156-O156-R156-Q156-S156))*IF(D156=Assumptions!$H$9,0,1)</f>
        <v>39546733.33000014</v>
      </c>
      <c r="AF156" s="91">
        <f t="shared" si="46"/>
        <v>132076526.81094439</v>
      </c>
      <c r="AG156" s="67">
        <f t="shared" si="47"/>
        <v>5647.9951573306462</v>
      </c>
      <c r="AH156" s="89">
        <f>AG156*Assumptions!$C$18</f>
        <v>1694.3985471991939</v>
      </c>
      <c r="AI156" s="67">
        <f t="shared" si="48"/>
        <v>3953.5966101314525</v>
      </c>
      <c r="AK156" s="67">
        <f t="shared" si="49"/>
        <v>-41.564031123582026</v>
      </c>
      <c r="AL156" s="70">
        <f t="shared" si="38"/>
        <v>-5689.5590000000002</v>
      </c>
      <c r="AM156" s="80">
        <f>(O156-W156-X156-Y156-AA156)*Assumptions!$D$19</f>
        <v>-41.564031123582623</v>
      </c>
    </row>
    <row r="157" spans="2:39" x14ac:dyDescent="0.2">
      <c r="B157" s="5">
        <f t="shared" si="34"/>
        <v>150</v>
      </c>
      <c r="C157" s="5">
        <f t="shared" si="35"/>
        <v>150</v>
      </c>
      <c r="D157" s="5">
        <f t="shared" si="36"/>
        <v>12</v>
      </c>
      <c r="E157" s="5">
        <f t="shared" si="37"/>
        <v>58</v>
      </c>
      <c r="F157" s="64">
        <f>1-(1-VLOOKUP($E157,'Annual Mortality Rates'!$B$5:$C$105,2,FALSE))^(1/12)</f>
        <v>2.6705857925313214E-4</v>
      </c>
      <c r="G157" s="74">
        <f>1-(1-IF(D157&gt;=7,2%,VLOOKUP($D157,'Annual Lapse Rates'!$B$4:$C$14,2,FALSE)))^(1/12)</f>
        <v>1.6821425527395739E-3</v>
      </c>
      <c r="H157" s="80">
        <f t="shared" si="39"/>
        <v>6</v>
      </c>
      <c r="I157" s="65">
        <f t="shared" si="40"/>
        <v>2798.5757119119648</v>
      </c>
      <c r="J157" s="66">
        <f t="shared" si="41"/>
        <v>0.74738365355553216</v>
      </c>
      <c r="K157" s="66">
        <f t="shared" si="42"/>
        <v>4.7168128310443365</v>
      </c>
      <c r="M157" s="67">
        <f t="shared" si="50"/>
        <v>92539475.286031261</v>
      </c>
      <c r="N157" s="67">
        <f>IF(AND(MOD(C157,12)=1,D157&lt;15),Assumptions!$H$4*I157,0)</f>
        <v>0</v>
      </c>
      <c r="O157" s="67"/>
      <c r="P157" s="88">
        <f t="shared" si="43"/>
        <v>180378.04998154318</v>
      </c>
      <c r="Q157" s="88">
        <f>(M157+N157-O157)*VLOOKUP(MOD(C157,12)+(MOD(C157,12)=0)*12,Assumptions!$C$22:$D$33,2,FALSE)*(F157+G157)</f>
        <v>3382.088437153935</v>
      </c>
      <c r="R157" s="67">
        <f>IF(AND(MOD(C157,12)=0,D157&lt;15),Assumptions!$C$7*M157,0)</f>
        <v>0</v>
      </c>
      <c r="S157" s="68">
        <f>IF(MOD(C157,12)=0,M157*Assumptions!$D$17,0)</f>
        <v>0</v>
      </c>
      <c r="T157" s="68">
        <f>(M157+N157-O157-P157-Q157-R157+S157)*(D158=Assumptions!$H$9)</f>
        <v>0</v>
      </c>
      <c r="U157" s="67">
        <f>T157+AE157*(1+Assumptions!$D$17)</f>
        <v>40273374.850754298</v>
      </c>
      <c r="V157" s="67">
        <f t="shared" si="44"/>
        <v>92355715.147612557</v>
      </c>
      <c r="W157" s="67"/>
      <c r="X157" s="67">
        <f>IF(AND(MOD(C157,12)=1,D157&lt;15),Assumptions!$D$10*N157+Assumptions!$D$11*(1+Assumptions!$D$16)^(B157-1)*I157,0)</f>
        <v>0</v>
      </c>
      <c r="Y157" s="65">
        <f>Assumptions!$C$13*N157</f>
        <v>0</v>
      </c>
      <c r="Z157" s="65">
        <f>NPV(Assumptions!$D$19,N158:$N$259)</f>
        <v>12909557.615470694</v>
      </c>
      <c r="AA157" s="68">
        <f t="shared" si="45"/>
        <v>9681.805087009061</v>
      </c>
      <c r="AB157" s="96"/>
      <c r="AC157" s="67">
        <f>(AC156+N156-P156-Q156-T156-W156-X156-Y156+AD156)*IF(D157=Assumptions!$H$9,0,1)</f>
        <v>131161381.03081428</v>
      </c>
      <c r="AD157" s="91">
        <f>(AF156+N157-W157-X157-Y157)*Assumptions!$D$19-(P157+Q157)*Assumptions!$D$19/2</f>
        <v>566610.65944917011</v>
      </c>
      <c r="AE157" s="67">
        <f>(AE156+(AD157-O157-R157-Q157-S157))*IF(D157=Assumptions!$H$9,0,1)</f>
        <v>40109961.901012152</v>
      </c>
      <c r="AF157" s="91">
        <f t="shared" si="46"/>
        <v>132455995.24353769</v>
      </c>
      <c r="AG157" s="67">
        <f t="shared" si="47"/>
        <v>6764.1768743259599</v>
      </c>
      <c r="AH157" s="89">
        <f>AG157*Assumptions!$C$18</f>
        <v>2029.2530622977879</v>
      </c>
      <c r="AI157" s="67">
        <f t="shared" si="48"/>
        <v>4734.9238120281716</v>
      </c>
      <c r="AK157" s="67">
        <f t="shared" si="49"/>
        <v>-41.564031123582026</v>
      </c>
      <c r="AL157" s="70">
        <f t="shared" si="38"/>
        <v>-6805.741</v>
      </c>
      <c r="AM157" s="80">
        <f>(O157-W157-X157-Y157-AA157)*Assumptions!$D$19</f>
        <v>-41.564031123582623</v>
      </c>
    </row>
    <row r="158" spans="2:39" x14ac:dyDescent="0.2">
      <c r="B158" s="5">
        <f t="shared" si="34"/>
        <v>151</v>
      </c>
      <c r="C158" s="5">
        <f t="shared" si="35"/>
        <v>151</v>
      </c>
      <c r="D158" s="5">
        <f t="shared" si="36"/>
        <v>12</v>
      </c>
      <c r="E158" s="5">
        <f t="shared" si="37"/>
        <v>58</v>
      </c>
      <c r="F158" s="64">
        <f>1-(1-VLOOKUP($E158,'Annual Mortality Rates'!$B$5:$C$105,2,FALSE))^(1/12)</f>
        <v>2.6705857925313214E-4</v>
      </c>
      <c r="G158" s="74">
        <f>1-(1-IF(D158&gt;=7,2%,VLOOKUP($D158,'Annual Lapse Rates'!$B$4:$C$14,2,FALSE)))^(1/12)</f>
        <v>1.6821425527395739E-3</v>
      </c>
      <c r="H158" s="80">
        <f t="shared" si="39"/>
        <v>7</v>
      </c>
      <c r="I158" s="65">
        <f t="shared" si="40"/>
        <v>2793.1115154273648</v>
      </c>
      <c r="J158" s="66">
        <f t="shared" si="41"/>
        <v>0.74592439300559488</v>
      </c>
      <c r="K158" s="66">
        <f t="shared" si="42"/>
        <v>4.7076032920705631</v>
      </c>
      <c r="M158" s="67">
        <f t="shared" si="50"/>
        <v>92355715.147612557</v>
      </c>
      <c r="N158" s="67">
        <f>IF(AND(MOD(C158,12)=1,D158&lt;15),Assumptions!$H$4*I158,0)</f>
        <v>0</v>
      </c>
      <c r="O158" s="67"/>
      <c r="P158" s="88">
        <f t="shared" si="43"/>
        <v>180019.86451172229</v>
      </c>
      <c r="Q158" s="88">
        <f>(M158+N158-O158)*VLOOKUP(MOD(C158,12)+(MOD(C158,12)=0)*12,Assumptions!$C$22:$D$33,2,FALSE)*(F158+G158)</f>
        <v>3937.9345361939259</v>
      </c>
      <c r="R158" s="67">
        <f>IF(AND(MOD(C158,12)=0,D158&lt;15),Assumptions!$C$7*M158,0)</f>
        <v>0</v>
      </c>
      <c r="S158" s="68">
        <f>IF(MOD(C158,12)=0,M158*Assumptions!$D$17,0)</f>
        <v>0</v>
      </c>
      <c r="T158" s="68">
        <f>(M158+N158-O158-P158-Q158-R158+S158)*(D159=Assumptions!$H$9)</f>
        <v>0</v>
      </c>
      <c r="U158" s="67">
        <f>T158+AE158*(1+Assumptions!$D$17)</f>
        <v>40839975.244604036</v>
      </c>
      <c r="V158" s="67">
        <f t="shared" si="44"/>
        <v>92171757.34856464</v>
      </c>
      <c r="W158" s="67"/>
      <c r="X158" s="67">
        <f>IF(AND(MOD(C158,12)=1,D158&lt;15),Assumptions!$D$10*N158+Assumptions!$D$11*(1+Assumptions!$D$16)^(B158-1)*I158,0)</f>
        <v>0</v>
      </c>
      <c r="Y158" s="65">
        <f>Assumptions!$C$13*N158</f>
        <v>0</v>
      </c>
      <c r="Z158" s="65">
        <f>NPV(Assumptions!$D$19,N159:$N$259)</f>
        <v>12964978.402162742</v>
      </c>
      <c r="AA158" s="68">
        <f t="shared" si="45"/>
        <v>9681.805087009061</v>
      </c>
      <c r="AB158" s="96"/>
      <c r="AC158" s="67">
        <f>(AC157+N157-P157-Q157-T157-W157-X157-Y157+AD157)*IF(D158=Assumptions!$H$9,0,1)</f>
        <v>131544231.55184475</v>
      </c>
      <c r="AD158" s="91">
        <f>(AF157+N158-W158-X158-Y158)*Assumptions!$D$19-(P158+Q158)*Assumptions!$D$19/2</f>
        <v>568239.29479296657</v>
      </c>
      <c r="AE158" s="67">
        <f>(AE157+(AD158-O158-R158-Q158-S158))*IF(D158=Assumptions!$H$9,0,1)</f>
        <v>40674263.261268929</v>
      </c>
      <c r="AF158" s="91">
        <f t="shared" si="46"/>
        <v>132836338.80474655</v>
      </c>
      <c r="AG158" s="67">
        <f t="shared" si="47"/>
        <v>7875.8690723852487</v>
      </c>
      <c r="AH158" s="89">
        <f>AG158*Assumptions!$C$18</f>
        <v>2362.7607217155746</v>
      </c>
      <c r="AI158" s="67">
        <f t="shared" si="48"/>
        <v>5513.1083506696741</v>
      </c>
      <c r="AK158" s="67">
        <f t="shared" si="49"/>
        <v>-41.564031123582026</v>
      </c>
      <c r="AL158" s="70">
        <f t="shared" si="38"/>
        <v>-7917.433</v>
      </c>
      <c r="AM158" s="80">
        <f>(O158-W158-X158-Y158-AA158)*Assumptions!$D$19</f>
        <v>-41.564031123582623</v>
      </c>
    </row>
    <row r="159" spans="2:39" x14ac:dyDescent="0.2">
      <c r="B159" s="5">
        <f t="shared" si="34"/>
        <v>152</v>
      </c>
      <c r="C159" s="5">
        <f t="shared" si="35"/>
        <v>152</v>
      </c>
      <c r="D159" s="5">
        <f t="shared" si="36"/>
        <v>12</v>
      </c>
      <c r="E159" s="5">
        <f t="shared" si="37"/>
        <v>58</v>
      </c>
      <c r="F159" s="64">
        <f>1-(1-VLOOKUP($E159,'Annual Mortality Rates'!$B$5:$C$105,2,FALSE))^(1/12)</f>
        <v>2.6705857925313214E-4</v>
      </c>
      <c r="G159" s="74">
        <f>1-(1-IF(D159&gt;=7,2%,VLOOKUP($D159,'Annual Lapse Rates'!$B$4:$C$14,2,FALSE)))^(1/12)</f>
        <v>1.6821425527395739E-3</v>
      </c>
      <c r="H159" s="80">
        <f t="shared" si="39"/>
        <v>8</v>
      </c>
      <c r="I159" s="65">
        <f t="shared" si="40"/>
        <v>2787.6579877422887</v>
      </c>
      <c r="J159" s="66">
        <f t="shared" si="41"/>
        <v>0.74446798165010086</v>
      </c>
      <c r="K159" s="66">
        <f t="shared" si="42"/>
        <v>4.6984117346472871</v>
      </c>
      <c r="M159" s="67">
        <f t="shared" si="50"/>
        <v>92171757.34856464</v>
      </c>
      <c r="N159" s="67">
        <f>IF(AND(MOD(C159,12)=1,D159&lt;15),Assumptions!$H$4*I159,0)</f>
        <v>0</v>
      </c>
      <c r="O159" s="67"/>
      <c r="P159" s="88">
        <f t="shared" si="43"/>
        <v>179661.29376157923</v>
      </c>
      <c r="Q159" s="88">
        <f>(M159+N159-O159)*VLOOKUP(MOD(C159,12)+(MOD(C159,12)=0)*12,Assumptions!$C$22:$D$33,2,FALSE)*(F159+G159)</f>
        <v>4491.5323440394804</v>
      </c>
      <c r="R159" s="67">
        <f>IF(AND(MOD(C159,12)=0,D159&lt;15),Assumptions!$C$7*M159,0)</f>
        <v>0</v>
      </c>
      <c r="S159" s="68">
        <f>IF(MOD(C159,12)=0,M159*Assumptions!$D$17,0)</f>
        <v>0</v>
      </c>
      <c r="T159" s="68">
        <f>(M159+N159-O159-P159-Q159-R159+S159)*(D160=Assumptions!$H$9)</f>
        <v>0</v>
      </c>
      <c r="U159" s="67">
        <f>T159+AE159*(1+Assumptions!$D$17)</f>
        <v>41407658.833738856</v>
      </c>
      <c r="V159" s="67">
        <f t="shared" si="44"/>
        <v>91987604.522459015</v>
      </c>
      <c r="W159" s="67"/>
      <c r="X159" s="67">
        <f>IF(AND(MOD(C159,12)=1,D159&lt;15),Assumptions!$D$10*N159+Assumptions!$D$11*(1+Assumptions!$D$16)^(B159-1)*I159,0)</f>
        <v>0</v>
      </c>
      <c r="Y159" s="65">
        <f>Assumptions!$C$13*N159</f>
        <v>0</v>
      </c>
      <c r="Z159" s="65">
        <f>NPV(Assumptions!$D$19,N160:$N$259)</f>
        <v>13020637.110531818</v>
      </c>
      <c r="AA159" s="68">
        <f t="shared" si="45"/>
        <v>9681.805087009061</v>
      </c>
      <c r="AB159" s="96"/>
      <c r="AC159" s="67">
        <f>(AC158+N158-P158-Q158-T158-W158-X158-Y158+AD158)*IF(D159=Assumptions!$H$9,0,1)</f>
        <v>131928513.04758979</v>
      </c>
      <c r="AD159" s="91">
        <f>(AF158+N159-W159-X159-Y159)*Assumptions!$D$19-(P159+Q159)*Assumptions!$D$19/2</f>
        <v>569871.69272066269</v>
      </c>
      <c r="AE159" s="67">
        <f>(AE158+(AD159-O159-R159-Q159-S159))*IF(D159=Assumptions!$H$9,0,1)</f>
        <v>41239643.421645552</v>
      </c>
      <c r="AF159" s="91">
        <f t="shared" si="46"/>
        <v>133217566.13901755</v>
      </c>
      <c r="AG159" s="67">
        <f t="shared" si="47"/>
        <v>8983.0646880846471</v>
      </c>
      <c r="AH159" s="89">
        <f>AG159*Assumptions!$C$18</f>
        <v>2694.9194064253938</v>
      </c>
      <c r="AI159" s="67">
        <f t="shared" si="48"/>
        <v>6288.1452816592537</v>
      </c>
      <c r="AK159" s="67">
        <f t="shared" si="49"/>
        <v>-41.564031123582026</v>
      </c>
      <c r="AL159" s="70">
        <f t="shared" si="38"/>
        <v>-9024.6290000000008</v>
      </c>
      <c r="AM159" s="80">
        <f>(O159-W159-X159-Y159-AA159)*Assumptions!$D$19</f>
        <v>-41.564031123582623</v>
      </c>
    </row>
    <row r="160" spans="2:39" x14ac:dyDescent="0.2">
      <c r="B160" s="5">
        <f t="shared" si="34"/>
        <v>153</v>
      </c>
      <c r="C160" s="5">
        <f t="shared" si="35"/>
        <v>153</v>
      </c>
      <c r="D160" s="5">
        <f t="shared" si="36"/>
        <v>12</v>
      </c>
      <c r="E160" s="5">
        <f t="shared" si="37"/>
        <v>58</v>
      </c>
      <c r="F160" s="64">
        <f>1-(1-VLOOKUP($E160,'Annual Mortality Rates'!$B$5:$C$105,2,FALSE))^(1/12)</f>
        <v>2.6705857925313214E-4</v>
      </c>
      <c r="G160" s="74">
        <f>1-(1-IF(D160&gt;=7,2%,VLOOKUP($D160,'Annual Lapse Rates'!$B$4:$C$14,2,FALSE)))^(1/12)</f>
        <v>1.6821425527395739E-3</v>
      </c>
      <c r="H160" s="80">
        <f t="shared" si="39"/>
        <v>9</v>
      </c>
      <c r="I160" s="65">
        <f t="shared" si="40"/>
        <v>2782.2151080259914</v>
      </c>
      <c r="J160" s="66">
        <f t="shared" si="41"/>
        <v>0.74301441392602086</v>
      </c>
      <c r="K160" s="66">
        <f t="shared" si="42"/>
        <v>4.6892381236656773</v>
      </c>
      <c r="M160" s="67">
        <f t="shared" si="50"/>
        <v>91987604.522459015</v>
      </c>
      <c r="N160" s="67">
        <f>IF(AND(MOD(C160,12)=1,D160&lt;15),Assumptions!$H$4*I160,0)</f>
        <v>0</v>
      </c>
      <c r="O160" s="67"/>
      <c r="P160" s="88">
        <f t="shared" si="43"/>
        <v>179302.34286447449</v>
      </c>
      <c r="Q160" s="88">
        <f>(M160+N160-O160)*VLOOKUP(MOD(C160,12)+(MOD(C160,12)=0)*12,Assumptions!$C$22:$D$33,2,FALSE)*(F160+G160)</f>
        <v>5042.8783930633444</v>
      </c>
      <c r="R160" s="67">
        <f>IF(AND(MOD(C160,12)=0,D160&lt;15),Assumptions!$C$7*M160,0)</f>
        <v>0</v>
      </c>
      <c r="S160" s="68">
        <f>IF(MOD(C160,12)=0,M160*Assumptions!$D$17,0)</f>
        <v>0</v>
      </c>
      <c r="T160" s="68">
        <f>(M160+N160-O160-P160-Q160-R160+S160)*(D161=Assumptions!$H$9)</f>
        <v>0</v>
      </c>
      <c r="U160" s="67">
        <f>T160+AE160*(1+Assumptions!$D$17)</f>
        <v>41976431.694262899</v>
      </c>
      <c r="V160" s="67">
        <f t="shared" si="44"/>
        <v>91803259.301201478</v>
      </c>
      <c r="W160" s="67"/>
      <c r="X160" s="67">
        <f>IF(AND(MOD(C160,12)=1,D160&lt;15),Assumptions!$D$10*N160+Assumptions!$D$11*(1+Assumptions!$D$16)^(B160-1)*I160,0)</f>
        <v>0</v>
      </c>
      <c r="Y160" s="65">
        <f>Assumptions!$C$13*N160</f>
        <v>0</v>
      </c>
      <c r="Z160" s="65">
        <f>NPV(Assumptions!$D$19,N161:$N$259)</f>
        <v>13076534.761976708</v>
      </c>
      <c r="AA160" s="68">
        <f t="shared" si="45"/>
        <v>9681.805087009061</v>
      </c>
      <c r="AB160" s="96"/>
      <c r="AC160" s="67">
        <f>(AC159+N159-P159-Q159-T159-W159-X159-Y159+AD159)*IF(D160=Assumptions!$H$9,0,1)</f>
        <v>132314231.91420484</v>
      </c>
      <c r="AD160" s="91">
        <f>(AF159+N160-W160-X160-Y160)*Assumptions!$D$19-(P160+Q160)*Assumptions!$D$19/2</f>
        <v>571507.89033932937</v>
      </c>
      <c r="AE160" s="67">
        <f>(AE159+(AD160-O160-R160-Q160-S160))*IF(D160=Assumptions!$H$9,0,1)</f>
        <v>41806108.43359182</v>
      </c>
      <c r="AF160" s="91">
        <f t="shared" si="46"/>
        <v>133599685.92970629</v>
      </c>
      <c r="AG160" s="67">
        <f t="shared" si="47"/>
        <v>10085.756786116632</v>
      </c>
      <c r="AH160" s="89">
        <f>AG160*Assumptions!$C$18</f>
        <v>3025.7270358349892</v>
      </c>
      <c r="AI160" s="67">
        <f t="shared" si="48"/>
        <v>7060.0297502816429</v>
      </c>
      <c r="AK160" s="67">
        <f t="shared" si="49"/>
        <v>-41.564031123582026</v>
      </c>
      <c r="AL160" s="70">
        <f t="shared" si="38"/>
        <v>-10127.321</v>
      </c>
      <c r="AM160" s="80">
        <f>(O160-W160-X160-Y160-AA160)*Assumptions!$D$19</f>
        <v>-41.564031123582623</v>
      </c>
    </row>
    <row r="161" spans="2:39" x14ac:dyDescent="0.2">
      <c r="B161" s="5">
        <f t="shared" si="34"/>
        <v>154</v>
      </c>
      <c r="C161" s="5">
        <f t="shared" si="35"/>
        <v>154</v>
      </c>
      <c r="D161" s="5">
        <f t="shared" si="36"/>
        <v>12</v>
      </c>
      <c r="E161" s="5">
        <f t="shared" si="37"/>
        <v>58</v>
      </c>
      <c r="F161" s="64">
        <f>1-(1-VLOOKUP($E161,'Annual Mortality Rates'!$B$5:$C$105,2,FALSE))^(1/12)</f>
        <v>2.6705857925313214E-4</v>
      </c>
      <c r="G161" s="74">
        <f>1-(1-IF(D161&gt;=7,2%,VLOOKUP($D161,'Annual Lapse Rates'!$B$4:$C$14,2,FALSE)))^(1/12)</f>
        <v>1.6821425527395739E-3</v>
      </c>
      <c r="H161" s="80">
        <f t="shared" si="39"/>
        <v>10</v>
      </c>
      <c r="I161" s="65">
        <f t="shared" si="40"/>
        <v>2776.7828554883995</v>
      </c>
      <c r="J161" s="66">
        <f t="shared" si="41"/>
        <v>0.74156368428118735</v>
      </c>
      <c r="K161" s="66">
        <f t="shared" si="42"/>
        <v>4.6800824240854508</v>
      </c>
      <c r="M161" s="67">
        <f t="shared" si="50"/>
        <v>91803259.301201478</v>
      </c>
      <c r="N161" s="67">
        <f>IF(AND(MOD(C161,12)=1,D161&lt;15),Assumptions!$H$4*I161,0)</f>
        <v>0</v>
      </c>
      <c r="O161" s="67"/>
      <c r="P161" s="88">
        <f t="shared" si="43"/>
        <v>178943.01695052185</v>
      </c>
      <c r="Q161" s="88">
        <f>(M161+N161-O161)*VLOOKUP(MOD(C161,12)+(MOD(C161,12)=0)*12,Assumptions!$C$22:$D$33,2,FALSE)*(F161+G161)</f>
        <v>5591.9692797038078</v>
      </c>
      <c r="R161" s="67">
        <f>IF(AND(MOD(C161,12)=0,D161&lt;15),Assumptions!$C$7*M161,0)</f>
        <v>0</v>
      </c>
      <c r="S161" s="68">
        <f>IF(MOD(C161,12)=0,M161*Assumptions!$D$17,0)</f>
        <v>0</v>
      </c>
      <c r="T161" s="68">
        <f>(M161+N161-O161-P161-Q161-R161+S161)*(D162=Assumptions!$H$9)</f>
        <v>0</v>
      </c>
      <c r="U161" s="67">
        <f>T161+AE161*(1+Assumptions!$D$17)</f>
        <v>42546299.943123572</v>
      </c>
      <c r="V161" s="67">
        <f t="shared" si="44"/>
        <v>91618724.314971253</v>
      </c>
      <c r="W161" s="67"/>
      <c r="X161" s="67">
        <f>IF(AND(MOD(C161,12)=1,D161&lt;15),Assumptions!$D$10*N161+Assumptions!$D$11*(1+Assumptions!$D$16)^(B161-1)*I161,0)</f>
        <v>0</v>
      </c>
      <c r="Y161" s="65">
        <f>Assumptions!$C$13*N161</f>
        <v>0</v>
      </c>
      <c r="Z161" s="65">
        <f>NPV(Assumptions!$D$19,N162:$N$259)</f>
        <v>13132672.382281074</v>
      </c>
      <c r="AA161" s="68">
        <f t="shared" si="45"/>
        <v>9681.805087009061</v>
      </c>
      <c r="AB161" s="96"/>
      <c r="AC161" s="67">
        <f>(AC160+N160-P160-Q160-T160-W160-X160-Y160+AD160)*IF(D161=Assumptions!$H$9,0,1)</f>
        <v>132701394.58328663</v>
      </c>
      <c r="AD161" s="91">
        <f>(AF160+N161-W161-X161-Y161)*Assumptions!$D$19-(P161+Q161)*Assumptions!$D$19/2</f>
        <v>573147.9249229437</v>
      </c>
      <c r="AE161" s="67">
        <f>(AE160+(AD161-O161-R161-Q161-S161))*IF(D161=Assumptions!$H$9,0,1)</f>
        <v>42373664.389235057</v>
      </c>
      <c r="AF161" s="91">
        <f t="shared" si="46"/>
        <v>133982706.8991193</v>
      </c>
      <c r="AG161" s="67">
        <f t="shared" si="47"/>
        <v>11183.93855940958</v>
      </c>
      <c r="AH161" s="89">
        <f>AG161*Assumptions!$C$18</f>
        <v>3355.1815678228741</v>
      </c>
      <c r="AI161" s="67">
        <f t="shared" si="48"/>
        <v>7828.7569915867061</v>
      </c>
      <c r="AK161" s="67">
        <f t="shared" si="49"/>
        <v>-41.564031123582026</v>
      </c>
      <c r="AL161" s="70">
        <f t="shared" si="38"/>
        <v>-11225.503000000001</v>
      </c>
      <c r="AM161" s="80">
        <f>(O161-W161-X161-Y161-AA161)*Assumptions!$D$19</f>
        <v>-41.564031123582623</v>
      </c>
    </row>
    <row r="162" spans="2:39" x14ac:dyDescent="0.2">
      <c r="B162" s="5">
        <f t="shared" si="34"/>
        <v>155</v>
      </c>
      <c r="C162" s="5">
        <f t="shared" si="35"/>
        <v>155</v>
      </c>
      <c r="D162" s="5">
        <f t="shared" si="36"/>
        <v>12</v>
      </c>
      <c r="E162" s="5">
        <f t="shared" si="37"/>
        <v>58</v>
      </c>
      <c r="F162" s="64">
        <f>1-(1-VLOOKUP($E162,'Annual Mortality Rates'!$B$5:$C$105,2,FALSE))^(1/12)</f>
        <v>2.6705857925313214E-4</v>
      </c>
      <c r="G162" s="74">
        <f>1-(1-IF(D162&gt;=7,2%,VLOOKUP($D162,'Annual Lapse Rates'!$B$4:$C$14,2,FALSE)))^(1/12)</f>
        <v>1.6821425527395739E-3</v>
      </c>
      <c r="H162" s="80">
        <f t="shared" si="39"/>
        <v>11</v>
      </c>
      <c r="I162" s="65">
        <f t="shared" si="40"/>
        <v>2771.361209380033</v>
      </c>
      <c r="J162" s="66">
        <f t="shared" si="41"/>
        <v>0.74011578717427373</v>
      </c>
      <c r="K162" s="66">
        <f t="shared" si="42"/>
        <v>4.6709446009347397</v>
      </c>
      <c r="M162" s="67">
        <f t="shared" si="50"/>
        <v>91618724.314971253</v>
      </c>
      <c r="N162" s="67">
        <f>IF(AND(MOD(C162,12)=1,D162&lt;15),Assumptions!$H$4*I162,0)</f>
        <v>0</v>
      </c>
      <c r="O162" s="67"/>
      <c r="P162" s="88">
        <f t="shared" si="43"/>
        <v>178583.32114646962</v>
      </c>
      <c r="Q162" s="88">
        <f>(M162+N162-O162)*VLOOKUP(MOD(C162,12)+(MOD(C162,12)=0)*12,Assumptions!$C$22:$D$33,2,FALSE)*(F162+G162)</f>
        <v>6138.8016644098934</v>
      </c>
      <c r="R162" s="67">
        <f>IF(AND(MOD(C162,12)=0,D162&lt;15),Assumptions!$C$7*M162,0)</f>
        <v>0</v>
      </c>
      <c r="S162" s="68">
        <f>IF(MOD(C162,12)=0,M162*Assumptions!$D$17,0)</f>
        <v>0</v>
      </c>
      <c r="T162" s="68">
        <f>(M162+N162-O162-P162-Q162-R162+S162)*(D163=Assumptions!$H$9)</f>
        <v>0</v>
      </c>
      <c r="U162" s="67">
        <f>T162+AE162*(1+Assumptions!$D$17)</f>
        <v>43117269.738215059</v>
      </c>
      <c r="V162" s="67">
        <f t="shared" si="44"/>
        <v>91434002.192160368</v>
      </c>
      <c r="W162" s="67"/>
      <c r="X162" s="67">
        <f>IF(AND(MOD(C162,12)=1,D162&lt;15),Assumptions!$D$10*N162+Assumptions!$D$11*(1+Assumptions!$D$16)^(B162-1)*I162,0)</f>
        <v>0</v>
      </c>
      <c r="Y162" s="65">
        <f>Assumptions!$C$13*N162</f>
        <v>0</v>
      </c>
      <c r="Z162" s="65">
        <f>NPV(Assumptions!$D$19,N163:$N$259)</f>
        <v>13189051.001632269</v>
      </c>
      <c r="AA162" s="68">
        <f t="shared" si="45"/>
        <v>9681.805087009061</v>
      </c>
      <c r="AB162" s="96"/>
      <c r="AC162" s="67">
        <f>(AC161+N161-P161-Q161-T161-W161-X161-Y161+AD161)*IF(D162=Assumptions!$H$9,0,1)</f>
        <v>133090007.52197935</v>
      </c>
      <c r="AD162" s="91">
        <f>(AF161+N162-W162-X162-Y162)*Assumptions!$D$19-(P162+Q162)*Assumptions!$D$19/2</f>
        <v>574791.83391256921</v>
      </c>
      <c r="AE162" s="67">
        <f>(AE161+(AD162-O162-R162-Q162-S162))*IF(D162=Assumptions!$H$9,0,1)</f>
        <v>42942317.421483219</v>
      </c>
      <c r="AF162" s="91">
        <f t="shared" si="46"/>
        <v>134366637.80855659</v>
      </c>
      <c r="AG162" s="67">
        <f t="shared" si="47"/>
        <v>12277.603328815778</v>
      </c>
      <c r="AH162" s="89">
        <f>AG162*Assumptions!$C$18</f>
        <v>3683.2809986447332</v>
      </c>
      <c r="AI162" s="67">
        <f t="shared" si="48"/>
        <v>8594.3223301710441</v>
      </c>
      <c r="AK162" s="67">
        <f t="shared" si="49"/>
        <v>-41.564031123582026</v>
      </c>
      <c r="AL162" s="70">
        <f t="shared" si="38"/>
        <v>-12319.166999999999</v>
      </c>
      <c r="AM162" s="80">
        <f>(O162-W162-X162-Y162-AA162)*Assumptions!$D$19</f>
        <v>-41.564031123582623</v>
      </c>
    </row>
    <row r="163" spans="2:39" x14ac:dyDescent="0.2">
      <c r="B163" s="5">
        <f t="shared" si="34"/>
        <v>156</v>
      </c>
      <c r="C163" s="5">
        <f t="shared" si="35"/>
        <v>156</v>
      </c>
      <c r="D163" s="5">
        <f t="shared" si="36"/>
        <v>12</v>
      </c>
      <c r="E163" s="5">
        <f t="shared" si="37"/>
        <v>58</v>
      </c>
      <c r="F163" s="64">
        <f>1-(1-VLOOKUP($E163,'Annual Mortality Rates'!$B$5:$C$105,2,FALSE))^(1/12)</f>
        <v>2.6705857925313214E-4</v>
      </c>
      <c r="G163" s="74">
        <f>1-(1-IF(D163&gt;=7,2%,VLOOKUP($D163,'Annual Lapse Rates'!$B$4:$C$14,2,FALSE)))^(1/12)</f>
        <v>1.6821425527395739E-3</v>
      </c>
      <c r="H163" s="80">
        <f t="shared" si="39"/>
        <v>12</v>
      </c>
      <c r="I163" s="65">
        <f t="shared" si="40"/>
        <v>2765.9501489919239</v>
      </c>
      <c r="J163" s="66">
        <f t="shared" si="41"/>
        <v>0.73867071707477239</v>
      </c>
      <c r="K163" s="66">
        <f t="shared" si="42"/>
        <v>4.6618246193099617</v>
      </c>
      <c r="M163" s="67">
        <f t="shared" si="50"/>
        <v>91434002.192160368</v>
      </c>
      <c r="N163" s="67">
        <f>IF(AND(MOD(C163,12)=1,D163&lt;15),Assumptions!$H$4*I163,0)</f>
        <v>0</v>
      </c>
      <c r="O163" s="67"/>
      <c r="P163" s="88">
        <f t="shared" si="43"/>
        <v>178223.26057558256</v>
      </c>
      <c r="Q163" s="88">
        <f>(M163+N163-O163)*VLOOKUP(MOD(C163,12)+(MOD(C163,12)=0)*12,Assumptions!$C$22:$D$33,2,FALSE)*(F163+G163)</f>
        <v>6683.372271584346</v>
      </c>
      <c r="R163" s="67">
        <f>IF(AND(MOD(C163,12)=0,D163&lt;15),Assumptions!$C$7*M163,0)</f>
        <v>45717.001096080188</v>
      </c>
      <c r="S163" s="68">
        <f>IF(MOD(C163,12)=0,M163*Assumptions!$D$17,0)</f>
        <v>372513.44296523626</v>
      </c>
      <c r="T163" s="68">
        <f>(M163+N163-O163-P163-Q163-R163+S163)*(D164=Assumptions!$H$9)</f>
        <v>0</v>
      </c>
      <c r="U163" s="67">
        <f>T163+AE163*(1+Assumptions!$D$17)</f>
        <v>43269412.911821514</v>
      </c>
      <c r="V163" s="67">
        <f t="shared" si="44"/>
        <v>91575892.001182362</v>
      </c>
      <c r="W163" s="67"/>
      <c r="X163" s="67">
        <f>IF(AND(MOD(C163,12)=1,D163&lt;15),Assumptions!$D$10*N163+Assumptions!$D$11*(1+Assumptions!$D$16)^(B163-1)*I163,0)</f>
        <v>0</v>
      </c>
      <c r="Y163" s="65">
        <f>Assumptions!$C$13*N163</f>
        <v>0</v>
      </c>
      <c r="Z163" s="65">
        <f>NPV(Assumptions!$D$19,N164:$N$259)</f>
        <v>13245671.654640242</v>
      </c>
      <c r="AA163" s="68">
        <f t="shared" si="45"/>
        <v>9681.805087009061</v>
      </c>
      <c r="AB163" s="96"/>
      <c r="AC163" s="67">
        <f>(AC162+N162-P162-Q162-T162-W162-X162-Y162+AD162)*IF(D163=Assumptions!$H$9,0,1)</f>
        <v>133480077.23308103</v>
      </c>
      <c r="AD163" s="91">
        <f>(AF162+N163-W163-X163-Y163)*Assumptions!$D$19-(P163+Q163)*Assumptions!$D$19/2</f>
        <v>576439.65491653862</v>
      </c>
      <c r="AE163" s="67">
        <f>(AE162+(AD163-O163-R163-Q163-S163))*IF(D163=Assumptions!$H$9,0,1)</f>
        <v>43093843.260066859</v>
      </c>
      <c r="AF163" s="91">
        <f t="shared" si="46"/>
        <v>134660053.45616221</v>
      </c>
      <c r="AG163" s="67">
        <f t="shared" si="47"/>
        <v>104800.74673532828</v>
      </c>
      <c r="AH163" s="89">
        <f>AG163*Assumptions!$C$18</f>
        <v>31440.224020598485</v>
      </c>
      <c r="AI163" s="67">
        <f t="shared" si="48"/>
        <v>73360.522714729799</v>
      </c>
      <c r="AK163" s="67">
        <f t="shared" si="49"/>
        <v>45675.437064956604</v>
      </c>
      <c r="AL163" s="70">
        <f t="shared" si="38"/>
        <v>-59125.31</v>
      </c>
      <c r="AM163" s="80">
        <f>(O163-W163-X163-Y163-AA163)*Assumptions!$D$19</f>
        <v>-41.564031123582623</v>
      </c>
    </row>
    <row r="164" spans="2:39" x14ac:dyDescent="0.2">
      <c r="B164" s="5">
        <f t="shared" si="34"/>
        <v>157</v>
      </c>
      <c r="C164" s="5">
        <f t="shared" si="35"/>
        <v>157</v>
      </c>
      <c r="D164" s="5">
        <f t="shared" si="36"/>
        <v>13</v>
      </c>
      <c r="E164" s="5">
        <f t="shared" si="37"/>
        <v>59</v>
      </c>
      <c r="F164" s="64">
        <f>1-(1-VLOOKUP($E164,'Annual Mortality Rates'!$B$5:$C$105,2,FALSE))^(1/12)</f>
        <v>2.9882397117220183E-4</v>
      </c>
      <c r="G164" s="74">
        <f>1-(1-IF(D164&gt;=7,2%,VLOOKUP($D164,'Annual Lapse Rates'!$B$4:$C$14,2,FALSE)))^(1/12)</f>
        <v>1.6821425527395739E-3</v>
      </c>
      <c r="H164" s="80">
        <f t="shared" si="39"/>
        <v>1</v>
      </c>
      <c r="I164" s="65">
        <f t="shared" si="40"/>
        <v>2760.5496536555393</v>
      </c>
      <c r="J164" s="66">
        <f t="shared" si="41"/>
        <v>0.82491841012339462</v>
      </c>
      <c r="K164" s="66">
        <f t="shared" si="42"/>
        <v>4.6527224443756801</v>
      </c>
      <c r="M164" s="67">
        <f t="shared" si="50"/>
        <v>91575892.001182362</v>
      </c>
      <c r="N164" s="67">
        <f>IF(AND(MOD(C164,12)=1,D164&lt;15),Assumptions!$H$4*I164,0)</f>
        <v>6901374.1341388477</v>
      </c>
      <c r="O164" s="67"/>
      <c r="P164" s="88">
        <f t="shared" si="43"/>
        <v>195080.1675804221</v>
      </c>
      <c r="Q164" s="88">
        <f>(M164+N164-O164)*VLOOKUP(MOD(C164,12)+(MOD(C164,12)=0)*12,Assumptions!$C$22:$D$33,2,FALSE)*(F164+G164)</f>
        <v>609.62552368881904</v>
      </c>
      <c r="R164" s="67">
        <f>IF(AND(MOD(C164,12)=0,D164&lt;15),Assumptions!$C$7*M164,0)</f>
        <v>0</v>
      </c>
      <c r="S164" s="68">
        <f>IF(MOD(C164,12)=0,M164*Assumptions!$D$17,0)</f>
        <v>0</v>
      </c>
      <c r="T164" s="68">
        <f>(M164+N164-O164-P164-Q164-R164+S164)*(D165=Assumptions!$H$9)</f>
        <v>0</v>
      </c>
      <c r="U164" s="67">
        <f>T164+AE164*(1+Assumptions!$D$17)</f>
        <v>43878181.267618559</v>
      </c>
      <c r="V164" s="67">
        <f t="shared" si="44"/>
        <v>98281576.342217103</v>
      </c>
      <c r="W164" s="67"/>
      <c r="X164" s="67">
        <f>IF(AND(MOD(C164,12)=1,D164&lt;15),Assumptions!$D$10*N164+Assumptions!$D$11*(1+Assumptions!$D$16)^(B164-1)*I164,0)</f>
        <v>57718.795352521644</v>
      </c>
      <c r="Y164" s="65">
        <f>Assumptions!$C$13*N164</f>
        <v>34506.870670694239</v>
      </c>
      <c r="Z164" s="65">
        <f>NPV(Assumptions!$D$19,N165:$N$259)</f>
        <v>6401161.2462176811</v>
      </c>
      <c r="AA164" s="68">
        <f t="shared" si="45"/>
        <v>4904.6263824435582</v>
      </c>
      <c r="AB164" s="96"/>
      <c r="AC164" s="67">
        <f>(AC163+N163-P163-Q163-T163-W163-X163-Y163+AD163)*IF(D164=Assumptions!$H$9,0,1)</f>
        <v>133871610.25515041</v>
      </c>
      <c r="AD164" s="91">
        <f>(AF163+N164-W164-X164-Y164)*Assumptions!$D$19-(P164+Q164)*Assumptions!$D$19/2</f>
        <v>606907.84731535322</v>
      </c>
      <c r="AE164" s="67">
        <f>(AE163+(AD164-O164-R164-Q164-S164))*IF(D164=Assumptions!$H$9,0,1)</f>
        <v>43700141.481858522</v>
      </c>
      <c r="AF164" s="91">
        <f t="shared" si="46"/>
        <v>141976813.1976932</v>
      </c>
      <c r="AG164" s="67">
        <f t="shared" si="47"/>
        <v>-95783.593680421007</v>
      </c>
      <c r="AH164" s="89">
        <f>AG164*Assumptions!$C$18</f>
        <v>-28735.0781041263</v>
      </c>
      <c r="AI164" s="67">
        <f t="shared" si="48"/>
        <v>-67048.515576294711</v>
      </c>
      <c r="AK164" s="67">
        <f t="shared" si="49"/>
        <v>-97419.825493280223</v>
      </c>
      <c r="AL164" s="70">
        <f t="shared" si="38"/>
        <v>-1636.232</v>
      </c>
      <c r="AM164" s="80">
        <f>(O164-W164-X164-Y164-AA164)*Assumptions!$D$19</f>
        <v>-416.98076549883058</v>
      </c>
    </row>
    <row r="165" spans="2:39" x14ac:dyDescent="0.2">
      <c r="B165" s="5">
        <f t="shared" si="34"/>
        <v>158</v>
      </c>
      <c r="C165" s="5">
        <f t="shared" si="35"/>
        <v>158</v>
      </c>
      <c r="D165" s="5">
        <f t="shared" si="36"/>
        <v>13</v>
      </c>
      <c r="E165" s="5">
        <f t="shared" si="37"/>
        <v>59</v>
      </c>
      <c r="F165" s="64">
        <f>1-(1-VLOOKUP($E165,'Annual Mortality Rates'!$B$5:$C$105,2,FALSE))^(1/12)</f>
        <v>2.9882397117220183E-4</v>
      </c>
      <c r="G165" s="74">
        <f>1-(1-IF(D165&gt;=7,2%,VLOOKUP($D165,'Annual Lapse Rates'!$B$4:$C$14,2,FALSE)))^(1/12)</f>
        <v>1.6821425527395739E-3</v>
      </c>
      <c r="H165" s="80">
        <f t="shared" si="39"/>
        <v>2</v>
      </c>
      <c r="I165" s="65">
        <f t="shared" si="40"/>
        <v>2755.0720128010403</v>
      </c>
      <c r="J165" s="66">
        <f t="shared" si="41"/>
        <v>0.82328155973059813</v>
      </c>
      <c r="K165" s="66">
        <f t="shared" si="42"/>
        <v>4.6436380413644756</v>
      </c>
      <c r="M165" s="67">
        <f t="shared" si="50"/>
        <v>98281576.342217103</v>
      </c>
      <c r="N165" s="67">
        <f>IF(AND(MOD(C165,12)=1,D165&lt;15),Assumptions!$H$4*I165,0)</f>
        <v>0</v>
      </c>
      <c r="O165" s="67"/>
      <c r="P165" s="88">
        <f t="shared" si="43"/>
        <v>194692.51265121164</v>
      </c>
      <c r="Q165" s="88">
        <f>(M165+N165-O165)*VLOOKUP(MOD(C165,12)+(MOD(C165,12)=0)*12,Assumptions!$C$22:$D$33,2,FALSE)*(F165+G165)</f>
        <v>1216.8282040700726</v>
      </c>
      <c r="R165" s="67">
        <f>IF(AND(MOD(C165,12)=0,D165&lt;15),Assumptions!$C$7*M165,0)</f>
        <v>0</v>
      </c>
      <c r="S165" s="68">
        <f>IF(MOD(C165,12)=0,M165*Assumptions!$D$17,0)</f>
        <v>0</v>
      </c>
      <c r="T165" s="68">
        <f>(M165+N165-O165-P165-Q165-R165+S165)*(D166=Assumptions!$H$9)</f>
        <v>0</v>
      </c>
      <c r="U165" s="67">
        <f>T165+AE165*(1+Assumptions!$D$17)</f>
        <v>44488527.529367879</v>
      </c>
      <c r="V165" s="67">
        <f t="shared" si="44"/>
        <v>98085667.001361832</v>
      </c>
      <c r="W165" s="67"/>
      <c r="X165" s="67">
        <f>IF(AND(MOD(C165,12)=1,D165&lt;15),Assumptions!$D$10*N165+Assumptions!$D$11*(1+Assumptions!$D$16)^(B165-1)*I165,0)</f>
        <v>0</v>
      </c>
      <c r="Y165" s="65">
        <f>Assumptions!$C$13*N165</f>
        <v>0</v>
      </c>
      <c r="Z165" s="65">
        <f>NPV(Assumptions!$D$19,N166:$N$259)</f>
        <v>6428641.4591401499</v>
      </c>
      <c r="AA165" s="68">
        <f t="shared" si="45"/>
        <v>4904.6263824435582</v>
      </c>
      <c r="AB165" s="96"/>
      <c r="AC165" s="67">
        <f>(AC164+N164-P164-Q164-T164-W164-X164-Y164+AD164)*IF(D165=Assumptions!$H$9,0,1)</f>
        <v>141091976.77747726</v>
      </c>
      <c r="AD165" s="91">
        <f>(AF164+N165-W165-X165-Y165)*Assumptions!$D$19-(P165+Q165)*Assumptions!$D$19/2</f>
        <v>609086.55344841094</v>
      </c>
      <c r="AE165" s="67">
        <f>(AE164+(AD165-O165-R165-Q165-S165))*IF(D165=Assumptions!$H$9,0,1)</f>
        <v>44308011.207102865</v>
      </c>
      <c r="AF165" s="91">
        <f t="shared" si="46"/>
        <v>142388773.58208224</v>
      </c>
      <c r="AG165" s="67">
        <f t="shared" si="47"/>
        <v>2433.6564081565011</v>
      </c>
      <c r="AH165" s="89">
        <f>AG165*Assumptions!$C$18</f>
        <v>730.09692244695032</v>
      </c>
      <c r="AI165" s="67">
        <f t="shared" si="48"/>
        <v>1703.5594857095507</v>
      </c>
      <c r="AK165" s="67">
        <f t="shared" si="49"/>
        <v>-21.055582278036127</v>
      </c>
      <c r="AL165" s="70">
        <f t="shared" si="38"/>
        <v>-2454.712</v>
      </c>
      <c r="AM165" s="80">
        <f>(O165-W165-X165-Y165-AA165)*Assumptions!$D$19</f>
        <v>-21.055582278036177</v>
      </c>
    </row>
    <row r="166" spans="2:39" x14ac:dyDescent="0.2">
      <c r="B166" s="5">
        <f t="shared" si="34"/>
        <v>159</v>
      </c>
      <c r="C166" s="5">
        <f t="shared" si="35"/>
        <v>159</v>
      </c>
      <c r="D166" s="5">
        <f t="shared" si="36"/>
        <v>13</v>
      </c>
      <c r="E166" s="5">
        <f t="shared" si="37"/>
        <v>59</v>
      </c>
      <c r="F166" s="64">
        <f>1-(1-VLOOKUP($E166,'Annual Mortality Rates'!$B$5:$C$105,2,FALSE))^(1/12)</f>
        <v>2.9882397117220183E-4</v>
      </c>
      <c r="G166" s="74">
        <f>1-(1-IF(D166&gt;=7,2%,VLOOKUP($D166,'Annual Lapse Rates'!$B$4:$C$14,2,FALSE)))^(1/12)</f>
        <v>1.6821425527395739E-3</v>
      </c>
      <c r="H166" s="80">
        <f t="shared" si="39"/>
        <v>3</v>
      </c>
      <c r="I166" s="65">
        <f t="shared" si="40"/>
        <v>2749.6050931999453</v>
      </c>
      <c r="J166" s="66">
        <f t="shared" si="41"/>
        <v>0.82164791310531982</v>
      </c>
      <c r="K166" s="66">
        <f t="shared" si="42"/>
        <v>4.6344238685944976</v>
      </c>
      <c r="M166" s="67">
        <f t="shared" si="50"/>
        <v>98085667.001361832</v>
      </c>
      <c r="N166" s="67">
        <f>IF(AND(MOD(C166,12)=1,D166&lt;15),Assumptions!$H$4*I166,0)</f>
        <v>0</v>
      </c>
      <c r="O166" s="67"/>
      <c r="P166" s="88">
        <f t="shared" si="43"/>
        <v>194304.42280525572</v>
      </c>
      <c r="Q166" s="88">
        <f>(M166+N166-O166)*VLOOKUP(MOD(C166,12)+(MOD(C166,12)=0)*12,Assumptions!$C$22:$D$33,2,FALSE)*(F166+G166)</f>
        <v>1821.6039637992726</v>
      </c>
      <c r="R166" s="67">
        <f>IF(AND(MOD(C166,12)=0,D166&lt;15),Assumptions!$C$7*M166,0)</f>
        <v>0</v>
      </c>
      <c r="S166" s="68">
        <f>IF(MOD(C166,12)=0,M166*Assumptions!$D$17,0)</f>
        <v>0</v>
      </c>
      <c r="T166" s="68">
        <f>(M166+N166-O166-P166-Q166-R166+S166)*(D167=Assumptions!$H$9)</f>
        <v>0</v>
      </c>
      <c r="U166" s="67">
        <f>T166+AE166*(1+Assumptions!$D$17)</f>
        <v>45100041.837409124</v>
      </c>
      <c r="V166" s="67">
        <f t="shared" si="44"/>
        <v>97889540.97459279</v>
      </c>
      <c r="W166" s="67"/>
      <c r="X166" s="67">
        <f>IF(AND(MOD(C166,12)=1,D166&lt;15),Assumptions!$D$10*N166+Assumptions!$D$11*(1+Assumptions!$D$16)^(B166-1)*I166,0)</f>
        <v>0</v>
      </c>
      <c r="Y166" s="65">
        <f>Assumptions!$C$13*N166</f>
        <v>0</v>
      </c>
      <c r="Z166" s="65">
        <f>NPV(Assumptions!$D$19,N167:$N$259)</f>
        <v>6456239.6447355803</v>
      </c>
      <c r="AA166" s="68">
        <f t="shared" si="45"/>
        <v>4904.6263824435582</v>
      </c>
      <c r="AB166" s="96"/>
      <c r="AC166" s="67">
        <f>(AC165+N165-P165-Q165-T165-W165-X165-Y165+AD165)*IF(D166=Assumptions!$H$9,0,1)</f>
        <v>141505153.9900704</v>
      </c>
      <c r="AD166" s="91">
        <f>(AF165+N166-W166-X166-Y166)*Assumptions!$D$19-(P166+Q166)*Assumptions!$D$19/2</f>
        <v>610854.63604401762</v>
      </c>
      <c r="AE166" s="67">
        <f>(AE165+(AD166-O166-R166-Q166-S166))*IF(D166=Assumptions!$H$9,0,1)</f>
        <v>44917044.239183083</v>
      </c>
      <c r="AF166" s="91">
        <f t="shared" si="46"/>
        <v>142801680.58739343</v>
      </c>
      <c r="AG166" s="67">
        <f t="shared" si="47"/>
        <v>3643.2079275707947</v>
      </c>
      <c r="AH166" s="89">
        <f>AG166*Assumptions!$C$18</f>
        <v>1092.9623782712383</v>
      </c>
      <c r="AI166" s="67">
        <f t="shared" si="48"/>
        <v>2550.2455492995564</v>
      </c>
      <c r="AK166" s="67">
        <f t="shared" si="49"/>
        <v>-21.055582278036127</v>
      </c>
      <c r="AL166" s="70">
        <f t="shared" si="38"/>
        <v>-3664.2640000000001</v>
      </c>
      <c r="AM166" s="80">
        <f>(O166-W166-X166-Y166-AA166)*Assumptions!$D$19</f>
        <v>-21.055582278036177</v>
      </c>
    </row>
    <row r="167" spans="2:39" x14ac:dyDescent="0.2">
      <c r="B167" s="5">
        <f t="shared" si="34"/>
        <v>160</v>
      </c>
      <c r="C167" s="5">
        <f t="shared" si="35"/>
        <v>160</v>
      </c>
      <c r="D167" s="5">
        <f t="shared" si="36"/>
        <v>13</v>
      </c>
      <c r="E167" s="5">
        <f t="shared" si="37"/>
        <v>59</v>
      </c>
      <c r="F167" s="64">
        <f>1-(1-VLOOKUP($E167,'Annual Mortality Rates'!$B$5:$C$105,2,FALSE))^(1/12)</f>
        <v>2.9882397117220183E-4</v>
      </c>
      <c r="G167" s="74">
        <f>1-(1-IF(D167&gt;=7,2%,VLOOKUP($D167,'Annual Lapse Rates'!$B$4:$C$14,2,FALSE)))^(1/12)</f>
        <v>1.6821425527395739E-3</v>
      </c>
      <c r="H167" s="80">
        <f t="shared" si="39"/>
        <v>4</v>
      </c>
      <c r="I167" s="65">
        <f t="shared" si="40"/>
        <v>2744.1490214182454</v>
      </c>
      <c r="J167" s="66">
        <f t="shared" si="41"/>
        <v>0.82001750806851159</v>
      </c>
      <c r="K167" s="66">
        <f t="shared" si="42"/>
        <v>4.6252277305010896</v>
      </c>
      <c r="M167" s="67">
        <f t="shared" si="50"/>
        <v>97889540.97459279</v>
      </c>
      <c r="N167" s="67">
        <f>IF(AND(MOD(C167,12)=1,D167&lt;15),Assumptions!$H$4*I167,0)</f>
        <v>0</v>
      </c>
      <c r="O167" s="67"/>
      <c r="P167" s="88">
        <f t="shared" si="43"/>
        <v>193915.90371175841</v>
      </c>
      <c r="Q167" s="88">
        <f>(M167+N167-O167)*VLOOKUP(MOD(C167,12)+(MOD(C167,12)=0)*12,Assumptions!$C$22:$D$33,2,FALSE)*(F167+G167)</f>
        <v>2423.9487963969805</v>
      </c>
      <c r="R167" s="67">
        <f>IF(AND(MOD(C167,12)=0,D167&lt;15),Assumptions!$C$7*M167,0)</f>
        <v>0</v>
      </c>
      <c r="S167" s="68">
        <f>IF(MOD(C167,12)=0,M167*Assumptions!$D$17,0)</f>
        <v>0</v>
      </c>
      <c r="T167" s="68">
        <f>(M167+N167-O167-P167-Q167-R167+S167)*(D168=Assumptions!$H$9)</f>
        <v>0</v>
      </c>
      <c r="U167" s="67">
        <f>T167+AE167*(1+Assumptions!$D$17)</f>
        <v>45712730.719142035</v>
      </c>
      <c r="V167" s="67">
        <f t="shared" si="44"/>
        <v>97693201.122084647</v>
      </c>
      <c r="W167" s="67"/>
      <c r="X167" s="67">
        <f>IF(AND(MOD(C167,12)=1,D167&lt;15),Assumptions!$D$10*N167+Assumptions!$D$11*(1+Assumptions!$D$16)^(B167-1)*I167,0)</f>
        <v>0</v>
      </c>
      <c r="Y167" s="65">
        <f>Assumptions!$C$13*N167</f>
        <v>0</v>
      </c>
      <c r="Z167" s="65">
        <f>NPV(Assumptions!$D$19,N168:$N$259)</f>
        <v>6483956.3094611662</v>
      </c>
      <c r="AA167" s="68">
        <f t="shared" si="45"/>
        <v>4904.6263824435582</v>
      </c>
      <c r="AB167" s="96"/>
      <c r="AC167" s="67">
        <f>(AC166+N166-P166-Q166-T166-W166-X166-Y166+AD166)*IF(D167=Assumptions!$H$9,0,1)</f>
        <v>141919882.59934539</v>
      </c>
      <c r="AD167" s="91">
        <f>(AF166+N167-W167-X167-Y167)*Assumptions!$D$19-(P167+Q167)*Assumptions!$D$19/2</f>
        <v>612626.78862670949</v>
      </c>
      <c r="AE167" s="67">
        <f>(AE166+(AD167-O167-R167-Q167-S167))*IF(D167=Assumptions!$H$9,0,1)</f>
        <v>45527247.079013392</v>
      </c>
      <c r="AF167" s="91">
        <f t="shared" si="46"/>
        <v>143215543.57471558</v>
      </c>
      <c r="AG167" s="67">
        <f t="shared" si="47"/>
        <v>4847.8975927993888</v>
      </c>
      <c r="AH167" s="89">
        <f>AG167*Assumptions!$C$18</f>
        <v>1454.3692778398165</v>
      </c>
      <c r="AI167" s="67">
        <f t="shared" si="48"/>
        <v>3393.5283149595725</v>
      </c>
      <c r="AK167" s="67">
        <f t="shared" si="49"/>
        <v>-21.055582278036127</v>
      </c>
      <c r="AL167" s="70">
        <f t="shared" si="38"/>
        <v>-4868.9530000000004</v>
      </c>
      <c r="AM167" s="80">
        <f>(O167-W167-X167-Y167-AA167)*Assumptions!$D$19</f>
        <v>-21.055582278036177</v>
      </c>
    </row>
    <row r="168" spans="2:39" x14ac:dyDescent="0.2">
      <c r="B168" s="5">
        <f t="shared" si="34"/>
        <v>161</v>
      </c>
      <c r="C168" s="5">
        <f t="shared" si="35"/>
        <v>161</v>
      </c>
      <c r="D168" s="5">
        <f t="shared" si="36"/>
        <v>13</v>
      </c>
      <c r="E168" s="5">
        <f t="shared" si="37"/>
        <v>59</v>
      </c>
      <c r="F168" s="64">
        <f>1-(1-VLOOKUP($E168,'Annual Mortality Rates'!$B$5:$C$105,2,FALSE))^(1/12)</f>
        <v>2.9882397117220183E-4</v>
      </c>
      <c r="G168" s="74">
        <f>1-(1-IF(D168&gt;=7,2%,VLOOKUP($D168,'Annual Lapse Rates'!$B$4:$C$14,2,FALSE)))^(1/12)</f>
        <v>1.6821425527395739E-3</v>
      </c>
      <c r="H168" s="80">
        <f t="shared" si="39"/>
        <v>5</v>
      </c>
      <c r="I168" s="65">
        <f t="shared" si="40"/>
        <v>2738.703776179676</v>
      </c>
      <c r="J168" s="66">
        <f t="shared" si="41"/>
        <v>0.81839033826231578</v>
      </c>
      <c r="K168" s="66">
        <f t="shared" si="42"/>
        <v>4.6160498399862906</v>
      </c>
      <c r="M168" s="67">
        <f t="shared" si="50"/>
        <v>97693201.122084647</v>
      </c>
      <c r="N168" s="67">
        <f>IF(AND(MOD(C168,12)=1,D168&lt;15),Assumptions!$H$4*I168,0)</f>
        <v>0</v>
      </c>
      <c r="O168" s="67"/>
      <c r="P168" s="88">
        <f t="shared" si="43"/>
        <v>193526.96103663</v>
      </c>
      <c r="Q168" s="88">
        <f>(M168+N168-O168)*VLOOKUP(MOD(C168,12)+(MOD(C168,12)=0)*12,Assumptions!$C$22:$D$33,2,FALSE)*(F168+G168)</f>
        <v>3023.8587661973438</v>
      </c>
      <c r="R168" s="67">
        <f>IF(AND(MOD(C168,12)=0,D168&lt;15),Assumptions!$C$7*M168,0)</f>
        <v>0</v>
      </c>
      <c r="S168" s="68">
        <f>IF(MOD(C168,12)=0,M168*Assumptions!$D$17,0)</f>
        <v>0</v>
      </c>
      <c r="T168" s="68">
        <f>(M168+N168-O168-P168-Q168-R168+S168)*(D169=Assumptions!$H$9)</f>
        <v>0</v>
      </c>
      <c r="U168" s="67">
        <f>T168+AE168*(1+Assumptions!$D$17)</f>
        <v>46326600.746265262</v>
      </c>
      <c r="V168" s="67">
        <f t="shared" si="44"/>
        <v>97496650.302281812</v>
      </c>
      <c r="W168" s="67"/>
      <c r="X168" s="67">
        <f>IF(AND(MOD(C168,12)=1,D168&lt;15),Assumptions!$D$10*N168+Assumptions!$D$11*(1+Assumptions!$D$16)^(B168-1)*I168,0)</f>
        <v>0</v>
      </c>
      <c r="Y168" s="65">
        <f>Assumptions!$C$13*N168</f>
        <v>0</v>
      </c>
      <c r="Z168" s="65">
        <f>NPV(Assumptions!$D$19,N169:$N$259)</f>
        <v>6511791.9619483259</v>
      </c>
      <c r="AA168" s="68">
        <f t="shared" si="45"/>
        <v>4904.6263824435582</v>
      </c>
      <c r="AB168" s="96"/>
      <c r="AC168" s="67">
        <f>(AC167+N167-P167-Q167-T167-W167-X167-Y167+AD167)*IF(D168=Assumptions!$H$9,0,1)</f>
        <v>142336169.53546393</v>
      </c>
      <c r="AD168" s="91">
        <f>(AF167+N168-W168-X168-Y168)*Assumptions!$D$19-(P168+Q168)*Assumptions!$D$19/2</f>
        <v>614403.05137996725</v>
      </c>
      <c r="AE168" s="67">
        <f>(AE167+(AD168-O168-R168-Q168-S168))*IF(D168=Assumptions!$H$9,0,1)</f>
        <v>46138626.271627165</v>
      </c>
      <c r="AF168" s="91">
        <f t="shared" si="46"/>
        <v>143630371.94752654</v>
      </c>
      <c r="AG168" s="67">
        <f t="shared" si="47"/>
        <v>6047.7175323774572</v>
      </c>
      <c r="AH168" s="89">
        <f>AG168*Assumptions!$C$18</f>
        <v>1814.3152597132371</v>
      </c>
      <c r="AI168" s="67">
        <f t="shared" si="48"/>
        <v>4233.4022726642197</v>
      </c>
      <c r="AK168" s="67">
        <f t="shared" si="49"/>
        <v>-21.055582278036127</v>
      </c>
      <c r="AL168" s="70">
        <f t="shared" si="38"/>
        <v>-6068.7730000000001</v>
      </c>
      <c r="AM168" s="80">
        <f>(O168-W168-X168-Y168-AA168)*Assumptions!$D$19</f>
        <v>-21.055582278036177</v>
      </c>
    </row>
    <row r="169" spans="2:39" x14ac:dyDescent="0.2">
      <c r="B169" s="5">
        <f t="shared" si="34"/>
        <v>162</v>
      </c>
      <c r="C169" s="5">
        <f t="shared" si="35"/>
        <v>162</v>
      </c>
      <c r="D169" s="5">
        <f t="shared" si="36"/>
        <v>13</v>
      </c>
      <c r="E169" s="5">
        <f t="shared" si="37"/>
        <v>59</v>
      </c>
      <c r="F169" s="64">
        <f>1-(1-VLOOKUP($E169,'Annual Mortality Rates'!$B$5:$C$105,2,FALSE))^(1/12)</f>
        <v>2.9882397117220183E-4</v>
      </c>
      <c r="G169" s="74">
        <f>1-(1-IF(D169&gt;=7,2%,VLOOKUP($D169,'Annual Lapse Rates'!$B$4:$C$14,2,FALSE)))^(1/12)</f>
        <v>1.6821425527395739E-3</v>
      </c>
      <c r="H169" s="80">
        <f t="shared" si="39"/>
        <v>6</v>
      </c>
      <c r="I169" s="65">
        <f t="shared" si="40"/>
        <v>2733.2693360014273</v>
      </c>
      <c r="J169" s="66">
        <f t="shared" si="41"/>
        <v>0.81676639726715372</v>
      </c>
      <c r="K169" s="66">
        <f t="shared" si="42"/>
        <v>4.6068901612603907</v>
      </c>
      <c r="M169" s="67">
        <f t="shared" si="50"/>
        <v>97496650.302281812</v>
      </c>
      <c r="N169" s="67">
        <f>IF(AND(MOD(C169,12)=1,D169&lt;15),Assumptions!$H$4*I169,0)</f>
        <v>0</v>
      </c>
      <c r="O169" s="67"/>
      <c r="P169" s="88">
        <f t="shared" si="43"/>
        <v>193137.60044235317</v>
      </c>
      <c r="Q169" s="88">
        <f>(M169+N169-O169)*VLOOKUP(MOD(C169,12)+(MOD(C169,12)=0)*12,Assumptions!$C$22:$D$33,2,FALSE)*(F169+G169)</f>
        <v>3621.3300082941228</v>
      </c>
      <c r="R169" s="67">
        <f>IF(AND(MOD(C169,12)=0,D169&lt;15),Assumptions!$C$7*M169,0)</f>
        <v>0</v>
      </c>
      <c r="S169" s="68">
        <f>IF(MOD(C169,12)=0,M169*Assumptions!$D$17,0)</f>
        <v>0</v>
      </c>
      <c r="T169" s="68">
        <f>(M169+N169-O169-P169-Q169-R169+S169)*(D170=Assumptions!$H$9)</f>
        <v>0</v>
      </c>
      <c r="U169" s="67">
        <f>T169+AE169*(1+Assumptions!$D$17)</f>
        <v>46941658.534887858</v>
      </c>
      <c r="V169" s="67">
        <f t="shared" si="44"/>
        <v>97299891.371831164</v>
      </c>
      <c r="W169" s="67"/>
      <c r="X169" s="67">
        <f>IF(AND(MOD(C169,12)=1,D169&lt;15),Assumptions!$D$10*N169+Assumptions!$D$11*(1+Assumptions!$D$16)^(B169-1)*I169,0)</f>
        <v>0</v>
      </c>
      <c r="Y169" s="65">
        <f>Assumptions!$C$13*N169</f>
        <v>0</v>
      </c>
      <c r="Z169" s="65">
        <f>NPV(Assumptions!$D$19,N170:$N$259)</f>
        <v>6539747.1130120335</v>
      </c>
      <c r="AA169" s="68">
        <f t="shared" si="45"/>
        <v>4904.6263824435582</v>
      </c>
      <c r="AB169" s="96"/>
      <c r="AC169" s="67">
        <f>(AC168+N168-P168-Q168-T168-W168-X168-Y168+AD168)*IF(D169=Assumptions!$H$9,0,1)</f>
        <v>142754021.76704109</v>
      </c>
      <c r="AD169" s="91">
        <f>(AF168+N169-W169-X169-Y169)*Assumptions!$D$19-(P169+Q169)*Assumptions!$D$19/2</f>
        <v>616183.4646691035</v>
      </c>
      <c r="AE169" s="67">
        <f>(AE168+(AD169-O169-R169-Q169-S169))*IF(D169=Assumptions!$H$9,0,1)</f>
        <v>46751188.406287976</v>
      </c>
      <c r="AF169" s="91">
        <f t="shared" si="46"/>
        <v>144046175.15173671</v>
      </c>
      <c r="AG169" s="67">
        <f t="shared" si="47"/>
        <v>7242.6600165881682</v>
      </c>
      <c r="AH169" s="89">
        <f>AG169*Assumptions!$C$18</f>
        <v>2172.7980049764506</v>
      </c>
      <c r="AI169" s="67">
        <f t="shared" si="48"/>
        <v>5069.8620116117181</v>
      </c>
      <c r="AK169" s="67">
        <f t="shared" si="49"/>
        <v>-21.055582278036127</v>
      </c>
      <c r="AL169" s="70">
        <f t="shared" si="38"/>
        <v>-7263.7160000000003</v>
      </c>
      <c r="AM169" s="80">
        <f>(O169-W169-X169-Y169-AA169)*Assumptions!$D$19</f>
        <v>-21.055582278036177</v>
      </c>
    </row>
    <row r="170" spans="2:39" x14ac:dyDescent="0.2">
      <c r="B170" s="5">
        <f t="shared" si="34"/>
        <v>163</v>
      </c>
      <c r="C170" s="5">
        <f t="shared" si="35"/>
        <v>163</v>
      </c>
      <c r="D170" s="5">
        <f t="shared" si="36"/>
        <v>13</v>
      </c>
      <c r="E170" s="5">
        <f t="shared" si="37"/>
        <v>59</v>
      </c>
      <c r="F170" s="64">
        <f>1-(1-VLOOKUP($E170,'Annual Mortality Rates'!$B$5:$C$105,2,FALSE))^(1/12)</f>
        <v>2.9882397117220183E-4</v>
      </c>
      <c r="G170" s="74">
        <f>1-(1-IF(D170&gt;=7,2%,VLOOKUP($D170,'Annual Lapse Rates'!$B$4:$C$14,2,FALSE)))^(1/12)</f>
        <v>1.6821425527395739E-3</v>
      </c>
      <c r="H170" s="80">
        <f t="shared" si="39"/>
        <v>7</v>
      </c>
      <c r="I170" s="65">
        <f t="shared" si="40"/>
        <v>2727.8456794428998</v>
      </c>
      <c r="J170" s="66">
        <f t="shared" si="41"/>
        <v>0.81514567867606047</v>
      </c>
      <c r="K170" s="66">
        <f t="shared" si="42"/>
        <v>4.5977486581862408</v>
      </c>
      <c r="M170" s="67">
        <f t="shared" si="50"/>
        <v>97299891.371831164</v>
      </c>
      <c r="N170" s="67">
        <f>IF(AND(MOD(C170,12)=1,D170&lt;15),Assumptions!$H$4*I170,0)</f>
        <v>0</v>
      </c>
      <c r="O170" s="67"/>
      <c r="P170" s="88">
        <f t="shared" si="43"/>
        <v>192747.82758784975</v>
      </c>
      <c r="Q170" s="88">
        <f>(M170+N170-O170)*VLOOKUP(MOD(C170,12)+(MOD(C170,12)=0)*12,Assumptions!$C$22:$D$33,2,FALSE)*(F170+G170)</f>
        <v>4216.3587284842142</v>
      </c>
      <c r="R170" s="67">
        <f>IF(AND(MOD(C170,12)=0,D170&lt;15),Assumptions!$C$7*M170,0)</f>
        <v>0</v>
      </c>
      <c r="S170" s="68">
        <f>IF(MOD(C170,12)=0,M170*Assumptions!$D$17,0)</f>
        <v>0</v>
      </c>
      <c r="T170" s="68">
        <f>(M170+N170-O170-P170-Q170-R170+S170)*(D171=Assumptions!$H$9)</f>
        <v>0</v>
      </c>
      <c r="U170" s="67">
        <f>T170+AE170*(1+Assumptions!$D$17)</f>
        <v>47557910.74564106</v>
      </c>
      <c r="V170" s="67">
        <f t="shared" si="44"/>
        <v>97102927.185514838</v>
      </c>
      <c r="W170" s="67"/>
      <c r="X170" s="67">
        <f>IF(AND(MOD(C170,12)=1,D170&lt;15),Assumptions!$D$10*N170+Assumptions!$D$11*(1+Assumptions!$D$16)^(B170-1)*I170,0)</f>
        <v>0</v>
      </c>
      <c r="Y170" s="65">
        <f>Assumptions!$C$13*N170</f>
        <v>0</v>
      </c>
      <c r="Z170" s="65">
        <f>NPV(Assumptions!$D$19,N171:$N$259)</f>
        <v>6567822.2756601963</v>
      </c>
      <c r="AA170" s="68">
        <f t="shared" si="45"/>
        <v>4904.6263824435582</v>
      </c>
      <c r="AB170" s="96"/>
      <c r="AC170" s="67">
        <f>(AC169+N169-P169-Q169-T169-W169-X169-Y169+AD169)*IF(D170=Assumptions!$H$9,0,1)</f>
        <v>143173446.30125955</v>
      </c>
      <c r="AD170" s="91">
        <f>(AF169+N170-W170-X170-Y170)*Assumptions!$D$19-(P170+Q170)*Assumptions!$D$19/2</f>
        <v>617968.06904144993</v>
      </c>
      <c r="AE170" s="67">
        <f>(AE169+(AD170-O170-R170-Q170-S170))*IF(D170=Assumptions!$H$9,0,1)</f>
        <v>47364940.116600938</v>
      </c>
      <c r="AF170" s="91">
        <f t="shared" si="46"/>
        <v>144462962.67573333</v>
      </c>
      <c r="AG170" s="67">
        <f t="shared" si="47"/>
        <v>8432.7174569788622</v>
      </c>
      <c r="AH170" s="89">
        <f>AG170*Assumptions!$C$18</f>
        <v>2529.8152370936587</v>
      </c>
      <c r="AI170" s="67">
        <f t="shared" si="48"/>
        <v>5902.9022198852035</v>
      </c>
      <c r="AK170" s="67">
        <f t="shared" si="49"/>
        <v>-21.055582278036127</v>
      </c>
      <c r="AL170" s="70">
        <f t="shared" si="38"/>
        <v>-8453.7729999999992</v>
      </c>
      <c r="AM170" s="80">
        <f>(O170-W170-X170-Y170-AA170)*Assumptions!$D$19</f>
        <v>-21.055582278036177</v>
      </c>
    </row>
    <row r="171" spans="2:39" x14ac:dyDescent="0.2">
      <c r="B171" s="5">
        <f t="shared" si="34"/>
        <v>164</v>
      </c>
      <c r="C171" s="5">
        <f t="shared" si="35"/>
        <v>164</v>
      </c>
      <c r="D171" s="5">
        <f t="shared" si="36"/>
        <v>13</v>
      </c>
      <c r="E171" s="5">
        <f t="shared" si="37"/>
        <v>59</v>
      </c>
      <c r="F171" s="64">
        <f>1-(1-VLOOKUP($E171,'Annual Mortality Rates'!$B$5:$C$105,2,FALSE))^(1/12)</f>
        <v>2.9882397117220183E-4</v>
      </c>
      <c r="G171" s="74">
        <f>1-(1-IF(D171&gt;=7,2%,VLOOKUP($D171,'Annual Lapse Rates'!$B$4:$C$14,2,FALSE)))^(1/12)</f>
        <v>1.6821425527395739E-3</v>
      </c>
      <c r="H171" s="80">
        <f t="shared" si="39"/>
        <v>8</v>
      </c>
      <c r="I171" s="65">
        <f t="shared" si="40"/>
        <v>2722.4327851060375</v>
      </c>
      <c r="J171" s="66">
        <f t="shared" si="41"/>
        <v>0.81352817609478367</v>
      </c>
      <c r="K171" s="66">
        <f t="shared" si="42"/>
        <v>4.5886252946976969</v>
      </c>
      <c r="M171" s="67">
        <f t="shared" si="50"/>
        <v>97102927.185514838</v>
      </c>
      <c r="N171" s="67">
        <f>IF(AND(MOD(C171,12)=1,D171&lt;15),Assumptions!$H$4*I171,0)</f>
        <v>0</v>
      </c>
      <c r="O171" s="67"/>
      <c r="P171" s="88">
        <f t="shared" si="43"/>
        <v>192357.64812834759</v>
      </c>
      <c r="Q171" s="88">
        <f>(M171+N171-O171)*VLOOKUP(MOD(C171,12)+(MOD(C171,12)=0)*12,Assumptions!$C$22:$D$33,2,FALSE)*(F171+G171)</f>
        <v>4808.9412032086902</v>
      </c>
      <c r="R171" s="67">
        <f>IF(AND(MOD(C171,12)=0,D171&lt;15),Assumptions!$C$7*M171,0)</f>
        <v>0</v>
      </c>
      <c r="S171" s="68">
        <f>IF(MOD(C171,12)=0,M171*Assumptions!$D$17,0)</f>
        <v>0</v>
      </c>
      <c r="T171" s="68">
        <f>(M171+N171-O171-P171-Q171-R171+S171)*(D172=Assumptions!$H$9)</f>
        <v>0</v>
      </c>
      <c r="U171" s="67">
        <f>T171+AE171*(1+Assumptions!$D$17)</f>
        <v>48175364.083790332</v>
      </c>
      <c r="V171" s="67">
        <f t="shared" si="44"/>
        <v>96905760.596183285</v>
      </c>
      <c r="W171" s="67"/>
      <c r="X171" s="67">
        <f>IF(AND(MOD(C171,12)=1,D171&lt;15),Assumptions!$D$10*N171+Assumptions!$D$11*(1+Assumptions!$D$16)^(B171-1)*I171,0)</f>
        <v>0</v>
      </c>
      <c r="Y171" s="65">
        <f>Assumptions!$C$13*N171</f>
        <v>0</v>
      </c>
      <c r="Z171" s="65">
        <f>NPV(Assumptions!$D$19,N172:$N$259)</f>
        <v>6596017.9651030647</v>
      </c>
      <c r="AA171" s="68">
        <f t="shared" si="45"/>
        <v>4904.6263824435582</v>
      </c>
      <c r="AB171" s="96"/>
      <c r="AC171" s="67">
        <f>(AC170+N170-P170-Q170-T170-W170-X170-Y170+AD170)*IF(D171=Assumptions!$H$9,0,1)</f>
        <v>143594450.18398467</v>
      </c>
      <c r="AD171" s="91">
        <f>(AF170+N171-W171-X171-Y171)*Assumptions!$D$19-(P171+Q171)*Assumptions!$D$19/2</f>
        <v>619756.9052265475</v>
      </c>
      <c r="AE171" s="67">
        <f>(AE170+(AD171-O171-R171-Q171-S171))*IF(D171=Assumptions!$H$9,0,1)</f>
        <v>47979888.080624275</v>
      </c>
      <c r="AF171" s="91">
        <f t="shared" si="46"/>
        <v>144880744.05042511</v>
      </c>
      <c r="AG171" s="67">
        <f t="shared" si="47"/>
        <v>9617.8824064155342</v>
      </c>
      <c r="AH171" s="89">
        <f>AG171*Assumptions!$C$18</f>
        <v>2885.36472192466</v>
      </c>
      <c r="AI171" s="67">
        <f t="shared" si="48"/>
        <v>6732.5176844908747</v>
      </c>
      <c r="AK171" s="67">
        <f t="shared" si="49"/>
        <v>-21.055582278036127</v>
      </c>
      <c r="AL171" s="70">
        <f t="shared" si="38"/>
        <v>-9638.9380000000001</v>
      </c>
      <c r="AM171" s="80">
        <f>(O171-W171-X171-Y171-AA171)*Assumptions!$D$19</f>
        <v>-21.055582278036177</v>
      </c>
    </row>
    <row r="172" spans="2:39" x14ac:dyDescent="0.2">
      <c r="B172" s="5">
        <f t="shared" si="34"/>
        <v>165</v>
      </c>
      <c r="C172" s="5">
        <f t="shared" si="35"/>
        <v>165</v>
      </c>
      <c r="D172" s="5">
        <f t="shared" si="36"/>
        <v>13</v>
      </c>
      <c r="E172" s="5">
        <f t="shared" si="37"/>
        <v>59</v>
      </c>
      <c r="F172" s="64">
        <f>1-(1-VLOOKUP($E172,'Annual Mortality Rates'!$B$5:$C$105,2,FALSE))^(1/12)</f>
        <v>2.9882397117220183E-4</v>
      </c>
      <c r="G172" s="74">
        <f>1-(1-IF(D172&gt;=7,2%,VLOOKUP($D172,'Annual Lapse Rates'!$B$4:$C$14,2,FALSE)))^(1/12)</f>
        <v>1.6821425527395739E-3</v>
      </c>
      <c r="H172" s="80">
        <f t="shared" si="39"/>
        <v>9</v>
      </c>
      <c r="I172" s="65">
        <f t="shared" si="40"/>
        <v>2717.0306316352453</v>
      </c>
      <c r="J172" s="66">
        <f t="shared" si="41"/>
        <v>0.81191388314175983</v>
      </c>
      <c r="K172" s="66">
        <f t="shared" si="42"/>
        <v>4.5795200348001774</v>
      </c>
      <c r="M172" s="67">
        <f t="shared" si="50"/>
        <v>96905760.596183285</v>
      </c>
      <c r="N172" s="67">
        <f>IF(AND(MOD(C172,12)=1,D172&lt;15),Assumptions!$H$4*I172,0)</f>
        <v>0</v>
      </c>
      <c r="O172" s="67"/>
      <c r="P172" s="88">
        <f t="shared" si="43"/>
        <v>191967.06771524792</v>
      </c>
      <c r="Q172" s="88">
        <f>(M172+N172-O172)*VLOOKUP(MOD(C172,12)+(MOD(C172,12)=0)*12,Assumptions!$C$22:$D$33,2,FALSE)*(F172+G172)</f>
        <v>5399.0737794913484</v>
      </c>
      <c r="R172" s="67">
        <f>IF(AND(MOD(C172,12)=0,D172&lt;15),Assumptions!$C$7*M172,0)</f>
        <v>0</v>
      </c>
      <c r="S172" s="68">
        <f>IF(MOD(C172,12)=0,M172*Assumptions!$D$17,0)</f>
        <v>0</v>
      </c>
      <c r="T172" s="68">
        <f>(M172+N172-O172-P172-Q172-R172+S172)*(D173=Assumptions!$H$9)</f>
        <v>0</v>
      </c>
      <c r="U172" s="67">
        <f>T172+AE172*(1+Assumptions!$D$17)</f>
        <v>48794025.299347609</v>
      </c>
      <c r="V172" s="67">
        <f t="shared" si="44"/>
        <v>96708394.454688549</v>
      </c>
      <c r="W172" s="67"/>
      <c r="X172" s="67">
        <f>IF(AND(MOD(C172,12)=1,D172&lt;15),Assumptions!$D$10*N172+Assumptions!$D$11*(1+Assumptions!$D$16)^(B172-1)*I172,0)</f>
        <v>0</v>
      </c>
      <c r="Y172" s="65">
        <f>Assumptions!$C$13*N172</f>
        <v>0</v>
      </c>
      <c r="Z172" s="65">
        <f>NPV(Assumptions!$D$19,N173:$N$259)</f>
        <v>6624334.6987626906</v>
      </c>
      <c r="AA172" s="68">
        <f t="shared" si="45"/>
        <v>4904.6263824435582</v>
      </c>
      <c r="AB172" s="96"/>
      <c r="AC172" s="67">
        <f>(AC171+N171-P171-Q171-T171-W171-X171-Y171+AD171)*IF(D172=Assumptions!$H$9,0,1)</f>
        <v>144017040.49987966</v>
      </c>
      <c r="AD172" s="91">
        <f>(AF171+N172-W172-X172-Y172)*Assumptions!$D$19-(P172+Q172)*Assumptions!$D$19/2</f>
        <v>621550.01413633919</v>
      </c>
      <c r="AE172" s="67">
        <f>(AE171+(AD172-O172-R172-Q172-S172))*IF(D172=Assumptions!$H$9,0,1)</f>
        <v>48596039.020981126</v>
      </c>
      <c r="AF172" s="91">
        <f t="shared" si="46"/>
        <v>145299528.84928724</v>
      </c>
      <c r="AG172" s="67">
        <f t="shared" si="47"/>
        <v>10798.147558961879</v>
      </c>
      <c r="AH172" s="89">
        <f>AG172*Assumptions!$C$18</f>
        <v>3239.4442676885633</v>
      </c>
      <c r="AI172" s="67">
        <f t="shared" si="48"/>
        <v>7558.7032912733157</v>
      </c>
      <c r="AK172" s="67">
        <f t="shared" si="49"/>
        <v>-21.055582278036127</v>
      </c>
      <c r="AL172" s="70">
        <f t="shared" si="38"/>
        <v>-10819.203</v>
      </c>
      <c r="AM172" s="80">
        <f>(O172-W172-X172-Y172-AA172)*Assumptions!$D$19</f>
        <v>-21.055582278036177</v>
      </c>
    </row>
    <row r="173" spans="2:39" x14ac:dyDescent="0.2">
      <c r="B173" s="5">
        <f t="shared" si="34"/>
        <v>166</v>
      </c>
      <c r="C173" s="5">
        <f t="shared" si="35"/>
        <v>166</v>
      </c>
      <c r="D173" s="5">
        <f t="shared" si="36"/>
        <v>13</v>
      </c>
      <c r="E173" s="5">
        <f t="shared" si="37"/>
        <v>59</v>
      </c>
      <c r="F173" s="64">
        <f>1-(1-VLOOKUP($E173,'Annual Mortality Rates'!$B$5:$C$105,2,FALSE))^(1/12)</f>
        <v>2.9882397117220183E-4</v>
      </c>
      <c r="G173" s="74">
        <f>1-(1-IF(D173&gt;=7,2%,VLOOKUP($D173,'Annual Lapse Rates'!$B$4:$C$14,2,FALSE)))^(1/12)</f>
        <v>1.6821425527395739E-3</v>
      </c>
      <c r="H173" s="80">
        <f t="shared" si="39"/>
        <v>10</v>
      </c>
      <c r="I173" s="65">
        <f t="shared" si="40"/>
        <v>2711.6391977173034</v>
      </c>
      <c r="J173" s="66">
        <f t="shared" si="41"/>
        <v>0.81030279344808798</v>
      </c>
      <c r="K173" s="66">
        <f t="shared" si="42"/>
        <v>4.5704328425705283</v>
      </c>
      <c r="M173" s="67">
        <f t="shared" si="50"/>
        <v>96708394.454688549</v>
      </c>
      <c r="N173" s="67">
        <f>IF(AND(MOD(C173,12)=1,D173&lt;15),Assumptions!$H$4*I173,0)</f>
        <v>0</v>
      </c>
      <c r="O173" s="67"/>
      <c r="P173" s="88">
        <f t="shared" si="43"/>
        <v>191576.09199599322</v>
      </c>
      <c r="Q173" s="88">
        <f>(M173+N173-O173)*VLOOKUP(MOD(C173,12)+(MOD(C173,12)=0)*12,Assumptions!$C$22:$D$33,2,FALSE)*(F173+G173)</f>
        <v>5986.7528748747882</v>
      </c>
      <c r="R173" s="67">
        <f>IF(AND(MOD(C173,12)=0,D173&lt;15),Assumptions!$C$7*M173,0)</f>
        <v>0</v>
      </c>
      <c r="S173" s="68">
        <f>IF(MOD(C173,12)=0,M173*Assumptions!$D$17,0)</f>
        <v>0</v>
      </c>
      <c r="T173" s="68">
        <f>(M173+N173-O173-P173-Q173-R173+S173)*(D174=Assumptions!$H$9)</f>
        <v>0</v>
      </c>
      <c r="U173" s="67">
        <f>T173+AE173*(1+Assumptions!$D$17)</f>
        <v>49413901.187183827</v>
      </c>
      <c r="V173" s="67">
        <f t="shared" si="44"/>
        <v>96510831.609817669</v>
      </c>
      <c r="W173" s="67"/>
      <c r="X173" s="67">
        <f>IF(AND(MOD(C173,12)=1,D173&lt;15),Assumptions!$D$10*N173+Assumptions!$D$11*(1+Assumptions!$D$16)^(B173-1)*I173,0)</f>
        <v>0</v>
      </c>
      <c r="Y173" s="65">
        <f>Assumptions!$C$13*N173</f>
        <v>0</v>
      </c>
      <c r="Z173" s="65">
        <f>NPV(Assumptions!$D$19,N174:$N$259)</f>
        <v>6652772.9962824201</v>
      </c>
      <c r="AA173" s="68">
        <f t="shared" si="45"/>
        <v>4904.6263824435582</v>
      </c>
      <c r="AB173" s="96"/>
      <c r="AC173" s="67">
        <f>(AC172+N172-P172-Q172-T172-W172-X172-Y172+AD172)*IF(D173=Assumptions!$H$9,0,1)</f>
        <v>144441224.37252125</v>
      </c>
      <c r="AD173" s="91">
        <f>(AF172+N173-W173-X173-Y173)*Assumptions!$D$19-(P173+Q173)*Assumptions!$D$19/2</f>
        <v>623347.43686536269</v>
      </c>
      <c r="AE173" s="67">
        <f>(AE172+(AD173-O173-R173-Q173-S173))*IF(D173=Assumptions!$H$9,0,1)</f>
        <v>49213399.704971611</v>
      </c>
      <c r="AF173" s="91">
        <f t="shared" si="46"/>
        <v>145719326.68840685</v>
      </c>
      <c r="AG173" s="67">
        <f t="shared" si="47"/>
        <v>11973.505749756354</v>
      </c>
      <c r="AH173" s="89">
        <f>AG173*Assumptions!$C$18</f>
        <v>3592.051724926906</v>
      </c>
      <c r="AI173" s="67">
        <f t="shared" si="48"/>
        <v>8381.454024829447</v>
      </c>
      <c r="AK173" s="67">
        <f t="shared" si="49"/>
        <v>-21.055582278036127</v>
      </c>
      <c r="AL173" s="70">
        <f t="shared" si="38"/>
        <v>-11994.561</v>
      </c>
      <c r="AM173" s="80">
        <f>(O173-W173-X173-Y173-AA173)*Assumptions!$D$19</f>
        <v>-21.055582278036177</v>
      </c>
    </row>
    <row r="174" spans="2:39" x14ac:dyDescent="0.2">
      <c r="B174" s="5">
        <f t="shared" si="34"/>
        <v>167</v>
      </c>
      <c r="C174" s="5">
        <f t="shared" si="35"/>
        <v>167</v>
      </c>
      <c r="D174" s="5">
        <f t="shared" si="36"/>
        <v>13</v>
      </c>
      <c r="E174" s="5">
        <f t="shared" si="37"/>
        <v>59</v>
      </c>
      <c r="F174" s="64">
        <f>1-(1-VLOOKUP($E174,'Annual Mortality Rates'!$B$5:$C$105,2,FALSE))^(1/12)</f>
        <v>2.9882397117220183E-4</v>
      </c>
      <c r="G174" s="74">
        <f>1-(1-IF(D174&gt;=7,2%,VLOOKUP($D174,'Annual Lapse Rates'!$B$4:$C$14,2,FALSE)))^(1/12)</f>
        <v>1.6821425527395739E-3</v>
      </c>
      <c r="H174" s="80">
        <f t="shared" si="39"/>
        <v>11</v>
      </c>
      <c r="I174" s="65">
        <f t="shared" si="40"/>
        <v>2706.258462081285</v>
      </c>
      <c r="J174" s="66">
        <f t="shared" si="41"/>
        <v>0.80869490065750516</v>
      </c>
      <c r="K174" s="66">
        <f t="shared" si="42"/>
        <v>4.561363682156875</v>
      </c>
      <c r="M174" s="67">
        <f t="shared" si="50"/>
        <v>96510831.609817669</v>
      </c>
      <c r="N174" s="67">
        <f>IF(AND(MOD(C174,12)=1,D174&lt;15),Assumptions!$H$4*I174,0)</f>
        <v>0</v>
      </c>
      <c r="O174" s="67"/>
      <c r="P174" s="88">
        <f t="shared" si="43"/>
        <v>191184.72661393523</v>
      </c>
      <c r="Q174" s="88">
        <f>(M174+N174-O174)*VLOOKUP(MOD(C174,12)+(MOD(C174,12)=0)*12,Assumptions!$C$22:$D$33,2,FALSE)*(F174+G174)</f>
        <v>6571.9749773540243</v>
      </c>
      <c r="R174" s="67">
        <f>IF(AND(MOD(C174,12)=0,D174&lt;15),Assumptions!$C$7*M174,0)</f>
        <v>0</v>
      </c>
      <c r="S174" s="68">
        <f>IF(MOD(C174,12)=0,M174*Assumptions!$D$17,0)</f>
        <v>0</v>
      </c>
      <c r="T174" s="68">
        <f>(M174+N174-O174-P174-Q174-R174+S174)*(D175=Assumptions!$H$9)</f>
        <v>0</v>
      </c>
      <c r="U174" s="67">
        <f>T174+AE174*(1+Assumptions!$D$17)</f>
        <v>50034998.587141767</v>
      </c>
      <c r="V174" s="67">
        <f t="shared" si="44"/>
        <v>96313074.908226371</v>
      </c>
      <c r="W174" s="67"/>
      <c r="X174" s="67">
        <f>IF(AND(MOD(C174,12)=1,D174&lt;15),Assumptions!$D$10*N174+Assumptions!$D$11*(1+Assumptions!$D$16)^(B174-1)*I174,0)</f>
        <v>0</v>
      </c>
      <c r="Y174" s="65">
        <f>Assumptions!$C$13*N174</f>
        <v>0</v>
      </c>
      <c r="Z174" s="65">
        <f>NPV(Assumptions!$D$19,N175:$N$259)</f>
        <v>6681333.3795364322</v>
      </c>
      <c r="AA174" s="68">
        <f t="shared" si="45"/>
        <v>4904.6263824435582</v>
      </c>
      <c r="AB174" s="96"/>
      <c r="AC174" s="67">
        <f>(AC173+N173-P173-Q173-T173-W173-X173-Y173+AD173)*IF(D174=Assumptions!$H$9,0,1)</f>
        <v>144867008.96451575</v>
      </c>
      <c r="AD174" s="91">
        <f>(AF173+N174-W174-X174-Y174)*Assumptions!$D$19-(P174+Q174)*Assumptions!$D$19/2</f>
        <v>625149.21469094662</v>
      </c>
      <c r="AE174" s="67">
        <f>(AE173+(AD174-O174-R174-Q174-S174))*IF(D174=Assumptions!$H$9,0,1)</f>
        <v>49831976.944685206</v>
      </c>
      <c r="AF174" s="91">
        <f t="shared" si="46"/>
        <v>146140147.22652915</v>
      </c>
      <c r="AG174" s="67">
        <f t="shared" si="47"/>
        <v>13143.949954715092</v>
      </c>
      <c r="AH174" s="89">
        <f>AG174*Assumptions!$C$18</f>
        <v>3943.1849864145274</v>
      </c>
      <c r="AI174" s="67">
        <f t="shared" si="48"/>
        <v>9200.7649683005639</v>
      </c>
      <c r="AK174" s="67">
        <f t="shared" si="49"/>
        <v>-21.055582278036127</v>
      </c>
      <c r="AL174" s="70">
        <f t="shared" si="38"/>
        <v>-13165.005999999999</v>
      </c>
      <c r="AM174" s="80">
        <f>(O174-W174-X174-Y174-AA174)*Assumptions!$D$19</f>
        <v>-21.055582278036177</v>
      </c>
    </row>
    <row r="175" spans="2:39" x14ac:dyDescent="0.2">
      <c r="B175" s="5">
        <f t="shared" si="34"/>
        <v>168</v>
      </c>
      <c r="C175" s="5">
        <f t="shared" si="35"/>
        <v>168</v>
      </c>
      <c r="D175" s="5">
        <f t="shared" si="36"/>
        <v>13</v>
      </c>
      <c r="E175" s="5">
        <f t="shared" si="37"/>
        <v>59</v>
      </c>
      <c r="F175" s="64">
        <f>1-(1-VLOOKUP($E175,'Annual Mortality Rates'!$B$5:$C$105,2,FALSE))^(1/12)</f>
        <v>2.9882397117220183E-4</v>
      </c>
      <c r="G175" s="74">
        <f>1-(1-IF(D175&gt;=7,2%,VLOOKUP($D175,'Annual Lapse Rates'!$B$4:$C$14,2,FALSE)))^(1/12)</f>
        <v>1.6821425527395739E-3</v>
      </c>
      <c r="H175" s="80">
        <f t="shared" si="39"/>
        <v>12</v>
      </c>
      <c r="I175" s="65">
        <f t="shared" si="40"/>
        <v>2700.8884034984708</v>
      </c>
      <c r="J175" s="66">
        <f t="shared" si="41"/>
        <v>0.80709019842636121</v>
      </c>
      <c r="K175" s="66">
        <f t="shared" si="42"/>
        <v>4.5523125177784864</v>
      </c>
      <c r="M175" s="67">
        <f t="shared" si="50"/>
        <v>96313074.908226371</v>
      </c>
      <c r="N175" s="67">
        <f>IF(AND(MOD(C175,12)=1,D175&lt;15),Assumptions!$H$4*I175,0)</f>
        <v>0</v>
      </c>
      <c r="O175" s="67"/>
      <c r="P175" s="88">
        <f t="shared" si="43"/>
        <v>190792.97720820367</v>
      </c>
      <c r="Q175" s="88">
        <f>(M175+N175-O175)*VLOOKUP(MOD(C175,12)+(MOD(C175,12)=0)*12,Assumptions!$C$22:$D$33,2,FALSE)*(F175+G175)</f>
        <v>7154.7366453076384</v>
      </c>
      <c r="R175" s="67">
        <f>IF(AND(MOD(C175,12)=0,D175&lt;15),Assumptions!$C$7*M175,0)</f>
        <v>48156.53745411319</v>
      </c>
      <c r="S175" s="68">
        <f>IF(MOD(C175,12)=0,M175*Assumptions!$D$17,0)</f>
        <v>392391.3891599105</v>
      </c>
      <c r="T175" s="68">
        <f>(M175+N175-O175-P175-Q175-R175+S175)*(D176=Assumptions!$H$9)</f>
        <v>0</v>
      </c>
      <c r="U175" s="67">
        <f>T175+AE175*(1+Assumptions!$D$17)</f>
        <v>50214981.610749371</v>
      </c>
      <c r="V175" s="67">
        <f t="shared" si="44"/>
        <v>96459362.046078667</v>
      </c>
      <c r="W175" s="67"/>
      <c r="X175" s="67">
        <f>IF(AND(MOD(C175,12)=1,D175&lt;15),Assumptions!$D$10*N175+Assumptions!$D$11*(1+Assumptions!$D$16)^(B175-1)*I175,0)</f>
        <v>0</v>
      </c>
      <c r="Y175" s="65">
        <f>Assumptions!$C$13*N175</f>
        <v>0</v>
      </c>
      <c r="Z175" s="65">
        <f>NPV(Assumptions!$D$19,N176:$N$259)</f>
        <v>6710016.3726393096</v>
      </c>
      <c r="AA175" s="68">
        <f t="shared" si="45"/>
        <v>4904.6263824435582</v>
      </c>
      <c r="AB175" s="96"/>
      <c r="AC175" s="67">
        <f>(AC174+N174-P174-Q174-T174-W174-X174-Y174+AD174)*IF(D175=Assumptions!$H$9,0,1)</f>
        <v>145294401.47761542</v>
      </c>
      <c r="AD175" s="91">
        <f>(AF174+N175-W175-X175-Y175)*Assumptions!$D$19-(P175+Q175)*Assumptions!$D$19/2</f>
        <v>626955.38907340937</v>
      </c>
      <c r="AE175" s="67">
        <f>(AE174+(AD175-O175-R175-Q175-S175))*IF(D175=Assumptions!$H$9,0,1)</f>
        <v>50011229.670499288</v>
      </c>
      <c r="AF175" s="91">
        <f t="shared" si="46"/>
        <v>146465687.09019551</v>
      </c>
      <c r="AG175" s="67">
        <f t="shared" si="47"/>
        <v>110622.54819885013</v>
      </c>
      <c r="AH175" s="89">
        <f>AG175*Assumptions!$C$18</f>
        <v>33186.764459655038</v>
      </c>
      <c r="AI175" s="67">
        <f t="shared" si="48"/>
        <v>77435.783739195089</v>
      </c>
      <c r="AK175" s="67">
        <f t="shared" si="49"/>
        <v>48135.481871835153</v>
      </c>
      <c r="AL175" s="70">
        <f t="shared" si="38"/>
        <v>-62487.065999999999</v>
      </c>
      <c r="AM175" s="80">
        <f>(O175-W175-X175-Y175-AA175)*Assumptions!$D$19</f>
        <v>-21.055582278036177</v>
      </c>
    </row>
    <row r="176" spans="2:39" x14ac:dyDescent="0.2">
      <c r="B176" s="5">
        <f t="shared" si="34"/>
        <v>169</v>
      </c>
      <c r="C176" s="5">
        <f t="shared" si="35"/>
        <v>169</v>
      </c>
      <c r="D176" s="5">
        <f t="shared" si="36"/>
        <v>14</v>
      </c>
      <c r="E176" s="5">
        <f t="shared" si="37"/>
        <v>60</v>
      </c>
      <c r="F176" s="64">
        <f>1-(1-VLOOKUP($E176,'Annual Mortality Rates'!$B$5:$C$105,2,FALSE))^(1/12)</f>
        <v>3.3143684343883706E-4</v>
      </c>
      <c r="G176" s="74">
        <f>1-(1-IF(D176&gt;=7,2%,VLOOKUP($D176,'Annual Lapse Rates'!$B$4:$C$14,2,FALSE)))^(1/12)</f>
        <v>1.6821425527395739E-3</v>
      </c>
      <c r="H176" s="80">
        <f t="shared" si="39"/>
        <v>1</v>
      </c>
      <c r="I176" s="65">
        <f t="shared" si="40"/>
        <v>2695.5290007822659</v>
      </c>
      <c r="J176" s="66">
        <f t="shared" si="41"/>
        <v>0.89339762341711682</v>
      </c>
      <c r="K176" s="66">
        <f t="shared" si="42"/>
        <v>4.5432793137256295</v>
      </c>
      <c r="M176" s="67">
        <f t="shared" si="50"/>
        <v>96459362.046078667</v>
      </c>
      <c r="N176" s="67">
        <f>IF(AND(MOD(C176,12)=1,D176&lt;15),Assumptions!$H$4*I176,0)</f>
        <v>6738822.5019556647</v>
      </c>
      <c r="O176" s="67"/>
      <c r="P176" s="88">
        <f t="shared" si="43"/>
        <v>207797.73812893918</v>
      </c>
      <c r="Q176" s="88">
        <f>(M176+N176-O176)*VLOOKUP(MOD(C176,12)+(MOD(C176,12)=0)*12,Assumptions!$C$22:$D$33,2,FALSE)*(F176+G176)</f>
        <v>649.367931652935</v>
      </c>
      <c r="R176" s="67">
        <f>IF(AND(MOD(C176,12)=0,D176&lt;15),Assumptions!$C$7*M176,0)</f>
        <v>0</v>
      </c>
      <c r="S176" s="68">
        <f>IF(MOD(C176,12)=0,M176*Assumptions!$D$17,0)</f>
        <v>0</v>
      </c>
      <c r="T176" s="68">
        <f>(M176+N176-O176-P176-Q176-R176+S176)*(D177=Assumptions!$H$9)</f>
        <v>0</v>
      </c>
      <c r="U176" s="67">
        <f>T176+AE176*(1+Assumptions!$D$17)</f>
        <v>50873877.418115661</v>
      </c>
      <c r="V176" s="67">
        <f t="shared" si="44"/>
        <v>102989737.44197373</v>
      </c>
      <c r="W176" s="67"/>
      <c r="X176" s="67">
        <f>IF(AND(MOD(C176,12)=1,D176&lt;15),Assumptions!$D$10*N176+Assumptions!$D$11*(1+Assumptions!$D$16)^(B176-1)*I176,0)</f>
        <v>56812.618776168296</v>
      </c>
      <c r="Y176" s="65">
        <f>Assumptions!$C$13*N176</f>
        <v>33694.112509778322</v>
      </c>
      <c r="Z176" s="65">
        <f>NPV(Assumptions!$D$19,N177:$N$259)</f>
        <v>0</v>
      </c>
      <c r="AA176" s="68">
        <f t="shared" si="45"/>
        <v>0</v>
      </c>
      <c r="AB176" s="96"/>
      <c r="AC176" s="67">
        <f>(AC175+N175-P175-Q175-T175-W175-X175-Y175+AD175)*IF(D176=Assumptions!$H$9,0,1)</f>
        <v>145723409.15283531</v>
      </c>
      <c r="AD176" s="91">
        <f>(AF175+N176-W176-X176-Y176)*Assumptions!$D$19-(P176+Q176)*Assumptions!$D$19/2</f>
        <v>656871.64451355638</v>
      </c>
      <c r="AE176" s="67">
        <f>(AE175+(AD176-O176-R176-Q176-S176))*IF(D176=Assumptions!$H$9,0,1)</f>
        <v>50667451.947081193</v>
      </c>
      <c r="AF176" s="91">
        <f t="shared" si="46"/>
        <v>153657189.38905492</v>
      </c>
      <c r="AG176" s="67">
        <f t="shared" si="47"/>
        <v>-94112.621805082425</v>
      </c>
      <c r="AH176" s="89">
        <f>AG176*Assumptions!$C$18</f>
        <v>-28233.786541524725</v>
      </c>
      <c r="AI176" s="67">
        <f t="shared" si="48"/>
        <v>-65878.835263557703</v>
      </c>
      <c r="AK176" s="67">
        <f t="shared" si="49"/>
        <v>-95799.903457347478</v>
      </c>
      <c r="AL176" s="70">
        <f t="shared" si="38"/>
        <v>-1687.2819999999999</v>
      </c>
      <c r="AM176" s="80">
        <f>(O176-W176-X176-Y176-AA176)*Assumptions!$D$19</f>
        <v>-388.54578895730805</v>
      </c>
    </row>
    <row r="177" spans="2:39" x14ac:dyDescent="0.2">
      <c r="B177" s="5">
        <f t="shared" si="34"/>
        <v>170</v>
      </c>
      <c r="C177" s="5">
        <f t="shared" si="35"/>
        <v>170</v>
      </c>
      <c r="D177" s="5">
        <f t="shared" si="36"/>
        <v>14</v>
      </c>
      <c r="E177" s="5">
        <f t="shared" si="37"/>
        <v>60</v>
      </c>
      <c r="F177" s="64">
        <f>1-(1-VLOOKUP($E177,'Annual Mortality Rates'!$B$5:$C$105,2,FALSE))^(1/12)</f>
        <v>3.3143684343883706E-4</v>
      </c>
      <c r="G177" s="74">
        <f>1-(1-IF(D177&gt;=7,2%,VLOOKUP($D177,'Annual Lapse Rates'!$B$4:$C$14,2,FALSE)))^(1/12)</f>
        <v>1.6821425527395739E-3</v>
      </c>
      <c r="H177" s="80">
        <f t="shared" si="39"/>
        <v>2</v>
      </c>
      <c r="I177" s="65">
        <f t="shared" si="40"/>
        <v>2690.0923238451232</v>
      </c>
      <c r="J177" s="66">
        <f t="shared" si="41"/>
        <v>0.89159570837427349</v>
      </c>
      <c r="K177" s="66">
        <f t="shared" si="42"/>
        <v>4.5342640343594338</v>
      </c>
      <c r="M177" s="67">
        <f t="shared" si="50"/>
        <v>102989737.44197373</v>
      </c>
      <c r="N177" s="67">
        <f>IF(AND(MOD(C177,12)=1,D177&lt;15),Assumptions!$H$4*I177,0)</f>
        <v>0</v>
      </c>
      <c r="O177" s="67"/>
      <c r="P177" s="88">
        <f t="shared" si="43"/>
        <v>207378.01333098256</v>
      </c>
      <c r="Q177" s="88">
        <f>(M177+N177-O177)*VLOOKUP(MOD(C177,12)+(MOD(C177,12)=0)*12,Assumptions!$C$22:$D$33,2,FALSE)*(F177+G177)</f>
        <v>1296.1125833186411</v>
      </c>
      <c r="R177" s="67">
        <f>IF(AND(MOD(C177,12)=0,D177&lt;15),Assumptions!$C$7*M177,0)</f>
        <v>0</v>
      </c>
      <c r="S177" s="68">
        <f>IF(MOD(C177,12)=0,M177*Assumptions!$D$17,0)</f>
        <v>0</v>
      </c>
      <c r="T177" s="68">
        <f>(M177+N177-O177-P177-Q177-R177+S177)*(D178=Assumptions!$H$9)</f>
        <v>0</v>
      </c>
      <c r="U177" s="67">
        <f>T177+AE177*(1+Assumptions!$D$17)</f>
        <v>51534464.759201892</v>
      </c>
      <c r="V177" s="67">
        <f t="shared" si="44"/>
        <v>102781063.31605943</v>
      </c>
      <c r="W177" s="67"/>
      <c r="X177" s="67">
        <f>IF(AND(MOD(C177,12)=1,D177&lt;15),Assumptions!$D$10*N177+Assumptions!$D$11*(1+Assumptions!$D$16)^(B177-1)*I177,0)</f>
        <v>0</v>
      </c>
      <c r="Y177" s="65">
        <f>Assumptions!$C$13*N177</f>
        <v>0</v>
      </c>
      <c r="Z177" s="65">
        <f>NPV(Assumptions!$D$19,N178:$N$259)</f>
        <v>0</v>
      </c>
      <c r="AA177" s="68">
        <f t="shared" si="45"/>
        <v>0</v>
      </c>
      <c r="AB177" s="96"/>
      <c r="AC177" s="67">
        <f>(AC176+N176-P176-Q176-T176-W176-X176-Y176+AD176)*IF(D177=Assumptions!$H$9,0,1)</f>
        <v>152820149.46195796</v>
      </c>
      <c r="AD177" s="91">
        <f>(AF176+N177-W177-X177-Y177)*Assumptions!$D$19-(P177+Q177)*Assumptions!$D$19/2</f>
        <v>659203.05933038052</v>
      </c>
      <c r="AE177" s="67">
        <f>(AE176+(AD177-O177-R177-Q177-S177))*IF(D177=Assumptions!$H$9,0,1)</f>
        <v>51325358.893828258</v>
      </c>
      <c r="AF177" s="91">
        <f t="shared" si="46"/>
        <v>154106422.20988768</v>
      </c>
      <c r="AG177" s="67">
        <f t="shared" si="47"/>
        <v>2592.2251666388474</v>
      </c>
      <c r="AH177" s="89">
        <f>AG177*Assumptions!$C$18</f>
        <v>777.66754999165425</v>
      </c>
      <c r="AI177" s="67">
        <f t="shared" si="48"/>
        <v>1814.5576166471933</v>
      </c>
      <c r="AK177" s="67">
        <f t="shared" si="49"/>
        <v>0</v>
      </c>
      <c r="AL177" s="70">
        <f t="shared" si="38"/>
        <v>-2592.2249999999999</v>
      </c>
      <c r="AM177" s="80">
        <f>(O177-W177-X177-Y177-AA177)*Assumptions!$D$19</f>
        <v>0</v>
      </c>
    </row>
    <row r="178" spans="2:39" x14ac:dyDescent="0.2">
      <c r="B178" s="5">
        <f t="shared" si="34"/>
        <v>171</v>
      </c>
      <c r="C178" s="5">
        <f t="shared" si="35"/>
        <v>171</v>
      </c>
      <c r="D178" s="5">
        <f t="shared" si="36"/>
        <v>14</v>
      </c>
      <c r="E178" s="5">
        <f t="shared" si="37"/>
        <v>60</v>
      </c>
      <c r="F178" s="64">
        <f>1-(1-VLOOKUP($E178,'Annual Mortality Rates'!$B$5:$C$105,2,FALSE))^(1/12)</f>
        <v>3.3143684343883706E-4</v>
      </c>
      <c r="G178" s="74">
        <f>1-(1-IF(D178&gt;=7,2%,VLOOKUP($D178,'Annual Lapse Rates'!$B$4:$C$14,2,FALSE)))^(1/12)</f>
        <v>1.6821425527395739E-3</v>
      </c>
      <c r="H178" s="80">
        <f t="shared" si="39"/>
        <v>3</v>
      </c>
      <c r="I178" s="65">
        <f t="shared" si="40"/>
        <v>2684.6664641023899</v>
      </c>
      <c r="J178" s="66">
        <f t="shared" si="41"/>
        <v>0.88979737854820007</v>
      </c>
      <c r="K178" s="66">
        <f t="shared" si="42"/>
        <v>4.5251187687379684</v>
      </c>
      <c r="M178" s="67">
        <f t="shared" si="50"/>
        <v>102781063.31605943</v>
      </c>
      <c r="N178" s="67">
        <f>IF(AND(MOD(C178,12)=1,D178&lt;15),Assumptions!$H$4*I178,0)</f>
        <v>0</v>
      </c>
      <c r="O178" s="67"/>
      <c r="P178" s="88">
        <f t="shared" si="43"/>
        <v>206957.83141052598</v>
      </c>
      <c r="Q178" s="88">
        <f>(M178+N178-O178)*VLOOKUP(MOD(C178,12)+(MOD(C178,12)=0)*12,Assumptions!$C$22:$D$33,2,FALSE)*(F178+G178)</f>
        <v>1940.229669473681</v>
      </c>
      <c r="R178" s="67">
        <f>IF(AND(MOD(C178,12)=0,D178&lt;15),Assumptions!$C$7*M178,0)</f>
        <v>0</v>
      </c>
      <c r="S178" s="68">
        <f>IF(MOD(C178,12)=0,M178*Assumptions!$D$17,0)</f>
        <v>0</v>
      </c>
      <c r="T178" s="68">
        <f>(M178+N178-O178-P178-Q178-R178+S178)*(D179=Assumptions!$H$9)</f>
        <v>0</v>
      </c>
      <c r="U178" s="67">
        <f>T178+AE178*(1+Assumptions!$D$17)</f>
        <v>52196341.291982681</v>
      </c>
      <c r="V178" s="67">
        <f t="shared" si="44"/>
        <v>102572165.25497943</v>
      </c>
      <c r="W178" s="67"/>
      <c r="X178" s="67">
        <f>IF(AND(MOD(C178,12)=1,D178&lt;15),Assumptions!$D$10*N178+Assumptions!$D$11*(1+Assumptions!$D$16)^(B178-1)*I178,0)</f>
        <v>0</v>
      </c>
      <c r="Y178" s="65">
        <f>Assumptions!$C$13*N178</f>
        <v>0</v>
      </c>
      <c r="Z178" s="65">
        <f>NPV(Assumptions!$D$19,N179:$N$259)</f>
        <v>0</v>
      </c>
      <c r="AA178" s="68">
        <f t="shared" si="45"/>
        <v>0</v>
      </c>
      <c r="AB178" s="96"/>
      <c r="AC178" s="67">
        <f>(AC177+N177-P177-Q177-T177-W177-X177-Y177+AD177)*IF(D178=Assumptions!$H$9,0,1)</f>
        <v>153270678.39537403</v>
      </c>
      <c r="AD178" s="91">
        <f>(AF177+N178-W178-X178-Y178)*Assumptions!$D$19-(P178+Q178)*Assumptions!$D$19/2</f>
        <v>661131.13709635171</v>
      </c>
      <c r="AE178" s="67">
        <f>(AE177+(AD178-O178-R178-Q178-S178))*IF(D178=Assumptions!$H$9,0,1)</f>
        <v>51984549.801255137</v>
      </c>
      <c r="AF178" s="91">
        <f t="shared" si="46"/>
        <v>154556715.05623457</v>
      </c>
      <c r="AG178" s="67">
        <f t="shared" si="47"/>
        <v>3880.4593389407964</v>
      </c>
      <c r="AH178" s="89">
        <f>AG178*Assumptions!$C$18</f>
        <v>1164.1378016822389</v>
      </c>
      <c r="AI178" s="67">
        <f t="shared" si="48"/>
        <v>2716.3215372585573</v>
      </c>
      <c r="AK178" s="67">
        <f t="shared" si="49"/>
        <v>0</v>
      </c>
      <c r="AL178" s="70">
        <f t="shared" si="38"/>
        <v>-3880.4589999999998</v>
      </c>
      <c r="AM178" s="80">
        <f>(O178-W178-X178-Y178-AA178)*Assumptions!$D$19</f>
        <v>0</v>
      </c>
    </row>
    <row r="179" spans="2:39" x14ac:dyDescent="0.2">
      <c r="B179" s="5">
        <f t="shared" si="34"/>
        <v>172</v>
      </c>
      <c r="C179" s="5">
        <f t="shared" si="35"/>
        <v>172</v>
      </c>
      <c r="D179" s="5">
        <f t="shared" si="36"/>
        <v>14</v>
      </c>
      <c r="E179" s="5">
        <f t="shared" si="37"/>
        <v>60</v>
      </c>
      <c r="F179" s="64">
        <f>1-(1-VLOOKUP($E179,'Annual Mortality Rates'!$B$5:$C$105,2,FALSE))^(1/12)</f>
        <v>3.3143684343883706E-4</v>
      </c>
      <c r="G179" s="74">
        <f>1-(1-IF(D179&gt;=7,2%,VLOOKUP($D179,'Annual Lapse Rates'!$B$4:$C$14,2,FALSE)))^(1/12)</f>
        <v>1.6821425527395739E-3</v>
      </c>
      <c r="H179" s="80">
        <f t="shared" si="39"/>
        <v>4</v>
      </c>
      <c r="I179" s="65">
        <f t="shared" si="40"/>
        <v>2679.2515479551034</v>
      </c>
      <c r="J179" s="66">
        <f t="shared" si="41"/>
        <v>0.88800267583285741</v>
      </c>
      <c r="K179" s="66">
        <f t="shared" si="42"/>
        <v>4.5159916991795201</v>
      </c>
      <c r="M179" s="67">
        <f t="shared" si="50"/>
        <v>102572165.25497943</v>
      </c>
      <c r="N179" s="67">
        <f>IF(AND(MOD(C179,12)=1,D179&lt;15),Assumptions!$H$4*I179,0)</f>
        <v>0</v>
      </c>
      <c r="O179" s="67"/>
      <c r="P179" s="88">
        <f t="shared" si="43"/>
        <v>206537.19857883366</v>
      </c>
      <c r="Q179" s="88">
        <f>(M179+N179-O179)*VLOOKUP(MOD(C179,12)+(MOD(C179,12)=0)*12,Assumptions!$C$22:$D$33,2,FALSE)*(F179+G179)</f>
        <v>2581.7149822354208</v>
      </c>
      <c r="R179" s="67">
        <f>IF(AND(MOD(C179,12)=0,D179&lt;15),Assumptions!$C$7*M179,0)</f>
        <v>0</v>
      </c>
      <c r="S179" s="68">
        <f>IF(MOD(C179,12)=0,M179*Assumptions!$D$17,0)</f>
        <v>0</v>
      </c>
      <c r="T179" s="68">
        <f>(M179+N179-O179-P179-Q179-R179+S179)*(D180=Assumptions!$H$9)</f>
        <v>0</v>
      </c>
      <c r="U179" s="67">
        <f>T179+AE179*(1+Assumptions!$D$17)</f>
        <v>52859514.23483175</v>
      </c>
      <c r="V179" s="67">
        <f t="shared" si="44"/>
        <v>102363046.34141836</v>
      </c>
      <c r="W179" s="67"/>
      <c r="X179" s="67">
        <f>IF(AND(MOD(C179,12)=1,D179&lt;15),Assumptions!$D$10*N179+Assumptions!$D$11*(1+Assumptions!$D$16)^(B179-1)*I179,0)</f>
        <v>0</v>
      </c>
      <c r="Y179" s="65">
        <f>Assumptions!$C$13*N179</f>
        <v>0</v>
      </c>
      <c r="Z179" s="65">
        <f>NPV(Assumptions!$D$19,N180:$N$259)</f>
        <v>0</v>
      </c>
      <c r="AA179" s="68">
        <f t="shared" si="45"/>
        <v>0</v>
      </c>
      <c r="AB179" s="96"/>
      <c r="AC179" s="67">
        <f>(AC178+N178-P178-Q178-T178-W178-X178-Y178+AD178)*IF(D179=Assumptions!$H$9,0,1)</f>
        <v>153722911.47139037</v>
      </c>
      <c r="AD179" s="91">
        <f>(AF178+N179-W179-X179-Y179)*Assumptions!$D$19-(P179+Q179)*Assumptions!$D$19/2</f>
        <v>663063.77217343019</v>
      </c>
      <c r="AE179" s="67">
        <f>(AE178+(AD179-O179-R179-Q179-S179))*IF(D179=Assumptions!$H$9,0,1)</f>
        <v>52645031.85844633</v>
      </c>
      <c r="AF179" s="91">
        <f t="shared" si="46"/>
        <v>155008078.19986469</v>
      </c>
      <c r="AG179" s="67">
        <f t="shared" si="47"/>
        <v>5163.4299644794082</v>
      </c>
      <c r="AH179" s="89">
        <f>AG179*Assumptions!$C$18</f>
        <v>1549.0289893438223</v>
      </c>
      <c r="AI179" s="67">
        <f t="shared" si="48"/>
        <v>3614.4009751355861</v>
      </c>
      <c r="AK179" s="67">
        <f t="shared" si="49"/>
        <v>0</v>
      </c>
      <c r="AL179" s="70">
        <f t="shared" si="38"/>
        <v>-5163.43</v>
      </c>
      <c r="AM179" s="80">
        <f>(O179-W179-X179-Y179-AA179)*Assumptions!$D$19</f>
        <v>0</v>
      </c>
    </row>
    <row r="180" spans="2:39" x14ac:dyDescent="0.2">
      <c r="B180" s="5">
        <f t="shared" si="34"/>
        <v>173</v>
      </c>
      <c r="C180" s="5">
        <f t="shared" si="35"/>
        <v>173</v>
      </c>
      <c r="D180" s="5">
        <f t="shared" si="36"/>
        <v>14</v>
      </c>
      <c r="E180" s="5">
        <f t="shared" si="37"/>
        <v>60</v>
      </c>
      <c r="F180" s="64">
        <f>1-(1-VLOOKUP($E180,'Annual Mortality Rates'!$B$5:$C$105,2,FALSE))^(1/12)</f>
        <v>3.3143684343883706E-4</v>
      </c>
      <c r="G180" s="74">
        <f>1-(1-IF(D180&gt;=7,2%,VLOOKUP($D180,'Annual Lapse Rates'!$B$4:$C$14,2,FALSE)))^(1/12)</f>
        <v>1.6821425527395739E-3</v>
      </c>
      <c r="H180" s="80">
        <f t="shared" si="39"/>
        <v>5</v>
      </c>
      <c r="I180" s="65">
        <f t="shared" si="40"/>
        <v>2673.8475535800908</v>
      </c>
      <c r="J180" s="66">
        <f t="shared" si="41"/>
        <v>0.88621159299524199</v>
      </c>
      <c r="K180" s="66">
        <f t="shared" si="42"/>
        <v>4.5068830383086524</v>
      </c>
      <c r="M180" s="67">
        <f t="shared" si="50"/>
        <v>102363046.34141836</v>
      </c>
      <c r="N180" s="67">
        <f>IF(AND(MOD(C180,12)=1,D180&lt;15),Assumptions!$H$4*I180,0)</f>
        <v>0</v>
      </c>
      <c r="O180" s="67"/>
      <c r="P180" s="88">
        <f t="shared" si="43"/>
        <v>206116.12104313588</v>
      </c>
      <c r="Q180" s="88">
        <f>(M180+N180-O180)*VLOOKUP(MOD(C180,12)+(MOD(C180,12)=0)*12,Assumptions!$C$22:$D$33,2,FALSE)*(F180+G180)</f>
        <v>3220.5643912989981</v>
      </c>
      <c r="R180" s="67">
        <f>IF(AND(MOD(C180,12)=0,D180&lt;15),Assumptions!$C$7*M180,0)</f>
        <v>0</v>
      </c>
      <c r="S180" s="68">
        <f>IF(MOD(C180,12)=0,M180*Assumptions!$D$17,0)</f>
        <v>0</v>
      </c>
      <c r="T180" s="68">
        <f>(M180+N180-O180-P180-Q180-R180+S180)*(D181=Assumptions!$H$9)</f>
        <v>0</v>
      </c>
      <c r="U180" s="67">
        <f>T180+AE180*(1+Assumptions!$D$17)</f>
        <v>53523990.854541883</v>
      </c>
      <c r="V180" s="67">
        <f t="shared" si="44"/>
        <v>102153709.65598392</v>
      </c>
      <c r="W180" s="67"/>
      <c r="X180" s="67">
        <f>IF(AND(MOD(C180,12)=1,D180&lt;15),Assumptions!$D$10*N180+Assumptions!$D$11*(1+Assumptions!$D$16)^(B180-1)*I180,0)</f>
        <v>0</v>
      </c>
      <c r="Y180" s="65">
        <f>Assumptions!$C$13*N180</f>
        <v>0</v>
      </c>
      <c r="Z180" s="65">
        <f>NPV(Assumptions!$D$19,N181:$N$259)</f>
        <v>0</v>
      </c>
      <c r="AA180" s="68">
        <f t="shared" si="45"/>
        <v>0</v>
      </c>
      <c r="AB180" s="96"/>
      <c r="AC180" s="67">
        <f>(AC179+N179-P179-Q179-T179-W179-X179-Y179+AD179)*IF(D180=Assumptions!$H$9,0,1)</f>
        <v>154176856.33000273</v>
      </c>
      <c r="AD180" s="91">
        <f>(AF179+N180-W180-X180-Y180)*Assumptions!$D$19-(P180+Q180)*Assumptions!$D$19/2</f>
        <v>665001.00865390687</v>
      </c>
      <c r="AE180" s="67">
        <f>(AE179+(AD180-O180-R180-Q180-S180))*IF(D180=Assumptions!$H$9,0,1)</f>
        <v>53306812.302708939</v>
      </c>
      <c r="AF180" s="91">
        <f t="shared" si="46"/>
        <v>155460521.95869285</v>
      </c>
      <c r="AG180" s="67">
        <f t="shared" si="47"/>
        <v>6441.1287826078478</v>
      </c>
      <c r="AH180" s="89">
        <f>AG180*Assumptions!$C$18</f>
        <v>1932.3386347823543</v>
      </c>
      <c r="AI180" s="67">
        <f t="shared" si="48"/>
        <v>4508.7901478254935</v>
      </c>
      <c r="AK180" s="67">
        <f t="shared" si="49"/>
        <v>0</v>
      </c>
      <c r="AL180" s="70">
        <f t="shared" si="38"/>
        <v>-6441.1289999999999</v>
      </c>
      <c r="AM180" s="80">
        <f>(O180-W180-X180-Y180-AA180)*Assumptions!$D$19</f>
        <v>0</v>
      </c>
    </row>
    <row r="181" spans="2:39" x14ac:dyDescent="0.2">
      <c r="B181" s="5">
        <f t="shared" si="34"/>
        <v>174</v>
      </c>
      <c r="C181" s="5">
        <f t="shared" si="35"/>
        <v>174</v>
      </c>
      <c r="D181" s="5">
        <f t="shared" si="36"/>
        <v>14</v>
      </c>
      <c r="E181" s="5">
        <f t="shared" si="37"/>
        <v>60</v>
      </c>
      <c r="F181" s="64">
        <f>1-(1-VLOOKUP($E181,'Annual Mortality Rates'!$B$5:$C$105,2,FALSE))^(1/12)</f>
        <v>3.3143684343883706E-4</v>
      </c>
      <c r="G181" s="74">
        <f>1-(1-IF(D181&gt;=7,2%,VLOOKUP($D181,'Annual Lapse Rates'!$B$4:$C$14,2,FALSE)))^(1/12)</f>
        <v>1.6821425527395739E-3</v>
      </c>
      <c r="H181" s="80">
        <f t="shared" si="39"/>
        <v>6</v>
      </c>
      <c r="I181" s="65">
        <f t="shared" si="40"/>
        <v>2668.4544589487869</v>
      </c>
      <c r="J181" s="66">
        <f t="shared" si="41"/>
        <v>0.88442412273427573</v>
      </c>
      <c r="K181" s="66">
        <f t="shared" si="42"/>
        <v>4.4977927494156784</v>
      </c>
      <c r="M181" s="67">
        <f t="shared" si="50"/>
        <v>102153709.65598392</v>
      </c>
      <c r="N181" s="67">
        <f>IF(AND(MOD(C181,12)=1,D181&lt;15),Assumptions!$H$4*I181,0)</f>
        <v>0</v>
      </c>
      <c r="O181" s="67"/>
      <c r="P181" s="88">
        <f t="shared" si="43"/>
        <v>205694.60500648082</v>
      </c>
      <c r="Q181" s="88">
        <f>(M181+N181-O181)*VLOOKUP(MOD(C181,12)+(MOD(C181,12)=0)*12,Assumptions!$C$22:$D$33,2,FALSE)*(F181+G181)</f>
        <v>3856.773843871516</v>
      </c>
      <c r="R181" s="67">
        <f>IF(AND(MOD(C181,12)=0,D181&lt;15),Assumptions!$C$7*M181,0)</f>
        <v>0</v>
      </c>
      <c r="S181" s="68">
        <f>IF(MOD(C181,12)=0,M181*Assumptions!$D$17,0)</f>
        <v>0</v>
      </c>
      <c r="T181" s="68">
        <f>(M181+N181-O181-P181-Q181-R181+S181)*(D182=Assumptions!$H$9)</f>
        <v>0</v>
      </c>
      <c r="U181" s="67">
        <f>T181+AE181*(1+Assumptions!$D$17)</f>
        <v>54189778.466445848</v>
      </c>
      <c r="V181" s="67">
        <f t="shared" si="44"/>
        <v>101944158.27713357</v>
      </c>
      <c r="W181" s="67"/>
      <c r="X181" s="67">
        <f>IF(AND(MOD(C181,12)=1,D181&lt;15),Assumptions!$D$10*N181+Assumptions!$D$11*(1+Assumptions!$D$16)^(B181-1)*I181,0)</f>
        <v>0</v>
      </c>
      <c r="Y181" s="65">
        <f>Assumptions!$C$13*N181</f>
        <v>0</v>
      </c>
      <c r="Z181" s="65">
        <f>NPV(Assumptions!$D$19,N182:$N$259)</f>
        <v>0</v>
      </c>
      <c r="AA181" s="68">
        <f t="shared" si="45"/>
        <v>0</v>
      </c>
      <c r="AB181" s="96"/>
      <c r="AC181" s="67">
        <f>(AC180+N180-P180-Q180-T180-W180-X180-Y180+AD180)*IF(D181=Assumptions!$H$9,0,1)</f>
        <v>154632520.6532222</v>
      </c>
      <c r="AD181" s="91">
        <f>(AF180+N181-W181-X181-Y181)*Assumptions!$D$19-(P181+Q181)*Assumptions!$D$19/2</f>
        <v>666942.89082801936</v>
      </c>
      <c r="AE181" s="67">
        <f>(AE180+(AD181-O181-R181-Q181-S181))*IF(D181=Assumptions!$H$9,0,1)</f>
        <v>53969898.41969309</v>
      </c>
      <c r="AF181" s="91">
        <f t="shared" si="46"/>
        <v>155914056.69682667</v>
      </c>
      <c r="AG181" s="67">
        <f t="shared" si="47"/>
        <v>7713.5476877206238</v>
      </c>
      <c r="AH181" s="89">
        <f>AG181*Assumptions!$C$18</f>
        <v>2314.064306316187</v>
      </c>
      <c r="AI181" s="67">
        <f t="shared" si="48"/>
        <v>5399.4833814044368</v>
      </c>
      <c r="AK181" s="67">
        <f t="shared" si="49"/>
        <v>0</v>
      </c>
      <c r="AL181" s="70">
        <f t="shared" si="38"/>
        <v>-7713.5479999999998</v>
      </c>
      <c r="AM181" s="80">
        <f>(O181-W181-X181-Y181-AA181)*Assumptions!$D$19</f>
        <v>0</v>
      </c>
    </row>
    <row r="182" spans="2:39" x14ac:dyDescent="0.2">
      <c r="B182" s="5">
        <f t="shared" si="34"/>
        <v>175</v>
      </c>
      <c r="C182" s="5">
        <f t="shared" si="35"/>
        <v>175</v>
      </c>
      <c r="D182" s="5">
        <f t="shared" si="36"/>
        <v>14</v>
      </c>
      <c r="E182" s="5">
        <f t="shared" si="37"/>
        <v>60</v>
      </c>
      <c r="F182" s="64">
        <f>1-(1-VLOOKUP($E182,'Annual Mortality Rates'!$B$5:$C$105,2,FALSE))^(1/12)</f>
        <v>3.3143684343883706E-4</v>
      </c>
      <c r="G182" s="74">
        <f>1-(1-IF(D182&gt;=7,2%,VLOOKUP($D182,'Annual Lapse Rates'!$B$4:$C$14,2,FALSE)))^(1/12)</f>
        <v>1.6821425527395739E-3</v>
      </c>
      <c r="H182" s="80">
        <f t="shared" si="39"/>
        <v>7</v>
      </c>
      <c r="I182" s="65">
        <f t="shared" si="40"/>
        <v>2663.0722420766369</v>
      </c>
      <c r="J182" s="66">
        <f t="shared" si="41"/>
        <v>0.88264025776346711</v>
      </c>
      <c r="K182" s="66">
        <f t="shared" si="42"/>
        <v>4.4887207954454107</v>
      </c>
      <c r="M182" s="67">
        <f t="shared" si="50"/>
        <v>101944158.27713357</v>
      </c>
      <c r="N182" s="67">
        <f>IF(AND(MOD(C182,12)=1,D182&lt;15),Assumptions!$H$4*I182,0)</f>
        <v>0</v>
      </c>
      <c r="O182" s="67"/>
      <c r="P182" s="88">
        <f t="shared" si="43"/>
        <v>205272.65666758697</v>
      </c>
      <c r="Q182" s="88">
        <f>(M182+N182-O182)*VLOOKUP(MOD(C182,12)+(MOD(C182,12)=0)*12,Assumptions!$C$22:$D$33,2,FALSE)*(F182+G182)</f>
        <v>4490.3393646034656</v>
      </c>
      <c r="R182" s="67">
        <f>IF(AND(MOD(C182,12)=0,D182&lt;15),Assumptions!$C$7*M182,0)</f>
        <v>0</v>
      </c>
      <c r="S182" s="68">
        <f>IF(MOD(C182,12)=0,M182*Assumptions!$D$17,0)</f>
        <v>0</v>
      </c>
      <c r="T182" s="68">
        <f>(M182+N182-O182-P182-Q182-R182+S182)*(D183=Assumptions!$H$9)</f>
        <v>0</v>
      </c>
      <c r="U182" s="67">
        <f>T182+AE182*(1+Assumptions!$D$17)</f>
        <v>54856884.43453759</v>
      </c>
      <c r="V182" s="67">
        <f t="shared" si="44"/>
        <v>101734395.28110138</v>
      </c>
      <c r="W182" s="67"/>
      <c r="X182" s="67">
        <f>IF(AND(MOD(C182,12)=1,D182&lt;15),Assumptions!$D$10*N182+Assumptions!$D$11*(1+Assumptions!$D$16)^(B182-1)*I182,0)</f>
        <v>0</v>
      </c>
      <c r="Y182" s="65">
        <f>Assumptions!$C$13*N182</f>
        <v>0</v>
      </c>
      <c r="Z182" s="65">
        <f>NPV(Assumptions!$D$19,N183:$N$259)</f>
        <v>0</v>
      </c>
      <c r="AA182" s="68">
        <f t="shared" si="45"/>
        <v>0</v>
      </c>
      <c r="AB182" s="96"/>
      <c r="AC182" s="67">
        <f>(AC181+N181-P181-Q181-T181-W181-X181-Y181+AD181)*IF(D182=Assumptions!$H$9,0,1)</f>
        <v>155089912.16519985</v>
      </c>
      <c r="AD182" s="91">
        <f>(AF181+N182-W182-X182-Y182)*Assumptions!$D$19-(P182+Q182)*Assumptions!$D$19/2</f>
        <v>668889.46318415366</v>
      </c>
      <c r="AE182" s="67">
        <f>(AE181+(AD182-O182-R182-Q182-S182))*IF(D182=Assumptions!$H$9,0,1)</f>
        <v>54634297.543512642</v>
      </c>
      <c r="AF182" s="91">
        <f t="shared" si="46"/>
        <v>156368692.82461402</v>
      </c>
      <c r="AG182" s="67">
        <f t="shared" si="47"/>
        <v>8980.6787292150548</v>
      </c>
      <c r="AH182" s="89">
        <f>AG182*Assumptions!$C$18</f>
        <v>2694.2036187645162</v>
      </c>
      <c r="AI182" s="67">
        <f t="shared" si="48"/>
        <v>6286.4751104505385</v>
      </c>
      <c r="AK182" s="67">
        <f t="shared" si="49"/>
        <v>0</v>
      </c>
      <c r="AL182" s="70">
        <f t="shared" si="38"/>
        <v>-8980.6790000000001</v>
      </c>
      <c r="AM182" s="80">
        <f>(O182-W182-X182-Y182-AA182)*Assumptions!$D$19</f>
        <v>0</v>
      </c>
    </row>
    <row r="183" spans="2:39" x14ac:dyDescent="0.2">
      <c r="B183" s="5">
        <f t="shared" si="34"/>
        <v>176</v>
      </c>
      <c r="C183" s="5">
        <f t="shared" si="35"/>
        <v>176</v>
      </c>
      <c r="D183" s="5">
        <f t="shared" si="36"/>
        <v>14</v>
      </c>
      <c r="E183" s="5">
        <f t="shared" si="37"/>
        <v>60</v>
      </c>
      <c r="F183" s="64">
        <f>1-(1-VLOOKUP($E183,'Annual Mortality Rates'!$B$5:$C$105,2,FALSE))^(1/12)</f>
        <v>3.3143684343883706E-4</v>
      </c>
      <c r="G183" s="74">
        <f>1-(1-IF(D183&gt;=7,2%,VLOOKUP($D183,'Annual Lapse Rates'!$B$4:$C$14,2,FALSE)))^(1/12)</f>
        <v>1.6821425527395739E-3</v>
      </c>
      <c r="H183" s="80">
        <f t="shared" si="39"/>
        <v>8</v>
      </c>
      <c r="I183" s="65">
        <f t="shared" si="40"/>
        <v>2657.7008810234283</v>
      </c>
      <c r="J183" s="66">
        <f t="shared" si="41"/>
        <v>0.88085999081102129</v>
      </c>
      <c r="K183" s="66">
        <f t="shared" si="42"/>
        <v>4.4796671394166943</v>
      </c>
      <c r="M183" s="67">
        <f t="shared" si="50"/>
        <v>101734395.28110138</v>
      </c>
      <c r="N183" s="67">
        <f>IF(AND(MOD(C183,12)=1,D183&lt;15),Assumptions!$H$4*I183,0)</f>
        <v>0</v>
      </c>
      <c r="O183" s="67"/>
      <c r="P183" s="88">
        <f t="shared" si="43"/>
        <v>204850.2822206959</v>
      </c>
      <c r="Q183" s="88">
        <f>(M183+N183-O183)*VLOOKUP(MOD(C183,12)+(MOD(C183,12)=0)*12,Assumptions!$C$22:$D$33,2,FALSE)*(F183+G183)</f>
        <v>5121.2570555173979</v>
      </c>
      <c r="R183" s="67">
        <f>IF(AND(MOD(C183,12)=0,D183&lt;15),Assumptions!$C$7*M183,0)</f>
        <v>0</v>
      </c>
      <c r="S183" s="68">
        <f>IF(MOD(C183,12)=0,M183*Assumptions!$D$17,0)</f>
        <v>0</v>
      </c>
      <c r="T183" s="68">
        <f>(M183+N183-O183-P183-Q183-R183+S183)*(D184=Assumptions!$H$9)</f>
        <v>0</v>
      </c>
      <c r="U183" s="67">
        <f>T183+AE183*(1+Assumptions!$D$17)</f>
        <v>55525316.171593718</v>
      </c>
      <c r="V183" s="67">
        <f t="shared" si="44"/>
        <v>101524423.74182516</v>
      </c>
      <c r="W183" s="67"/>
      <c r="X183" s="67">
        <f>IF(AND(MOD(C183,12)=1,D183&lt;15),Assumptions!$D$10*N183+Assumptions!$D$11*(1+Assumptions!$D$16)^(B183-1)*I183,0)</f>
        <v>0</v>
      </c>
      <c r="Y183" s="65">
        <f>Assumptions!$C$13*N183</f>
        <v>0</v>
      </c>
      <c r="Z183" s="65">
        <f>NPV(Assumptions!$D$19,N184:$N$259)</f>
        <v>0</v>
      </c>
      <c r="AA183" s="68">
        <f t="shared" si="45"/>
        <v>0</v>
      </c>
      <c r="AB183" s="96"/>
      <c r="AC183" s="67">
        <f>(AC182+N182-P182-Q182-T182-W182-X182-Y182+AD182)*IF(D183=Assumptions!$H$9,0,1)</f>
        <v>155549038.63235179</v>
      </c>
      <c r="AD183" s="91">
        <f>(AF182+N183-W183-X183-Y183)*Assumptions!$D$19-(P183+Q183)*Assumptions!$D$19/2</f>
        <v>670840.77040904982</v>
      </c>
      <c r="AE183" s="67">
        <f>(AE182+(AD183-O183-R183-Q183-S183))*IF(D183=Assumptions!$H$9,0,1)</f>
        <v>55300017.056866176</v>
      </c>
      <c r="AF183" s="91">
        <f t="shared" si="46"/>
        <v>156824440.79869133</v>
      </c>
      <c r="AG183" s="67">
        <f t="shared" si="47"/>
        <v>10242.514111039811</v>
      </c>
      <c r="AH183" s="89">
        <f>AG183*Assumptions!$C$18</f>
        <v>3072.7542333119432</v>
      </c>
      <c r="AI183" s="67">
        <f t="shared" si="48"/>
        <v>7169.7598777278672</v>
      </c>
      <c r="AK183" s="67">
        <f t="shared" si="49"/>
        <v>0</v>
      </c>
      <c r="AL183" s="70">
        <f t="shared" si="38"/>
        <v>-10242.513999999999</v>
      </c>
      <c r="AM183" s="80">
        <f>(O183-W183-X183-Y183-AA183)*Assumptions!$D$19</f>
        <v>0</v>
      </c>
    </row>
    <row r="184" spans="2:39" x14ac:dyDescent="0.2">
      <c r="B184" s="5">
        <f t="shared" si="34"/>
        <v>177</v>
      </c>
      <c r="C184" s="5">
        <f t="shared" si="35"/>
        <v>177</v>
      </c>
      <c r="D184" s="5">
        <f t="shared" si="36"/>
        <v>14</v>
      </c>
      <c r="E184" s="5">
        <f t="shared" si="37"/>
        <v>60</v>
      </c>
      <c r="F184" s="64">
        <f>1-(1-VLOOKUP($E184,'Annual Mortality Rates'!$B$5:$C$105,2,FALSE))^(1/12)</f>
        <v>3.3143684343883706E-4</v>
      </c>
      <c r="G184" s="74">
        <f>1-(1-IF(D184&gt;=7,2%,VLOOKUP($D184,'Annual Lapse Rates'!$B$4:$C$14,2,FALSE)))^(1/12)</f>
        <v>1.6821425527395739E-3</v>
      </c>
      <c r="H184" s="80">
        <f t="shared" si="39"/>
        <v>9</v>
      </c>
      <c r="I184" s="65">
        <f t="shared" si="40"/>
        <v>2652.3403538932007</v>
      </c>
      <c r="J184" s="66">
        <f t="shared" si="41"/>
        <v>0.87908331461981049</v>
      </c>
      <c r="K184" s="66">
        <f t="shared" si="42"/>
        <v>4.4706317444229642</v>
      </c>
      <c r="M184" s="67">
        <f t="shared" si="50"/>
        <v>101524423.74182516</v>
      </c>
      <c r="N184" s="67">
        <f>IF(AND(MOD(C184,12)=1,D184&lt;15),Assumptions!$H$4*I184,0)</f>
        <v>0</v>
      </c>
      <c r="O184" s="67"/>
      <c r="P184" s="88">
        <f t="shared" si="43"/>
        <v>204427.48785542545</v>
      </c>
      <c r="Q184" s="88">
        <f>(M184+N184-O184)*VLOOKUP(MOD(C184,12)+(MOD(C184,12)=0)*12,Assumptions!$C$22:$D$33,2,FALSE)*(F184+G184)</f>
        <v>5749.5230959338414</v>
      </c>
      <c r="R184" s="67">
        <f>IF(AND(MOD(C184,12)=0,D184&lt;15),Assumptions!$C$7*M184,0)</f>
        <v>0</v>
      </c>
      <c r="S184" s="68">
        <f>IF(MOD(C184,12)=0,M184*Assumptions!$D$17,0)</f>
        <v>0</v>
      </c>
      <c r="T184" s="68">
        <f>(M184+N184-O184-P184-Q184-R184+S184)*(D185=Assumptions!$H$9)</f>
        <v>0</v>
      </c>
      <c r="U184" s="67">
        <f>T184+AE184*(1+Assumptions!$D$17)</f>
        <v>56195081.13929525</v>
      </c>
      <c r="V184" s="67">
        <f t="shared" si="44"/>
        <v>101314246.73087381</v>
      </c>
      <c r="W184" s="67"/>
      <c r="X184" s="67">
        <f>IF(AND(MOD(C184,12)=1,D184&lt;15),Assumptions!$D$10*N184+Assumptions!$D$11*(1+Assumptions!$D$16)^(B184-1)*I184,0)</f>
        <v>0</v>
      </c>
      <c r="Y184" s="65">
        <f>Assumptions!$C$13*N184</f>
        <v>0</v>
      </c>
      <c r="Z184" s="65">
        <f>NPV(Assumptions!$D$19,N185:$N$259)</f>
        <v>0</v>
      </c>
      <c r="AA184" s="68">
        <f t="shared" si="45"/>
        <v>0</v>
      </c>
      <c r="AB184" s="96"/>
      <c r="AC184" s="67">
        <f>(AC183+N183-P183-Q183-T183-W183-X183-Y183+AD183)*IF(D184=Assumptions!$H$9,0,1)</f>
        <v>156009907.86348462</v>
      </c>
      <c r="AD184" s="91">
        <f>(AF183+N184-W184-X184-Y184)*Assumptions!$D$19-(P184+Q184)*Assumptions!$D$19/2</f>
        <v>672796.85738800792</v>
      </c>
      <c r="AE184" s="67">
        <f>(AE183+(AD184-O184-R184-Q184-S184))*IF(D184=Assumptions!$H$9,0,1)</f>
        <v>55967064.391158253</v>
      </c>
      <c r="AF184" s="91">
        <f t="shared" si="46"/>
        <v>157281311.12203205</v>
      </c>
      <c r="AG184" s="67">
        <f t="shared" si="47"/>
        <v>11499.046191868489</v>
      </c>
      <c r="AH184" s="89">
        <f>AG184*Assumptions!$C$18</f>
        <v>3449.7138575605463</v>
      </c>
      <c r="AI184" s="67">
        <f t="shared" si="48"/>
        <v>8049.3323343079428</v>
      </c>
      <c r="AK184" s="67">
        <f t="shared" si="49"/>
        <v>0</v>
      </c>
      <c r="AL184" s="70">
        <f t="shared" si="38"/>
        <v>-11499.046</v>
      </c>
      <c r="AM184" s="80">
        <f>(O184-W184-X184-Y184-AA184)*Assumptions!$D$19</f>
        <v>0</v>
      </c>
    </row>
    <row r="185" spans="2:39" x14ac:dyDescent="0.2">
      <c r="B185" s="5">
        <f t="shared" si="34"/>
        <v>178</v>
      </c>
      <c r="C185" s="5">
        <f t="shared" si="35"/>
        <v>178</v>
      </c>
      <c r="D185" s="5">
        <f t="shared" si="36"/>
        <v>14</v>
      </c>
      <c r="E185" s="5">
        <f t="shared" si="37"/>
        <v>60</v>
      </c>
      <c r="F185" s="64">
        <f>1-(1-VLOOKUP($E185,'Annual Mortality Rates'!$B$5:$C$105,2,FALSE))^(1/12)</f>
        <v>3.3143684343883706E-4</v>
      </c>
      <c r="G185" s="74">
        <f>1-(1-IF(D185&gt;=7,2%,VLOOKUP($D185,'Annual Lapse Rates'!$B$4:$C$14,2,FALSE)))^(1/12)</f>
        <v>1.6821425527395739E-3</v>
      </c>
      <c r="H185" s="80">
        <f t="shared" si="39"/>
        <v>10</v>
      </c>
      <c r="I185" s="65">
        <f t="shared" si="40"/>
        <v>2646.9906388341578</v>
      </c>
      <c r="J185" s="66">
        <f t="shared" si="41"/>
        <v>0.87731022194734409</v>
      </c>
      <c r="K185" s="66">
        <f t="shared" si="42"/>
        <v>4.4616145736320938</v>
      </c>
      <c r="M185" s="67">
        <f t="shared" si="50"/>
        <v>101314246.73087381</v>
      </c>
      <c r="N185" s="67">
        <f>IF(AND(MOD(C185,12)=1,D185&lt;15),Assumptions!$H$4*I185,0)</f>
        <v>0</v>
      </c>
      <c r="O185" s="67"/>
      <c r="P185" s="88">
        <f t="shared" si="43"/>
        <v>204004.27975662344</v>
      </c>
      <c r="Q185" s="88">
        <f>(M185+N185-O185)*VLOOKUP(MOD(C185,12)+(MOD(C185,12)=0)*12,Assumptions!$C$22:$D$33,2,FALSE)*(F185+G185)</f>
        <v>6375.1337423944824</v>
      </c>
      <c r="R185" s="67">
        <f>IF(AND(MOD(C185,12)=0,D185&lt;15),Assumptions!$C$7*M185,0)</f>
        <v>0</v>
      </c>
      <c r="S185" s="68">
        <f>IF(MOD(C185,12)=0,M185*Assumptions!$D$17,0)</f>
        <v>0</v>
      </c>
      <c r="T185" s="68">
        <f>(M185+N185-O185-P185-Q185-R185+S185)*(D186=Assumptions!$H$9)</f>
        <v>0</v>
      </c>
      <c r="U185" s="67">
        <f>T185+AE185*(1+Assumptions!$D$17)</f>
        <v>56866186.848349668</v>
      </c>
      <c r="V185" s="67">
        <f t="shared" si="44"/>
        <v>101103867.3173748</v>
      </c>
      <c r="W185" s="67"/>
      <c r="X185" s="67">
        <f>IF(AND(MOD(C185,12)=1,D185&lt;15),Assumptions!$D$10*N185+Assumptions!$D$11*(1+Assumptions!$D$16)^(B185-1)*I185,0)</f>
        <v>0</v>
      </c>
      <c r="Y185" s="65">
        <f>Assumptions!$C$13*N185</f>
        <v>0</v>
      </c>
      <c r="Z185" s="65">
        <f>NPV(Assumptions!$D$19,N186:$N$259)</f>
        <v>0</v>
      </c>
      <c r="AA185" s="68">
        <f t="shared" si="45"/>
        <v>0</v>
      </c>
      <c r="AB185" s="96"/>
      <c r="AC185" s="67">
        <f>(AC184+N184-P184-Q184-T184-W184-X184-Y184+AD184)*IF(D185=Assumptions!$H$9,0,1)</f>
        <v>156472527.70992127</v>
      </c>
      <c r="AD185" s="91">
        <f>(AF184+N185-W185-X185-Y185)*Assumptions!$D$19-(P185+Q185)*Assumptions!$D$19/2</f>
        <v>674757.76920509804</v>
      </c>
      <c r="AE185" s="67">
        <f>(AE184+(AD185-O185-R185-Q185-S185))*IF(D185=Assumptions!$H$9,0,1)</f>
        <v>56635447.026620954</v>
      </c>
      <c r="AF185" s="91">
        <f t="shared" si="46"/>
        <v>157739314.34399575</v>
      </c>
      <c r="AG185" s="67">
        <f t="shared" si="47"/>
        <v>12750.267484770971</v>
      </c>
      <c r="AH185" s="89">
        <f>AG185*Assumptions!$C$18</f>
        <v>3825.0802454312911</v>
      </c>
      <c r="AI185" s="67">
        <f t="shared" si="48"/>
        <v>8925.1872393396807</v>
      </c>
      <c r="AK185" s="67">
        <f t="shared" si="49"/>
        <v>0</v>
      </c>
      <c r="AL185" s="70">
        <f t="shared" si="38"/>
        <v>-12750.267</v>
      </c>
      <c r="AM185" s="80">
        <f>(O185-W185-X185-Y185-AA185)*Assumptions!$D$19</f>
        <v>0</v>
      </c>
    </row>
    <row r="186" spans="2:39" x14ac:dyDescent="0.2">
      <c r="B186" s="5">
        <f t="shared" si="34"/>
        <v>179</v>
      </c>
      <c r="C186" s="5">
        <f t="shared" si="35"/>
        <v>179</v>
      </c>
      <c r="D186" s="5">
        <f t="shared" si="36"/>
        <v>14</v>
      </c>
      <c r="E186" s="5">
        <f t="shared" si="37"/>
        <v>60</v>
      </c>
      <c r="F186" s="64">
        <f>1-(1-VLOOKUP($E186,'Annual Mortality Rates'!$B$5:$C$105,2,FALSE))^(1/12)</f>
        <v>3.3143684343883706E-4</v>
      </c>
      <c r="G186" s="74">
        <f>1-(1-IF(D186&gt;=7,2%,VLOOKUP($D186,'Annual Lapse Rates'!$B$4:$C$14,2,FALSE)))^(1/12)</f>
        <v>1.6821425527395739E-3</v>
      </c>
      <c r="H186" s="80">
        <f t="shared" si="39"/>
        <v>11</v>
      </c>
      <c r="I186" s="65">
        <f t="shared" si="40"/>
        <v>2641.6517140385781</v>
      </c>
      <c r="J186" s="66">
        <f t="shared" si="41"/>
        <v>0.87554070556573982</v>
      </c>
      <c r="K186" s="66">
        <f t="shared" si="42"/>
        <v>4.4526155902862454</v>
      </c>
      <c r="M186" s="67">
        <f t="shared" si="50"/>
        <v>101103867.3173748</v>
      </c>
      <c r="N186" s="67">
        <f>IF(AND(MOD(C186,12)=1,D186&lt;15),Assumptions!$H$4*I186,0)</f>
        <v>0</v>
      </c>
      <c r="O186" s="67"/>
      <c r="P186" s="88">
        <f t="shared" si="43"/>
        <v>203580.66410422171</v>
      </c>
      <c r="Q186" s="88">
        <f>(M186+N186-O186)*VLOOKUP(MOD(C186,12)+(MOD(C186,12)=0)*12,Assumptions!$C$22:$D$33,2,FALSE)*(F186+G186)</f>
        <v>6998.0853285826224</v>
      </c>
      <c r="R186" s="67">
        <f>IF(AND(MOD(C186,12)=0,D186&lt;15),Assumptions!$C$7*M186,0)</f>
        <v>0</v>
      </c>
      <c r="S186" s="68">
        <f>IF(MOD(C186,12)=0,M186*Assumptions!$D$17,0)</f>
        <v>0</v>
      </c>
      <c r="T186" s="68">
        <f>(M186+N186-O186-P186-Q186-R186+S186)*(D187=Assumptions!$H$9)</f>
        <v>0</v>
      </c>
      <c r="U186" s="67">
        <f>T186+AE186*(1+Assumptions!$D$17)</f>
        <v>57538640.858613253</v>
      </c>
      <c r="V186" s="67">
        <f t="shared" si="44"/>
        <v>100893288.56794199</v>
      </c>
      <c r="W186" s="67"/>
      <c r="X186" s="67">
        <f>IF(AND(MOD(C186,12)=1,D186&lt;15),Assumptions!$D$10*N186+Assumptions!$D$11*(1+Assumptions!$D$16)^(B186-1)*I186,0)</f>
        <v>0</v>
      </c>
      <c r="Y186" s="65">
        <f>Assumptions!$C$13*N186</f>
        <v>0</v>
      </c>
      <c r="Z186" s="65">
        <f>NPV(Assumptions!$D$19,N187:$N$259)</f>
        <v>0</v>
      </c>
      <c r="AA186" s="68">
        <f t="shared" si="45"/>
        <v>0</v>
      </c>
      <c r="AB186" s="96"/>
      <c r="AC186" s="67">
        <f>(AC185+N185-P185-Q185-T185-W185-X185-Y185+AD185)*IF(D186=Assumptions!$H$9,0,1)</f>
        <v>156936906.06562734</v>
      </c>
      <c r="AD186" s="91">
        <f>(AF185+N186-W186-X186-Y186)*Assumptions!$D$19-(P186+Q186)*Assumptions!$D$19/2</f>
        <v>676723.55114337103</v>
      </c>
      <c r="AE186" s="67">
        <f>(AE185+(AD186-O186-R186-Q186-S186))*IF(D186=Assumptions!$H$9,0,1)</f>
        <v>57305172.492435746</v>
      </c>
      <c r="AF186" s="91">
        <f t="shared" si="46"/>
        <v>158198461.06037775</v>
      </c>
      <c r="AG186" s="67">
        <f t="shared" si="47"/>
        <v>13996.170657152426</v>
      </c>
      <c r="AH186" s="89">
        <f>AG186*Assumptions!$C$18</f>
        <v>4198.8511971457274</v>
      </c>
      <c r="AI186" s="67">
        <f t="shared" si="48"/>
        <v>9797.3194600067</v>
      </c>
      <c r="AK186" s="67">
        <f t="shared" si="49"/>
        <v>0</v>
      </c>
      <c r="AL186" s="70">
        <f t="shared" si="38"/>
        <v>-13996.171</v>
      </c>
      <c r="AM186" s="80">
        <f>(O186-W186-X186-Y186-AA186)*Assumptions!$D$19</f>
        <v>0</v>
      </c>
    </row>
    <row r="187" spans="2:39" x14ac:dyDescent="0.2">
      <c r="B187" s="5">
        <f t="shared" si="34"/>
        <v>180</v>
      </c>
      <c r="C187" s="5">
        <f t="shared" si="35"/>
        <v>180</v>
      </c>
      <c r="D187" s="5">
        <f t="shared" si="36"/>
        <v>14</v>
      </c>
      <c r="E187" s="5">
        <f t="shared" si="37"/>
        <v>60</v>
      </c>
      <c r="F187" s="64">
        <f>1-(1-VLOOKUP($E187,'Annual Mortality Rates'!$B$5:$C$105,2,FALSE))^(1/12)</f>
        <v>3.3143684343883706E-4</v>
      </c>
      <c r="G187" s="74">
        <f>1-(1-IF(D187&gt;=7,2%,VLOOKUP($D187,'Annual Lapse Rates'!$B$4:$C$14,2,FALSE)))^(1/12)</f>
        <v>1.6821425527395739E-3</v>
      </c>
      <c r="H187" s="80">
        <f t="shared" si="39"/>
        <v>12</v>
      </c>
      <c r="I187" s="65">
        <f t="shared" si="40"/>
        <v>2636.3235577427263</v>
      </c>
      <c r="J187" s="66">
        <f t="shared" si="41"/>
        <v>0.87377475826169393</v>
      </c>
      <c r="K187" s="66">
        <f t="shared" si="42"/>
        <v>4.4436347577017248</v>
      </c>
      <c r="M187" s="67">
        <f t="shared" si="50"/>
        <v>100893288.56794199</v>
      </c>
      <c r="N187" s="67">
        <f>IF(AND(MOD(C187,12)=1,D187&lt;15),Assumptions!$H$4*I187,0)</f>
        <v>0</v>
      </c>
      <c r="O187" s="67"/>
      <c r="P187" s="88">
        <f t="shared" si="43"/>
        <v>203156.6470730908</v>
      </c>
      <c r="Q187" s="88">
        <f>(M187+N187-O187)*VLOOKUP(MOD(C187,12)+(MOD(C187,12)=0)*12,Assumptions!$C$22:$D$33,2,FALSE)*(F187+G187)</f>
        <v>7618.3742652409064</v>
      </c>
      <c r="R187" s="67">
        <f>IF(AND(MOD(C187,12)=0,D187&lt;15),Assumptions!$C$7*M187,0)</f>
        <v>50446.644283971</v>
      </c>
      <c r="S187" s="68">
        <f>IF(MOD(C187,12)=0,M187*Assumptions!$D$17,0)</f>
        <v>411051.74656514899</v>
      </c>
      <c r="T187" s="68">
        <f>(M187+N187-O187-P187-Q187-R187+S187)*(D188=Assumptions!$H$9)</f>
        <v>101043118.64888485</v>
      </c>
      <c r="U187" s="67">
        <f>T187+AE187*(1+Assumptions!$D$17)</f>
        <v>158792190.83567914</v>
      </c>
      <c r="V187" s="67">
        <f t="shared" si="44"/>
        <v>0</v>
      </c>
      <c r="W187" s="67"/>
      <c r="X187" s="67">
        <f>IF(AND(MOD(C187,12)=1,D187&lt;15),Assumptions!$D$10*N187+Assumptions!$D$11*(1+Assumptions!$D$16)^(B187-1)*I187,0)</f>
        <v>0</v>
      </c>
      <c r="Y187" s="65">
        <f>Assumptions!$C$13*N187</f>
        <v>0</v>
      </c>
      <c r="Z187" s="65">
        <f>NPV(Assumptions!$D$19,N188:$N$259)</f>
        <v>0</v>
      </c>
      <c r="AA187" s="68">
        <f t="shared" si="45"/>
        <v>0</v>
      </c>
      <c r="AB187" s="96"/>
      <c r="AC187" s="67">
        <f>(AC186+N186-P186-Q186-T186-W186-X186-Y186+AD186)*IF(D187=Assumptions!$H$9,0,1)</f>
        <v>157403050.86733791</v>
      </c>
      <c r="AD187" s="91">
        <f>(AF186+N187-W187-X187-Y187)*Assumptions!$D$19-(P187+Q187)*Assumptions!$D$19/2</f>
        <v>678694.24868507206</v>
      </c>
      <c r="AE187" s="67">
        <f>(AE186+(AD187-O187-R187-Q187-S187))*IF(D187=Assumptions!$H$9,0,1)</f>
        <v>57514749.976006456</v>
      </c>
      <c r="AF187" s="91">
        <f t="shared" si="46"/>
        <v>57514749.976006456</v>
      </c>
      <c r="AG187" s="67">
        <f t="shared" si="47"/>
        <v>116130.03709843277</v>
      </c>
      <c r="AH187" s="89">
        <f>AG187*Assumptions!$C$18</f>
        <v>34839.011129529834</v>
      </c>
      <c r="AI187" s="67">
        <f t="shared" si="48"/>
        <v>81291.025968902948</v>
      </c>
      <c r="AK187" s="67">
        <f t="shared" si="49"/>
        <v>50446.644283971</v>
      </c>
      <c r="AL187" s="70">
        <f t="shared" si="38"/>
        <v>-65683.392999999996</v>
      </c>
      <c r="AM187" s="80">
        <f>(O187-W187-X187-Y187-AA187)*Assumptions!$D$19</f>
        <v>0</v>
      </c>
    </row>
    <row r="188" spans="2:39" x14ac:dyDescent="0.2">
      <c r="B188" s="5">
        <f t="shared" si="34"/>
        <v>181</v>
      </c>
      <c r="C188" s="5">
        <f t="shared" si="35"/>
        <v>181</v>
      </c>
      <c r="D188" s="5">
        <f t="shared" si="36"/>
        <v>15</v>
      </c>
      <c r="E188" s="5">
        <f t="shared" si="37"/>
        <v>61</v>
      </c>
      <c r="F188" s="64">
        <f>1-(1-VLOOKUP($E188,'Annual Mortality Rates'!$B$5:$C$105,2,FALSE))^(1/12)</f>
        <v>3.6573479451496027E-4</v>
      </c>
      <c r="G188" s="74">
        <f>1-(1-IF(D188&gt;=7,2%,VLOOKUP($D188,'Annual Lapse Rates'!$B$4:$C$14,2,FALSE)))^(1/12)</f>
        <v>1.6821425527395739E-3</v>
      </c>
      <c r="H188" s="80">
        <f t="shared" si="39"/>
        <v>1</v>
      </c>
      <c r="I188" s="65"/>
      <c r="J188" s="66"/>
      <c r="K188" s="66"/>
      <c r="M188" s="67">
        <f t="shared" si="50"/>
        <v>0</v>
      </c>
      <c r="N188" s="67">
        <f>IF(AND(MOD(C188,12)=1,D188&lt;15),Assumptions!$H$4*I188,0)</f>
        <v>0</v>
      </c>
      <c r="O188" s="67"/>
      <c r="P188" s="88">
        <f t="shared" si="43"/>
        <v>0</v>
      </c>
      <c r="Q188" s="88">
        <f>(M188+N188-O188)*VLOOKUP(MOD(C188,12)+(MOD(C188,12)=0)*12,Assumptions!$C$22:$D$33,2,FALSE)*(F188+G188)</f>
        <v>0</v>
      </c>
      <c r="R188" s="67">
        <f>IF(AND(MOD(C188,12)=0,D188&lt;15),Assumptions!$C$7*M188,0)</f>
        <v>0</v>
      </c>
      <c r="S188" s="68">
        <f>IF(MOD(C188,12)=0,M188*Assumptions!$D$17,0)</f>
        <v>0</v>
      </c>
      <c r="T188" s="68">
        <f>(M188+N188-O188-P188-Q188-R188+S188)*(D189=Assumptions!$H$9)</f>
        <v>0</v>
      </c>
      <c r="U188" s="67">
        <f>T188+AE188*(1+Assumptions!$D$17)</f>
        <v>0</v>
      </c>
      <c r="V188" s="67">
        <f t="shared" si="44"/>
        <v>0</v>
      </c>
      <c r="W188" s="67"/>
      <c r="X188" s="67">
        <f>IF(AND(MOD(C188,12)=1,D188&lt;15),Assumptions!$D$10*N188+Assumptions!$D$11*(1+Assumptions!$D$16)^(B188-1)*I188,0)</f>
        <v>0</v>
      </c>
      <c r="Y188" s="65">
        <f>Assumptions!$C$13*N188</f>
        <v>0</v>
      </c>
      <c r="Z188" s="65">
        <f>NPV(Assumptions!$D$19,N189:$N$259)</f>
        <v>0</v>
      </c>
      <c r="AA188" s="68">
        <f t="shared" si="45"/>
        <v>0</v>
      </c>
      <c r="AB188" s="96"/>
      <c r="AC188" s="67">
        <f>(AC187+N187-P187-Q187-T187-W187-X187-Y187+AD187)*IF(D188=Assumptions!$H$9,0,1)</f>
        <v>0</v>
      </c>
      <c r="AD188" s="91">
        <f>(AF187+N188-W188-X188-Y188)*Assumptions!$D$19-(P188+Q188)*Assumptions!$D$19/2</f>
        <v>246911.07046509456</v>
      </c>
      <c r="AE188" s="67">
        <f>(AE187+(AD188-O188-R188-Q188-S188))*IF(D188=Assumptions!$H$9,0,1)</f>
        <v>0</v>
      </c>
      <c r="AF188" s="91">
        <f t="shared" si="46"/>
        <v>0</v>
      </c>
      <c r="AG188" s="67">
        <f t="shared" si="47"/>
        <v>57761661.046471551</v>
      </c>
      <c r="AH188" s="89">
        <f>AG188*Assumptions!$C$18</f>
        <v>17328498.313941464</v>
      </c>
      <c r="AI188" s="67">
        <f t="shared" si="48"/>
        <v>40433162.732530087</v>
      </c>
      <c r="AK188" s="67">
        <f t="shared" si="49"/>
        <v>0</v>
      </c>
      <c r="AL188" s="70">
        <f t="shared" si="38"/>
        <v>-57761661.045999996</v>
      </c>
      <c r="AM188" s="80">
        <f>(O188-W188-X188-Y188-AA188)*Assumptions!$D$19</f>
        <v>0</v>
      </c>
    </row>
    <row r="189" spans="2:39" x14ac:dyDescent="0.2">
      <c r="B189" s="5">
        <f t="shared" si="34"/>
        <v>182</v>
      </c>
      <c r="C189" s="5">
        <f t="shared" si="35"/>
        <v>182</v>
      </c>
      <c r="D189" s="5">
        <f t="shared" si="36"/>
        <v>15</v>
      </c>
      <c r="E189" s="5">
        <f t="shared" si="37"/>
        <v>61</v>
      </c>
      <c r="F189" s="64">
        <f>1-(1-VLOOKUP($E189,'Annual Mortality Rates'!$B$5:$C$105,2,FALSE))^(1/12)</f>
        <v>3.6573479451496027E-4</v>
      </c>
      <c r="G189" s="74">
        <f>1-(1-IF(D189&gt;=7,2%,VLOOKUP($D189,'Annual Lapse Rates'!$B$4:$C$14,2,FALSE)))^(1/12)</f>
        <v>1.6821425527395739E-3</v>
      </c>
      <c r="H189" s="80">
        <f t="shared" si="39"/>
        <v>2</v>
      </c>
      <c r="I189" s="65"/>
      <c r="J189" s="66"/>
      <c r="K189" s="66"/>
      <c r="M189" s="67">
        <f t="shared" si="50"/>
        <v>0</v>
      </c>
      <c r="N189" s="67">
        <f>IF(AND(MOD(C189,12)=1,D189&lt;15),Assumptions!$H$4*I189,0)</f>
        <v>0</v>
      </c>
      <c r="O189" s="67"/>
      <c r="P189" s="88">
        <f t="shared" si="43"/>
        <v>0</v>
      </c>
      <c r="Q189" s="88">
        <f>(M189+N189-O189)*VLOOKUP(MOD(C189,12)+(MOD(C189,12)=0)*12,Assumptions!$C$22:$D$33,2,FALSE)*(F189+G189)</f>
        <v>0</v>
      </c>
      <c r="R189" s="67">
        <f>IF(AND(MOD(C189,12)=0,D189&lt;15),Assumptions!$C$7*M189,0)</f>
        <v>0</v>
      </c>
      <c r="S189" s="68">
        <f>IF(MOD(C189,12)=0,M189*Assumptions!$D$17,0)</f>
        <v>0</v>
      </c>
      <c r="T189" s="68">
        <f>(M189+N189-O189-P189-Q189-R189+S189)*(D190=Assumptions!$H$9)</f>
        <v>0</v>
      </c>
      <c r="U189" s="67">
        <f>T189+AE189*(1+Assumptions!$D$17)</f>
        <v>0</v>
      </c>
      <c r="V189" s="67">
        <f t="shared" si="44"/>
        <v>0</v>
      </c>
      <c r="W189" s="67"/>
      <c r="X189" s="67">
        <f>IF(AND(MOD(C189,12)=1,D189&lt;15),Assumptions!$D$10*N189+Assumptions!$D$11*(1+Assumptions!$D$16)^(B189-1)*I189,0)</f>
        <v>0</v>
      </c>
      <c r="Y189" s="65">
        <f>Assumptions!$C$13*N189</f>
        <v>0</v>
      </c>
      <c r="Z189" s="65">
        <f>NPV(Assumptions!$D$19,N190:$N$259)</f>
        <v>0</v>
      </c>
      <c r="AA189" s="68">
        <f t="shared" si="45"/>
        <v>0</v>
      </c>
      <c r="AB189" s="96"/>
      <c r="AC189" s="67">
        <f>(AC188+N188-P188-Q188-T188-W188-X188-Y188+AD188)*IF(D189=Assumptions!$H$9,0,1)</f>
        <v>0</v>
      </c>
      <c r="AD189" s="91">
        <f>(AF188+N189-W189-X189-Y189)*Assumptions!$D$19-(P189+Q189)*Assumptions!$D$19/2</f>
        <v>0</v>
      </c>
      <c r="AE189" s="67">
        <f>(AE188+(AD189-O189-R189-Q189-S189))*IF(D189=Assumptions!$H$9,0,1)</f>
        <v>0</v>
      </c>
      <c r="AF189" s="91">
        <f t="shared" si="46"/>
        <v>0</v>
      </c>
      <c r="AG189" s="67">
        <f t="shared" si="47"/>
        <v>0</v>
      </c>
      <c r="AH189" s="89">
        <f>AG189*Assumptions!$C$18</f>
        <v>0</v>
      </c>
      <c r="AI189" s="67">
        <f t="shared" si="48"/>
        <v>0</v>
      </c>
      <c r="AK189" s="67">
        <f t="shared" si="49"/>
        <v>0</v>
      </c>
      <c r="AL189" s="70">
        <f t="shared" si="38"/>
        <v>0</v>
      </c>
      <c r="AM189" s="80">
        <f>(O189-W189-X189-Y189-AA189)*Assumptions!$D$19</f>
        <v>0</v>
      </c>
    </row>
    <row r="190" spans="2:39" x14ac:dyDescent="0.2">
      <c r="B190" s="5">
        <f t="shared" si="34"/>
        <v>183</v>
      </c>
      <c r="C190" s="5">
        <f t="shared" si="35"/>
        <v>183</v>
      </c>
      <c r="D190" s="5">
        <f t="shared" si="36"/>
        <v>15</v>
      </c>
      <c r="E190" s="5">
        <f t="shared" si="37"/>
        <v>61</v>
      </c>
      <c r="F190" s="64">
        <f>1-(1-VLOOKUP($E190,'Annual Mortality Rates'!$B$5:$C$105,2,FALSE))^(1/12)</f>
        <v>3.6573479451496027E-4</v>
      </c>
      <c r="G190" s="74">
        <f>1-(1-IF(D190&gt;=7,2%,VLOOKUP($D190,'Annual Lapse Rates'!$B$4:$C$14,2,FALSE)))^(1/12)</f>
        <v>1.6821425527395739E-3</v>
      </c>
      <c r="H190" s="80">
        <f t="shared" si="39"/>
        <v>3</v>
      </c>
      <c r="I190" s="65"/>
      <c r="J190" s="66"/>
      <c r="K190" s="66"/>
      <c r="M190" s="67">
        <f t="shared" si="50"/>
        <v>0</v>
      </c>
      <c r="N190" s="67">
        <f>IF(AND(MOD(C190,12)=1,D190&lt;15),Assumptions!$H$4*I190,0)</f>
        <v>0</v>
      </c>
      <c r="O190" s="67"/>
      <c r="P190" s="88">
        <f t="shared" si="43"/>
        <v>0</v>
      </c>
      <c r="Q190" s="88">
        <f>(M190+N190-O190)*VLOOKUP(MOD(C190,12)+(MOD(C190,12)=0)*12,Assumptions!$C$22:$D$33,2,FALSE)*(F190+G190)</f>
        <v>0</v>
      </c>
      <c r="R190" s="67">
        <f>IF(AND(MOD(C190,12)=0,D190&lt;15),Assumptions!$C$7*M190,0)</f>
        <v>0</v>
      </c>
      <c r="S190" s="68">
        <f>IF(MOD(C190,12)=0,M190*Assumptions!$D$17,0)</f>
        <v>0</v>
      </c>
      <c r="T190" s="68">
        <f>(M190+N190-O190-P190-Q190-R190+S190)*(D191=Assumptions!$H$9)</f>
        <v>0</v>
      </c>
      <c r="U190" s="67">
        <f>T190+AE190*(1+Assumptions!$D$17)</f>
        <v>0</v>
      </c>
      <c r="V190" s="67">
        <f t="shared" si="44"/>
        <v>0</v>
      </c>
      <c r="W190" s="67"/>
      <c r="X190" s="67">
        <f>IF(AND(MOD(C190,12)=1,D190&lt;15),Assumptions!$D$10*N190+Assumptions!$D$11*(1+Assumptions!$D$16)^(B190-1)*I190,0)</f>
        <v>0</v>
      </c>
      <c r="Y190" s="65">
        <f>Assumptions!$C$13*N190</f>
        <v>0</v>
      </c>
      <c r="Z190" s="65">
        <f>NPV(Assumptions!$D$19,N191:$N$259)</f>
        <v>0</v>
      </c>
      <c r="AA190" s="68">
        <f t="shared" si="45"/>
        <v>0</v>
      </c>
      <c r="AB190" s="96"/>
      <c r="AC190" s="67">
        <f>(AC189+N189-P189-Q189-T189-W189-X189-Y189+AD189)*IF(D190=Assumptions!$H$9,0,1)</f>
        <v>0</v>
      </c>
      <c r="AD190" s="91">
        <f>(AF189+N190-W190-X190-Y190)*Assumptions!$D$19-(P190+Q190)*Assumptions!$D$19/2</f>
        <v>0</v>
      </c>
      <c r="AE190" s="67">
        <f>(AE189+(AD190-O190-R190-Q190-S190))*IF(D190=Assumptions!$H$9,0,1)</f>
        <v>0</v>
      </c>
      <c r="AF190" s="91">
        <f t="shared" si="46"/>
        <v>0</v>
      </c>
      <c r="AG190" s="67">
        <f t="shared" si="47"/>
        <v>0</v>
      </c>
      <c r="AH190" s="89">
        <f>AG190*Assumptions!$C$18</f>
        <v>0</v>
      </c>
      <c r="AI190" s="67">
        <f t="shared" si="48"/>
        <v>0</v>
      </c>
      <c r="AK190" s="67">
        <f t="shared" si="49"/>
        <v>0</v>
      </c>
      <c r="AL190" s="70">
        <f t="shared" si="38"/>
        <v>0</v>
      </c>
      <c r="AM190" s="80">
        <f>(O190-W190-X190-Y190-AA190)*Assumptions!$D$19</f>
        <v>0</v>
      </c>
    </row>
    <row r="191" spans="2:39" x14ac:dyDescent="0.2">
      <c r="B191" s="5">
        <f t="shared" si="34"/>
        <v>184</v>
      </c>
      <c r="C191" s="5">
        <f t="shared" si="35"/>
        <v>184</v>
      </c>
      <c r="D191" s="5">
        <f t="shared" si="36"/>
        <v>15</v>
      </c>
      <c r="E191" s="5">
        <f t="shared" si="37"/>
        <v>61</v>
      </c>
      <c r="F191" s="64">
        <f>1-(1-VLOOKUP($E191,'Annual Mortality Rates'!$B$5:$C$105,2,FALSE))^(1/12)</f>
        <v>3.6573479451496027E-4</v>
      </c>
      <c r="G191" s="74">
        <f>1-(1-IF(D191&gt;=7,2%,VLOOKUP($D191,'Annual Lapse Rates'!$B$4:$C$14,2,FALSE)))^(1/12)</f>
        <v>1.6821425527395739E-3</v>
      </c>
      <c r="H191" s="80">
        <f t="shared" si="39"/>
        <v>4</v>
      </c>
      <c r="I191" s="65"/>
      <c r="J191" s="66"/>
      <c r="K191" s="66"/>
      <c r="M191" s="67">
        <f t="shared" si="50"/>
        <v>0</v>
      </c>
      <c r="N191" s="67">
        <f>IF(AND(MOD(C191,12)=1,D191&lt;15),Assumptions!$H$4*I191,0)</f>
        <v>0</v>
      </c>
      <c r="O191" s="67"/>
      <c r="P191" s="88">
        <f t="shared" si="43"/>
        <v>0</v>
      </c>
      <c r="Q191" s="88">
        <f>(M191+N191-O191)*VLOOKUP(MOD(C191,12)+(MOD(C191,12)=0)*12,Assumptions!$C$22:$D$33,2,FALSE)*(F191+G191)</f>
        <v>0</v>
      </c>
      <c r="R191" s="67">
        <f>IF(AND(MOD(C191,12)=0,D191&lt;15),Assumptions!$C$7*M191,0)</f>
        <v>0</v>
      </c>
      <c r="S191" s="68">
        <f>IF(MOD(C191,12)=0,M191*Assumptions!$D$17,0)</f>
        <v>0</v>
      </c>
      <c r="T191" s="68">
        <f>(M191+N191-O191-P191-Q191-R191+S191)*(D192=Assumptions!$H$9)</f>
        <v>0</v>
      </c>
      <c r="U191" s="67">
        <f>T191+AE191*(1+Assumptions!$D$17)</f>
        <v>0</v>
      </c>
      <c r="V191" s="67">
        <f t="shared" si="44"/>
        <v>0</v>
      </c>
      <c r="W191" s="67"/>
      <c r="X191" s="67">
        <f>IF(AND(MOD(C191,12)=1,D191&lt;15),Assumptions!$D$10*N191+Assumptions!$D$11*(1+Assumptions!$D$16)^(B191-1)*I191,0)</f>
        <v>0</v>
      </c>
      <c r="Y191" s="65">
        <f>Assumptions!$C$13*N191</f>
        <v>0</v>
      </c>
      <c r="Z191" s="65">
        <f>NPV(Assumptions!$D$19,N192:$N$259)</f>
        <v>0</v>
      </c>
      <c r="AA191" s="68">
        <f t="shared" si="45"/>
        <v>0</v>
      </c>
      <c r="AB191" s="96"/>
      <c r="AC191" s="67">
        <f>(AC190+N190-P190-Q190-T190-W190-X190-Y190+AD190)*IF(D191=Assumptions!$H$9,0,1)</f>
        <v>0</v>
      </c>
      <c r="AD191" s="91">
        <f>(AF190+N191-W191-X191-Y191)*Assumptions!$D$19-(P191+Q191)*Assumptions!$D$19/2</f>
        <v>0</v>
      </c>
      <c r="AE191" s="67">
        <f>(AE190+(AD191-O191-R191-Q191-S191))*IF(D191=Assumptions!$H$9,0,1)</f>
        <v>0</v>
      </c>
      <c r="AF191" s="91">
        <f t="shared" si="46"/>
        <v>0</v>
      </c>
      <c r="AG191" s="67">
        <f t="shared" si="47"/>
        <v>0</v>
      </c>
      <c r="AH191" s="89">
        <f>AG191*Assumptions!$C$18</f>
        <v>0</v>
      </c>
      <c r="AI191" s="67">
        <f t="shared" si="48"/>
        <v>0</v>
      </c>
      <c r="AK191" s="67">
        <f t="shared" si="49"/>
        <v>0</v>
      </c>
      <c r="AL191" s="70">
        <f t="shared" si="38"/>
        <v>0</v>
      </c>
      <c r="AM191" s="80">
        <f>(O191-W191-X191-Y191-AA191)*Assumptions!$D$19</f>
        <v>0</v>
      </c>
    </row>
    <row r="192" spans="2:39" x14ac:dyDescent="0.2">
      <c r="B192" s="5">
        <f t="shared" si="34"/>
        <v>185</v>
      </c>
      <c r="C192" s="5">
        <f t="shared" si="35"/>
        <v>185</v>
      </c>
      <c r="D192" s="5">
        <f t="shared" si="36"/>
        <v>15</v>
      </c>
      <c r="E192" s="5">
        <f t="shared" si="37"/>
        <v>61</v>
      </c>
      <c r="F192" s="64">
        <f>1-(1-VLOOKUP($E192,'Annual Mortality Rates'!$B$5:$C$105,2,FALSE))^(1/12)</f>
        <v>3.6573479451496027E-4</v>
      </c>
      <c r="G192" s="74">
        <f>1-(1-IF(D192&gt;=7,2%,VLOOKUP($D192,'Annual Lapse Rates'!$B$4:$C$14,2,FALSE)))^(1/12)</f>
        <v>1.6821425527395739E-3</v>
      </c>
      <c r="H192" s="80">
        <f t="shared" si="39"/>
        <v>5</v>
      </c>
      <c r="I192" s="65"/>
      <c r="J192" s="66"/>
      <c r="K192" s="66"/>
      <c r="M192" s="67">
        <f t="shared" si="50"/>
        <v>0</v>
      </c>
      <c r="N192" s="67">
        <f>IF(AND(MOD(C192,12)=1,D192&lt;15),Assumptions!$H$4*I192,0)</f>
        <v>0</v>
      </c>
      <c r="O192" s="67"/>
      <c r="P192" s="88">
        <f t="shared" si="43"/>
        <v>0</v>
      </c>
      <c r="Q192" s="88">
        <f>(M192+N192-O192)*VLOOKUP(MOD(C192,12)+(MOD(C192,12)=0)*12,Assumptions!$C$22:$D$33,2,FALSE)*(F192+G192)</f>
        <v>0</v>
      </c>
      <c r="R192" s="67">
        <f>IF(AND(MOD(C192,12)=0,D192&lt;15),Assumptions!$C$7*M192,0)</f>
        <v>0</v>
      </c>
      <c r="S192" s="68">
        <f>IF(MOD(C192,12)=0,M192*Assumptions!$D$17,0)</f>
        <v>0</v>
      </c>
      <c r="T192" s="68">
        <f>(M192+N192-O192-P192-Q192-R192+S192)*(D193=Assumptions!$H$9)</f>
        <v>0</v>
      </c>
      <c r="U192" s="67">
        <f>T192+AE192*(1+Assumptions!$D$17)</f>
        <v>0</v>
      </c>
      <c r="V192" s="67">
        <f t="shared" si="44"/>
        <v>0</v>
      </c>
      <c r="W192" s="67"/>
      <c r="X192" s="67">
        <f>IF(AND(MOD(C192,12)=1,D192&lt;15),Assumptions!$D$10*N192+Assumptions!$D$11*(1+Assumptions!$D$16)^(B192-1)*I192,0)</f>
        <v>0</v>
      </c>
      <c r="Y192" s="65">
        <f>Assumptions!$C$13*N192</f>
        <v>0</v>
      </c>
      <c r="Z192" s="65">
        <f>NPV(Assumptions!$D$19,N193:$N$259)</f>
        <v>0</v>
      </c>
      <c r="AA192" s="68">
        <f t="shared" si="45"/>
        <v>0</v>
      </c>
      <c r="AB192" s="96"/>
      <c r="AC192" s="67">
        <f>(AC191+N191-P191-Q191-T191-W191-X191-Y191+AD191)*IF(D192=Assumptions!$H$9,0,1)</f>
        <v>0</v>
      </c>
      <c r="AD192" s="91">
        <f>(AF191+N192-W192-X192-Y192)*Assumptions!$D$19-(P192+Q192)*Assumptions!$D$19/2</f>
        <v>0</v>
      </c>
      <c r="AE192" s="67">
        <f>(AE191+(AD192-O192-R192-Q192-S192))*IF(D192=Assumptions!$H$9,0,1)</f>
        <v>0</v>
      </c>
      <c r="AF192" s="91">
        <f t="shared" si="46"/>
        <v>0</v>
      </c>
      <c r="AG192" s="67">
        <f t="shared" si="47"/>
        <v>0</v>
      </c>
      <c r="AH192" s="89">
        <f>AG192*Assumptions!$C$18</f>
        <v>0</v>
      </c>
      <c r="AI192" s="67">
        <f t="shared" si="48"/>
        <v>0</v>
      </c>
      <c r="AK192" s="67">
        <f t="shared" si="49"/>
        <v>0</v>
      </c>
      <c r="AL192" s="70">
        <f t="shared" si="38"/>
        <v>0</v>
      </c>
      <c r="AM192" s="80">
        <f>(O192-W192-X192-Y192-AA192)*Assumptions!$D$19</f>
        <v>0</v>
      </c>
    </row>
    <row r="193" spans="2:39" x14ac:dyDescent="0.2">
      <c r="B193" s="5">
        <f t="shared" si="34"/>
        <v>186</v>
      </c>
      <c r="C193" s="5">
        <f t="shared" si="35"/>
        <v>186</v>
      </c>
      <c r="D193" s="5">
        <f t="shared" si="36"/>
        <v>15</v>
      </c>
      <c r="E193" s="5">
        <f t="shared" si="37"/>
        <v>61</v>
      </c>
      <c r="F193" s="64">
        <f>1-(1-VLOOKUP($E193,'Annual Mortality Rates'!$B$5:$C$105,2,FALSE))^(1/12)</f>
        <v>3.6573479451496027E-4</v>
      </c>
      <c r="G193" s="74">
        <f>1-(1-IF(D193&gt;=7,2%,VLOOKUP($D193,'Annual Lapse Rates'!$B$4:$C$14,2,FALSE)))^(1/12)</f>
        <v>1.6821425527395739E-3</v>
      </c>
      <c r="H193" s="80">
        <f t="shared" si="39"/>
        <v>6</v>
      </c>
      <c r="I193" s="65"/>
      <c r="J193" s="66"/>
      <c r="K193" s="66"/>
      <c r="M193" s="67">
        <f t="shared" si="50"/>
        <v>0</v>
      </c>
      <c r="N193" s="67">
        <f>IF(AND(MOD(C193,12)=1,D193&lt;15),Assumptions!$H$4*I193,0)</f>
        <v>0</v>
      </c>
      <c r="O193" s="67"/>
      <c r="P193" s="88">
        <f t="shared" si="43"/>
        <v>0</v>
      </c>
      <c r="Q193" s="88">
        <f>(M193+N193-O193)*VLOOKUP(MOD(C193,12)+(MOD(C193,12)=0)*12,Assumptions!$C$22:$D$33,2,FALSE)*(F193+G193)</f>
        <v>0</v>
      </c>
      <c r="R193" s="67">
        <f>IF(AND(MOD(C193,12)=0,D193&lt;15),Assumptions!$C$7*M193,0)</f>
        <v>0</v>
      </c>
      <c r="S193" s="68">
        <f>IF(MOD(C193,12)=0,M193*Assumptions!$D$17,0)</f>
        <v>0</v>
      </c>
      <c r="T193" s="68">
        <f>(M193+N193-O193-P193-Q193-R193+S193)*(D194=Assumptions!$H$9)</f>
        <v>0</v>
      </c>
      <c r="U193" s="67">
        <f>T193+AE193*(1+Assumptions!$D$17)</f>
        <v>0</v>
      </c>
      <c r="V193" s="67">
        <f t="shared" si="44"/>
        <v>0</v>
      </c>
      <c r="W193" s="67"/>
      <c r="X193" s="67">
        <f>IF(AND(MOD(C193,12)=1,D193&lt;15),Assumptions!$D$10*N193+Assumptions!$D$11*(1+Assumptions!$D$16)^(B193-1)*I193,0)</f>
        <v>0</v>
      </c>
      <c r="Y193" s="65">
        <f>Assumptions!$C$13*N193</f>
        <v>0</v>
      </c>
      <c r="Z193" s="65">
        <f>NPV(Assumptions!$D$19,N194:$N$259)</f>
        <v>0</v>
      </c>
      <c r="AA193" s="68">
        <f t="shared" si="45"/>
        <v>0</v>
      </c>
      <c r="AB193" s="96"/>
      <c r="AC193" s="67">
        <f>(AC192+N192-P192-Q192-T192-W192-X192-Y192+AD192)*IF(D193=Assumptions!$H$9,0,1)</f>
        <v>0</v>
      </c>
      <c r="AD193" s="91">
        <f>(AF192+N193-W193-X193-Y193)*Assumptions!$D$19-(P193+Q193)*Assumptions!$D$19/2</f>
        <v>0</v>
      </c>
      <c r="AE193" s="67">
        <f>(AE192+(AD193-O193-R193-Q193-S193))*IF(D193=Assumptions!$H$9,0,1)</f>
        <v>0</v>
      </c>
      <c r="AF193" s="91">
        <f t="shared" si="46"/>
        <v>0</v>
      </c>
      <c r="AG193" s="67">
        <f t="shared" si="47"/>
        <v>0</v>
      </c>
      <c r="AH193" s="89">
        <f>AG193*Assumptions!$C$18</f>
        <v>0</v>
      </c>
      <c r="AI193" s="67">
        <f t="shared" si="48"/>
        <v>0</v>
      </c>
      <c r="AK193" s="67">
        <f t="shared" si="49"/>
        <v>0</v>
      </c>
      <c r="AL193" s="70">
        <f t="shared" si="38"/>
        <v>0</v>
      </c>
      <c r="AM193" s="80">
        <f>(O193-W193-X193-Y193-AA193)*Assumptions!$D$19</f>
        <v>0</v>
      </c>
    </row>
    <row r="194" spans="2:39" x14ac:dyDescent="0.2">
      <c r="B194" s="5">
        <f t="shared" si="34"/>
        <v>187</v>
      </c>
      <c r="C194" s="5">
        <f t="shared" si="35"/>
        <v>187</v>
      </c>
      <c r="D194" s="5">
        <f t="shared" si="36"/>
        <v>15</v>
      </c>
      <c r="E194" s="5">
        <f t="shared" si="37"/>
        <v>61</v>
      </c>
      <c r="F194" s="64">
        <f>1-(1-VLOOKUP($E194,'Annual Mortality Rates'!$B$5:$C$105,2,FALSE))^(1/12)</f>
        <v>3.6573479451496027E-4</v>
      </c>
      <c r="G194" s="74">
        <f>1-(1-IF(D194&gt;=7,2%,VLOOKUP($D194,'Annual Lapse Rates'!$B$4:$C$14,2,FALSE)))^(1/12)</f>
        <v>1.6821425527395739E-3</v>
      </c>
      <c r="H194" s="80">
        <f t="shared" si="39"/>
        <v>7</v>
      </c>
      <c r="I194" s="65"/>
      <c r="J194" s="66"/>
      <c r="K194" s="66"/>
      <c r="M194" s="67">
        <f t="shared" si="50"/>
        <v>0</v>
      </c>
      <c r="N194" s="67">
        <f>IF(AND(MOD(C194,12)=1,D194&lt;15),Assumptions!$H$4*I194,0)</f>
        <v>0</v>
      </c>
      <c r="O194" s="67"/>
      <c r="P194" s="88">
        <f t="shared" si="43"/>
        <v>0</v>
      </c>
      <c r="Q194" s="88">
        <f>(M194+N194-O194)*VLOOKUP(MOD(C194,12)+(MOD(C194,12)=0)*12,Assumptions!$C$22:$D$33,2,FALSE)*(F194+G194)</f>
        <v>0</v>
      </c>
      <c r="R194" s="67">
        <f>IF(AND(MOD(C194,12)=0,D194&lt;15),Assumptions!$C$7*M194,0)</f>
        <v>0</v>
      </c>
      <c r="S194" s="68">
        <f>IF(MOD(C194,12)=0,M194*Assumptions!$D$17,0)</f>
        <v>0</v>
      </c>
      <c r="T194" s="68">
        <f>(M194+N194-O194-P194-Q194-R194+S194)*(D195=Assumptions!$H$9)</f>
        <v>0</v>
      </c>
      <c r="U194" s="67">
        <f>T194+AE194*(1+Assumptions!$D$17)</f>
        <v>0</v>
      </c>
      <c r="V194" s="67">
        <f t="shared" si="44"/>
        <v>0</v>
      </c>
      <c r="W194" s="67"/>
      <c r="X194" s="67">
        <f>IF(AND(MOD(C194,12)=1,D194&lt;15),Assumptions!$D$10*N194+Assumptions!$D$11*(1+Assumptions!$D$16)^(B194-1)*I194,0)</f>
        <v>0</v>
      </c>
      <c r="Y194" s="65">
        <f>Assumptions!$C$13*N194</f>
        <v>0</v>
      </c>
      <c r="Z194" s="65">
        <f>NPV(Assumptions!$D$19,N195:$N$259)</f>
        <v>0</v>
      </c>
      <c r="AA194" s="68">
        <f t="shared" si="45"/>
        <v>0</v>
      </c>
      <c r="AB194" s="96"/>
      <c r="AC194" s="67">
        <f>(AC193+N193-P193-Q193-T193-W193-X193-Y193+AD193)*IF(D194=Assumptions!$H$9,0,1)</f>
        <v>0</v>
      </c>
      <c r="AD194" s="91">
        <f>(AF193+N194-W194-X194-Y194)*Assumptions!$D$19-(P194+Q194)*Assumptions!$D$19/2</f>
        <v>0</v>
      </c>
      <c r="AE194" s="67">
        <f>(AE193+(AD194-O194-R194-Q194-S194))*IF(D194=Assumptions!$H$9,0,1)</f>
        <v>0</v>
      </c>
      <c r="AF194" s="91">
        <f t="shared" si="46"/>
        <v>0</v>
      </c>
      <c r="AG194" s="67">
        <f t="shared" si="47"/>
        <v>0</v>
      </c>
      <c r="AH194" s="89">
        <f>AG194*Assumptions!$C$18</f>
        <v>0</v>
      </c>
      <c r="AI194" s="67">
        <f t="shared" si="48"/>
        <v>0</v>
      </c>
      <c r="AK194" s="67">
        <f t="shared" si="49"/>
        <v>0</v>
      </c>
      <c r="AL194" s="70">
        <f t="shared" si="38"/>
        <v>0</v>
      </c>
      <c r="AM194" s="80">
        <f>(O194-W194-X194-Y194-AA194)*Assumptions!$D$19</f>
        <v>0</v>
      </c>
    </row>
    <row r="195" spans="2:39" x14ac:dyDescent="0.2">
      <c r="B195" s="5">
        <f t="shared" si="34"/>
        <v>188</v>
      </c>
      <c r="C195" s="5">
        <f t="shared" si="35"/>
        <v>188</v>
      </c>
      <c r="D195" s="5">
        <f t="shared" si="36"/>
        <v>15</v>
      </c>
      <c r="E195" s="5">
        <f t="shared" si="37"/>
        <v>61</v>
      </c>
      <c r="F195" s="64">
        <f>1-(1-VLOOKUP($E195,'Annual Mortality Rates'!$B$5:$C$105,2,FALSE))^(1/12)</f>
        <v>3.6573479451496027E-4</v>
      </c>
      <c r="G195" s="74">
        <f>1-(1-IF(D195&gt;=7,2%,VLOOKUP($D195,'Annual Lapse Rates'!$B$4:$C$14,2,FALSE)))^(1/12)</f>
        <v>1.6821425527395739E-3</v>
      </c>
      <c r="H195" s="80">
        <f t="shared" si="39"/>
        <v>8</v>
      </c>
      <c r="I195" s="65"/>
      <c r="J195" s="66"/>
      <c r="K195" s="66"/>
      <c r="M195" s="67">
        <f t="shared" si="50"/>
        <v>0</v>
      </c>
      <c r="N195" s="67">
        <f>IF(AND(MOD(C195,12)=1,D195&lt;15),Assumptions!$H$4*I195,0)</f>
        <v>0</v>
      </c>
      <c r="O195" s="67"/>
      <c r="P195" s="88">
        <f t="shared" si="43"/>
        <v>0</v>
      </c>
      <c r="Q195" s="88">
        <f>(M195+N195-O195)*VLOOKUP(MOD(C195,12)+(MOD(C195,12)=0)*12,Assumptions!$C$22:$D$33,2,FALSE)*(F195+G195)</f>
        <v>0</v>
      </c>
      <c r="R195" s="67">
        <f>IF(AND(MOD(C195,12)=0,D195&lt;15),Assumptions!$C$7*M195,0)</f>
        <v>0</v>
      </c>
      <c r="S195" s="68">
        <f>IF(MOD(C195,12)=0,M195*Assumptions!$D$17,0)</f>
        <v>0</v>
      </c>
      <c r="T195" s="68">
        <f>(M195+N195-O195-P195-Q195-R195+S195)*(D196=Assumptions!$H$9)</f>
        <v>0</v>
      </c>
      <c r="U195" s="67">
        <f>T195+AE195*(1+Assumptions!$D$17)</f>
        <v>0</v>
      </c>
      <c r="V195" s="67">
        <f t="shared" si="44"/>
        <v>0</v>
      </c>
      <c r="W195" s="67"/>
      <c r="X195" s="67">
        <f>IF(AND(MOD(C195,12)=1,D195&lt;15),Assumptions!$D$10*N195+Assumptions!$D$11*(1+Assumptions!$D$16)^(B195-1)*I195,0)</f>
        <v>0</v>
      </c>
      <c r="Y195" s="65">
        <f>Assumptions!$C$13*N195</f>
        <v>0</v>
      </c>
      <c r="Z195" s="65">
        <f>NPV(Assumptions!$D$19,N196:$N$259)</f>
        <v>0</v>
      </c>
      <c r="AA195" s="68">
        <f t="shared" si="45"/>
        <v>0</v>
      </c>
      <c r="AB195" s="96"/>
      <c r="AC195" s="67">
        <f>(AC194+N194-P194-Q194-T194-W194-X194-Y194+AD194)*IF(D195=Assumptions!$H$9,0,1)</f>
        <v>0</v>
      </c>
      <c r="AD195" s="91">
        <f>(AF194+N195-W195-X195-Y195)*Assumptions!$D$19-(P195+Q195)*Assumptions!$D$19/2</f>
        <v>0</v>
      </c>
      <c r="AE195" s="67">
        <f>(AE194+(AD195-O195-R195-Q195-S195))*IF(D195=Assumptions!$H$9,0,1)</f>
        <v>0</v>
      </c>
      <c r="AF195" s="91">
        <f t="shared" si="46"/>
        <v>0</v>
      </c>
      <c r="AG195" s="67">
        <f t="shared" si="47"/>
        <v>0</v>
      </c>
      <c r="AH195" s="89">
        <f>AG195*Assumptions!$C$18</f>
        <v>0</v>
      </c>
      <c r="AI195" s="67">
        <f t="shared" si="48"/>
        <v>0</v>
      </c>
      <c r="AK195" s="67">
        <f t="shared" si="49"/>
        <v>0</v>
      </c>
      <c r="AL195" s="70">
        <f t="shared" si="38"/>
        <v>0</v>
      </c>
      <c r="AM195" s="80">
        <f>(O195-W195-X195-Y195-AA195)*Assumptions!$D$19</f>
        <v>0</v>
      </c>
    </row>
    <row r="196" spans="2:39" x14ac:dyDescent="0.2">
      <c r="B196" s="5">
        <f t="shared" si="34"/>
        <v>189</v>
      </c>
      <c r="C196" s="5">
        <f t="shared" si="35"/>
        <v>189</v>
      </c>
      <c r="D196" s="5">
        <f t="shared" si="36"/>
        <v>15</v>
      </c>
      <c r="E196" s="5">
        <f t="shared" si="37"/>
        <v>61</v>
      </c>
      <c r="F196" s="64">
        <f>1-(1-VLOOKUP($E196,'Annual Mortality Rates'!$B$5:$C$105,2,FALSE))^(1/12)</f>
        <v>3.6573479451496027E-4</v>
      </c>
      <c r="G196" s="74">
        <f>1-(1-IF(D196&gt;=7,2%,VLOOKUP($D196,'Annual Lapse Rates'!$B$4:$C$14,2,FALSE)))^(1/12)</f>
        <v>1.6821425527395739E-3</v>
      </c>
      <c r="H196" s="80">
        <f t="shared" si="39"/>
        <v>9</v>
      </c>
      <c r="I196" s="65"/>
      <c r="J196" s="66"/>
      <c r="K196" s="66"/>
      <c r="M196" s="67">
        <f t="shared" si="50"/>
        <v>0</v>
      </c>
      <c r="N196" s="67">
        <f>IF(AND(MOD(C196,12)=1,D196&lt;15),Assumptions!$H$4*I196,0)</f>
        <v>0</v>
      </c>
      <c r="O196" s="67"/>
      <c r="P196" s="88">
        <f t="shared" si="43"/>
        <v>0</v>
      </c>
      <c r="Q196" s="88">
        <f>(M196+N196-O196)*VLOOKUP(MOD(C196,12)+(MOD(C196,12)=0)*12,Assumptions!$C$22:$D$33,2,FALSE)*(F196+G196)</f>
        <v>0</v>
      </c>
      <c r="R196" s="67">
        <f>IF(AND(MOD(C196,12)=0,D196&lt;15),Assumptions!$C$7*M196,0)</f>
        <v>0</v>
      </c>
      <c r="S196" s="68">
        <f>IF(MOD(C196,12)=0,M196*Assumptions!$D$17,0)</f>
        <v>0</v>
      </c>
      <c r="T196" s="68">
        <f>(M196+N196-O196-P196-Q196-R196+S196)*(D197=Assumptions!$H$9)</f>
        <v>0</v>
      </c>
      <c r="U196" s="67">
        <f>T196+AE196*(1+Assumptions!$D$17)</f>
        <v>0</v>
      </c>
      <c r="V196" s="67">
        <f t="shared" si="44"/>
        <v>0</v>
      </c>
      <c r="W196" s="67"/>
      <c r="X196" s="67">
        <f>IF(AND(MOD(C196,12)=1,D196&lt;15),Assumptions!$D$10*N196+Assumptions!$D$11*(1+Assumptions!$D$16)^(B196-1)*I196,0)</f>
        <v>0</v>
      </c>
      <c r="Y196" s="65">
        <f>Assumptions!$C$13*N196</f>
        <v>0</v>
      </c>
      <c r="Z196" s="65">
        <f>NPV(Assumptions!$D$19,N197:$N$259)</f>
        <v>0</v>
      </c>
      <c r="AA196" s="68">
        <f t="shared" si="45"/>
        <v>0</v>
      </c>
      <c r="AB196" s="96"/>
      <c r="AC196" s="67">
        <f>(AC195+N195-P195-Q195-T195-W195-X195-Y195+AD195)*IF(D196=Assumptions!$H$9,0,1)</f>
        <v>0</v>
      </c>
      <c r="AD196" s="91">
        <f>(AF195+N196-W196-X196-Y196)*Assumptions!$D$19-(P196+Q196)*Assumptions!$D$19/2</f>
        <v>0</v>
      </c>
      <c r="AE196" s="67">
        <f>(AE195+(AD196-O196-R196-Q196-S196))*IF(D196=Assumptions!$H$9,0,1)</f>
        <v>0</v>
      </c>
      <c r="AF196" s="91">
        <f t="shared" si="46"/>
        <v>0</v>
      </c>
      <c r="AG196" s="67">
        <f t="shared" si="47"/>
        <v>0</v>
      </c>
      <c r="AH196" s="89">
        <f>AG196*Assumptions!$C$18</f>
        <v>0</v>
      </c>
      <c r="AI196" s="67">
        <f t="shared" si="48"/>
        <v>0</v>
      </c>
      <c r="AK196" s="67">
        <f t="shared" si="49"/>
        <v>0</v>
      </c>
      <c r="AL196" s="70">
        <f t="shared" si="38"/>
        <v>0</v>
      </c>
      <c r="AM196" s="80">
        <f>(O196-W196-X196-Y196-AA196)*Assumptions!$D$19</f>
        <v>0</v>
      </c>
    </row>
    <row r="197" spans="2:39" x14ac:dyDescent="0.2">
      <c r="B197" s="5">
        <f t="shared" si="34"/>
        <v>190</v>
      </c>
      <c r="C197" s="5">
        <f t="shared" si="35"/>
        <v>190</v>
      </c>
      <c r="D197" s="5">
        <f t="shared" si="36"/>
        <v>15</v>
      </c>
      <c r="E197" s="5">
        <f t="shared" si="37"/>
        <v>61</v>
      </c>
      <c r="F197" s="64">
        <f>1-(1-VLOOKUP($E197,'Annual Mortality Rates'!$B$5:$C$105,2,FALSE))^(1/12)</f>
        <v>3.6573479451496027E-4</v>
      </c>
      <c r="G197" s="74">
        <f>1-(1-IF(D197&gt;=7,2%,VLOOKUP($D197,'Annual Lapse Rates'!$B$4:$C$14,2,FALSE)))^(1/12)</f>
        <v>1.6821425527395739E-3</v>
      </c>
      <c r="H197" s="80">
        <f t="shared" si="39"/>
        <v>10</v>
      </c>
      <c r="I197" s="65"/>
      <c r="J197" s="66"/>
      <c r="K197" s="66"/>
      <c r="M197" s="67">
        <f t="shared" si="50"/>
        <v>0</v>
      </c>
      <c r="N197" s="67">
        <f>IF(AND(MOD(C197,12)=1,D197&lt;15),Assumptions!$H$4*I197,0)</f>
        <v>0</v>
      </c>
      <c r="O197" s="67"/>
      <c r="P197" s="88">
        <f t="shared" si="43"/>
        <v>0</v>
      </c>
      <c r="Q197" s="88">
        <f>(M197+N197-O197)*VLOOKUP(MOD(C197,12)+(MOD(C197,12)=0)*12,Assumptions!$C$22:$D$33,2,FALSE)*(F197+G197)</f>
        <v>0</v>
      </c>
      <c r="R197" s="67">
        <f>IF(AND(MOD(C197,12)=0,D197&lt;15),Assumptions!$C$7*M197,0)</f>
        <v>0</v>
      </c>
      <c r="S197" s="68">
        <f>IF(MOD(C197,12)=0,M197*Assumptions!$D$17,0)</f>
        <v>0</v>
      </c>
      <c r="T197" s="68">
        <f>(M197+N197-O197-P197-Q197-R197+S197)*(D198=Assumptions!$H$9)</f>
        <v>0</v>
      </c>
      <c r="U197" s="67">
        <f>T197+AE197*(1+Assumptions!$D$17)</f>
        <v>0</v>
      </c>
      <c r="V197" s="67">
        <f t="shared" si="44"/>
        <v>0</v>
      </c>
      <c r="W197" s="67"/>
      <c r="X197" s="67">
        <f>IF(AND(MOD(C197,12)=1,D197&lt;15),Assumptions!$D$10*N197+Assumptions!$D$11*(1+Assumptions!$D$16)^(B197-1)*I197,0)</f>
        <v>0</v>
      </c>
      <c r="Y197" s="65">
        <f>Assumptions!$C$13*N197</f>
        <v>0</v>
      </c>
      <c r="Z197" s="65">
        <f>NPV(Assumptions!$D$19,N198:$N$259)</f>
        <v>0</v>
      </c>
      <c r="AA197" s="68">
        <f t="shared" si="45"/>
        <v>0</v>
      </c>
      <c r="AB197" s="96"/>
      <c r="AC197" s="67">
        <f>(AC196+N196-P196-Q196-T196-W196-X196-Y196+AD196)*IF(D197=Assumptions!$H$9,0,1)</f>
        <v>0</v>
      </c>
      <c r="AD197" s="91">
        <f>(AF196+N197-W197-X197-Y197)*Assumptions!$D$19-(P197+Q197)*Assumptions!$D$19/2</f>
        <v>0</v>
      </c>
      <c r="AE197" s="67">
        <f>(AE196+(AD197-O197-R197-Q197-S197))*IF(D197=Assumptions!$H$9,0,1)</f>
        <v>0</v>
      </c>
      <c r="AF197" s="91">
        <f t="shared" si="46"/>
        <v>0</v>
      </c>
      <c r="AG197" s="67">
        <f t="shared" si="47"/>
        <v>0</v>
      </c>
      <c r="AH197" s="89">
        <f>AG197*Assumptions!$C$18</f>
        <v>0</v>
      </c>
      <c r="AI197" s="67">
        <f t="shared" si="48"/>
        <v>0</v>
      </c>
      <c r="AK197" s="67">
        <f t="shared" si="49"/>
        <v>0</v>
      </c>
      <c r="AL197" s="70">
        <f t="shared" si="38"/>
        <v>0</v>
      </c>
      <c r="AM197" s="80">
        <f>(O197-W197-X197-Y197-AA197)*Assumptions!$D$19</f>
        <v>0</v>
      </c>
    </row>
    <row r="198" spans="2:39" x14ac:dyDescent="0.2">
      <c r="B198" s="5">
        <f t="shared" si="34"/>
        <v>191</v>
      </c>
      <c r="C198" s="5">
        <f t="shared" si="35"/>
        <v>191</v>
      </c>
      <c r="D198" s="5">
        <f t="shared" si="36"/>
        <v>15</v>
      </c>
      <c r="E198" s="5">
        <f t="shared" si="37"/>
        <v>61</v>
      </c>
      <c r="F198" s="64">
        <f>1-(1-VLOOKUP($E198,'Annual Mortality Rates'!$B$5:$C$105,2,FALSE))^(1/12)</f>
        <v>3.6573479451496027E-4</v>
      </c>
      <c r="G198" s="74">
        <f>1-(1-IF(D198&gt;=7,2%,VLOOKUP($D198,'Annual Lapse Rates'!$B$4:$C$14,2,FALSE)))^(1/12)</f>
        <v>1.6821425527395739E-3</v>
      </c>
      <c r="H198" s="80">
        <f t="shared" si="39"/>
        <v>11</v>
      </c>
      <c r="I198" s="65"/>
      <c r="J198" s="66"/>
      <c r="K198" s="66"/>
      <c r="M198" s="67">
        <f t="shared" si="50"/>
        <v>0</v>
      </c>
      <c r="N198" s="67">
        <f>IF(AND(MOD(C198,12)=1,D198&lt;15),Assumptions!$H$4*I198,0)</f>
        <v>0</v>
      </c>
      <c r="O198" s="67"/>
      <c r="P198" s="88">
        <f t="shared" si="43"/>
        <v>0</v>
      </c>
      <c r="Q198" s="88">
        <f>(M198+N198-O198)*VLOOKUP(MOD(C198,12)+(MOD(C198,12)=0)*12,Assumptions!$C$22:$D$33,2,FALSE)*(F198+G198)</f>
        <v>0</v>
      </c>
      <c r="R198" s="67">
        <f>IF(AND(MOD(C198,12)=0,D198&lt;15),Assumptions!$C$7*M198,0)</f>
        <v>0</v>
      </c>
      <c r="S198" s="68">
        <f>IF(MOD(C198,12)=0,M198*Assumptions!$D$17,0)</f>
        <v>0</v>
      </c>
      <c r="T198" s="68">
        <f>(M198+N198-O198-P198-Q198-R198+S198)*(D199=Assumptions!$H$9)</f>
        <v>0</v>
      </c>
      <c r="U198" s="67">
        <f>T198+AE198*(1+Assumptions!$D$17)</f>
        <v>0</v>
      </c>
      <c r="V198" s="67">
        <f t="shared" si="44"/>
        <v>0</v>
      </c>
      <c r="W198" s="67"/>
      <c r="X198" s="67">
        <f>IF(AND(MOD(C198,12)=1,D198&lt;15),Assumptions!$D$10*N198+Assumptions!$D$11*(1+Assumptions!$D$16)^(B198-1)*I198,0)</f>
        <v>0</v>
      </c>
      <c r="Y198" s="65">
        <f>Assumptions!$C$13*N198</f>
        <v>0</v>
      </c>
      <c r="Z198" s="65">
        <f>NPV(Assumptions!$D$19,N199:$N$259)</f>
        <v>0</v>
      </c>
      <c r="AA198" s="68">
        <f t="shared" si="45"/>
        <v>0</v>
      </c>
      <c r="AB198" s="96"/>
      <c r="AC198" s="67">
        <f>(AC197+N197-P197-Q197-T197-W197-X197-Y197+AD197)*IF(D198=Assumptions!$H$9,0,1)</f>
        <v>0</v>
      </c>
      <c r="AD198" s="91">
        <f>(AF197+N198-W198-X198-Y198)*Assumptions!$D$19-(P198+Q198)*Assumptions!$D$19/2</f>
        <v>0</v>
      </c>
      <c r="AE198" s="67">
        <f>(AE197+(AD198-O198-R198-Q198-S198))*IF(D198=Assumptions!$H$9,0,1)</f>
        <v>0</v>
      </c>
      <c r="AF198" s="91">
        <f t="shared" si="46"/>
        <v>0</v>
      </c>
      <c r="AG198" s="67">
        <f t="shared" si="47"/>
        <v>0</v>
      </c>
      <c r="AH198" s="89">
        <f>AG198*Assumptions!$C$18</f>
        <v>0</v>
      </c>
      <c r="AI198" s="67">
        <f t="shared" si="48"/>
        <v>0</v>
      </c>
      <c r="AK198" s="67">
        <f t="shared" si="49"/>
        <v>0</v>
      </c>
      <c r="AL198" s="70">
        <f t="shared" si="38"/>
        <v>0</v>
      </c>
      <c r="AM198" s="80">
        <f>(O198-W198-X198-Y198-AA198)*Assumptions!$D$19</f>
        <v>0</v>
      </c>
    </row>
    <row r="199" spans="2:39" x14ac:dyDescent="0.2">
      <c r="B199" s="5">
        <f t="shared" si="34"/>
        <v>192</v>
      </c>
      <c r="C199" s="5">
        <f t="shared" si="35"/>
        <v>192</v>
      </c>
      <c r="D199" s="5">
        <f t="shared" si="36"/>
        <v>15</v>
      </c>
      <c r="E199" s="5">
        <f t="shared" si="37"/>
        <v>61</v>
      </c>
      <c r="F199" s="64">
        <f>1-(1-VLOOKUP($E199,'Annual Mortality Rates'!$B$5:$C$105,2,FALSE))^(1/12)</f>
        <v>3.6573479451496027E-4</v>
      </c>
      <c r="G199" s="74">
        <f>1-(1-IF(D199&gt;=7,2%,VLOOKUP($D199,'Annual Lapse Rates'!$B$4:$C$14,2,FALSE)))^(1/12)</f>
        <v>1.6821425527395739E-3</v>
      </c>
      <c r="H199" s="80">
        <f t="shared" si="39"/>
        <v>12</v>
      </c>
      <c r="I199" s="65"/>
      <c r="J199" s="66"/>
      <c r="K199" s="66"/>
      <c r="M199" s="67">
        <f t="shared" si="50"/>
        <v>0</v>
      </c>
      <c r="N199" s="67">
        <f>IF(AND(MOD(C199,12)=1,D199&lt;15),Assumptions!$H$4*I199,0)</f>
        <v>0</v>
      </c>
      <c r="O199" s="67"/>
      <c r="P199" s="88">
        <f t="shared" si="43"/>
        <v>0</v>
      </c>
      <c r="Q199" s="88">
        <f>(M199+N199-O199)*VLOOKUP(MOD(C199,12)+(MOD(C199,12)=0)*12,Assumptions!$C$22:$D$33,2,FALSE)*(F199+G199)</f>
        <v>0</v>
      </c>
      <c r="R199" s="67">
        <f>IF(AND(MOD(C199,12)=0,D199&lt;15),Assumptions!$C$7*M199,0)</f>
        <v>0</v>
      </c>
      <c r="S199" s="68">
        <f>IF(MOD(C199,12)=0,M199*Assumptions!$D$17,0)</f>
        <v>0</v>
      </c>
      <c r="T199" s="68">
        <f>(M199+N199-O199-P199-Q199-R199+S199)*(D200=Assumptions!$H$9)</f>
        <v>0</v>
      </c>
      <c r="U199" s="67">
        <f>T199+AE199*(1+Assumptions!$D$17)</f>
        <v>0</v>
      </c>
      <c r="V199" s="67">
        <f t="shared" si="44"/>
        <v>0</v>
      </c>
      <c r="W199" s="67"/>
      <c r="X199" s="67">
        <f>IF(AND(MOD(C199,12)=1,D199&lt;15),Assumptions!$D$10*N199+Assumptions!$D$11*(1+Assumptions!$D$16)^(B199-1)*I199,0)</f>
        <v>0</v>
      </c>
      <c r="Y199" s="65">
        <f>Assumptions!$C$13*N199</f>
        <v>0</v>
      </c>
      <c r="Z199" s="65">
        <f>NPV(Assumptions!$D$19,N200:$N$259)</f>
        <v>0</v>
      </c>
      <c r="AA199" s="68">
        <f t="shared" si="45"/>
        <v>0</v>
      </c>
      <c r="AB199" s="96"/>
      <c r="AC199" s="67">
        <f>(AC198+N198-P198-Q198-T198-W198-X198-Y198+AD198)*IF(D199=Assumptions!$H$9,0,1)</f>
        <v>0</v>
      </c>
      <c r="AD199" s="91">
        <f>(AF198+N199-W199-X199-Y199)*Assumptions!$D$19-(P199+Q199)*Assumptions!$D$19/2</f>
        <v>0</v>
      </c>
      <c r="AE199" s="67">
        <f>(AE198+(AD199-O199-R199-Q199-S199))*IF(D199=Assumptions!$H$9,0,1)</f>
        <v>0</v>
      </c>
      <c r="AF199" s="91">
        <f t="shared" si="46"/>
        <v>0</v>
      </c>
      <c r="AG199" s="67">
        <f t="shared" si="47"/>
        <v>0</v>
      </c>
      <c r="AH199" s="89">
        <f>AG199*Assumptions!$C$18</f>
        <v>0</v>
      </c>
      <c r="AI199" s="67">
        <f t="shared" si="48"/>
        <v>0</v>
      </c>
      <c r="AK199" s="67">
        <f t="shared" si="49"/>
        <v>0</v>
      </c>
      <c r="AL199" s="70">
        <f t="shared" si="38"/>
        <v>0</v>
      </c>
      <c r="AM199" s="80">
        <f>(O199-W199-X199-Y199-AA199)*Assumptions!$D$19</f>
        <v>0</v>
      </c>
    </row>
    <row r="200" spans="2:39" x14ac:dyDescent="0.2">
      <c r="B200" s="5">
        <f t="shared" ref="B200:B259" si="51">B199+1</f>
        <v>193</v>
      </c>
      <c r="C200" s="5">
        <f t="shared" ref="C200:C259" si="52">$C$4+B200</f>
        <v>193</v>
      </c>
      <c r="D200" s="5">
        <f t="shared" ref="D200:D259" si="53">ROUNDDOWN((C200-1)/12,0)</f>
        <v>16</v>
      </c>
      <c r="E200" s="5">
        <f t="shared" ref="E200:E259" si="54">ROUNDDOWN(($E$4+B200)/12,0)</f>
        <v>62</v>
      </c>
      <c r="F200" s="64">
        <f>1-(1-VLOOKUP($E200,'Annual Mortality Rates'!$B$5:$C$105,2,FALSE))^(1/12)</f>
        <v>4.0004569505669441E-4</v>
      </c>
      <c r="G200" s="74">
        <f>1-(1-IF(D200&gt;=7,2%,VLOOKUP($D200,'Annual Lapse Rates'!$B$4:$C$14,2,FALSE)))^(1/12)</f>
        <v>1.6821425527395739E-3</v>
      </c>
      <c r="H200" s="80">
        <f t="shared" si="39"/>
        <v>1</v>
      </c>
      <c r="I200" s="65"/>
      <c r="J200" s="66"/>
      <c r="K200" s="66"/>
      <c r="M200" s="67">
        <f t="shared" si="50"/>
        <v>0</v>
      </c>
      <c r="N200" s="67">
        <f>IF(AND(MOD(C200,12)=1,D200&lt;15),Assumptions!$H$4*I200,0)</f>
        <v>0</v>
      </c>
      <c r="O200" s="67"/>
      <c r="P200" s="88">
        <f t="shared" si="43"/>
        <v>0</v>
      </c>
      <c r="Q200" s="88">
        <f>(M200+N200-O200)*VLOOKUP(MOD(C200,12)+(MOD(C200,12)=0)*12,Assumptions!$C$22:$D$33,2,FALSE)*(F200+G200)</f>
        <v>0</v>
      </c>
      <c r="R200" s="67">
        <f>IF(AND(MOD(C200,12)=0,D200&lt;15),Assumptions!$C$7*M200,0)</f>
        <v>0</v>
      </c>
      <c r="S200" s="68">
        <f>IF(MOD(C200,12)=0,M200*Assumptions!$D$17,0)</f>
        <v>0</v>
      </c>
      <c r="T200" s="68">
        <f>(M200+N200-O200-P200-Q200-R200+S200)*(D201=Assumptions!$H$9)</f>
        <v>0</v>
      </c>
      <c r="U200" s="67">
        <f>T200+AE200*(1+Assumptions!$D$17)</f>
        <v>0</v>
      </c>
      <c r="V200" s="67">
        <f t="shared" si="44"/>
        <v>0</v>
      </c>
      <c r="W200" s="67"/>
      <c r="X200" s="67">
        <f>IF(AND(MOD(C200,12)=1,D200&lt;15),Assumptions!$D$10*N200+Assumptions!$D$11*(1+Assumptions!$D$16)^(B200-1)*I200,0)</f>
        <v>0</v>
      </c>
      <c r="Y200" s="65">
        <f>Assumptions!$C$13*N200</f>
        <v>0</v>
      </c>
      <c r="Z200" s="65">
        <f>NPV(Assumptions!$D$19,N201:$N$259)</f>
        <v>0</v>
      </c>
      <c r="AA200" s="68">
        <f t="shared" si="45"/>
        <v>0</v>
      </c>
      <c r="AB200" s="96"/>
      <c r="AC200" s="67">
        <f>(AC199+N199-P199-Q199-T199-W199-X199-Y199+AD199)*IF(D200=Assumptions!$H$9,0,1)</f>
        <v>0</v>
      </c>
      <c r="AD200" s="91">
        <f>(AF199+N200-W200-X200-Y200)*Assumptions!$D$19-(P200+Q200)*Assumptions!$D$19/2</f>
        <v>0</v>
      </c>
      <c r="AE200" s="67">
        <f>(AE199+(AD200-O200-R200-Q200-S200))*IF(D200=Assumptions!$H$9,0,1)</f>
        <v>0</v>
      </c>
      <c r="AF200" s="91">
        <f t="shared" si="46"/>
        <v>0</v>
      </c>
      <c r="AG200" s="67">
        <f t="shared" si="47"/>
        <v>0</v>
      </c>
      <c r="AH200" s="89">
        <f>AG200*Assumptions!$C$18</f>
        <v>0</v>
      </c>
      <c r="AI200" s="67">
        <f t="shared" si="48"/>
        <v>0</v>
      </c>
      <c r="AK200" s="67">
        <f t="shared" si="49"/>
        <v>0</v>
      </c>
      <c r="AL200" s="70">
        <f t="shared" ref="AL200:AL259" si="55">ROUND(AK200-AG200,3)</f>
        <v>0</v>
      </c>
      <c r="AM200" s="80">
        <f>(O200-W200-X200-Y200-AA200)*Assumptions!$D$19</f>
        <v>0</v>
      </c>
    </row>
    <row r="201" spans="2:39" x14ac:dyDescent="0.2">
      <c r="B201" s="5">
        <f t="shared" si="51"/>
        <v>194</v>
      </c>
      <c r="C201" s="5">
        <f t="shared" si="52"/>
        <v>194</v>
      </c>
      <c r="D201" s="5">
        <f t="shared" si="53"/>
        <v>16</v>
      </c>
      <c r="E201" s="5">
        <f t="shared" si="54"/>
        <v>62</v>
      </c>
      <c r="F201" s="64">
        <f>1-(1-VLOOKUP($E201,'Annual Mortality Rates'!$B$5:$C$105,2,FALSE))^(1/12)</f>
        <v>4.0004569505669441E-4</v>
      </c>
      <c r="G201" s="74">
        <f>1-(1-IF(D201&gt;=7,2%,VLOOKUP($D201,'Annual Lapse Rates'!$B$4:$C$14,2,FALSE)))^(1/12)</f>
        <v>1.6821425527395739E-3</v>
      </c>
      <c r="H201" s="80">
        <f t="shared" ref="H201:H259" si="56">MOD(C201,12)+(MOD(C201,12)=0)*12</f>
        <v>2</v>
      </c>
      <c r="I201" s="65"/>
      <c r="J201" s="66"/>
      <c r="K201" s="66"/>
      <c r="M201" s="67">
        <f t="shared" si="50"/>
        <v>0</v>
      </c>
      <c r="N201" s="67">
        <f>IF(AND(MOD(C201,12)=1,D201&lt;15),Assumptions!$H$4*I201,0)</f>
        <v>0</v>
      </c>
      <c r="O201" s="67"/>
      <c r="P201" s="88">
        <f t="shared" ref="P201:P259" si="57">(M201+N201-O201)*(F201+G201)</f>
        <v>0</v>
      </c>
      <c r="Q201" s="88">
        <f>(M201+N201-O201)*VLOOKUP(MOD(C201,12)+(MOD(C201,12)=0)*12,Assumptions!$C$22:$D$33,2,FALSE)*(F201+G201)</f>
        <v>0</v>
      </c>
      <c r="R201" s="67">
        <f>IF(AND(MOD(C201,12)=0,D201&lt;15),Assumptions!$C$7*M201,0)</f>
        <v>0</v>
      </c>
      <c r="S201" s="68">
        <f>IF(MOD(C201,12)=0,M201*Assumptions!$D$17,0)</f>
        <v>0</v>
      </c>
      <c r="T201" s="68">
        <f>(M201+N201-O201-P201-Q201-R201+S201)*(D202=Assumptions!$H$9)</f>
        <v>0</v>
      </c>
      <c r="U201" s="67">
        <f>T201+AE201*(1+Assumptions!$D$17)</f>
        <v>0</v>
      </c>
      <c r="V201" s="67">
        <f t="shared" ref="V201:V259" si="58">M201+N201-O201-P201-Q201-R201+S201-T201</f>
        <v>0</v>
      </c>
      <c r="W201" s="67"/>
      <c r="X201" s="67">
        <f>IF(AND(MOD(C201,12)=1,D201&lt;15),Assumptions!$D$10*N201+Assumptions!$D$11*(1+Assumptions!$D$16)^(B201-1)*I201,0)</f>
        <v>0</v>
      </c>
      <c r="Y201" s="65">
        <f>Assumptions!$C$13*N201</f>
        <v>0</v>
      </c>
      <c r="Z201" s="65">
        <f>NPV(Assumptions!$D$19,N202:$N$259)</f>
        <v>0</v>
      </c>
      <c r="AA201" s="68">
        <f t="shared" ref="AA201:AA259" si="59">IF(MOD(C201,12)=1,Z201*$AA$4/12,AA200)</f>
        <v>0</v>
      </c>
      <c r="AB201" s="96"/>
      <c r="AC201" s="67">
        <f>(AC200+N200-P200-Q200-T200-W200-X200-Y200+AD200)*IF(D201=Assumptions!$H$9,0,1)</f>
        <v>0</v>
      </c>
      <c r="AD201" s="91">
        <f>(AF200+N201-W201-X201-Y201)*Assumptions!$D$19-(P201+Q201)*Assumptions!$D$19/2</f>
        <v>0</v>
      </c>
      <c r="AE201" s="67">
        <f>(AE200+(AD201-O201-R201-Q201-S201))*IF(D201=Assumptions!$H$9,0,1)</f>
        <v>0</v>
      </c>
      <c r="AF201" s="91">
        <f t="shared" ref="AF201:AF259" si="60">V201+AE201-AA201</f>
        <v>0</v>
      </c>
      <c r="AG201" s="67">
        <f t="shared" ref="AG201:AG259" si="61">(N201-P201-T201-W201-X201-Y201)+(AF200-AF201)+AD201</f>
        <v>0</v>
      </c>
      <c r="AH201" s="89">
        <f>AG201*Assumptions!$C$18</f>
        <v>0</v>
      </c>
      <c r="AI201" s="67">
        <f t="shared" ref="AI201:AI259" si="62">AG201-AH201</f>
        <v>0</v>
      </c>
      <c r="AK201" s="67">
        <f t="shared" ref="AK201:AK259" si="63">O201+R201-W201-X201-Y201+AM201+AA201-AA200</f>
        <v>0</v>
      </c>
      <c r="AL201" s="70">
        <f t="shared" si="55"/>
        <v>0</v>
      </c>
      <c r="AM201" s="80">
        <f>(O201-W201-X201-Y201-AA201)*Assumptions!$D$19</f>
        <v>0</v>
      </c>
    </row>
    <row r="202" spans="2:39" x14ac:dyDescent="0.2">
      <c r="B202" s="5">
        <f t="shared" si="51"/>
        <v>195</v>
      </c>
      <c r="C202" s="5">
        <f t="shared" si="52"/>
        <v>195</v>
      </c>
      <c r="D202" s="5">
        <f t="shared" si="53"/>
        <v>16</v>
      </c>
      <c r="E202" s="5">
        <f t="shared" si="54"/>
        <v>62</v>
      </c>
      <c r="F202" s="64">
        <f>1-(1-VLOOKUP($E202,'Annual Mortality Rates'!$B$5:$C$105,2,FALSE))^(1/12)</f>
        <v>4.0004569505669441E-4</v>
      </c>
      <c r="G202" s="74">
        <f>1-(1-IF(D202&gt;=7,2%,VLOOKUP($D202,'Annual Lapse Rates'!$B$4:$C$14,2,FALSE)))^(1/12)</f>
        <v>1.6821425527395739E-3</v>
      </c>
      <c r="H202" s="80">
        <f t="shared" si="56"/>
        <v>3</v>
      </c>
      <c r="I202" s="65"/>
      <c r="J202" s="66"/>
      <c r="K202" s="66"/>
      <c r="M202" s="67">
        <f t="shared" ref="M202:M259" si="64">V201</f>
        <v>0</v>
      </c>
      <c r="N202" s="67">
        <f>IF(AND(MOD(C202,12)=1,D202&lt;15),Assumptions!$H$4*I202,0)</f>
        <v>0</v>
      </c>
      <c r="O202" s="67"/>
      <c r="P202" s="88">
        <f t="shared" si="57"/>
        <v>0</v>
      </c>
      <c r="Q202" s="88">
        <f>(M202+N202-O202)*VLOOKUP(MOD(C202,12)+(MOD(C202,12)=0)*12,Assumptions!$C$22:$D$33,2,FALSE)*(F202+G202)</f>
        <v>0</v>
      </c>
      <c r="R202" s="67">
        <f>IF(AND(MOD(C202,12)=0,D202&lt;15),Assumptions!$C$7*M202,0)</f>
        <v>0</v>
      </c>
      <c r="S202" s="68">
        <f>IF(MOD(C202,12)=0,M202*Assumptions!$D$17,0)</f>
        <v>0</v>
      </c>
      <c r="T202" s="68">
        <f>(M202+N202-O202-P202-Q202-R202+S202)*(D203=Assumptions!$H$9)</f>
        <v>0</v>
      </c>
      <c r="U202" s="67">
        <f>T202+AE202*(1+Assumptions!$D$17)</f>
        <v>0</v>
      </c>
      <c r="V202" s="67">
        <f t="shared" si="58"/>
        <v>0</v>
      </c>
      <c r="W202" s="67"/>
      <c r="X202" s="67">
        <f>IF(AND(MOD(C202,12)=1,D202&lt;15),Assumptions!$D$10*N202+Assumptions!$D$11*(1+Assumptions!$D$16)^(B202-1)*I202,0)</f>
        <v>0</v>
      </c>
      <c r="Y202" s="65">
        <f>Assumptions!$C$13*N202</f>
        <v>0</v>
      </c>
      <c r="Z202" s="65">
        <f>NPV(Assumptions!$D$19,N203:$N$259)</f>
        <v>0</v>
      </c>
      <c r="AA202" s="68">
        <f t="shared" si="59"/>
        <v>0</v>
      </c>
      <c r="AB202" s="96"/>
      <c r="AC202" s="67">
        <f>(AC201+N201-P201-Q201-T201-W201-X201-Y201+AD201)*IF(D202=Assumptions!$H$9,0,1)</f>
        <v>0</v>
      </c>
      <c r="AD202" s="91">
        <f>(AF201+N202-W202-X202-Y202)*Assumptions!$D$19-(P202+Q202)*Assumptions!$D$19/2</f>
        <v>0</v>
      </c>
      <c r="AE202" s="67">
        <f>(AE201+(AD202-O202-R202-Q202-S202))*IF(D202=Assumptions!$H$9,0,1)</f>
        <v>0</v>
      </c>
      <c r="AF202" s="91">
        <f t="shared" si="60"/>
        <v>0</v>
      </c>
      <c r="AG202" s="67">
        <f t="shared" si="61"/>
        <v>0</v>
      </c>
      <c r="AH202" s="89">
        <f>AG202*Assumptions!$C$18</f>
        <v>0</v>
      </c>
      <c r="AI202" s="67">
        <f t="shared" si="62"/>
        <v>0</v>
      </c>
      <c r="AK202" s="67">
        <f t="shared" si="63"/>
        <v>0</v>
      </c>
      <c r="AL202" s="70">
        <f t="shared" si="55"/>
        <v>0</v>
      </c>
      <c r="AM202" s="80">
        <f>(O202-W202-X202-Y202-AA202)*Assumptions!$D$19</f>
        <v>0</v>
      </c>
    </row>
    <row r="203" spans="2:39" x14ac:dyDescent="0.2">
      <c r="B203" s="5">
        <f t="shared" si="51"/>
        <v>196</v>
      </c>
      <c r="C203" s="5">
        <f t="shared" si="52"/>
        <v>196</v>
      </c>
      <c r="D203" s="5">
        <f t="shared" si="53"/>
        <v>16</v>
      </c>
      <c r="E203" s="5">
        <f t="shared" si="54"/>
        <v>62</v>
      </c>
      <c r="F203" s="64">
        <f>1-(1-VLOOKUP($E203,'Annual Mortality Rates'!$B$5:$C$105,2,FALSE))^(1/12)</f>
        <v>4.0004569505669441E-4</v>
      </c>
      <c r="G203" s="74">
        <f>1-(1-IF(D203&gt;=7,2%,VLOOKUP($D203,'Annual Lapse Rates'!$B$4:$C$14,2,FALSE)))^(1/12)</f>
        <v>1.6821425527395739E-3</v>
      </c>
      <c r="H203" s="80">
        <f t="shared" si="56"/>
        <v>4</v>
      </c>
      <c r="I203" s="65"/>
      <c r="J203" s="66"/>
      <c r="K203" s="66"/>
      <c r="M203" s="67">
        <f t="shared" si="64"/>
        <v>0</v>
      </c>
      <c r="N203" s="67">
        <f>IF(AND(MOD(C203,12)=1,D203&lt;15),Assumptions!$H$4*I203,0)</f>
        <v>0</v>
      </c>
      <c r="O203" s="67"/>
      <c r="P203" s="88">
        <f t="shared" si="57"/>
        <v>0</v>
      </c>
      <c r="Q203" s="88">
        <f>(M203+N203-O203)*VLOOKUP(MOD(C203,12)+(MOD(C203,12)=0)*12,Assumptions!$C$22:$D$33,2,FALSE)*(F203+G203)</f>
        <v>0</v>
      </c>
      <c r="R203" s="67">
        <f>IF(AND(MOD(C203,12)=0,D203&lt;15),Assumptions!$C$7*M203,0)</f>
        <v>0</v>
      </c>
      <c r="S203" s="68">
        <f>IF(MOD(C203,12)=0,M203*Assumptions!$D$17,0)</f>
        <v>0</v>
      </c>
      <c r="T203" s="68">
        <f>(M203+N203-O203-P203-Q203-R203+S203)*(D204=Assumptions!$H$9)</f>
        <v>0</v>
      </c>
      <c r="U203" s="67">
        <f>T203+AE203*(1+Assumptions!$D$17)</f>
        <v>0</v>
      </c>
      <c r="V203" s="67">
        <f t="shared" si="58"/>
        <v>0</v>
      </c>
      <c r="W203" s="67"/>
      <c r="X203" s="67">
        <f>IF(AND(MOD(C203,12)=1,D203&lt;15),Assumptions!$D$10*N203+Assumptions!$D$11*(1+Assumptions!$D$16)^(B203-1)*I203,0)</f>
        <v>0</v>
      </c>
      <c r="Y203" s="65">
        <f>Assumptions!$C$13*N203</f>
        <v>0</v>
      </c>
      <c r="Z203" s="65">
        <f>NPV(Assumptions!$D$19,N204:$N$259)</f>
        <v>0</v>
      </c>
      <c r="AA203" s="68">
        <f t="shared" si="59"/>
        <v>0</v>
      </c>
      <c r="AB203" s="96"/>
      <c r="AC203" s="67">
        <f>(AC202+N202-P202-Q202-T202-W202-X202-Y202+AD202)*IF(D203=Assumptions!$H$9,0,1)</f>
        <v>0</v>
      </c>
      <c r="AD203" s="91">
        <f>(AF202+N203-W203-X203-Y203)*Assumptions!$D$19-(P203+Q203)*Assumptions!$D$19/2</f>
        <v>0</v>
      </c>
      <c r="AE203" s="67">
        <f>(AE202+(AD203-O203-R203-Q203-S203))*IF(D203=Assumptions!$H$9,0,1)</f>
        <v>0</v>
      </c>
      <c r="AF203" s="91">
        <f t="shared" si="60"/>
        <v>0</v>
      </c>
      <c r="AG203" s="67">
        <f t="shared" si="61"/>
        <v>0</v>
      </c>
      <c r="AH203" s="89">
        <f>AG203*Assumptions!$C$18</f>
        <v>0</v>
      </c>
      <c r="AI203" s="67">
        <f t="shared" si="62"/>
        <v>0</v>
      </c>
      <c r="AK203" s="67">
        <f t="shared" si="63"/>
        <v>0</v>
      </c>
      <c r="AL203" s="70">
        <f t="shared" si="55"/>
        <v>0</v>
      </c>
      <c r="AM203" s="80">
        <f>(O203-W203-X203-Y203-AA203)*Assumptions!$D$19</f>
        <v>0</v>
      </c>
    </row>
    <row r="204" spans="2:39" x14ac:dyDescent="0.2">
      <c r="B204" s="5">
        <f t="shared" si="51"/>
        <v>197</v>
      </c>
      <c r="C204" s="5">
        <f t="shared" si="52"/>
        <v>197</v>
      </c>
      <c r="D204" s="5">
        <f t="shared" si="53"/>
        <v>16</v>
      </c>
      <c r="E204" s="5">
        <f t="shared" si="54"/>
        <v>62</v>
      </c>
      <c r="F204" s="64">
        <f>1-(1-VLOOKUP($E204,'Annual Mortality Rates'!$B$5:$C$105,2,FALSE))^(1/12)</f>
        <v>4.0004569505669441E-4</v>
      </c>
      <c r="G204" s="74">
        <f>1-(1-IF(D204&gt;=7,2%,VLOOKUP($D204,'Annual Lapse Rates'!$B$4:$C$14,2,FALSE)))^(1/12)</f>
        <v>1.6821425527395739E-3</v>
      </c>
      <c r="H204" s="80">
        <f t="shared" si="56"/>
        <v>5</v>
      </c>
      <c r="I204" s="65"/>
      <c r="J204" s="66"/>
      <c r="K204" s="66"/>
      <c r="M204" s="67">
        <f t="shared" si="64"/>
        <v>0</v>
      </c>
      <c r="N204" s="67">
        <f>IF(AND(MOD(C204,12)=1,D204&lt;15),Assumptions!$H$4*I204,0)</f>
        <v>0</v>
      </c>
      <c r="O204" s="67"/>
      <c r="P204" s="88">
        <f t="shared" si="57"/>
        <v>0</v>
      </c>
      <c r="Q204" s="88">
        <f>(M204+N204-O204)*VLOOKUP(MOD(C204,12)+(MOD(C204,12)=0)*12,Assumptions!$C$22:$D$33,2,FALSE)*(F204+G204)</f>
        <v>0</v>
      </c>
      <c r="R204" s="67">
        <f>IF(AND(MOD(C204,12)=0,D204&lt;15),Assumptions!$C$7*M204,0)</f>
        <v>0</v>
      </c>
      <c r="S204" s="68">
        <f>IF(MOD(C204,12)=0,M204*Assumptions!$D$17,0)</f>
        <v>0</v>
      </c>
      <c r="T204" s="68">
        <f>(M204+N204-O204-P204-Q204-R204+S204)*(D205=Assumptions!$H$9)</f>
        <v>0</v>
      </c>
      <c r="U204" s="67">
        <f>T204+AE204*(1+Assumptions!$D$17)</f>
        <v>0</v>
      </c>
      <c r="V204" s="67">
        <f t="shared" si="58"/>
        <v>0</v>
      </c>
      <c r="W204" s="67"/>
      <c r="X204" s="67">
        <f>IF(AND(MOD(C204,12)=1,D204&lt;15),Assumptions!$D$10*N204+Assumptions!$D$11*(1+Assumptions!$D$16)^(B204-1)*I204,0)</f>
        <v>0</v>
      </c>
      <c r="Y204" s="65">
        <f>Assumptions!$C$13*N204</f>
        <v>0</v>
      </c>
      <c r="Z204" s="65">
        <f>NPV(Assumptions!$D$19,N205:$N$259)</f>
        <v>0</v>
      </c>
      <c r="AA204" s="68">
        <f t="shared" si="59"/>
        <v>0</v>
      </c>
      <c r="AB204" s="96"/>
      <c r="AC204" s="67">
        <f>(AC203+N203-P203-Q203-T203-W203-X203-Y203+AD203)*IF(D204=Assumptions!$H$9,0,1)</f>
        <v>0</v>
      </c>
      <c r="AD204" s="91">
        <f>(AF203+N204-W204-X204-Y204)*Assumptions!$D$19-(P204+Q204)*Assumptions!$D$19/2</f>
        <v>0</v>
      </c>
      <c r="AE204" s="67">
        <f>(AE203+(AD204-O204-R204-Q204-S204))*IF(D204=Assumptions!$H$9,0,1)</f>
        <v>0</v>
      </c>
      <c r="AF204" s="91">
        <f t="shared" si="60"/>
        <v>0</v>
      </c>
      <c r="AG204" s="67">
        <f t="shared" si="61"/>
        <v>0</v>
      </c>
      <c r="AH204" s="89">
        <f>AG204*Assumptions!$C$18</f>
        <v>0</v>
      </c>
      <c r="AI204" s="67">
        <f t="shared" si="62"/>
        <v>0</v>
      </c>
      <c r="AK204" s="67">
        <f t="shared" si="63"/>
        <v>0</v>
      </c>
      <c r="AL204" s="70">
        <f t="shared" si="55"/>
        <v>0</v>
      </c>
      <c r="AM204" s="80">
        <f>(O204-W204-X204-Y204-AA204)*Assumptions!$D$19</f>
        <v>0</v>
      </c>
    </row>
    <row r="205" spans="2:39" x14ac:dyDescent="0.2">
      <c r="B205" s="5">
        <f t="shared" si="51"/>
        <v>198</v>
      </c>
      <c r="C205" s="5">
        <f t="shared" si="52"/>
        <v>198</v>
      </c>
      <c r="D205" s="5">
        <f t="shared" si="53"/>
        <v>16</v>
      </c>
      <c r="E205" s="5">
        <f t="shared" si="54"/>
        <v>62</v>
      </c>
      <c r="F205" s="64">
        <f>1-(1-VLOOKUP($E205,'Annual Mortality Rates'!$B$5:$C$105,2,FALSE))^(1/12)</f>
        <v>4.0004569505669441E-4</v>
      </c>
      <c r="G205" s="74">
        <f>1-(1-IF(D205&gt;=7,2%,VLOOKUP($D205,'Annual Lapse Rates'!$B$4:$C$14,2,FALSE)))^(1/12)</f>
        <v>1.6821425527395739E-3</v>
      </c>
      <c r="H205" s="80">
        <f t="shared" si="56"/>
        <v>6</v>
      </c>
      <c r="I205" s="65"/>
      <c r="J205" s="66"/>
      <c r="K205" s="66"/>
      <c r="M205" s="67">
        <f t="shared" si="64"/>
        <v>0</v>
      </c>
      <c r="N205" s="67">
        <f>IF(AND(MOD(C205,12)=1,D205&lt;15),Assumptions!$H$4*I205,0)</f>
        <v>0</v>
      </c>
      <c r="O205" s="67"/>
      <c r="P205" s="88">
        <f t="shared" si="57"/>
        <v>0</v>
      </c>
      <c r="Q205" s="88">
        <f>(M205+N205-O205)*VLOOKUP(MOD(C205,12)+(MOD(C205,12)=0)*12,Assumptions!$C$22:$D$33,2,FALSE)*(F205+G205)</f>
        <v>0</v>
      </c>
      <c r="R205" s="67">
        <f>IF(AND(MOD(C205,12)=0,D205&lt;15),Assumptions!$C$7*M205,0)</f>
        <v>0</v>
      </c>
      <c r="S205" s="68">
        <f>IF(MOD(C205,12)=0,M205*Assumptions!$D$17,0)</f>
        <v>0</v>
      </c>
      <c r="T205" s="68">
        <f>(M205+N205-O205-P205-Q205-R205+S205)*(D206=Assumptions!$H$9)</f>
        <v>0</v>
      </c>
      <c r="U205" s="67">
        <f>T205+AE205*(1+Assumptions!$D$17)</f>
        <v>0</v>
      </c>
      <c r="V205" s="67">
        <f t="shared" si="58"/>
        <v>0</v>
      </c>
      <c r="W205" s="67"/>
      <c r="X205" s="67">
        <f>IF(AND(MOD(C205,12)=1,D205&lt;15),Assumptions!$D$10*N205+Assumptions!$D$11*(1+Assumptions!$D$16)^(B205-1)*I205,0)</f>
        <v>0</v>
      </c>
      <c r="Y205" s="65">
        <f>Assumptions!$C$13*N205</f>
        <v>0</v>
      </c>
      <c r="Z205" s="65">
        <f>NPV(Assumptions!$D$19,N206:$N$259)</f>
        <v>0</v>
      </c>
      <c r="AA205" s="68">
        <f t="shared" si="59"/>
        <v>0</v>
      </c>
      <c r="AB205" s="96"/>
      <c r="AC205" s="67">
        <f>(AC204+N204-P204-Q204-T204-W204-X204-Y204+AD204)*IF(D205=Assumptions!$H$9,0,1)</f>
        <v>0</v>
      </c>
      <c r="AD205" s="91">
        <f>(AF204+N205-W205-X205-Y205)*Assumptions!$D$19-(P205+Q205)*Assumptions!$D$19/2</f>
        <v>0</v>
      </c>
      <c r="AE205" s="67">
        <f>(AE204+(AD205-O205-R205-Q205-S205))*IF(D205=Assumptions!$H$9,0,1)</f>
        <v>0</v>
      </c>
      <c r="AF205" s="91">
        <f t="shared" si="60"/>
        <v>0</v>
      </c>
      <c r="AG205" s="67">
        <f t="shared" si="61"/>
        <v>0</v>
      </c>
      <c r="AH205" s="89">
        <f>AG205*Assumptions!$C$18</f>
        <v>0</v>
      </c>
      <c r="AI205" s="67">
        <f t="shared" si="62"/>
        <v>0</v>
      </c>
      <c r="AK205" s="67">
        <f t="shared" si="63"/>
        <v>0</v>
      </c>
      <c r="AL205" s="70">
        <f t="shared" si="55"/>
        <v>0</v>
      </c>
      <c r="AM205" s="80">
        <f>(O205-W205-X205-Y205-AA205)*Assumptions!$D$19</f>
        <v>0</v>
      </c>
    </row>
    <row r="206" spans="2:39" x14ac:dyDescent="0.2">
      <c r="B206" s="5">
        <f t="shared" si="51"/>
        <v>199</v>
      </c>
      <c r="C206" s="5">
        <f t="shared" si="52"/>
        <v>199</v>
      </c>
      <c r="D206" s="5">
        <f t="shared" si="53"/>
        <v>16</v>
      </c>
      <c r="E206" s="5">
        <f t="shared" si="54"/>
        <v>62</v>
      </c>
      <c r="F206" s="64">
        <f>1-(1-VLOOKUP($E206,'Annual Mortality Rates'!$B$5:$C$105,2,FALSE))^(1/12)</f>
        <v>4.0004569505669441E-4</v>
      </c>
      <c r="G206" s="74">
        <f>1-(1-IF(D206&gt;=7,2%,VLOOKUP($D206,'Annual Lapse Rates'!$B$4:$C$14,2,FALSE)))^(1/12)</f>
        <v>1.6821425527395739E-3</v>
      </c>
      <c r="H206" s="80">
        <f t="shared" si="56"/>
        <v>7</v>
      </c>
      <c r="I206" s="65"/>
      <c r="J206" s="66"/>
      <c r="K206" s="66"/>
      <c r="M206" s="67">
        <f t="shared" si="64"/>
        <v>0</v>
      </c>
      <c r="N206" s="67">
        <f>IF(AND(MOD(C206,12)=1,D206&lt;15),Assumptions!$H$4*I206,0)</f>
        <v>0</v>
      </c>
      <c r="O206" s="67"/>
      <c r="P206" s="88">
        <f t="shared" si="57"/>
        <v>0</v>
      </c>
      <c r="Q206" s="88">
        <f>(M206+N206-O206)*VLOOKUP(MOD(C206,12)+(MOD(C206,12)=0)*12,Assumptions!$C$22:$D$33,2,FALSE)*(F206+G206)</f>
        <v>0</v>
      </c>
      <c r="R206" s="67">
        <f>IF(AND(MOD(C206,12)=0,D206&lt;15),Assumptions!$C$7*M206,0)</f>
        <v>0</v>
      </c>
      <c r="S206" s="68">
        <f>IF(MOD(C206,12)=0,M206*Assumptions!$D$17,0)</f>
        <v>0</v>
      </c>
      <c r="T206" s="68">
        <f>(M206+N206-O206-P206-Q206-R206+S206)*(D207=Assumptions!$H$9)</f>
        <v>0</v>
      </c>
      <c r="U206" s="67">
        <f>T206+AE206*(1+Assumptions!$D$17)</f>
        <v>0</v>
      </c>
      <c r="V206" s="67">
        <f t="shared" si="58"/>
        <v>0</v>
      </c>
      <c r="W206" s="67"/>
      <c r="X206" s="67">
        <f>IF(AND(MOD(C206,12)=1,D206&lt;15),Assumptions!$D$10*N206+Assumptions!$D$11*(1+Assumptions!$D$16)^(B206-1)*I206,0)</f>
        <v>0</v>
      </c>
      <c r="Y206" s="65">
        <f>Assumptions!$C$13*N206</f>
        <v>0</v>
      </c>
      <c r="Z206" s="65">
        <f>NPV(Assumptions!$D$19,N207:$N$259)</f>
        <v>0</v>
      </c>
      <c r="AA206" s="68">
        <f t="shared" si="59"/>
        <v>0</v>
      </c>
      <c r="AB206" s="96"/>
      <c r="AC206" s="67">
        <f>(AC205+N205-P205-Q205-T205-W205-X205-Y205+AD205)*IF(D206=Assumptions!$H$9,0,1)</f>
        <v>0</v>
      </c>
      <c r="AD206" s="91">
        <f>(AF205+N206-W206-X206-Y206)*Assumptions!$D$19-(P206+Q206)*Assumptions!$D$19/2</f>
        <v>0</v>
      </c>
      <c r="AE206" s="67">
        <f>(AE205+(AD206-O206-R206-Q206-S206))*IF(D206=Assumptions!$H$9,0,1)</f>
        <v>0</v>
      </c>
      <c r="AF206" s="91">
        <f t="shared" si="60"/>
        <v>0</v>
      </c>
      <c r="AG206" s="67">
        <f t="shared" si="61"/>
        <v>0</v>
      </c>
      <c r="AH206" s="89">
        <f>AG206*Assumptions!$C$18</f>
        <v>0</v>
      </c>
      <c r="AI206" s="67">
        <f t="shared" si="62"/>
        <v>0</v>
      </c>
      <c r="AK206" s="67">
        <f t="shared" si="63"/>
        <v>0</v>
      </c>
      <c r="AL206" s="70">
        <f t="shared" si="55"/>
        <v>0</v>
      </c>
      <c r="AM206" s="80">
        <f>(O206-W206-X206-Y206-AA206)*Assumptions!$D$19</f>
        <v>0</v>
      </c>
    </row>
    <row r="207" spans="2:39" x14ac:dyDescent="0.2">
      <c r="B207" s="5">
        <f t="shared" si="51"/>
        <v>200</v>
      </c>
      <c r="C207" s="5">
        <f t="shared" si="52"/>
        <v>200</v>
      </c>
      <c r="D207" s="5">
        <f t="shared" si="53"/>
        <v>16</v>
      </c>
      <c r="E207" s="5">
        <f t="shared" si="54"/>
        <v>62</v>
      </c>
      <c r="F207" s="64">
        <f>1-(1-VLOOKUP($E207,'Annual Mortality Rates'!$B$5:$C$105,2,FALSE))^(1/12)</f>
        <v>4.0004569505669441E-4</v>
      </c>
      <c r="G207" s="74">
        <f>1-(1-IF(D207&gt;=7,2%,VLOOKUP($D207,'Annual Lapse Rates'!$B$4:$C$14,2,FALSE)))^(1/12)</f>
        <v>1.6821425527395739E-3</v>
      </c>
      <c r="H207" s="80">
        <f t="shared" si="56"/>
        <v>8</v>
      </c>
      <c r="I207" s="65"/>
      <c r="J207" s="66"/>
      <c r="K207" s="66"/>
      <c r="M207" s="67">
        <f t="shared" si="64"/>
        <v>0</v>
      </c>
      <c r="N207" s="67">
        <f>IF(AND(MOD(C207,12)=1,D207&lt;15),Assumptions!$H$4*I207,0)</f>
        <v>0</v>
      </c>
      <c r="O207" s="67"/>
      <c r="P207" s="88">
        <f t="shared" si="57"/>
        <v>0</v>
      </c>
      <c r="Q207" s="88">
        <f>(M207+N207-O207)*VLOOKUP(MOD(C207,12)+(MOD(C207,12)=0)*12,Assumptions!$C$22:$D$33,2,FALSE)*(F207+G207)</f>
        <v>0</v>
      </c>
      <c r="R207" s="67">
        <f>IF(AND(MOD(C207,12)=0,D207&lt;15),Assumptions!$C$7*M207,0)</f>
        <v>0</v>
      </c>
      <c r="S207" s="68">
        <f>IF(MOD(C207,12)=0,M207*Assumptions!$D$17,0)</f>
        <v>0</v>
      </c>
      <c r="T207" s="68">
        <f>(M207+N207-O207-P207-Q207-R207+S207)*(D208=Assumptions!$H$9)</f>
        <v>0</v>
      </c>
      <c r="U207" s="67">
        <f>T207+AE207*(1+Assumptions!$D$17)</f>
        <v>0</v>
      </c>
      <c r="V207" s="67">
        <f t="shared" si="58"/>
        <v>0</v>
      </c>
      <c r="W207" s="67"/>
      <c r="X207" s="67">
        <f>IF(AND(MOD(C207,12)=1,D207&lt;15),Assumptions!$D$10*N207+Assumptions!$D$11*(1+Assumptions!$D$16)^(B207-1)*I207,0)</f>
        <v>0</v>
      </c>
      <c r="Y207" s="65">
        <f>Assumptions!$C$13*N207</f>
        <v>0</v>
      </c>
      <c r="Z207" s="65">
        <f>NPV(Assumptions!$D$19,N208:$N$259)</f>
        <v>0</v>
      </c>
      <c r="AA207" s="68">
        <f t="shared" si="59"/>
        <v>0</v>
      </c>
      <c r="AB207" s="96"/>
      <c r="AC207" s="67">
        <f>(AC206+N206-P206-Q206-T206-W206-X206-Y206+AD206)*IF(D207=Assumptions!$H$9,0,1)</f>
        <v>0</v>
      </c>
      <c r="AD207" s="91">
        <f>(AF206+N207-W207-X207-Y207)*Assumptions!$D$19-(P207+Q207)*Assumptions!$D$19/2</f>
        <v>0</v>
      </c>
      <c r="AE207" s="67">
        <f>(AE206+(AD207-O207-R207-Q207-S207))*IF(D207=Assumptions!$H$9,0,1)</f>
        <v>0</v>
      </c>
      <c r="AF207" s="91">
        <f t="shared" si="60"/>
        <v>0</v>
      </c>
      <c r="AG207" s="67">
        <f t="shared" si="61"/>
        <v>0</v>
      </c>
      <c r="AH207" s="89">
        <f>AG207*Assumptions!$C$18</f>
        <v>0</v>
      </c>
      <c r="AI207" s="67">
        <f t="shared" si="62"/>
        <v>0</v>
      </c>
      <c r="AK207" s="67">
        <f t="shared" si="63"/>
        <v>0</v>
      </c>
      <c r="AL207" s="70">
        <f t="shared" si="55"/>
        <v>0</v>
      </c>
      <c r="AM207" s="80">
        <f>(O207-W207-X207-Y207-AA207)*Assumptions!$D$19</f>
        <v>0</v>
      </c>
    </row>
    <row r="208" spans="2:39" x14ac:dyDescent="0.2">
      <c r="B208" s="5">
        <f t="shared" si="51"/>
        <v>201</v>
      </c>
      <c r="C208" s="5">
        <f t="shared" si="52"/>
        <v>201</v>
      </c>
      <c r="D208" s="5">
        <f t="shared" si="53"/>
        <v>16</v>
      </c>
      <c r="E208" s="5">
        <f t="shared" si="54"/>
        <v>62</v>
      </c>
      <c r="F208" s="64">
        <f>1-(1-VLOOKUP($E208,'Annual Mortality Rates'!$B$5:$C$105,2,FALSE))^(1/12)</f>
        <v>4.0004569505669441E-4</v>
      </c>
      <c r="G208" s="74">
        <f>1-(1-IF(D208&gt;=7,2%,VLOOKUP($D208,'Annual Lapse Rates'!$B$4:$C$14,2,FALSE)))^(1/12)</f>
        <v>1.6821425527395739E-3</v>
      </c>
      <c r="H208" s="80">
        <f t="shared" si="56"/>
        <v>9</v>
      </c>
      <c r="I208" s="65"/>
      <c r="J208" s="66"/>
      <c r="K208" s="66"/>
      <c r="M208" s="67">
        <f t="shared" si="64"/>
        <v>0</v>
      </c>
      <c r="N208" s="67">
        <f>IF(AND(MOD(C208,12)=1,D208&lt;15),Assumptions!$H$4*I208,0)</f>
        <v>0</v>
      </c>
      <c r="O208" s="67"/>
      <c r="P208" s="88">
        <f t="shared" si="57"/>
        <v>0</v>
      </c>
      <c r="Q208" s="88">
        <f>(M208+N208-O208)*VLOOKUP(MOD(C208,12)+(MOD(C208,12)=0)*12,Assumptions!$C$22:$D$33,2,FALSE)*(F208+G208)</f>
        <v>0</v>
      </c>
      <c r="R208" s="67">
        <f>IF(AND(MOD(C208,12)=0,D208&lt;15),Assumptions!$C$7*M208,0)</f>
        <v>0</v>
      </c>
      <c r="S208" s="68">
        <f>IF(MOD(C208,12)=0,M208*Assumptions!$D$17,0)</f>
        <v>0</v>
      </c>
      <c r="T208" s="68">
        <f>(M208+N208-O208-P208-Q208-R208+S208)*(D209=Assumptions!$H$9)</f>
        <v>0</v>
      </c>
      <c r="U208" s="67">
        <f>T208+AE208*(1+Assumptions!$D$17)</f>
        <v>0</v>
      </c>
      <c r="V208" s="67">
        <f t="shared" si="58"/>
        <v>0</v>
      </c>
      <c r="W208" s="67"/>
      <c r="X208" s="67">
        <f>IF(AND(MOD(C208,12)=1,D208&lt;15),Assumptions!$D$10*N208+Assumptions!$D$11*(1+Assumptions!$D$16)^(B208-1)*I208,0)</f>
        <v>0</v>
      </c>
      <c r="Y208" s="65">
        <f>Assumptions!$C$13*N208</f>
        <v>0</v>
      </c>
      <c r="Z208" s="65">
        <f>NPV(Assumptions!$D$19,N209:$N$259)</f>
        <v>0</v>
      </c>
      <c r="AA208" s="68">
        <f t="shared" si="59"/>
        <v>0</v>
      </c>
      <c r="AB208" s="96"/>
      <c r="AC208" s="67">
        <f>(AC207+N207-P207-Q207-T207-W207-X207-Y207+AD207)*IF(D208=Assumptions!$H$9,0,1)</f>
        <v>0</v>
      </c>
      <c r="AD208" s="91">
        <f>(AF207+N208-W208-X208-Y208)*Assumptions!$D$19-(P208+Q208)*Assumptions!$D$19/2</f>
        <v>0</v>
      </c>
      <c r="AE208" s="67">
        <f>(AE207+(AD208-O208-R208-Q208-S208))*IF(D208=Assumptions!$H$9,0,1)</f>
        <v>0</v>
      </c>
      <c r="AF208" s="91">
        <f t="shared" si="60"/>
        <v>0</v>
      </c>
      <c r="AG208" s="67">
        <f t="shared" si="61"/>
        <v>0</v>
      </c>
      <c r="AH208" s="89">
        <f>AG208*Assumptions!$C$18</f>
        <v>0</v>
      </c>
      <c r="AI208" s="67">
        <f t="shared" si="62"/>
        <v>0</v>
      </c>
      <c r="AK208" s="67">
        <f t="shared" si="63"/>
        <v>0</v>
      </c>
      <c r="AL208" s="70">
        <f t="shared" si="55"/>
        <v>0</v>
      </c>
      <c r="AM208" s="80">
        <f>(O208-W208-X208-Y208-AA208)*Assumptions!$D$19</f>
        <v>0</v>
      </c>
    </row>
    <row r="209" spans="2:39" x14ac:dyDescent="0.2">
      <c r="B209" s="5">
        <f t="shared" si="51"/>
        <v>202</v>
      </c>
      <c r="C209" s="5">
        <f t="shared" si="52"/>
        <v>202</v>
      </c>
      <c r="D209" s="5">
        <f t="shared" si="53"/>
        <v>16</v>
      </c>
      <c r="E209" s="5">
        <f t="shared" si="54"/>
        <v>62</v>
      </c>
      <c r="F209" s="64">
        <f>1-(1-VLOOKUP($E209,'Annual Mortality Rates'!$B$5:$C$105,2,FALSE))^(1/12)</f>
        <v>4.0004569505669441E-4</v>
      </c>
      <c r="G209" s="74">
        <f>1-(1-IF(D209&gt;=7,2%,VLOOKUP($D209,'Annual Lapse Rates'!$B$4:$C$14,2,FALSE)))^(1/12)</f>
        <v>1.6821425527395739E-3</v>
      </c>
      <c r="H209" s="80">
        <f t="shared" si="56"/>
        <v>10</v>
      </c>
      <c r="I209" s="65"/>
      <c r="J209" s="66"/>
      <c r="K209" s="66"/>
      <c r="M209" s="67">
        <f t="shared" si="64"/>
        <v>0</v>
      </c>
      <c r="N209" s="67">
        <f>IF(AND(MOD(C209,12)=1,D209&lt;15),Assumptions!$H$4*I209,0)</f>
        <v>0</v>
      </c>
      <c r="O209" s="67"/>
      <c r="P209" s="88">
        <f t="shared" si="57"/>
        <v>0</v>
      </c>
      <c r="Q209" s="88">
        <f>(M209+N209-O209)*VLOOKUP(MOD(C209,12)+(MOD(C209,12)=0)*12,Assumptions!$C$22:$D$33,2,FALSE)*(F209+G209)</f>
        <v>0</v>
      </c>
      <c r="R209" s="67">
        <f>IF(AND(MOD(C209,12)=0,D209&lt;15),Assumptions!$C$7*M209,0)</f>
        <v>0</v>
      </c>
      <c r="S209" s="68">
        <f>IF(MOD(C209,12)=0,M209*Assumptions!$D$17,0)</f>
        <v>0</v>
      </c>
      <c r="T209" s="68">
        <f>(M209+N209-O209-P209-Q209-R209+S209)*(D210=Assumptions!$H$9)</f>
        <v>0</v>
      </c>
      <c r="U209" s="67">
        <f>T209+AE209*(1+Assumptions!$D$17)</f>
        <v>0</v>
      </c>
      <c r="V209" s="67">
        <f t="shared" si="58"/>
        <v>0</v>
      </c>
      <c r="W209" s="67"/>
      <c r="X209" s="67">
        <f>IF(AND(MOD(C209,12)=1,D209&lt;15),Assumptions!$D$10*N209+Assumptions!$D$11*(1+Assumptions!$D$16)^(B209-1)*I209,0)</f>
        <v>0</v>
      </c>
      <c r="Y209" s="65">
        <f>Assumptions!$C$13*N209</f>
        <v>0</v>
      </c>
      <c r="Z209" s="65">
        <f>NPV(Assumptions!$D$19,N210:$N$259)</f>
        <v>0</v>
      </c>
      <c r="AA209" s="68">
        <f t="shared" si="59"/>
        <v>0</v>
      </c>
      <c r="AB209" s="96"/>
      <c r="AC209" s="67">
        <f>(AC208+N208-P208-Q208-T208-W208-X208-Y208+AD208)*IF(D209=Assumptions!$H$9,0,1)</f>
        <v>0</v>
      </c>
      <c r="AD209" s="91">
        <f>(AF208+N209-W209-X209-Y209)*Assumptions!$D$19-(P209+Q209)*Assumptions!$D$19/2</f>
        <v>0</v>
      </c>
      <c r="AE209" s="67">
        <f>(AE208+(AD209-O209-R209-Q209-S209))*IF(D209=Assumptions!$H$9,0,1)</f>
        <v>0</v>
      </c>
      <c r="AF209" s="91">
        <f t="shared" si="60"/>
        <v>0</v>
      </c>
      <c r="AG209" s="67">
        <f t="shared" si="61"/>
        <v>0</v>
      </c>
      <c r="AH209" s="89">
        <f>AG209*Assumptions!$C$18</f>
        <v>0</v>
      </c>
      <c r="AI209" s="67">
        <f t="shared" si="62"/>
        <v>0</v>
      </c>
      <c r="AK209" s="67">
        <f t="shared" si="63"/>
        <v>0</v>
      </c>
      <c r="AL209" s="70">
        <f t="shared" si="55"/>
        <v>0</v>
      </c>
      <c r="AM209" s="80">
        <f>(O209-W209-X209-Y209-AA209)*Assumptions!$D$19</f>
        <v>0</v>
      </c>
    </row>
    <row r="210" spans="2:39" x14ac:dyDescent="0.2">
      <c r="B210" s="5">
        <f t="shared" si="51"/>
        <v>203</v>
      </c>
      <c r="C210" s="5">
        <f t="shared" si="52"/>
        <v>203</v>
      </c>
      <c r="D210" s="5">
        <f t="shared" si="53"/>
        <v>16</v>
      </c>
      <c r="E210" s="5">
        <f t="shared" si="54"/>
        <v>62</v>
      </c>
      <c r="F210" s="64">
        <f>1-(1-VLOOKUP($E210,'Annual Mortality Rates'!$B$5:$C$105,2,FALSE))^(1/12)</f>
        <v>4.0004569505669441E-4</v>
      </c>
      <c r="G210" s="74">
        <f>1-(1-IF(D210&gt;=7,2%,VLOOKUP($D210,'Annual Lapse Rates'!$B$4:$C$14,2,FALSE)))^(1/12)</f>
        <v>1.6821425527395739E-3</v>
      </c>
      <c r="H210" s="80">
        <f t="shared" si="56"/>
        <v>11</v>
      </c>
      <c r="I210" s="65"/>
      <c r="J210" s="66"/>
      <c r="K210" s="66"/>
      <c r="M210" s="67">
        <f t="shared" si="64"/>
        <v>0</v>
      </c>
      <c r="N210" s="67">
        <f>IF(AND(MOD(C210,12)=1,D210&lt;15),Assumptions!$H$4*I210,0)</f>
        <v>0</v>
      </c>
      <c r="O210" s="67"/>
      <c r="P210" s="88">
        <f t="shared" si="57"/>
        <v>0</v>
      </c>
      <c r="Q210" s="88">
        <f>(M210+N210-O210)*VLOOKUP(MOD(C210,12)+(MOD(C210,12)=0)*12,Assumptions!$C$22:$D$33,2,FALSE)*(F210+G210)</f>
        <v>0</v>
      </c>
      <c r="R210" s="67">
        <f>IF(AND(MOD(C210,12)=0,D210&lt;15),Assumptions!$C$7*M210,0)</f>
        <v>0</v>
      </c>
      <c r="S210" s="68">
        <f>IF(MOD(C210,12)=0,M210*Assumptions!$D$17,0)</f>
        <v>0</v>
      </c>
      <c r="T210" s="68">
        <f>(M210+N210-O210-P210-Q210-R210+S210)*(D211=Assumptions!$H$9)</f>
        <v>0</v>
      </c>
      <c r="U210" s="67">
        <f>T210+AE210*(1+Assumptions!$D$17)</f>
        <v>0</v>
      </c>
      <c r="V210" s="67">
        <f t="shared" si="58"/>
        <v>0</v>
      </c>
      <c r="W210" s="67"/>
      <c r="X210" s="67">
        <f>IF(AND(MOD(C210,12)=1,D210&lt;15),Assumptions!$D$10*N210+Assumptions!$D$11*(1+Assumptions!$D$16)^(B210-1)*I210,0)</f>
        <v>0</v>
      </c>
      <c r="Y210" s="65">
        <f>Assumptions!$C$13*N210</f>
        <v>0</v>
      </c>
      <c r="Z210" s="65">
        <f>NPV(Assumptions!$D$19,N211:$N$259)</f>
        <v>0</v>
      </c>
      <c r="AA210" s="68">
        <f t="shared" si="59"/>
        <v>0</v>
      </c>
      <c r="AB210" s="96"/>
      <c r="AC210" s="67">
        <f>(AC209+N209-P209-Q209-T209-W209-X209-Y209+AD209)*IF(D210=Assumptions!$H$9,0,1)</f>
        <v>0</v>
      </c>
      <c r="AD210" s="91">
        <f>(AF209+N210-W210-X210-Y210)*Assumptions!$D$19-(P210+Q210)*Assumptions!$D$19/2</f>
        <v>0</v>
      </c>
      <c r="AE210" s="67">
        <f>(AE209+(AD210-O210-R210-Q210-S210))*IF(D210=Assumptions!$H$9,0,1)</f>
        <v>0</v>
      </c>
      <c r="AF210" s="91">
        <f t="shared" si="60"/>
        <v>0</v>
      </c>
      <c r="AG210" s="67">
        <f t="shared" si="61"/>
        <v>0</v>
      </c>
      <c r="AH210" s="89">
        <f>AG210*Assumptions!$C$18</f>
        <v>0</v>
      </c>
      <c r="AI210" s="67">
        <f t="shared" si="62"/>
        <v>0</v>
      </c>
      <c r="AK210" s="67">
        <f t="shared" si="63"/>
        <v>0</v>
      </c>
      <c r="AL210" s="70">
        <f t="shared" si="55"/>
        <v>0</v>
      </c>
      <c r="AM210" s="80">
        <f>(O210-W210-X210-Y210-AA210)*Assumptions!$D$19</f>
        <v>0</v>
      </c>
    </row>
    <row r="211" spans="2:39" x14ac:dyDescent="0.2">
      <c r="B211" s="5">
        <f t="shared" si="51"/>
        <v>204</v>
      </c>
      <c r="C211" s="5">
        <f t="shared" si="52"/>
        <v>204</v>
      </c>
      <c r="D211" s="5">
        <f t="shared" si="53"/>
        <v>16</v>
      </c>
      <c r="E211" s="5">
        <f t="shared" si="54"/>
        <v>62</v>
      </c>
      <c r="F211" s="64">
        <f>1-(1-VLOOKUP($E211,'Annual Mortality Rates'!$B$5:$C$105,2,FALSE))^(1/12)</f>
        <v>4.0004569505669441E-4</v>
      </c>
      <c r="G211" s="74">
        <f>1-(1-IF(D211&gt;=7,2%,VLOOKUP($D211,'Annual Lapse Rates'!$B$4:$C$14,2,FALSE)))^(1/12)</f>
        <v>1.6821425527395739E-3</v>
      </c>
      <c r="H211" s="80">
        <f t="shared" si="56"/>
        <v>12</v>
      </c>
      <c r="I211" s="65"/>
      <c r="J211" s="66"/>
      <c r="K211" s="66"/>
      <c r="M211" s="67">
        <f t="shared" si="64"/>
        <v>0</v>
      </c>
      <c r="N211" s="67">
        <f>IF(AND(MOD(C211,12)=1,D211&lt;15),Assumptions!$H$4*I211,0)</f>
        <v>0</v>
      </c>
      <c r="O211" s="67"/>
      <c r="P211" s="88">
        <f t="shared" si="57"/>
        <v>0</v>
      </c>
      <c r="Q211" s="88">
        <f>(M211+N211-O211)*VLOOKUP(MOD(C211,12)+(MOD(C211,12)=0)*12,Assumptions!$C$22:$D$33,2,FALSE)*(F211+G211)</f>
        <v>0</v>
      </c>
      <c r="R211" s="67">
        <f>IF(AND(MOD(C211,12)=0,D211&lt;15),Assumptions!$C$7*M211,0)</f>
        <v>0</v>
      </c>
      <c r="S211" s="68">
        <f>IF(MOD(C211,12)=0,M211*Assumptions!$D$17,0)</f>
        <v>0</v>
      </c>
      <c r="T211" s="68">
        <f>(M211+N211-O211-P211-Q211-R211+S211)*(D212=Assumptions!$H$9)</f>
        <v>0</v>
      </c>
      <c r="U211" s="67">
        <f>T211+AE211*(1+Assumptions!$D$17)</f>
        <v>0</v>
      </c>
      <c r="V211" s="67">
        <f t="shared" si="58"/>
        <v>0</v>
      </c>
      <c r="W211" s="67"/>
      <c r="X211" s="67">
        <f>IF(AND(MOD(C211,12)=1,D211&lt;15),Assumptions!$D$10*N211+Assumptions!$D$11*(1+Assumptions!$D$16)^(B211-1)*I211,0)</f>
        <v>0</v>
      </c>
      <c r="Y211" s="65">
        <f>Assumptions!$C$13*N211</f>
        <v>0</v>
      </c>
      <c r="Z211" s="65">
        <f>NPV(Assumptions!$D$19,N212:$N$259)</f>
        <v>0</v>
      </c>
      <c r="AA211" s="68">
        <f t="shared" si="59"/>
        <v>0</v>
      </c>
      <c r="AB211" s="96"/>
      <c r="AC211" s="67">
        <f>(AC210+N210-P210-Q210-T210-W210-X210-Y210+AD210)*IF(D211=Assumptions!$H$9,0,1)</f>
        <v>0</v>
      </c>
      <c r="AD211" s="91">
        <f>(AF210+N211-W211-X211-Y211)*Assumptions!$D$19-(P211+Q211)*Assumptions!$D$19/2</f>
        <v>0</v>
      </c>
      <c r="AE211" s="67">
        <f>(AE210+(AD211-O211-R211-Q211-S211))*IF(D211=Assumptions!$H$9,0,1)</f>
        <v>0</v>
      </c>
      <c r="AF211" s="91">
        <f t="shared" si="60"/>
        <v>0</v>
      </c>
      <c r="AG211" s="67">
        <f t="shared" si="61"/>
        <v>0</v>
      </c>
      <c r="AH211" s="89">
        <f>AG211*Assumptions!$C$18</f>
        <v>0</v>
      </c>
      <c r="AI211" s="67">
        <f t="shared" si="62"/>
        <v>0</v>
      </c>
      <c r="AK211" s="67">
        <f t="shared" si="63"/>
        <v>0</v>
      </c>
      <c r="AL211" s="70">
        <f t="shared" si="55"/>
        <v>0</v>
      </c>
      <c r="AM211" s="80">
        <f>(O211-W211-X211-Y211-AA211)*Assumptions!$D$19</f>
        <v>0</v>
      </c>
    </row>
    <row r="212" spans="2:39" x14ac:dyDescent="0.2">
      <c r="B212" s="5">
        <f t="shared" si="51"/>
        <v>205</v>
      </c>
      <c r="C212" s="5">
        <f t="shared" si="52"/>
        <v>205</v>
      </c>
      <c r="D212" s="5">
        <f t="shared" si="53"/>
        <v>17</v>
      </c>
      <c r="E212" s="5">
        <f t="shared" si="54"/>
        <v>63</v>
      </c>
      <c r="F212" s="64">
        <f>1-(1-VLOOKUP($E212,'Annual Mortality Rates'!$B$5:$C$105,2,FALSE))^(1/12)</f>
        <v>4.3855627899469507E-4</v>
      </c>
      <c r="G212" s="74">
        <f>1-(1-IF(D212&gt;=7,2%,VLOOKUP($D212,'Annual Lapse Rates'!$B$4:$C$14,2,FALSE)))^(1/12)</f>
        <v>1.6821425527395739E-3</v>
      </c>
      <c r="H212" s="80">
        <f t="shared" si="56"/>
        <v>1</v>
      </c>
      <c r="I212" s="65"/>
      <c r="J212" s="66"/>
      <c r="K212" s="66"/>
      <c r="M212" s="67">
        <f t="shared" si="64"/>
        <v>0</v>
      </c>
      <c r="N212" s="67">
        <f>IF(AND(MOD(C212,12)=1,D212&lt;15),Assumptions!$H$4*I212,0)</f>
        <v>0</v>
      </c>
      <c r="O212" s="67"/>
      <c r="P212" s="88">
        <f t="shared" si="57"/>
        <v>0</v>
      </c>
      <c r="Q212" s="88">
        <f>(M212+N212-O212)*VLOOKUP(MOD(C212,12)+(MOD(C212,12)=0)*12,Assumptions!$C$22:$D$33,2,FALSE)*(F212+G212)</f>
        <v>0</v>
      </c>
      <c r="R212" s="67">
        <f>IF(AND(MOD(C212,12)=0,D212&lt;15),Assumptions!$C$7*M212,0)</f>
        <v>0</v>
      </c>
      <c r="S212" s="68">
        <f>IF(MOD(C212,12)=0,M212*Assumptions!$D$17,0)</f>
        <v>0</v>
      </c>
      <c r="T212" s="68">
        <f>(M212+N212-O212-P212-Q212-R212+S212)*(D213=Assumptions!$H$9)</f>
        <v>0</v>
      </c>
      <c r="U212" s="67">
        <f>T212+AE212*(1+Assumptions!$D$17)</f>
        <v>0</v>
      </c>
      <c r="V212" s="67">
        <f t="shared" si="58"/>
        <v>0</v>
      </c>
      <c r="W212" s="67"/>
      <c r="X212" s="67">
        <f>IF(AND(MOD(C212,12)=1,D212&lt;15),Assumptions!$D$10*N212+Assumptions!$D$11*(1+Assumptions!$D$16)^(B212-1)*I212,0)</f>
        <v>0</v>
      </c>
      <c r="Y212" s="65">
        <f>Assumptions!$C$13*N212</f>
        <v>0</v>
      </c>
      <c r="Z212" s="65">
        <f>NPV(Assumptions!$D$19,N213:$N$259)</f>
        <v>0</v>
      </c>
      <c r="AA212" s="68">
        <f t="shared" si="59"/>
        <v>0</v>
      </c>
      <c r="AB212" s="96"/>
      <c r="AC212" s="67">
        <f>(AC211+N211-P211-Q211-T211-W211-X211-Y211+AD211)*IF(D212=Assumptions!$H$9,0,1)</f>
        <v>0</v>
      </c>
      <c r="AD212" s="91">
        <f>(AF211+N212-W212-X212-Y212)*Assumptions!$D$19-(P212+Q212)*Assumptions!$D$19/2</f>
        <v>0</v>
      </c>
      <c r="AE212" s="67">
        <f>(AE211+(AD212-O212-R212-Q212-S212))*IF(D212=Assumptions!$H$9,0,1)</f>
        <v>0</v>
      </c>
      <c r="AF212" s="91">
        <f t="shared" si="60"/>
        <v>0</v>
      </c>
      <c r="AG212" s="67">
        <f t="shared" si="61"/>
        <v>0</v>
      </c>
      <c r="AH212" s="89">
        <f>AG212*Assumptions!$C$18</f>
        <v>0</v>
      </c>
      <c r="AI212" s="67">
        <f t="shared" si="62"/>
        <v>0</v>
      </c>
      <c r="AK212" s="67">
        <f t="shared" si="63"/>
        <v>0</v>
      </c>
      <c r="AL212" s="70">
        <f t="shared" si="55"/>
        <v>0</v>
      </c>
      <c r="AM212" s="80">
        <f>(O212-W212-X212-Y212-AA212)*Assumptions!$D$19</f>
        <v>0</v>
      </c>
    </row>
    <row r="213" spans="2:39" x14ac:dyDescent="0.2">
      <c r="B213" s="5">
        <f t="shared" si="51"/>
        <v>206</v>
      </c>
      <c r="C213" s="5">
        <f t="shared" si="52"/>
        <v>206</v>
      </c>
      <c r="D213" s="5">
        <f t="shared" si="53"/>
        <v>17</v>
      </c>
      <c r="E213" s="5">
        <f t="shared" si="54"/>
        <v>63</v>
      </c>
      <c r="F213" s="64">
        <f>1-(1-VLOOKUP($E213,'Annual Mortality Rates'!$B$5:$C$105,2,FALSE))^(1/12)</f>
        <v>4.3855627899469507E-4</v>
      </c>
      <c r="G213" s="74">
        <f>1-(1-IF(D213&gt;=7,2%,VLOOKUP($D213,'Annual Lapse Rates'!$B$4:$C$14,2,FALSE)))^(1/12)</f>
        <v>1.6821425527395739E-3</v>
      </c>
      <c r="H213" s="80">
        <f t="shared" si="56"/>
        <v>2</v>
      </c>
      <c r="I213" s="65"/>
      <c r="J213" s="66"/>
      <c r="K213" s="66"/>
      <c r="M213" s="67">
        <f t="shared" si="64"/>
        <v>0</v>
      </c>
      <c r="N213" s="67">
        <f>IF(AND(MOD(C213,12)=1,D213&lt;15),Assumptions!$H$4*I213,0)</f>
        <v>0</v>
      </c>
      <c r="O213" s="67"/>
      <c r="P213" s="88">
        <f t="shared" si="57"/>
        <v>0</v>
      </c>
      <c r="Q213" s="88">
        <f>(M213+N213-O213)*VLOOKUP(MOD(C213,12)+(MOD(C213,12)=0)*12,Assumptions!$C$22:$D$33,2,FALSE)*(F213+G213)</f>
        <v>0</v>
      </c>
      <c r="R213" s="67">
        <f>IF(AND(MOD(C213,12)=0,D213&lt;15),Assumptions!$C$7*M213,0)</f>
        <v>0</v>
      </c>
      <c r="S213" s="68">
        <f>IF(MOD(C213,12)=0,M213*Assumptions!$D$17,0)</f>
        <v>0</v>
      </c>
      <c r="T213" s="68">
        <f>(M213+N213-O213-P213-Q213-R213+S213)*(D214=Assumptions!$H$9)</f>
        <v>0</v>
      </c>
      <c r="U213" s="67">
        <f>T213+AE213*(1+Assumptions!$D$17)</f>
        <v>0</v>
      </c>
      <c r="V213" s="67">
        <f t="shared" si="58"/>
        <v>0</v>
      </c>
      <c r="W213" s="67"/>
      <c r="X213" s="67">
        <f>IF(AND(MOD(C213,12)=1,D213&lt;15),Assumptions!$D$10*N213+Assumptions!$D$11*(1+Assumptions!$D$16)^(B213-1)*I213,0)</f>
        <v>0</v>
      </c>
      <c r="Y213" s="65">
        <f>Assumptions!$C$13*N213</f>
        <v>0</v>
      </c>
      <c r="Z213" s="65">
        <f>NPV(Assumptions!$D$19,N214:$N$259)</f>
        <v>0</v>
      </c>
      <c r="AA213" s="68">
        <f t="shared" si="59"/>
        <v>0</v>
      </c>
      <c r="AB213" s="96"/>
      <c r="AC213" s="67">
        <f>(AC212+N212-P212-Q212-T212-W212-X212-Y212+AD212)*IF(D213=Assumptions!$H$9,0,1)</f>
        <v>0</v>
      </c>
      <c r="AD213" s="91">
        <f>(AF212+N213-W213-X213-Y213)*Assumptions!$D$19-(P213+Q213)*Assumptions!$D$19/2</f>
        <v>0</v>
      </c>
      <c r="AE213" s="67">
        <f>(AE212+(AD213-O213-R213-Q213-S213))*IF(D213=Assumptions!$H$9,0,1)</f>
        <v>0</v>
      </c>
      <c r="AF213" s="91">
        <f t="shared" si="60"/>
        <v>0</v>
      </c>
      <c r="AG213" s="67">
        <f t="shared" si="61"/>
        <v>0</v>
      </c>
      <c r="AH213" s="89">
        <f>AG213*Assumptions!$C$18</f>
        <v>0</v>
      </c>
      <c r="AI213" s="67">
        <f t="shared" si="62"/>
        <v>0</v>
      </c>
      <c r="AK213" s="67">
        <f t="shared" si="63"/>
        <v>0</v>
      </c>
      <c r="AL213" s="70">
        <f t="shared" si="55"/>
        <v>0</v>
      </c>
      <c r="AM213" s="80">
        <f>(O213-W213-X213-Y213-AA213)*Assumptions!$D$19</f>
        <v>0</v>
      </c>
    </row>
    <row r="214" spans="2:39" x14ac:dyDescent="0.2">
      <c r="B214" s="5">
        <f t="shared" si="51"/>
        <v>207</v>
      </c>
      <c r="C214" s="5">
        <f t="shared" si="52"/>
        <v>207</v>
      </c>
      <c r="D214" s="5">
        <f t="shared" si="53"/>
        <v>17</v>
      </c>
      <c r="E214" s="5">
        <f t="shared" si="54"/>
        <v>63</v>
      </c>
      <c r="F214" s="64">
        <f>1-(1-VLOOKUP($E214,'Annual Mortality Rates'!$B$5:$C$105,2,FALSE))^(1/12)</f>
        <v>4.3855627899469507E-4</v>
      </c>
      <c r="G214" s="74">
        <f>1-(1-IF(D214&gt;=7,2%,VLOOKUP($D214,'Annual Lapse Rates'!$B$4:$C$14,2,FALSE)))^(1/12)</f>
        <v>1.6821425527395739E-3</v>
      </c>
      <c r="H214" s="80">
        <f t="shared" si="56"/>
        <v>3</v>
      </c>
      <c r="I214" s="65"/>
      <c r="J214" s="66"/>
      <c r="K214" s="66"/>
      <c r="M214" s="67">
        <f t="shared" si="64"/>
        <v>0</v>
      </c>
      <c r="N214" s="67">
        <f>IF(AND(MOD(C214,12)=1,D214&lt;15),Assumptions!$H$4*I214,0)</f>
        <v>0</v>
      </c>
      <c r="O214" s="67"/>
      <c r="P214" s="88">
        <f t="shared" si="57"/>
        <v>0</v>
      </c>
      <c r="Q214" s="88">
        <f>(M214+N214-O214)*VLOOKUP(MOD(C214,12)+(MOD(C214,12)=0)*12,Assumptions!$C$22:$D$33,2,FALSE)*(F214+G214)</f>
        <v>0</v>
      </c>
      <c r="R214" s="67">
        <f>IF(AND(MOD(C214,12)=0,D214&lt;15),Assumptions!$C$7*M214,0)</f>
        <v>0</v>
      </c>
      <c r="S214" s="68">
        <f>IF(MOD(C214,12)=0,M214*Assumptions!$D$17,0)</f>
        <v>0</v>
      </c>
      <c r="T214" s="68">
        <f>(M214+N214-O214-P214-Q214-R214+S214)*(D215=Assumptions!$H$9)</f>
        <v>0</v>
      </c>
      <c r="U214" s="67">
        <f>T214+AE214*(1+Assumptions!$D$17)</f>
        <v>0</v>
      </c>
      <c r="V214" s="67">
        <f t="shared" si="58"/>
        <v>0</v>
      </c>
      <c r="W214" s="67"/>
      <c r="X214" s="67">
        <f>IF(AND(MOD(C214,12)=1,D214&lt;15),Assumptions!$D$10*N214+Assumptions!$D$11*(1+Assumptions!$D$16)^(B214-1)*I214,0)</f>
        <v>0</v>
      </c>
      <c r="Y214" s="65">
        <f>Assumptions!$C$13*N214</f>
        <v>0</v>
      </c>
      <c r="Z214" s="65">
        <f>NPV(Assumptions!$D$19,N215:$N$259)</f>
        <v>0</v>
      </c>
      <c r="AA214" s="68">
        <f t="shared" si="59"/>
        <v>0</v>
      </c>
      <c r="AB214" s="96"/>
      <c r="AC214" s="67">
        <f>(AC213+N213-P213-Q213-T213-W213-X213-Y213+AD213)*IF(D214=Assumptions!$H$9,0,1)</f>
        <v>0</v>
      </c>
      <c r="AD214" s="91">
        <f>(AF213+N214-W214-X214-Y214)*Assumptions!$D$19-(P214+Q214)*Assumptions!$D$19/2</f>
        <v>0</v>
      </c>
      <c r="AE214" s="67">
        <f>(AE213+(AD214-O214-R214-Q214-S214))*IF(D214=Assumptions!$H$9,0,1)</f>
        <v>0</v>
      </c>
      <c r="AF214" s="91">
        <f t="shared" si="60"/>
        <v>0</v>
      </c>
      <c r="AG214" s="67">
        <f t="shared" si="61"/>
        <v>0</v>
      </c>
      <c r="AH214" s="89">
        <f>AG214*Assumptions!$C$18</f>
        <v>0</v>
      </c>
      <c r="AI214" s="67">
        <f t="shared" si="62"/>
        <v>0</v>
      </c>
      <c r="AK214" s="67">
        <f t="shared" si="63"/>
        <v>0</v>
      </c>
      <c r="AL214" s="70">
        <f t="shared" si="55"/>
        <v>0</v>
      </c>
      <c r="AM214" s="80">
        <f>(O214-W214-X214-Y214-AA214)*Assumptions!$D$19</f>
        <v>0</v>
      </c>
    </row>
    <row r="215" spans="2:39" x14ac:dyDescent="0.2">
      <c r="B215" s="5">
        <f t="shared" si="51"/>
        <v>208</v>
      </c>
      <c r="C215" s="5">
        <f t="shared" si="52"/>
        <v>208</v>
      </c>
      <c r="D215" s="5">
        <f t="shared" si="53"/>
        <v>17</v>
      </c>
      <c r="E215" s="5">
        <f t="shared" si="54"/>
        <v>63</v>
      </c>
      <c r="F215" s="64">
        <f>1-(1-VLOOKUP($E215,'Annual Mortality Rates'!$B$5:$C$105,2,FALSE))^(1/12)</f>
        <v>4.3855627899469507E-4</v>
      </c>
      <c r="G215" s="74">
        <f>1-(1-IF(D215&gt;=7,2%,VLOOKUP($D215,'Annual Lapse Rates'!$B$4:$C$14,2,FALSE)))^(1/12)</f>
        <v>1.6821425527395739E-3</v>
      </c>
      <c r="H215" s="80">
        <f t="shared" si="56"/>
        <v>4</v>
      </c>
      <c r="I215" s="65"/>
      <c r="J215" s="66"/>
      <c r="K215" s="66"/>
      <c r="M215" s="67">
        <f t="shared" si="64"/>
        <v>0</v>
      </c>
      <c r="N215" s="67">
        <f>IF(AND(MOD(C215,12)=1,D215&lt;15),Assumptions!$H$4*I215,0)</f>
        <v>0</v>
      </c>
      <c r="O215" s="67"/>
      <c r="P215" s="88">
        <f t="shared" si="57"/>
        <v>0</v>
      </c>
      <c r="Q215" s="88">
        <f>(M215+N215-O215)*VLOOKUP(MOD(C215,12)+(MOD(C215,12)=0)*12,Assumptions!$C$22:$D$33,2,FALSE)*(F215+G215)</f>
        <v>0</v>
      </c>
      <c r="R215" s="67">
        <f>IF(AND(MOD(C215,12)=0,D215&lt;15),Assumptions!$C$7*M215,0)</f>
        <v>0</v>
      </c>
      <c r="S215" s="68">
        <f>IF(MOD(C215,12)=0,M215*Assumptions!$D$17,0)</f>
        <v>0</v>
      </c>
      <c r="T215" s="68">
        <f>(M215+N215-O215-P215-Q215-R215+S215)*(D216=Assumptions!$H$9)</f>
        <v>0</v>
      </c>
      <c r="U215" s="67">
        <f>T215+AE215*(1+Assumptions!$D$17)</f>
        <v>0</v>
      </c>
      <c r="V215" s="67">
        <f t="shared" si="58"/>
        <v>0</v>
      </c>
      <c r="W215" s="67"/>
      <c r="X215" s="67">
        <f>IF(AND(MOD(C215,12)=1,D215&lt;15),Assumptions!$D$10*N215+Assumptions!$D$11*(1+Assumptions!$D$16)^(B215-1)*I215,0)</f>
        <v>0</v>
      </c>
      <c r="Y215" s="65">
        <f>Assumptions!$C$13*N215</f>
        <v>0</v>
      </c>
      <c r="Z215" s="65">
        <f>NPV(Assumptions!$D$19,N216:$N$259)</f>
        <v>0</v>
      </c>
      <c r="AA215" s="68">
        <f t="shared" si="59"/>
        <v>0</v>
      </c>
      <c r="AB215" s="96"/>
      <c r="AC215" s="67">
        <f>(AC214+N214-P214-Q214-T214-W214-X214-Y214+AD214)*IF(D215=Assumptions!$H$9,0,1)</f>
        <v>0</v>
      </c>
      <c r="AD215" s="91">
        <f>(AF214+N215-W215-X215-Y215)*Assumptions!$D$19-(P215+Q215)*Assumptions!$D$19/2</f>
        <v>0</v>
      </c>
      <c r="AE215" s="67">
        <f>(AE214+(AD215-O215-R215-Q215-S215))*IF(D215=Assumptions!$H$9,0,1)</f>
        <v>0</v>
      </c>
      <c r="AF215" s="91">
        <f t="shared" si="60"/>
        <v>0</v>
      </c>
      <c r="AG215" s="67">
        <f t="shared" si="61"/>
        <v>0</v>
      </c>
      <c r="AH215" s="89">
        <f>AG215*Assumptions!$C$18</f>
        <v>0</v>
      </c>
      <c r="AI215" s="67">
        <f t="shared" si="62"/>
        <v>0</v>
      </c>
      <c r="AK215" s="67">
        <f t="shared" si="63"/>
        <v>0</v>
      </c>
      <c r="AL215" s="70">
        <f t="shared" si="55"/>
        <v>0</v>
      </c>
      <c r="AM215" s="80">
        <f>(O215-W215-X215-Y215-AA215)*Assumptions!$D$19</f>
        <v>0</v>
      </c>
    </row>
    <row r="216" spans="2:39" x14ac:dyDescent="0.2">
      <c r="B216" s="5">
        <f t="shared" si="51"/>
        <v>209</v>
      </c>
      <c r="C216" s="5">
        <f t="shared" si="52"/>
        <v>209</v>
      </c>
      <c r="D216" s="5">
        <f t="shared" si="53"/>
        <v>17</v>
      </c>
      <c r="E216" s="5">
        <f t="shared" si="54"/>
        <v>63</v>
      </c>
      <c r="F216" s="64">
        <f>1-(1-VLOOKUP($E216,'Annual Mortality Rates'!$B$5:$C$105,2,FALSE))^(1/12)</f>
        <v>4.3855627899469507E-4</v>
      </c>
      <c r="G216" s="74">
        <f>1-(1-IF(D216&gt;=7,2%,VLOOKUP($D216,'Annual Lapse Rates'!$B$4:$C$14,2,FALSE)))^(1/12)</f>
        <v>1.6821425527395739E-3</v>
      </c>
      <c r="H216" s="80">
        <f t="shared" si="56"/>
        <v>5</v>
      </c>
      <c r="I216" s="65"/>
      <c r="J216" s="66"/>
      <c r="K216" s="66"/>
      <c r="M216" s="67">
        <f t="shared" si="64"/>
        <v>0</v>
      </c>
      <c r="N216" s="67">
        <f>IF(AND(MOD(C216,12)=1,D216&lt;15),Assumptions!$H$4*I216,0)</f>
        <v>0</v>
      </c>
      <c r="O216" s="67"/>
      <c r="P216" s="88">
        <f t="shared" si="57"/>
        <v>0</v>
      </c>
      <c r="Q216" s="88">
        <f>(M216+N216-O216)*VLOOKUP(MOD(C216,12)+(MOD(C216,12)=0)*12,Assumptions!$C$22:$D$33,2,FALSE)*(F216+G216)</f>
        <v>0</v>
      </c>
      <c r="R216" s="67">
        <f>IF(AND(MOD(C216,12)=0,D216&lt;15),Assumptions!$C$7*M216,0)</f>
        <v>0</v>
      </c>
      <c r="S216" s="68">
        <f>IF(MOD(C216,12)=0,M216*Assumptions!$D$17,0)</f>
        <v>0</v>
      </c>
      <c r="T216" s="68">
        <f>(M216+N216-O216-P216-Q216-R216+S216)*(D217=Assumptions!$H$9)</f>
        <v>0</v>
      </c>
      <c r="U216" s="67">
        <f>T216+AE216*(1+Assumptions!$D$17)</f>
        <v>0</v>
      </c>
      <c r="V216" s="67">
        <f t="shared" si="58"/>
        <v>0</v>
      </c>
      <c r="W216" s="67"/>
      <c r="X216" s="67">
        <f>IF(AND(MOD(C216,12)=1,D216&lt;15),Assumptions!$D$10*N216+Assumptions!$D$11*(1+Assumptions!$D$16)^(B216-1)*I216,0)</f>
        <v>0</v>
      </c>
      <c r="Y216" s="65">
        <f>Assumptions!$C$13*N216</f>
        <v>0</v>
      </c>
      <c r="Z216" s="65">
        <f>NPV(Assumptions!$D$19,N217:$N$259)</f>
        <v>0</v>
      </c>
      <c r="AA216" s="68">
        <f t="shared" si="59"/>
        <v>0</v>
      </c>
      <c r="AB216" s="96"/>
      <c r="AC216" s="67">
        <f>(AC215+N215-P215-Q215-T215-W215-X215-Y215+AD215)*IF(D216=Assumptions!$H$9,0,1)</f>
        <v>0</v>
      </c>
      <c r="AD216" s="91">
        <f>(AF215+N216-W216-X216-Y216)*Assumptions!$D$19-(P216+Q216)*Assumptions!$D$19/2</f>
        <v>0</v>
      </c>
      <c r="AE216" s="67">
        <f>(AE215+(AD216-O216-R216-Q216-S216))*IF(D216=Assumptions!$H$9,0,1)</f>
        <v>0</v>
      </c>
      <c r="AF216" s="91">
        <f t="shared" si="60"/>
        <v>0</v>
      </c>
      <c r="AG216" s="67">
        <f t="shared" si="61"/>
        <v>0</v>
      </c>
      <c r="AH216" s="89">
        <f>AG216*Assumptions!$C$18</f>
        <v>0</v>
      </c>
      <c r="AI216" s="67">
        <f t="shared" si="62"/>
        <v>0</v>
      </c>
      <c r="AK216" s="67">
        <f t="shared" si="63"/>
        <v>0</v>
      </c>
      <c r="AL216" s="70">
        <f t="shared" si="55"/>
        <v>0</v>
      </c>
      <c r="AM216" s="80">
        <f>(O216-W216-X216-Y216-AA216)*Assumptions!$D$19</f>
        <v>0</v>
      </c>
    </row>
    <row r="217" spans="2:39" x14ac:dyDescent="0.2">
      <c r="B217" s="5">
        <f t="shared" si="51"/>
        <v>210</v>
      </c>
      <c r="C217" s="5">
        <f t="shared" si="52"/>
        <v>210</v>
      </c>
      <c r="D217" s="5">
        <f t="shared" si="53"/>
        <v>17</v>
      </c>
      <c r="E217" s="5">
        <f t="shared" si="54"/>
        <v>63</v>
      </c>
      <c r="F217" s="64">
        <f>1-(1-VLOOKUP($E217,'Annual Mortality Rates'!$B$5:$C$105,2,FALSE))^(1/12)</f>
        <v>4.3855627899469507E-4</v>
      </c>
      <c r="G217" s="74">
        <f>1-(1-IF(D217&gt;=7,2%,VLOOKUP($D217,'Annual Lapse Rates'!$B$4:$C$14,2,FALSE)))^(1/12)</f>
        <v>1.6821425527395739E-3</v>
      </c>
      <c r="H217" s="80">
        <f t="shared" si="56"/>
        <v>6</v>
      </c>
      <c r="I217" s="65"/>
      <c r="J217" s="66"/>
      <c r="K217" s="66"/>
      <c r="M217" s="67">
        <f t="shared" si="64"/>
        <v>0</v>
      </c>
      <c r="N217" s="67">
        <f>IF(AND(MOD(C217,12)=1,D217&lt;15),Assumptions!$H$4*I217,0)</f>
        <v>0</v>
      </c>
      <c r="O217" s="67"/>
      <c r="P217" s="88">
        <f t="shared" si="57"/>
        <v>0</v>
      </c>
      <c r="Q217" s="88">
        <f>(M217+N217-O217)*VLOOKUP(MOD(C217,12)+(MOD(C217,12)=0)*12,Assumptions!$C$22:$D$33,2,FALSE)*(F217+G217)</f>
        <v>0</v>
      </c>
      <c r="R217" s="67">
        <f>IF(AND(MOD(C217,12)=0,D217&lt;15),Assumptions!$C$7*M217,0)</f>
        <v>0</v>
      </c>
      <c r="S217" s="68">
        <f>IF(MOD(C217,12)=0,M217*Assumptions!$D$17,0)</f>
        <v>0</v>
      </c>
      <c r="T217" s="68">
        <f>(M217+N217-O217-P217-Q217-R217+S217)*(D218=Assumptions!$H$9)</f>
        <v>0</v>
      </c>
      <c r="U217" s="67">
        <f>T217+AE217*(1+Assumptions!$D$17)</f>
        <v>0</v>
      </c>
      <c r="V217" s="67">
        <f t="shared" si="58"/>
        <v>0</v>
      </c>
      <c r="W217" s="67"/>
      <c r="X217" s="67">
        <f>IF(AND(MOD(C217,12)=1,D217&lt;15),Assumptions!$D$10*N217+Assumptions!$D$11*(1+Assumptions!$D$16)^(B217-1)*I217,0)</f>
        <v>0</v>
      </c>
      <c r="Y217" s="65">
        <f>Assumptions!$C$13*N217</f>
        <v>0</v>
      </c>
      <c r="Z217" s="65">
        <f>NPV(Assumptions!$D$19,N218:$N$259)</f>
        <v>0</v>
      </c>
      <c r="AA217" s="68">
        <f t="shared" si="59"/>
        <v>0</v>
      </c>
      <c r="AB217" s="96"/>
      <c r="AC217" s="67">
        <f>(AC216+N216-P216-Q216-T216-W216-X216-Y216+AD216)*IF(D217=Assumptions!$H$9,0,1)</f>
        <v>0</v>
      </c>
      <c r="AD217" s="91">
        <f>(AF216+N217-W217-X217-Y217)*Assumptions!$D$19-(P217+Q217)*Assumptions!$D$19/2</f>
        <v>0</v>
      </c>
      <c r="AE217" s="67">
        <f>(AE216+(AD217-O217-R217-Q217-S217))*IF(D217=Assumptions!$H$9,0,1)</f>
        <v>0</v>
      </c>
      <c r="AF217" s="91">
        <f t="shared" si="60"/>
        <v>0</v>
      </c>
      <c r="AG217" s="67">
        <f t="shared" si="61"/>
        <v>0</v>
      </c>
      <c r="AH217" s="89">
        <f>AG217*Assumptions!$C$18</f>
        <v>0</v>
      </c>
      <c r="AI217" s="67">
        <f t="shared" si="62"/>
        <v>0</v>
      </c>
      <c r="AK217" s="67">
        <f t="shared" si="63"/>
        <v>0</v>
      </c>
      <c r="AL217" s="70">
        <f t="shared" si="55"/>
        <v>0</v>
      </c>
      <c r="AM217" s="80">
        <f>(O217-W217-X217-Y217-AA217)*Assumptions!$D$19</f>
        <v>0</v>
      </c>
    </row>
    <row r="218" spans="2:39" x14ac:dyDescent="0.2">
      <c r="B218" s="5">
        <f t="shared" si="51"/>
        <v>211</v>
      </c>
      <c r="C218" s="5">
        <f t="shared" si="52"/>
        <v>211</v>
      </c>
      <c r="D218" s="5">
        <f t="shared" si="53"/>
        <v>17</v>
      </c>
      <c r="E218" s="5">
        <f t="shared" si="54"/>
        <v>63</v>
      </c>
      <c r="F218" s="64">
        <f>1-(1-VLOOKUP($E218,'Annual Mortality Rates'!$B$5:$C$105,2,FALSE))^(1/12)</f>
        <v>4.3855627899469507E-4</v>
      </c>
      <c r="G218" s="74">
        <f>1-(1-IF(D218&gt;=7,2%,VLOOKUP($D218,'Annual Lapse Rates'!$B$4:$C$14,2,FALSE)))^(1/12)</f>
        <v>1.6821425527395739E-3</v>
      </c>
      <c r="H218" s="80">
        <f t="shared" si="56"/>
        <v>7</v>
      </c>
      <c r="I218" s="65"/>
      <c r="J218" s="66"/>
      <c r="K218" s="66"/>
      <c r="M218" s="67">
        <f t="shared" si="64"/>
        <v>0</v>
      </c>
      <c r="N218" s="67">
        <f>IF(AND(MOD(C218,12)=1,D218&lt;15),Assumptions!$H$4*I218,0)</f>
        <v>0</v>
      </c>
      <c r="O218" s="67"/>
      <c r="P218" s="88">
        <f t="shared" si="57"/>
        <v>0</v>
      </c>
      <c r="Q218" s="88">
        <f>(M218+N218-O218)*VLOOKUP(MOD(C218,12)+(MOD(C218,12)=0)*12,Assumptions!$C$22:$D$33,2,FALSE)*(F218+G218)</f>
        <v>0</v>
      </c>
      <c r="R218" s="67">
        <f>IF(AND(MOD(C218,12)=0,D218&lt;15),Assumptions!$C$7*M218,0)</f>
        <v>0</v>
      </c>
      <c r="S218" s="68">
        <f>IF(MOD(C218,12)=0,M218*Assumptions!$D$17,0)</f>
        <v>0</v>
      </c>
      <c r="T218" s="68">
        <f>(M218+N218-O218-P218-Q218-R218+S218)*(D219=Assumptions!$H$9)</f>
        <v>0</v>
      </c>
      <c r="U218" s="67">
        <f>T218+AE218*(1+Assumptions!$D$17)</f>
        <v>0</v>
      </c>
      <c r="V218" s="67">
        <f t="shared" si="58"/>
        <v>0</v>
      </c>
      <c r="W218" s="67"/>
      <c r="X218" s="67">
        <f>IF(AND(MOD(C218,12)=1,D218&lt;15),Assumptions!$D$10*N218+Assumptions!$D$11*(1+Assumptions!$D$16)^(B218-1)*I218,0)</f>
        <v>0</v>
      </c>
      <c r="Y218" s="65">
        <f>Assumptions!$C$13*N218</f>
        <v>0</v>
      </c>
      <c r="Z218" s="65">
        <f>NPV(Assumptions!$D$19,N219:$N$259)</f>
        <v>0</v>
      </c>
      <c r="AA218" s="68">
        <f t="shared" si="59"/>
        <v>0</v>
      </c>
      <c r="AB218" s="96"/>
      <c r="AC218" s="67">
        <f>(AC217+N217-P217-Q217-T217-W217-X217-Y217+AD217)*IF(D218=Assumptions!$H$9,0,1)</f>
        <v>0</v>
      </c>
      <c r="AD218" s="91">
        <f>(AF217+N218-W218-X218-Y218)*Assumptions!$D$19-(P218+Q218)*Assumptions!$D$19/2</f>
        <v>0</v>
      </c>
      <c r="AE218" s="67">
        <f>(AE217+(AD218-O218-R218-Q218-S218))*IF(D218=Assumptions!$H$9,0,1)</f>
        <v>0</v>
      </c>
      <c r="AF218" s="91">
        <f t="shared" si="60"/>
        <v>0</v>
      </c>
      <c r="AG218" s="67">
        <f t="shared" si="61"/>
        <v>0</v>
      </c>
      <c r="AH218" s="89">
        <f>AG218*Assumptions!$C$18</f>
        <v>0</v>
      </c>
      <c r="AI218" s="67">
        <f t="shared" si="62"/>
        <v>0</v>
      </c>
      <c r="AK218" s="67">
        <f t="shared" si="63"/>
        <v>0</v>
      </c>
      <c r="AL218" s="70">
        <f t="shared" si="55"/>
        <v>0</v>
      </c>
      <c r="AM218" s="80">
        <f>(O218-W218-X218-Y218-AA218)*Assumptions!$D$19</f>
        <v>0</v>
      </c>
    </row>
    <row r="219" spans="2:39" x14ac:dyDescent="0.2">
      <c r="B219" s="5">
        <f t="shared" si="51"/>
        <v>212</v>
      </c>
      <c r="C219" s="5">
        <f t="shared" si="52"/>
        <v>212</v>
      </c>
      <c r="D219" s="5">
        <f t="shared" si="53"/>
        <v>17</v>
      </c>
      <c r="E219" s="5">
        <f t="shared" si="54"/>
        <v>63</v>
      </c>
      <c r="F219" s="64">
        <f>1-(1-VLOOKUP($E219,'Annual Mortality Rates'!$B$5:$C$105,2,FALSE))^(1/12)</f>
        <v>4.3855627899469507E-4</v>
      </c>
      <c r="G219" s="74">
        <f>1-(1-IF(D219&gt;=7,2%,VLOOKUP($D219,'Annual Lapse Rates'!$B$4:$C$14,2,FALSE)))^(1/12)</f>
        <v>1.6821425527395739E-3</v>
      </c>
      <c r="H219" s="80">
        <f t="shared" si="56"/>
        <v>8</v>
      </c>
      <c r="I219" s="65"/>
      <c r="J219" s="66"/>
      <c r="K219" s="66"/>
      <c r="M219" s="67">
        <f t="shared" si="64"/>
        <v>0</v>
      </c>
      <c r="N219" s="67">
        <f>IF(AND(MOD(C219,12)=1,D219&lt;15),Assumptions!$H$4*I219,0)</f>
        <v>0</v>
      </c>
      <c r="O219" s="67"/>
      <c r="P219" s="88">
        <f t="shared" si="57"/>
        <v>0</v>
      </c>
      <c r="Q219" s="88">
        <f>(M219+N219-O219)*VLOOKUP(MOD(C219,12)+(MOD(C219,12)=0)*12,Assumptions!$C$22:$D$33,2,FALSE)*(F219+G219)</f>
        <v>0</v>
      </c>
      <c r="R219" s="67">
        <f>IF(AND(MOD(C219,12)=0,D219&lt;15),Assumptions!$C$7*M219,0)</f>
        <v>0</v>
      </c>
      <c r="S219" s="68">
        <f>IF(MOD(C219,12)=0,M219*Assumptions!$D$17,0)</f>
        <v>0</v>
      </c>
      <c r="T219" s="68">
        <f>(M219+N219-O219-P219-Q219-R219+S219)*(D220=Assumptions!$H$9)</f>
        <v>0</v>
      </c>
      <c r="U219" s="67">
        <f>T219+AE219*(1+Assumptions!$D$17)</f>
        <v>0</v>
      </c>
      <c r="V219" s="67">
        <f t="shared" si="58"/>
        <v>0</v>
      </c>
      <c r="W219" s="67"/>
      <c r="X219" s="67">
        <f>IF(AND(MOD(C219,12)=1,D219&lt;15),Assumptions!$D$10*N219+Assumptions!$D$11*(1+Assumptions!$D$16)^(B219-1)*I219,0)</f>
        <v>0</v>
      </c>
      <c r="Y219" s="65">
        <f>Assumptions!$C$13*N219</f>
        <v>0</v>
      </c>
      <c r="Z219" s="65">
        <f>NPV(Assumptions!$D$19,N220:$N$259)</f>
        <v>0</v>
      </c>
      <c r="AA219" s="68">
        <f t="shared" si="59"/>
        <v>0</v>
      </c>
      <c r="AB219" s="96"/>
      <c r="AC219" s="67">
        <f>(AC218+N218-P218-Q218-T218-W218-X218-Y218+AD218)*IF(D219=Assumptions!$H$9,0,1)</f>
        <v>0</v>
      </c>
      <c r="AD219" s="91">
        <f>(AF218+N219-W219-X219-Y219)*Assumptions!$D$19-(P219+Q219)*Assumptions!$D$19/2</f>
        <v>0</v>
      </c>
      <c r="AE219" s="67">
        <f>(AE218+(AD219-O219-R219-Q219-S219))*IF(D219=Assumptions!$H$9,0,1)</f>
        <v>0</v>
      </c>
      <c r="AF219" s="91">
        <f t="shared" si="60"/>
        <v>0</v>
      </c>
      <c r="AG219" s="67">
        <f t="shared" si="61"/>
        <v>0</v>
      </c>
      <c r="AH219" s="89">
        <f>AG219*Assumptions!$C$18</f>
        <v>0</v>
      </c>
      <c r="AI219" s="67">
        <f t="shared" si="62"/>
        <v>0</v>
      </c>
      <c r="AK219" s="67">
        <f t="shared" si="63"/>
        <v>0</v>
      </c>
      <c r="AL219" s="70">
        <f t="shared" si="55"/>
        <v>0</v>
      </c>
      <c r="AM219" s="80">
        <f>(O219-W219-X219-Y219-AA219)*Assumptions!$D$19</f>
        <v>0</v>
      </c>
    </row>
    <row r="220" spans="2:39" x14ac:dyDescent="0.2">
      <c r="B220" s="5">
        <f t="shared" si="51"/>
        <v>213</v>
      </c>
      <c r="C220" s="5">
        <f t="shared" si="52"/>
        <v>213</v>
      </c>
      <c r="D220" s="5">
        <f t="shared" si="53"/>
        <v>17</v>
      </c>
      <c r="E220" s="5">
        <f t="shared" si="54"/>
        <v>63</v>
      </c>
      <c r="F220" s="64">
        <f>1-(1-VLOOKUP($E220,'Annual Mortality Rates'!$B$5:$C$105,2,FALSE))^(1/12)</f>
        <v>4.3855627899469507E-4</v>
      </c>
      <c r="G220" s="74">
        <f>1-(1-IF(D220&gt;=7,2%,VLOOKUP($D220,'Annual Lapse Rates'!$B$4:$C$14,2,FALSE)))^(1/12)</f>
        <v>1.6821425527395739E-3</v>
      </c>
      <c r="H220" s="80">
        <f t="shared" si="56"/>
        <v>9</v>
      </c>
      <c r="I220" s="65"/>
      <c r="J220" s="66"/>
      <c r="K220" s="66"/>
      <c r="M220" s="67">
        <f t="shared" si="64"/>
        <v>0</v>
      </c>
      <c r="N220" s="67">
        <f>IF(AND(MOD(C220,12)=1,D220&lt;15),Assumptions!$H$4*I220,0)</f>
        <v>0</v>
      </c>
      <c r="O220" s="67"/>
      <c r="P220" s="88">
        <f t="shared" si="57"/>
        <v>0</v>
      </c>
      <c r="Q220" s="88">
        <f>(M220+N220-O220)*VLOOKUP(MOD(C220,12)+(MOD(C220,12)=0)*12,Assumptions!$C$22:$D$33,2,FALSE)*(F220+G220)</f>
        <v>0</v>
      </c>
      <c r="R220" s="67">
        <f>IF(AND(MOD(C220,12)=0,D220&lt;15),Assumptions!$C$7*M220,0)</f>
        <v>0</v>
      </c>
      <c r="S220" s="68">
        <f>IF(MOD(C220,12)=0,M220*Assumptions!$D$17,0)</f>
        <v>0</v>
      </c>
      <c r="T220" s="68">
        <f>(M220+N220-O220-P220-Q220-R220+S220)*(D221=Assumptions!$H$9)</f>
        <v>0</v>
      </c>
      <c r="U220" s="67">
        <f>T220+AE220*(1+Assumptions!$D$17)</f>
        <v>0</v>
      </c>
      <c r="V220" s="67">
        <f t="shared" si="58"/>
        <v>0</v>
      </c>
      <c r="W220" s="67"/>
      <c r="X220" s="67">
        <f>IF(AND(MOD(C220,12)=1,D220&lt;15),Assumptions!$D$10*N220+Assumptions!$D$11*(1+Assumptions!$D$16)^(B220-1)*I220,0)</f>
        <v>0</v>
      </c>
      <c r="Y220" s="65">
        <f>Assumptions!$C$13*N220</f>
        <v>0</v>
      </c>
      <c r="Z220" s="65">
        <f>NPV(Assumptions!$D$19,N221:$N$259)</f>
        <v>0</v>
      </c>
      <c r="AA220" s="68">
        <f t="shared" si="59"/>
        <v>0</v>
      </c>
      <c r="AB220" s="96"/>
      <c r="AC220" s="67">
        <f>(AC219+N219-P219-Q219-T219-W219-X219-Y219+AD219)*IF(D220=Assumptions!$H$9,0,1)</f>
        <v>0</v>
      </c>
      <c r="AD220" s="91">
        <f>(AF219+N220-W220-X220-Y220)*Assumptions!$D$19-(P220+Q220)*Assumptions!$D$19/2</f>
        <v>0</v>
      </c>
      <c r="AE220" s="67">
        <f>(AE219+(AD220-O220-R220-Q220-S220))*IF(D220=Assumptions!$H$9,0,1)</f>
        <v>0</v>
      </c>
      <c r="AF220" s="91">
        <f t="shared" si="60"/>
        <v>0</v>
      </c>
      <c r="AG220" s="67">
        <f t="shared" si="61"/>
        <v>0</v>
      </c>
      <c r="AH220" s="89">
        <f>AG220*Assumptions!$C$18</f>
        <v>0</v>
      </c>
      <c r="AI220" s="67">
        <f t="shared" si="62"/>
        <v>0</v>
      </c>
      <c r="AK220" s="67">
        <f t="shared" si="63"/>
        <v>0</v>
      </c>
      <c r="AL220" s="70">
        <f t="shared" si="55"/>
        <v>0</v>
      </c>
      <c r="AM220" s="80">
        <f>(O220-W220-X220-Y220-AA220)*Assumptions!$D$19</f>
        <v>0</v>
      </c>
    </row>
    <row r="221" spans="2:39" x14ac:dyDescent="0.2">
      <c r="B221" s="5">
        <f t="shared" si="51"/>
        <v>214</v>
      </c>
      <c r="C221" s="5">
        <f t="shared" si="52"/>
        <v>214</v>
      </c>
      <c r="D221" s="5">
        <f t="shared" si="53"/>
        <v>17</v>
      </c>
      <c r="E221" s="5">
        <f t="shared" si="54"/>
        <v>63</v>
      </c>
      <c r="F221" s="64">
        <f>1-(1-VLOOKUP($E221,'Annual Mortality Rates'!$B$5:$C$105,2,FALSE))^(1/12)</f>
        <v>4.3855627899469507E-4</v>
      </c>
      <c r="G221" s="74">
        <f>1-(1-IF(D221&gt;=7,2%,VLOOKUP($D221,'Annual Lapse Rates'!$B$4:$C$14,2,FALSE)))^(1/12)</f>
        <v>1.6821425527395739E-3</v>
      </c>
      <c r="H221" s="80">
        <f t="shared" si="56"/>
        <v>10</v>
      </c>
      <c r="I221" s="65"/>
      <c r="J221" s="66"/>
      <c r="K221" s="66"/>
      <c r="M221" s="67">
        <f t="shared" si="64"/>
        <v>0</v>
      </c>
      <c r="N221" s="67">
        <f>IF(AND(MOD(C221,12)=1,D221&lt;15),Assumptions!$H$4*I221,0)</f>
        <v>0</v>
      </c>
      <c r="O221" s="67"/>
      <c r="P221" s="88">
        <f t="shared" si="57"/>
        <v>0</v>
      </c>
      <c r="Q221" s="88">
        <f>(M221+N221-O221)*VLOOKUP(MOD(C221,12)+(MOD(C221,12)=0)*12,Assumptions!$C$22:$D$33,2,FALSE)*(F221+G221)</f>
        <v>0</v>
      </c>
      <c r="R221" s="67">
        <f>IF(AND(MOD(C221,12)=0,D221&lt;15),Assumptions!$C$7*M221,0)</f>
        <v>0</v>
      </c>
      <c r="S221" s="68">
        <f>IF(MOD(C221,12)=0,M221*Assumptions!$D$17,0)</f>
        <v>0</v>
      </c>
      <c r="T221" s="68">
        <f>(M221+N221-O221-P221-Q221-R221+S221)*(D222=Assumptions!$H$9)</f>
        <v>0</v>
      </c>
      <c r="U221" s="67">
        <f>T221+AE221*(1+Assumptions!$D$17)</f>
        <v>0</v>
      </c>
      <c r="V221" s="67">
        <f t="shared" si="58"/>
        <v>0</v>
      </c>
      <c r="W221" s="67"/>
      <c r="X221" s="67">
        <f>IF(AND(MOD(C221,12)=1,D221&lt;15),Assumptions!$D$10*N221+Assumptions!$D$11*(1+Assumptions!$D$16)^(B221-1)*I221,0)</f>
        <v>0</v>
      </c>
      <c r="Y221" s="65">
        <f>Assumptions!$C$13*N221</f>
        <v>0</v>
      </c>
      <c r="Z221" s="65">
        <f>NPV(Assumptions!$D$19,N222:$N$259)</f>
        <v>0</v>
      </c>
      <c r="AA221" s="68">
        <f t="shared" si="59"/>
        <v>0</v>
      </c>
      <c r="AB221" s="96"/>
      <c r="AC221" s="67">
        <f>(AC220+N220-P220-Q220-T220-W220-X220-Y220+AD220)*IF(D221=Assumptions!$H$9,0,1)</f>
        <v>0</v>
      </c>
      <c r="AD221" s="91">
        <f>(AF220+N221-W221-X221-Y221)*Assumptions!$D$19-(P221+Q221)*Assumptions!$D$19/2</f>
        <v>0</v>
      </c>
      <c r="AE221" s="67">
        <f>(AE220+(AD221-O221-R221-Q221-S221))*IF(D221=Assumptions!$H$9,0,1)</f>
        <v>0</v>
      </c>
      <c r="AF221" s="91">
        <f t="shared" si="60"/>
        <v>0</v>
      </c>
      <c r="AG221" s="67">
        <f t="shared" si="61"/>
        <v>0</v>
      </c>
      <c r="AH221" s="89">
        <f>AG221*Assumptions!$C$18</f>
        <v>0</v>
      </c>
      <c r="AI221" s="67">
        <f t="shared" si="62"/>
        <v>0</v>
      </c>
      <c r="AK221" s="67">
        <f t="shared" si="63"/>
        <v>0</v>
      </c>
      <c r="AL221" s="70">
        <f t="shared" si="55"/>
        <v>0</v>
      </c>
      <c r="AM221" s="80">
        <f>(O221-W221-X221-Y221-AA221)*Assumptions!$D$19</f>
        <v>0</v>
      </c>
    </row>
    <row r="222" spans="2:39" x14ac:dyDescent="0.2">
      <c r="B222" s="5">
        <f t="shared" si="51"/>
        <v>215</v>
      </c>
      <c r="C222" s="5">
        <f t="shared" si="52"/>
        <v>215</v>
      </c>
      <c r="D222" s="5">
        <f t="shared" si="53"/>
        <v>17</v>
      </c>
      <c r="E222" s="5">
        <f t="shared" si="54"/>
        <v>63</v>
      </c>
      <c r="F222" s="64">
        <f>1-(1-VLOOKUP($E222,'Annual Mortality Rates'!$B$5:$C$105,2,FALSE))^(1/12)</f>
        <v>4.3855627899469507E-4</v>
      </c>
      <c r="G222" s="74">
        <f>1-(1-IF(D222&gt;=7,2%,VLOOKUP($D222,'Annual Lapse Rates'!$B$4:$C$14,2,FALSE)))^(1/12)</f>
        <v>1.6821425527395739E-3</v>
      </c>
      <c r="H222" s="80">
        <f t="shared" si="56"/>
        <v>11</v>
      </c>
      <c r="I222" s="65"/>
      <c r="J222" s="66"/>
      <c r="K222" s="66"/>
      <c r="M222" s="67">
        <f t="shared" si="64"/>
        <v>0</v>
      </c>
      <c r="N222" s="67">
        <f>IF(AND(MOD(C222,12)=1,D222&lt;15),Assumptions!$H$4*I222,0)</f>
        <v>0</v>
      </c>
      <c r="O222" s="67"/>
      <c r="P222" s="88">
        <f t="shared" si="57"/>
        <v>0</v>
      </c>
      <c r="Q222" s="88">
        <f>(M222+N222-O222)*VLOOKUP(MOD(C222,12)+(MOD(C222,12)=0)*12,Assumptions!$C$22:$D$33,2,FALSE)*(F222+G222)</f>
        <v>0</v>
      </c>
      <c r="R222" s="67">
        <f>IF(AND(MOD(C222,12)=0,D222&lt;15),Assumptions!$C$7*M222,0)</f>
        <v>0</v>
      </c>
      <c r="S222" s="68">
        <f>IF(MOD(C222,12)=0,M222*Assumptions!$D$17,0)</f>
        <v>0</v>
      </c>
      <c r="T222" s="68">
        <f>(M222+N222-O222-P222-Q222-R222+S222)*(D223=Assumptions!$H$9)</f>
        <v>0</v>
      </c>
      <c r="U222" s="67">
        <f>T222+AE222*(1+Assumptions!$D$17)</f>
        <v>0</v>
      </c>
      <c r="V222" s="67">
        <f t="shared" si="58"/>
        <v>0</v>
      </c>
      <c r="W222" s="67"/>
      <c r="X222" s="67">
        <f>IF(AND(MOD(C222,12)=1,D222&lt;15),Assumptions!$D$10*N222+Assumptions!$D$11*(1+Assumptions!$D$16)^(B222-1)*I222,0)</f>
        <v>0</v>
      </c>
      <c r="Y222" s="65">
        <f>Assumptions!$C$13*N222</f>
        <v>0</v>
      </c>
      <c r="Z222" s="65">
        <f>NPV(Assumptions!$D$19,N223:$N$259)</f>
        <v>0</v>
      </c>
      <c r="AA222" s="68">
        <f t="shared" si="59"/>
        <v>0</v>
      </c>
      <c r="AB222" s="96"/>
      <c r="AC222" s="67">
        <f>(AC221+N221-P221-Q221-T221-W221-X221-Y221+AD221)*IF(D222=Assumptions!$H$9,0,1)</f>
        <v>0</v>
      </c>
      <c r="AD222" s="91">
        <f>(AF221+N222-W222-X222-Y222)*Assumptions!$D$19-(P222+Q222)*Assumptions!$D$19/2</f>
        <v>0</v>
      </c>
      <c r="AE222" s="67">
        <f>(AE221+(AD222-O222-R222-Q222-S222))*IF(D222=Assumptions!$H$9,0,1)</f>
        <v>0</v>
      </c>
      <c r="AF222" s="91">
        <f t="shared" si="60"/>
        <v>0</v>
      </c>
      <c r="AG222" s="67">
        <f t="shared" si="61"/>
        <v>0</v>
      </c>
      <c r="AH222" s="89">
        <f>AG222*Assumptions!$C$18</f>
        <v>0</v>
      </c>
      <c r="AI222" s="67">
        <f t="shared" si="62"/>
        <v>0</v>
      </c>
      <c r="AK222" s="67">
        <f t="shared" si="63"/>
        <v>0</v>
      </c>
      <c r="AL222" s="70">
        <f t="shared" si="55"/>
        <v>0</v>
      </c>
      <c r="AM222" s="80">
        <f>(O222-W222-X222-Y222-AA222)*Assumptions!$D$19</f>
        <v>0</v>
      </c>
    </row>
    <row r="223" spans="2:39" x14ac:dyDescent="0.2">
      <c r="B223" s="5">
        <f t="shared" si="51"/>
        <v>216</v>
      </c>
      <c r="C223" s="5">
        <f t="shared" si="52"/>
        <v>216</v>
      </c>
      <c r="D223" s="5">
        <f t="shared" si="53"/>
        <v>17</v>
      </c>
      <c r="E223" s="5">
        <f t="shared" si="54"/>
        <v>63</v>
      </c>
      <c r="F223" s="64">
        <f>1-(1-VLOOKUP($E223,'Annual Mortality Rates'!$B$5:$C$105,2,FALSE))^(1/12)</f>
        <v>4.3855627899469507E-4</v>
      </c>
      <c r="G223" s="74">
        <f>1-(1-IF(D223&gt;=7,2%,VLOOKUP($D223,'Annual Lapse Rates'!$B$4:$C$14,2,FALSE)))^(1/12)</f>
        <v>1.6821425527395739E-3</v>
      </c>
      <c r="H223" s="80">
        <f t="shared" si="56"/>
        <v>12</v>
      </c>
      <c r="I223" s="65"/>
      <c r="J223" s="66"/>
      <c r="K223" s="66"/>
      <c r="M223" s="67">
        <f t="shared" si="64"/>
        <v>0</v>
      </c>
      <c r="N223" s="67">
        <f>IF(AND(MOD(C223,12)=1,D223&lt;15),Assumptions!$H$4*I223,0)</f>
        <v>0</v>
      </c>
      <c r="O223" s="67"/>
      <c r="P223" s="88">
        <f t="shared" si="57"/>
        <v>0</v>
      </c>
      <c r="Q223" s="88">
        <f>(M223+N223-O223)*VLOOKUP(MOD(C223,12)+(MOD(C223,12)=0)*12,Assumptions!$C$22:$D$33,2,FALSE)*(F223+G223)</f>
        <v>0</v>
      </c>
      <c r="R223" s="67">
        <f>IF(AND(MOD(C223,12)=0,D223&lt;15),Assumptions!$C$7*M223,0)</f>
        <v>0</v>
      </c>
      <c r="S223" s="68">
        <f>IF(MOD(C223,12)=0,M223*Assumptions!$D$17,0)</f>
        <v>0</v>
      </c>
      <c r="T223" s="68">
        <f>(M223+N223-O223-P223-Q223-R223+S223)*(D224=Assumptions!$H$9)</f>
        <v>0</v>
      </c>
      <c r="U223" s="67">
        <f>T223+AE223*(1+Assumptions!$D$17)</f>
        <v>0</v>
      </c>
      <c r="V223" s="67">
        <f t="shared" si="58"/>
        <v>0</v>
      </c>
      <c r="W223" s="67"/>
      <c r="X223" s="67">
        <f>IF(AND(MOD(C223,12)=1,D223&lt;15),Assumptions!$D$10*N223+Assumptions!$D$11*(1+Assumptions!$D$16)^(B223-1)*I223,0)</f>
        <v>0</v>
      </c>
      <c r="Y223" s="65">
        <f>Assumptions!$C$13*N223</f>
        <v>0</v>
      </c>
      <c r="Z223" s="65">
        <f>NPV(Assumptions!$D$19,N224:$N$259)</f>
        <v>0</v>
      </c>
      <c r="AA223" s="68">
        <f t="shared" si="59"/>
        <v>0</v>
      </c>
      <c r="AB223" s="96"/>
      <c r="AC223" s="67">
        <f>(AC222+N222-P222-Q222-T222-W222-X222-Y222+AD222)*IF(D223=Assumptions!$H$9,0,1)</f>
        <v>0</v>
      </c>
      <c r="AD223" s="91">
        <f>(AF222+N223-W223-X223-Y223)*Assumptions!$D$19-(P223+Q223)*Assumptions!$D$19/2</f>
        <v>0</v>
      </c>
      <c r="AE223" s="67">
        <f>(AE222+(AD223-O223-R223-Q223-S223))*IF(D223=Assumptions!$H$9,0,1)</f>
        <v>0</v>
      </c>
      <c r="AF223" s="91">
        <f t="shared" si="60"/>
        <v>0</v>
      </c>
      <c r="AG223" s="67">
        <f t="shared" si="61"/>
        <v>0</v>
      </c>
      <c r="AH223" s="89">
        <f>AG223*Assumptions!$C$18</f>
        <v>0</v>
      </c>
      <c r="AI223" s="67">
        <f t="shared" si="62"/>
        <v>0</v>
      </c>
      <c r="AK223" s="67">
        <f t="shared" si="63"/>
        <v>0</v>
      </c>
      <c r="AL223" s="70">
        <f t="shared" si="55"/>
        <v>0</v>
      </c>
      <c r="AM223" s="80">
        <f>(O223-W223-X223-Y223-AA223)*Assumptions!$D$19</f>
        <v>0</v>
      </c>
    </row>
    <row r="224" spans="2:39" x14ac:dyDescent="0.2">
      <c r="B224" s="5">
        <f t="shared" si="51"/>
        <v>217</v>
      </c>
      <c r="C224" s="5">
        <f t="shared" si="52"/>
        <v>217</v>
      </c>
      <c r="D224" s="5">
        <f t="shared" si="53"/>
        <v>18</v>
      </c>
      <c r="E224" s="5">
        <f t="shared" si="54"/>
        <v>64</v>
      </c>
      <c r="F224" s="64">
        <f>1-(1-VLOOKUP($E224,'Annual Mortality Rates'!$B$5:$C$105,2,FALSE))^(1/12)</f>
        <v>4.8378519100333861E-4</v>
      </c>
      <c r="G224" s="74">
        <f>1-(1-IF(D224&gt;=7,2%,VLOOKUP($D224,'Annual Lapse Rates'!$B$4:$C$14,2,FALSE)))^(1/12)</f>
        <v>1.6821425527395739E-3</v>
      </c>
      <c r="H224" s="80">
        <f t="shared" si="56"/>
        <v>1</v>
      </c>
      <c r="I224" s="65"/>
      <c r="J224" s="66"/>
      <c r="K224" s="66"/>
      <c r="M224" s="67">
        <f t="shared" si="64"/>
        <v>0</v>
      </c>
      <c r="N224" s="67">
        <f>IF(AND(MOD(C224,12)=1,D224&lt;15),Assumptions!$H$4*I224,0)</f>
        <v>0</v>
      </c>
      <c r="O224" s="67"/>
      <c r="P224" s="88">
        <f t="shared" si="57"/>
        <v>0</v>
      </c>
      <c r="Q224" s="88">
        <f>(M224+N224-O224)*VLOOKUP(MOD(C224,12)+(MOD(C224,12)=0)*12,Assumptions!$C$22:$D$33,2,FALSE)*(F224+G224)</f>
        <v>0</v>
      </c>
      <c r="R224" s="67">
        <f>IF(AND(MOD(C224,12)=0,D224&lt;15),Assumptions!$C$7*M224,0)</f>
        <v>0</v>
      </c>
      <c r="S224" s="68">
        <f>IF(MOD(C224,12)=0,M224*Assumptions!$D$17,0)</f>
        <v>0</v>
      </c>
      <c r="T224" s="68">
        <f>(M224+N224-O224-P224-Q224-R224+S224)*(D225=Assumptions!$H$9)</f>
        <v>0</v>
      </c>
      <c r="U224" s="67">
        <f>T224+AE224*(1+Assumptions!$D$17)</f>
        <v>0</v>
      </c>
      <c r="V224" s="67">
        <f t="shared" si="58"/>
        <v>0</v>
      </c>
      <c r="W224" s="67"/>
      <c r="X224" s="67">
        <f>IF(AND(MOD(C224,12)=1,D224&lt;15),Assumptions!$D$10*N224+Assumptions!$D$11*(1+Assumptions!$D$16)^(B224-1)*I224,0)</f>
        <v>0</v>
      </c>
      <c r="Y224" s="65">
        <f>Assumptions!$C$13*N224</f>
        <v>0</v>
      </c>
      <c r="Z224" s="65">
        <f>NPV(Assumptions!$D$19,N225:$N$259)</f>
        <v>0</v>
      </c>
      <c r="AA224" s="68">
        <f t="shared" si="59"/>
        <v>0</v>
      </c>
      <c r="AB224" s="96"/>
      <c r="AC224" s="67">
        <f>(AC223+N223-P223-Q223-T223-W223-X223-Y223+AD223)*IF(D224=Assumptions!$H$9,0,1)</f>
        <v>0</v>
      </c>
      <c r="AD224" s="91">
        <f>(AF223+N224-W224-X224-Y224)*Assumptions!$D$19-(P224+Q224)*Assumptions!$D$19/2</f>
        <v>0</v>
      </c>
      <c r="AE224" s="67">
        <f>(AE223+(AD224-O224-R224-Q224-S224))*IF(D224=Assumptions!$H$9,0,1)</f>
        <v>0</v>
      </c>
      <c r="AF224" s="91">
        <f t="shared" si="60"/>
        <v>0</v>
      </c>
      <c r="AG224" s="67">
        <f t="shared" si="61"/>
        <v>0</v>
      </c>
      <c r="AH224" s="89">
        <f>AG224*Assumptions!$C$18</f>
        <v>0</v>
      </c>
      <c r="AI224" s="67">
        <f t="shared" si="62"/>
        <v>0</v>
      </c>
      <c r="AK224" s="67">
        <f t="shared" si="63"/>
        <v>0</v>
      </c>
      <c r="AL224" s="70">
        <f t="shared" si="55"/>
        <v>0</v>
      </c>
      <c r="AM224" s="80">
        <f>(O224-W224-X224-Y224-AA224)*Assumptions!$D$19</f>
        <v>0</v>
      </c>
    </row>
    <row r="225" spans="2:39" x14ac:dyDescent="0.2">
      <c r="B225" s="5">
        <f t="shared" si="51"/>
        <v>218</v>
      </c>
      <c r="C225" s="5">
        <f t="shared" si="52"/>
        <v>218</v>
      </c>
      <c r="D225" s="5">
        <f t="shared" si="53"/>
        <v>18</v>
      </c>
      <c r="E225" s="5">
        <f t="shared" si="54"/>
        <v>64</v>
      </c>
      <c r="F225" s="64">
        <f>1-(1-VLOOKUP($E225,'Annual Mortality Rates'!$B$5:$C$105,2,FALSE))^(1/12)</f>
        <v>4.8378519100333861E-4</v>
      </c>
      <c r="G225" s="74">
        <f>1-(1-IF(D225&gt;=7,2%,VLOOKUP($D225,'Annual Lapse Rates'!$B$4:$C$14,2,FALSE)))^(1/12)</f>
        <v>1.6821425527395739E-3</v>
      </c>
      <c r="H225" s="80">
        <f t="shared" si="56"/>
        <v>2</v>
      </c>
      <c r="I225" s="65"/>
      <c r="J225" s="66"/>
      <c r="K225" s="66"/>
      <c r="M225" s="67">
        <f t="shared" si="64"/>
        <v>0</v>
      </c>
      <c r="N225" s="67">
        <f>IF(AND(MOD(C225,12)=1,D225&lt;15),Assumptions!$H$4*I225,0)</f>
        <v>0</v>
      </c>
      <c r="O225" s="67"/>
      <c r="P225" s="88">
        <f t="shared" si="57"/>
        <v>0</v>
      </c>
      <c r="Q225" s="88">
        <f>(M225+N225-O225)*VLOOKUP(MOD(C225,12)+(MOD(C225,12)=0)*12,Assumptions!$C$22:$D$33,2,FALSE)*(F225+G225)</f>
        <v>0</v>
      </c>
      <c r="R225" s="67">
        <f>IF(AND(MOD(C225,12)=0,D225&lt;15),Assumptions!$C$7*M225,0)</f>
        <v>0</v>
      </c>
      <c r="S225" s="68">
        <f>IF(MOD(C225,12)=0,M225*Assumptions!$D$17,0)</f>
        <v>0</v>
      </c>
      <c r="T225" s="68">
        <f>(M225+N225-O225-P225-Q225-R225+S225)*(D226=Assumptions!$H$9)</f>
        <v>0</v>
      </c>
      <c r="U225" s="67">
        <f>T225+AE225*(1+Assumptions!$D$17)</f>
        <v>0</v>
      </c>
      <c r="V225" s="67">
        <f t="shared" si="58"/>
        <v>0</v>
      </c>
      <c r="W225" s="67"/>
      <c r="X225" s="67">
        <f>IF(AND(MOD(C225,12)=1,D225&lt;15),Assumptions!$D$10*N225+Assumptions!$D$11*(1+Assumptions!$D$16)^(B225-1)*I225,0)</f>
        <v>0</v>
      </c>
      <c r="Y225" s="65">
        <f>Assumptions!$C$13*N225</f>
        <v>0</v>
      </c>
      <c r="Z225" s="65">
        <f>NPV(Assumptions!$D$19,N226:$N$259)</f>
        <v>0</v>
      </c>
      <c r="AA225" s="68">
        <f t="shared" si="59"/>
        <v>0</v>
      </c>
      <c r="AB225" s="96"/>
      <c r="AC225" s="67">
        <f>(AC224+N224-P224-Q224-T224-W224-X224-Y224+AD224)*IF(D225=Assumptions!$H$9,0,1)</f>
        <v>0</v>
      </c>
      <c r="AD225" s="91">
        <f>(AF224+N225-W225-X225-Y225)*Assumptions!$D$19-(P225+Q225)*Assumptions!$D$19/2</f>
        <v>0</v>
      </c>
      <c r="AE225" s="67">
        <f>(AE224+(AD225-O225-R225-Q225-S225))*IF(D225=Assumptions!$H$9,0,1)</f>
        <v>0</v>
      </c>
      <c r="AF225" s="91">
        <f t="shared" si="60"/>
        <v>0</v>
      </c>
      <c r="AG225" s="67">
        <f t="shared" si="61"/>
        <v>0</v>
      </c>
      <c r="AH225" s="89">
        <f>AG225*Assumptions!$C$18</f>
        <v>0</v>
      </c>
      <c r="AI225" s="67">
        <f t="shared" si="62"/>
        <v>0</v>
      </c>
      <c r="AK225" s="67">
        <f t="shared" si="63"/>
        <v>0</v>
      </c>
      <c r="AL225" s="70">
        <f t="shared" si="55"/>
        <v>0</v>
      </c>
      <c r="AM225" s="80">
        <f>(O225-W225-X225-Y225-AA225)*Assumptions!$D$19</f>
        <v>0</v>
      </c>
    </row>
    <row r="226" spans="2:39" x14ac:dyDescent="0.2">
      <c r="B226" s="5">
        <f t="shared" si="51"/>
        <v>219</v>
      </c>
      <c r="C226" s="5">
        <f t="shared" si="52"/>
        <v>219</v>
      </c>
      <c r="D226" s="5">
        <f t="shared" si="53"/>
        <v>18</v>
      </c>
      <c r="E226" s="5">
        <f t="shared" si="54"/>
        <v>64</v>
      </c>
      <c r="F226" s="64">
        <f>1-(1-VLOOKUP($E226,'Annual Mortality Rates'!$B$5:$C$105,2,FALSE))^(1/12)</f>
        <v>4.8378519100333861E-4</v>
      </c>
      <c r="G226" s="74">
        <f>1-(1-IF(D226&gt;=7,2%,VLOOKUP($D226,'Annual Lapse Rates'!$B$4:$C$14,2,FALSE)))^(1/12)</f>
        <v>1.6821425527395739E-3</v>
      </c>
      <c r="H226" s="80">
        <f t="shared" si="56"/>
        <v>3</v>
      </c>
      <c r="I226" s="65"/>
      <c r="J226" s="66"/>
      <c r="K226" s="66"/>
      <c r="M226" s="67">
        <f t="shared" si="64"/>
        <v>0</v>
      </c>
      <c r="N226" s="67">
        <f>IF(AND(MOD(C226,12)=1,D226&lt;15),Assumptions!$H$4*I226,0)</f>
        <v>0</v>
      </c>
      <c r="O226" s="67"/>
      <c r="P226" s="88">
        <f t="shared" si="57"/>
        <v>0</v>
      </c>
      <c r="Q226" s="88">
        <f>(M226+N226-O226)*VLOOKUP(MOD(C226,12)+(MOD(C226,12)=0)*12,Assumptions!$C$22:$D$33,2,FALSE)*(F226+G226)</f>
        <v>0</v>
      </c>
      <c r="R226" s="67">
        <f>IF(AND(MOD(C226,12)=0,D226&lt;15),Assumptions!$C$7*M226,0)</f>
        <v>0</v>
      </c>
      <c r="S226" s="68">
        <f>IF(MOD(C226,12)=0,M226*Assumptions!$D$17,0)</f>
        <v>0</v>
      </c>
      <c r="T226" s="68">
        <f>(M226+N226-O226-P226-Q226-R226+S226)*(D227=Assumptions!$H$9)</f>
        <v>0</v>
      </c>
      <c r="U226" s="67">
        <f>T226+AE226*(1+Assumptions!$D$17)</f>
        <v>0</v>
      </c>
      <c r="V226" s="67">
        <f t="shared" si="58"/>
        <v>0</v>
      </c>
      <c r="W226" s="67"/>
      <c r="X226" s="67">
        <f>IF(AND(MOD(C226,12)=1,D226&lt;15),Assumptions!$D$10*N226+Assumptions!$D$11*(1+Assumptions!$D$16)^(B226-1)*I226,0)</f>
        <v>0</v>
      </c>
      <c r="Y226" s="65">
        <f>Assumptions!$C$13*N226</f>
        <v>0</v>
      </c>
      <c r="Z226" s="65">
        <f>NPV(Assumptions!$D$19,N227:$N$259)</f>
        <v>0</v>
      </c>
      <c r="AA226" s="68">
        <f t="shared" si="59"/>
        <v>0</v>
      </c>
      <c r="AB226" s="96"/>
      <c r="AC226" s="67">
        <f>(AC225+N225-P225-Q225-T225-W225-X225-Y225+AD225)*IF(D226=Assumptions!$H$9,0,1)</f>
        <v>0</v>
      </c>
      <c r="AD226" s="91">
        <f>(AF225+N226-W226-X226-Y226)*Assumptions!$D$19-(P226+Q226)*Assumptions!$D$19/2</f>
        <v>0</v>
      </c>
      <c r="AE226" s="67">
        <f>(AE225+(AD226-O226-R226-Q226-S226))*IF(D226=Assumptions!$H$9,0,1)</f>
        <v>0</v>
      </c>
      <c r="AF226" s="91">
        <f t="shared" si="60"/>
        <v>0</v>
      </c>
      <c r="AG226" s="67">
        <f t="shared" si="61"/>
        <v>0</v>
      </c>
      <c r="AH226" s="89">
        <f>AG226*Assumptions!$C$18</f>
        <v>0</v>
      </c>
      <c r="AI226" s="67">
        <f t="shared" si="62"/>
        <v>0</v>
      </c>
      <c r="AK226" s="67">
        <f t="shared" si="63"/>
        <v>0</v>
      </c>
      <c r="AL226" s="70">
        <f t="shared" si="55"/>
        <v>0</v>
      </c>
      <c r="AM226" s="80">
        <f>(O226-W226-X226-Y226-AA226)*Assumptions!$D$19</f>
        <v>0</v>
      </c>
    </row>
    <row r="227" spans="2:39" x14ac:dyDescent="0.2">
      <c r="B227" s="5">
        <f t="shared" si="51"/>
        <v>220</v>
      </c>
      <c r="C227" s="5">
        <f t="shared" si="52"/>
        <v>220</v>
      </c>
      <c r="D227" s="5">
        <f t="shared" si="53"/>
        <v>18</v>
      </c>
      <c r="E227" s="5">
        <f t="shared" si="54"/>
        <v>64</v>
      </c>
      <c r="F227" s="64">
        <f>1-(1-VLOOKUP($E227,'Annual Mortality Rates'!$B$5:$C$105,2,FALSE))^(1/12)</f>
        <v>4.8378519100333861E-4</v>
      </c>
      <c r="G227" s="74">
        <f>1-(1-IF(D227&gt;=7,2%,VLOOKUP($D227,'Annual Lapse Rates'!$B$4:$C$14,2,FALSE)))^(1/12)</f>
        <v>1.6821425527395739E-3</v>
      </c>
      <c r="H227" s="80">
        <f t="shared" si="56"/>
        <v>4</v>
      </c>
      <c r="I227" s="65"/>
      <c r="J227" s="66"/>
      <c r="K227" s="66"/>
      <c r="M227" s="67">
        <f t="shared" si="64"/>
        <v>0</v>
      </c>
      <c r="N227" s="67">
        <f>IF(AND(MOD(C227,12)=1,D227&lt;15),Assumptions!$H$4*I227,0)</f>
        <v>0</v>
      </c>
      <c r="O227" s="67"/>
      <c r="P227" s="88">
        <f t="shared" si="57"/>
        <v>0</v>
      </c>
      <c r="Q227" s="88">
        <f>(M227+N227-O227)*VLOOKUP(MOD(C227,12)+(MOD(C227,12)=0)*12,Assumptions!$C$22:$D$33,2,FALSE)*(F227+G227)</f>
        <v>0</v>
      </c>
      <c r="R227" s="67">
        <f>IF(AND(MOD(C227,12)=0,D227&lt;15),Assumptions!$C$7*M227,0)</f>
        <v>0</v>
      </c>
      <c r="S227" s="68">
        <f>IF(MOD(C227,12)=0,M227*Assumptions!$D$17,0)</f>
        <v>0</v>
      </c>
      <c r="T227" s="68">
        <f>(M227+N227-O227-P227-Q227-R227+S227)*(D228=Assumptions!$H$9)</f>
        <v>0</v>
      </c>
      <c r="U227" s="67">
        <f>T227+AE227*(1+Assumptions!$D$17)</f>
        <v>0</v>
      </c>
      <c r="V227" s="67">
        <f t="shared" si="58"/>
        <v>0</v>
      </c>
      <c r="W227" s="67"/>
      <c r="X227" s="67">
        <f>IF(AND(MOD(C227,12)=1,D227&lt;15),Assumptions!$D$10*N227+Assumptions!$D$11*(1+Assumptions!$D$16)^(B227-1)*I227,0)</f>
        <v>0</v>
      </c>
      <c r="Y227" s="65">
        <f>Assumptions!$C$13*N227</f>
        <v>0</v>
      </c>
      <c r="Z227" s="65">
        <f>NPV(Assumptions!$D$19,N228:$N$259)</f>
        <v>0</v>
      </c>
      <c r="AA227" s="68">
        <f t="shared" si="59"/>
        <v>0</v>
      </c>
      <c r="AB227" s="96"/>
      <c r="AC227" s="67">
        <f>(AC226+N226-P226-Q226-T226-W226-X226-Y226+AD226)*IF(D227=Assumptions!$H$9,0,1)</f>
        <v>0</v>
      </c>
      <c r="AD227" s="91">
        <f>(AF226+N227-W227-X227-Y227)*Assumptions!$D$19-(P227+Q227)*Assumptions!$D$19/2</f>
        <v>0</v>
      </c>
      <c r="AE227" s="67">
        <f>(AE226+(AD227-O227-R227-Q227-S227))*IF(D227=Assumptions!$H$9,0,1)</f>
        <v>0</v>
      </c>
      <c r="AF227" s="91">
        <f t="shared" si="60"/>
        <v>0</v>
      </c>
      <c r="AG227" s="67">
        <f t="shared" si="61"/>
        <v>0</v>
      </c>
      <c r="AH227" s="89">
        <f>AG227*Assumptions!$C$18</f>
        <v>0</v>
      </c>
      <c r="AI227" s="67">
        <f t="shared" si="62"/>
        <v>0</v>
      </c>
      <c r="AK227" s="67">
        <f t="shared" si="63"/>
        <v>0</v>
      </c>
      <c r="AL227" s="70">
        <f t="shared" si="55"/>
        <v>0</v>
      </c>
      <c r="AM227" s="80">
        <f>(O227-W227-X227-Y227-AA227)*Assumptions!$D$19</f>
        <v>0</v>
      </c>
    </row>
    <row r="228" spans="2:39" x14ac:dyDescent="0.2">
      <c r="B228" s="5">
        <f t="shared" si="51"/>
        <v>221</v>
      </c>
      <c r="C228" s="5">
        <f t="shared" si="52"/>
        <v>221</v>
      </c>
      <c r="D228" s="5">
        <f t="shared" si="53"/>
        <v>18</v>
      </c>
      <c r="E228" s="5">
        <f t="shared" si="54"/>
        <v>64</v>
      </c>
      <c r="F228" s="64">
        <f>1-(1-VLOOKUP($E228,'Annual Mortality Rates'!$B$5:$C$105,2,FALSE))^(1/12)</f>
        <v>4.8378519100333861E-4</v>
      </c>
      <c r="G228" s="74">
        <f>1-(1-IF(D228&gt;=7,2%,VLOOKUP($D228,'Annual Lapse Rates'!$B$4:$C$14,2,FALSE)))^(1/12)</f>
        <v>1.6821425527395739E-3</v>
      </c>
      <c r="H228" s="80">
        <f t="shared" si="56"/>
        <v>5</v>
      </c>
      <c r="I228" s="65"/>
      <c r="J228" s="66"/>
      <c r="K228" s="66"/>
      <c r="M228" s="67">
        <f t="shared" si="64"/>
        <v>0</v>
      </c>
      <c r="N228" s="67">
        <f>IF(AND(MOD(C228,12)=1,D228&lt;15),Assumptions!$H$4*I228,0)</f>
        <v>0</v>
      </c>
      <c r="O228" s="67"/>
      <c r="P228" s="88">
        <f t="shared" si="57"/>
        <v>0</v>
      </c>
      <c r="Q228" s="88">
        <f>(M228+N228-O228)*VLOOKUP(MOD(C228,12)+(MOD(C228,12)=0)*12,Assumptions!$C$22:$D$33,2,FALSE)*(F228+G228)</f>
        <v>0</v>
      </c>
      <c r="R228" s="67">
        <f>IF(AND(MOD(C228,12)=0,D228&lt;15),Assumptions!$C$7*M228,0)</f>
        <v>0</v>
      </c>
      <c r="S228" s="68">
        <f>IF(MOD(C228,12)=0,M228*Assumptions!$D$17,0)</f>
        <v>0</v>
      </c>
      <c r="T228" s="68">
        <f>(M228+N228-O228-P228-Q228-R228+S228)*(D229=Assumptions!$H$9)</f>
        <v>0</v>
      </c>
      <c r="U228" s="67">
        <f>T228+AE228*(1+Assumptions!$D$17)</f>
        <v>0</v>
      </c>
      <c r="V228" s="67">
        <f t="shared" si="58"/>
        <v>0</v>
      </c>
      <c r="W228" s="67"/>
      <c r="X228" s="67">
        <f>IF(AND(MOD(C228,12)=1,D228&lt;15),Assumptions!$D$10*N228+Assumptions!$D$11*(1+Assumptions!$D$16)^(B228-1)*I228,0)</f>
        <v>0</v>
      </c>
      <c r="Y228" s="65">
        <f>Assumptions!$C$13*N228</f>
        <v>0</v>
      </c>
      <c r="Z228" s="65">
        <f>NPV(Assumptions!$D$19,N229:$N$259)</f>
        <v>0</v>
      </c>
      <c r="AA228" s="68">
        <f t="shared" si="59"/>
        <v>0</v>
      </c>
      <c r="AB228" s="96"/>
      <c r="AC228" s="67">
        <f>(AC227+N227-P227-Q227-T227-W227-X227-Y227+AD227)*IF(D228=Assumptions!$H$9,0,1)</f>
        <v>0</v>
      </c>
      <c r="AD228" s="91">
        <f>(AF227+N228-W228-X228-Y228)*Assumptions!$D$19-(P228+Q228)*Assumptions!$D$19/2</f>
        <v>0</v>
      </c>
      <c r="AE228" s="67">
        <f>(AE227+(AD228-O228-R228-Q228-S228))*IF(D228=Assumptions!$H$9,0,1)</f>
        <v>0</v>
      </c>
      <c r="AF228" s="91">
        <f t="shared" si="60"/>
        <v>0</v>
      </c>
      <c r="AG228" s="67">
        <f t="shared" si="61"/>
        <v>0</v>
      </c>
      <c r="AH228" s="89">
        <f>AG228*Assumptions!$C$18</f>
        <v>0</v>
      </c>
      <c r="AI228" s="67">
        <f t="shared" si="62"/>
        <v>0</v>
      </c>
      <c r="AK228" s="67">
        <f t="shared" si="63"/>
        <v>0</v>
      </c>
      <c r="AL228" s="70">
        <f t="shared" si="55"/>
        <v>0</v>
      </c>
      <c r="AM228" s="80">
        <f>(O228-W228-X228-Y228-AA228)*Assumptions!$D$19</f>
        <v>0</v>
      </c>
    </row>
    <row r="229" spans="2:39" x14ac:dyDescent="0.2">
      <c r="B229" s="5">
        <f t="shared" si="51"/>
        <v>222</v>
      </c>
      <c r="C229" s="5">
        <f t="shared" si="52"/>
        <v>222</v>
      </c>
      <c r="D229" s="5">
        <f t="shared" si="53"/>
        <v>18</v>
      </c>
      <c r="E229" s="5">
        <f t="shared" si="54"/>
        <v>64</v>
      </c>
      <c r="F229" s="64">
        <f>1-(1-VLOOKUP($E229,'Annual Mortality Rates'!$B$5:$C$105,2,FALSE))^(1/12)</f>
        <v>4.8378519100333861E-4</v>
      </c>
      <c r="G229" s="74">
        <f>1-(1-IF(D229&gt;=7,2%,VLOOKUP($D229,'Annual Lapse Rates'!$B$4:$C$14,2,FALSE)))^(1/12)</f>
        <v>1.6821425527395739E-3</v>
      </c>
      <c r="H229" s="80">
        <f t="shared" si="56"/>
        <v>6</v>
      </c>
      <c r="I229" s="65"/>
      <c r="J229" s="66"/>
      <c r="K229" s="66"/>
      <c r="M229" s="67">
        <f t="shared" si="64"/>
        <v>0</v>
      </c>
      <c r="N229" s="67">
        <f>IF(AND(MOD(C229,12)=1,D229&lt;15),Assumptions!$H$4*I229,0)</f>
        <v>0</v>
      </c>
      <c r="O229" s="67"/>
      <c r="P229" s="88">
        <f t="shared" si="57"/>
        <v>0</v>
      </c>
      <c r="Q229" s="88">
        <f>(M229+N229-O229)*VLOOKUP(MOD(C229,12)+(MOD(C229,12)=0)*12,Assumptions!$C$22:$D$33,2,FALSE)*(F229+G229)</f>
        <v>0</v>
      </c>
      <c r="R229" s="67">
        <f>IF(AND(MOD(C229,12)=0,D229&lt;15),Assumptions!$C$7*M229,0)</f>
        <v>0</v>
      </c>
      <c r="S229" s="68">
        <f>IF(MOD(C229,12)=0,M229*Assumptions!$D$17,0)</f>
        <v>0</v>
      </c>
      <c r="T229" s="68">
        <f>(M229+N229-O229-P229-Q229-R229+S229)*(D230=Assumptions!$H$9)</f>
        <v>0</v>
      </c>
      <c r="U229" s="67">
        <f>T229+AE229*(1+Assumptions!$D$17)</f>
        <v>0</v>
      </c>
      <c r="V229" s="67">
        <f t="shared" si="58"/>
        <v>0</v>
      </c>
      <c r="W229" s="67"/>
      <c r="X229" s="67">
        <f>IF(AND(MOD(C229,12)=1,D229&lt;15),Assumptions!$D$10*N229+Assumptions!$D$11*(1+Assumptions!$D$16)^(B229-1)*I229,0)</f>
        <v>0</v>
      </c>
      <c r="Y229" s="65">
        <f>Assumptions!$C$13*N229</f>
        <v>0</v>
      </c>
      <c r="Z229" s="65">
        <f>NPV(Assumptions!$D$19,N230:$N$259)</f>
        <v>0</v>
      </c>
      <c r="AA229" s="68">
        <f t="shared" si="59"/>
        <v>0</v>
      </c>
      <c r="AB229" s="96"/>
      <c r="AC229" s="67">
        <f>(AC228+N228-P228-Q228-T228-W228-X228-Y228+AD228)*IF(D229=Assumptions!$H$9,0,1)</f>
        <v>0</v>
      </c>
      <c r="AD229" s="91">
        <f>(AF228+N229-W229-X229-Y229)*Assumptions!$D$19-(P229+Q229)*Assumptions!$D$19/2</f>
        <v>0</v>
      </c>
      <c r="AE229" s="67">
        <f>(AE228+(AD229-O229-R229-Q229-S229))*IF(D229=Assumptions!$H$9,0,1)</f>
        <v>0</v>
      </c>
      <c r="AF229" s="91">
        <f t="shared" si="60"/>
        <v>0</v>
      </c>
      <c r="AG229" s="67">
        <f t="shared" si="61"/>
        <v>0</v>
      </c>
      <c r="AH229" s="89">
        <f>AG229*Assumptions!$C$18</f>
        <v>0</v>
      </c>
      <c r="AI229" s="67">
        <f t="shared" si="62"/>
        <v>0</v>
      </c>
      <c r="AK229" s="67">
        <f t="shared" si="63"/>
        <v>0</v>
      </c>
      <c r="AL229" s="70">
        <f t="shared" si="55"/>
        <v>0</v>
      </c>
      <c r="AM229" s="80">
        <f>(O229-W229-X229-Y229-AA229)*Assumptions!$D$19</f>
        <v>0</v>
      </c>
    </row>
    <row r="230" spans="2:39" x14ac:dyDescent="0.2">
      <c r="B230" s="5">
        <f t="shared" si="51"/>
        <v>223</v>
      </c>
      <c r="C230" s="5">
        <f t="shared" si="52"/>
        <v>223</v>
      </c>
      <c r="D230" s="5">
        <f t="shared" si="53"/>
        <v>18</v>
      </c>
      <c r="E230" s="5">
        <f t="shared" si="54"/>
        <v>64</v>
      </c>
      <c r="F230" s="64">
        <f>1-(1-VLOOKUP($E230,'Annual Mortality Rates'!$B$5:$C$105,2,FALSE))^(1/12)</f>
        <v>4.8378519100333861E-4</v>
      </c>
      <c r="G230" s="74">
        <f>1-(1-IF(D230&gt;=7,2%,VLOOKUP($D230,'Annual Lapse Rates'!$B$4:$C$14,2,FALSE)))^(1/12)</f>
        <v>1.6821425527395739E-3</v>
      </c>
      <c r="H230" s="80">
        <f t="shared" si="56"/>
        <v>7</v>
      </c>
      <c r="I230" s="65"/>
      <c r="J230" s="66"/>
      <c r="K230" s="66"/>
      <c r="M230" s="67">
        <f t="shared" si="64"/>
        <v>0</v>
      </c>
      <c r="N230" s="67">
        <f>IF(AND(MOD(C230,12)=1,D230&lt;15),Assumptions!$H$4*I230,0)</f>
        <v>0</v>
      </c>
      <c r="O230" s="67"/>
      <c r="P230" s="88">
        <f t="shared" si="57"/>
        <v>0</v>
      </c>
      <c r="Q230" s="88">
        <f>(M230+N230-O230)*VLOOKUP(MOD(C230,12)+(MOD(C230,12)=0)*12,Assumptions!$C$22:$D$33,2,FALSE)*(F230+G230)</f>
        <v>0</v>
      </c>
      <c r="R230" s="67">
        <f>IF(AND(MOD(C230,12)=0,D230&lt;15),Assumptions!$C$7*M230,0)</f>
        <v>0</v>
      </c>
      <c r="S230" s="68">
        <f>IF(MOD(C230,12)=0,M230*Assumptions!$D$17,0)</f>
        <v>0</v>
      </c>
      <c r="T230" s="68">
        <f>(M230+N230-O230-P230-Q230-R230+S230)*(D231=Assumptions!$H$9)</f>
        <v>0</v>
      </c>
      <c r="U230" s="67">
        <f>T230+AE230*(1+Assumptions!$D$17)</f>
        <v>0</v>
      </c>
      <c r="V230" s="67">
        <f t="shared" si="58"/>
        <v>0</v>
      </c>
      <c r="W230" s="67"/>
      <c r="X230" s="67">
        <f>IF(AND(MOD(C230,12)=1,D230&lt;15),Assumptions!$D$10*N230+Assumptions!$D$11*(1+Assumptions!$D$16)^(B230-1)*I230,0)</f>
        <v>0</v>
      </c>
      <c r="Y230" s="65">
        <f>Assumptions!$C$13*N230</f>
        <v>0</v>
      </c>
      <c r="Z230" s="65">
        <f>NPV(Assumptions!$D$19,N231:$N$259)</f>
        <v>0</v>
      </c>
      <c r="AA230" s="68">
        <f t="shared" si="59"/>
        <v>0</v>
      </c>
      <c r="AB230" s="96"/>
      <c r="AC230" s="67">
        <f>(AC229+N229-P229-Q229-T229-W229-X229-Y229+AD229)*IF(D230=Assumptions!$H$9,0,1)</f>
        <v>0</v>
      </c>
      <c r="AD230" s="91">
        <f>(AF229+N230-W230-X230-Y230)*Assumptions!$D$19-(P230+Q230)*Assumptions!$D$19/2</f>
        <v>0</v>
      </c>
      <c r="AE230" s="67">
        <f>(AE229+(AD230-O230-R230-Q230-S230))*IF(D230=Assumptions!$H$9,0,1)</f>
        <v>0</v>
      </c>
      <c r="AF230" s="91">
        <f t="shared" si="60"/>
        <v>0</v>
      </c>
      <c r="AG230" s="67">
        <f t="shared" si="61"/>
        <v>0</v>
      </c>
      <c r="AH230" s="89">
        <f>AG230*Assumptions!$C$18</f>
        <v>0</v>
      </c>
      <c r="AI230" s="67">
        <f t="shared" si="62"/>
        <v>0</v>
      </c>
      <c r="AK230" s="67">
        <f t="shared" si="63"/>
        <v>0</v>
      </c>
      <c r="AL230" s="70">
        <f t="shared" si="55"/>
        <v>0</v>
      </c>
      <c r="AM230" s="80">
        <f>(O230-W230-X230-Y230-AA230)*Assumptions!$D$19</f>
        <v>0</v>
      </c>
    </row>
    <row r="231" spans="2:39" x14ac:dyDescent="0.2">
      <c r="B231" s="5">
        <f t="shared" si="51"/>
        <v>224</v>
      </c>
      <c r="C231" s="5">
        <f t="shared" si="52"/>
        <v>224</v>
      </c>
      <c r="D231" s="5">
        <f t="shared" si="53"/>
        <v>18</v>
      </c>
      <c r="E231" s="5">
        <f t="shared" si="54"/>
        <v>64</v>
      </c>
      <c r="F231" s="64">
        <f>1-(1-VLOOKUP($E231,'Annual Mortality Rates'!$B$5:$C$105,2,FALSE))^(1/12)</f>
        <v>4.8378519100333861E-4</v>
      </c>
      <c r="G231" s="74">
        <f>1-(1-IF(D231&gt;=7,2%,VLOOKUP($D231,'Annual Lapse Rates'!$B$4:$C$14,2,FALSE)))^(1/12)</f>
        <v>1.6821425527395739E-3</v>
      </c>
      <c r="H231" s="80">
        <f t="shared" si="56"/>
        <v>8</v>
      </c>
      <c r="I231" s="65"/>
      <c r="J231" s="66"/>
      <c r="K231" s="66"/>
      <c r="M231" s="67">
        <f t="shared" si="64"/>
        <v>0</v>
      </c>
      <c r="N231" s="67">
        <f>IF(AND(MOD(C231,12)=1,D231&lt;15),Assumptions!$H$4*I231,0)</f>
        <v>0</v>
      </c>
      <c r="O231" s="67"/>
      <c r="P231" s="88">
        <f t="shared" si="57"/>
        <v>0</v>
      </c>
      <c r="Q231" s="88">
        <f>(M231+N231-O231)*VLOOKUP(MOD(C231,12)+(MOD(C231,12)=0)*12,Assumptions!$C$22:$D$33,2,FALSE)*(F231+G231)</f>
        <v>0</v>
      </c>
      <c r="R231" s="67">
        <f>IF(AND(MOD(C231,12)=0,D231&lt;15),Assumptions!$C$7*M231,0)</f>
        <v>0</v>
      </c>
      <c r="S231" s="68">
        <f>IF(MOD(C231,12)=0,M231*Assumptions!$D$17,0)</f>
        <v>0</v>
      </c>
      <c r="T231" s="68">
        <f>(M231+N231-O231-P231-Q231-R231+S231)*(D232=Assumptions!$H$9)</f>
        <v>0</v>
      </c>
      <c r="U231" s="67">
        <f>T231+AE231*(1+Assumptions!$D$17)</f>
        <v>0</v>
      </c>
      <c r="V231" s="67">
        <f t="shared" si="58"/>
        <v>0</v>
      </c>
      <c r="W231" s="67"/>
      <c r="X231" s="67">
        <f>IF(AND(MOD(C231,12)=1,D231&lt;15),Assumptions!$D$10*N231+Assumptions!$D$11*(1+Assumptions!$D$16)^(B231-1)*I231,0)</f>
        <v>0</v>
      </c>
      <c r="Y231" s="65">
        <f>Assumptions!$C$13*N231</f>
        <v>0</v>
      </c>
      <c r="Z231" s="65">
        <f>NPV(Assumptions!$D$19,N232:$N$259)</f>
        <v>0</v>
      </c>
      <c r="AA231" s="68">
        <f t="shared" si="59"/>
        <v>0</v>
      </c>
      <c r="AB231" s="96"/>
      <c r="AC231" s="67">
        <f>(AC230+N230-P230-Q230-T230-W230-X230-Y230+AD230)*IF(D231=Assumptions!$H$9,0,1)</f>
        <v>0</v>
      </c>
      <c r="AD231" s="91">
        <f>(AF230+N231-W231-X231-Y231)*Assumptions!$D$19-(P231+Q231)*Assumptions!$D$19/2</f>
        <v>0</v>
      </c>
      <c r="AE231" s="67">
        <f>(AE230+(AD231-O231-R231-Q231-S231))*IF(D231=Assumptions!$H$9,0,1)</f>
        <v>0</v>
      </c>
      <c r="AF231" s="91">
        <f t="shared" si="60"/>
        <v>0</v>
      </c>
      <c r="AG231" s="67">
        <f t="shared" si="61"/>
        <v>0</v>
      </c>
      <c r="AH231" s="89">
        <f>AG231*Assumptions!$C$18</f>
        <v>0</v>
      </c>
      <c r="AI231" s="67">
        <f t="shared" si="62"/>
        <v>0</v>
      </c>
      <c r="AK231" s="67">
        <f t="shared" si="63"/>
        <v>0</v>
      </c>
      <c r="AL231" s="70">
        <f t="shared" si="55"/>
        <v>0</v>
      </c>
      <c r="AM231" s="80">
        <f>(O231-W231-X231-Y231-AA231)*Assumptions!$D$19</f>
        <v>0</v>
      </c>
    </row>
    <row r="232" spans="2:39" x14ac:dyDescent="0.2">
      <c r="B232" s="5">
        <f t="shared" si="51"/>
        <v>225</v>
      </c>
      <c r="C232" s="5">
        <f t="shared" si="52"/>
        <v>225</v>
      </c>
      <c r="D232" s="5">
        <f t="shared" si="53"/>
        <v>18</v>
      </c>
      <c r="E232" s="5">
        <f t="shared" si="54"/>
        <v>64</v>
      </c>
      <c r="F232" s="64">
        <f>1-(1-VLOOKUP($E232,'Annual Mortality Rates'!$B$5:$C$105,2,FALSE))^(1/12)</f>
        <v>4.8378519100333861E-4</v>
      </c>
      <c r="G232" s="74">
        <f>1-(1-IF(D232&gt;=7,2%,VLOOKUP($D232,'Annual Lapse Rates'!$B$4:$C$14,2,FALSE)))^(1/12)</f>
        <v>1.6821425527395739E-3</v>
      </c>
      <c r="H232" s="80">
        <f t="shared" si="56"/>
        <v>9</v>
      </c>
      <c r="I232" s="65"/>
      <c r="J232" s="66"/>
      <c r="K232" s="66"/>
      <c r="M232" s="67">
        <f t="shared" si="64"/>
        <v>0</v>
      </c>
      <c r="N232" s="67">
        <f>IF(AND(MOD(C232,12)=1,D232&lt;15),Assumptions!$H$4*I232,0)</f>
        <v>0</v>
      </c>
      <c r="O232" s="67"/>
      <c r="P232" s="88">
        <f t="shared" si="57"/>
        <v>0</v>
      </c>
      <c r="Q232" s="88">
        <f>(M232+N232-O232)*VLOOKUP(MOD(C232,12)+(MOD(C232,12)=0)*12,Assumptions!$C$22:$D$33,2,FALSE)*(F232+G232)</f>
        <v>0</v>
      </c>
      <c r="R232" s="67">
        <f>IF(AND(MOD(C232,12)=0,D232&lt;15),Assumptions!$C$7*M232,0)</f>
        <v>0</v>
      </c>
      <c r="S232" s="68">
        <f>IF(MOD(C232,12)=0,M232*Assumptions!$D$17,0)</f>
        <v>0</v>
      </c>
      <c r="T232" s="68">
        <f>(M232+N232-O232-P232-Q232-R232+S232)*(D233=Assumptions!$H$9)</f>
        <v>0</v>
      </c>
      <c r="U232" s="67">
        <f>T232+AE232*(1+Assumptions!$D$17)</f>
        <v>0</v>
      </c>
      <c r="V232" s="67">
        <f t="shared" si="58"/>
        <v>0</v>
      </c>
      <c r="W232" s="67"/>
      <c r="X232" s="67">
        <f>IF(AND(MOD(C232,12)=1,D232&lt;15),Assumptions!$D$10*N232+Assumptions!$D$11*(1+Assumptions!$D$16)^(B232-1)*I232,0)</f>
        <v>0</v>
      </c>
      <c r="Y232" s="65">
        <f>Assumptions!$C$13*N232</f>
        <v>0</v>
      </c>
      <c r="Z232" s="65">
        <f>NPV(Assumptions!$D$19,N233:$N$259)</f>
        <v>0</v>
      </c>
      <c r="AA232" s="68">
        <f t="shared" si="59"/>
        <v>0</v>
      </c>
      <c r="AB232" s="96"/>
      <c r="AC232" s="67">
        <f>(AC231+N231-P231-Q231-T231-W231-X231-Y231+AD231)*IF(D232=Assumptions!$H$9,0,1)</f>
        <v>0</v>
      </c>
      <c r="AD232" s="91">
        <f>(AF231+N232-W232-X232-Y232)*Assumptions!$D$19-(P232+Q232)*Assumptions!$D$19/2</f>
        <v>0</v>
      </c>
      <c r="AE232" s="67">
        <f>(AE231+(AD232-O232-R232-Q232-S232))*IF(D232=Assumptions!$H$9,0,1)</f>
        <v>0</v>
      </c>
      <c r="AF232" s="91">
        <f t="shared" si="60"/>
        <v>0</v>
      </c>
      <c r="AG232" s="67">
        <f t="shared" si="61"/>
        <v>0</v>
      </c>
      <c r="AH232" s="89">
        <f>AG232*Assumptions!$C$18</f>
        <v>0</v>
      </c>
      <c r="AI232" s="67">
        <f t="shared" si="62"/>
        <v>0</v>
      </c>
      <c r="AK232" s="67">
        <f t="shared" si="63"/>
        <v>0</v>
      </c>
      <c r="AL232" s="70">
        <f t="shared" si="55"/>
        <v>0</v>
      </c>
      <c r="AM232" s="80">
        <f>(O232-W232-X232-Y232-AA232)*Assumptions!$D$19</f>
        <v>0</v>
      </c>
    </row>
    <row r="233" spans="2:39" x14ac:dyDescent="0.2">
      <c r="B233" s="5">
        <f t="shared" si="51"/>
        <v>226</v>
      </c>
      <c r="C233" s="5">
        <f t="shared" si="52"/>
        <v>226</v>
      </c>
      <c r="D233" s="5">
        <f t="shared" si="53"/>
        <v>18</v>
      </c>
      <c r="E233" s="5">
        <f t="shared" si="54"/>
        <v>64</v>
      </c>
      <c r="F233" s="64">
        <f>1-(1-VLOOKUP($E233,'Annual Mortality Rates'!$B$5:$C$105,2,FALSE))^(1/12)</f>
        <v>4.8378519100333861E-4</v>
      </c>
      <c r="G233" s="74">
        <f>1-(1-IF(D233&gt;=7,2%,VLOOKUP($D233,'Annual Lapse Rates'!$B$4:$C$14,2,FALSE)))^(1/12)</f>
        <v>1.6821425527395739E-3</v>
      </c>
      <c r="H233" s="80">
        <f t="shared" si="56"/>
        <v>10</v>
      </c>
      <c r="I233" s="65"/>
      <c r="J233" s="66"/>
      <c r="K233" s="66"/>
      <c r="M233" s="67">
        <f t="shared" si="64"/>
        <v>0</v>
      </c>
      <c r="N233" s="67">
        <f>IF(AND(MOD(C233,12)=1,D233&lt;15),Assumptions!$H$4*I233,0)</f>
        <v>0</v>
      </c>
      <c r="O233" s="67"/>
      <c r="P233" s="88">
        <f t="shared" si="57"/>
        <v>0</v>
      </c>
      <c r="Q233" s="88">
        <f>(M233+N233-O233)*VLOOKUP(MOD(C233,12)+(MOD(C233,12)=0)*12,Assumptions!$C$22:$D$33,2,FALSE)*(F233+G233)</f>
        <v>0</v>
      </c>
      <c r="R233" s="67">
        <f>IF(AND(MOD(C233,12)=0,D233&lt;15),Assumptions!$C$7*M233,0)</f>
        <v>0</v>
      </c>
      <c r="S233" s="68">
        <f>IF(MOD(C233,12)=0,M233*Assumptions!$D$17,0)</f>
        <v>0</v>
      </c>
      <c r="T233" s="68">
        <f>(M233+N233-O233-P233-Q233-R233+S233)*(D234=Assumptions!$H$9)</f>
        <v>0</v>
      </c>
      <c r="U233" s="67">
        <f>T233+AE233*(1+Assumptions!$D$17)</f>
        <v>0</v>
      </c>
      <c r="V233" s="67">
        <f t="shared" si="58"/>
        <v>0</v>
      </c>
      <c r="W233" s="67"/>
      <c r="X233" s="67">
        <f>IF(AND(MOD(C233,12)=1,D233&lt;15),Assumptions!$D$10*N233+Assumptions!$D$11*(1+Assumptions!$D$16)^(B233-1)*I233,0)</f>
        <v>0</v>
      </c>
      <c r="Y233" s="65">
        <f>Assumptions!$C$13*N233</f>
        <v>0</v>
      </c>
      <c r="Z233" s="65">
        <f>NPV(Assumptions!$D$19,N234:$N$259)</f>
        <v>0</v>
      </c>
      <c r="AA233" s="68">
        <f t="shared" si="59"/>
        <v>0</v>
      </c>
      <c r="AB233" s="96"/>
      <c r="AC233" s="67">
        <f>(AC232+N232-P232-Q232-T232-W232-X232-Y232+AD232)*IF(D233=Assumptions!$H$9,0,1)</f>
        <v>0</v>
      </c>
      <c r="AD233" s="91">
        <f>(AF232+N233-W233-X233-Y233)*Assumptions!$D$19-(P233+Q233)*Assumptions!$D$19/2</f>
        <v>0</v>
      </c>
      <c r="AE233" s="67">
        <f>(AE232+(AD233-O233-R233-Q233-S233))*IF(D233=Assumptions!$H$9,0,1)</f>
        <v>0</v>
      </c>
      <c r="AF233" s="91">
        <f t="shared" si="60"/>
        <v>0</v>
      </c>
      <c r="AG233" s="67">
        <f t="shared" si="61"/>
        <v>0</v>
      </c>
      <c r="AH233" s="89">
        <f>AG233*Assumptions!$C$18</f>
        <v>0</v>
      </c>
      <c r="AI233" s="67">
        <f t="shared" si="62"/>
        <v>0</v>
      </c>
      <c r="AK233" s="67">
        <f t="shared" si="63"/>
        <v>0</v>
      </c>
      <c r="AL233" s="70">
        <f t="shared" si="55"/>
        <v>0</v>
      </c>
      <c r="AM233" s="80">
        <f>(O233-W233-X233-Y233-AA233)*Assumptions!$D$19</f>
        <v>0</v>
      </c>
    </row>
    <row r="234" spans="2:39" x14ac:dyDescent="0.2">
      <c r="B234" s="5">
        <f t="shared" si="51"/>
        <v>227</v>
      </c>
      <c r="C234" s="5">
        <f t="shared" si="52"/>
        <v>227</v>
      </c>
      <c r="D234" s="5">
        <f t="shared" si="53"/>
        <v>18</v>
      </c>
      <c r="E234" s="5">
        <f t="shared" si="54"/>
        <v>64</v>
      </c>
      <c r="F234" s="64">
        <f>1-(1-VLOOKUP($E234,'Annual Mortality Rates'!$B$5:$C$105,2,FALSE))^(1/12)</f>
        <v>4.8378519100333861E-4</v>
      </c>
      <c r="G234" s="74">
        <f>1-(1-IF(D234&gt;=7,2%,VLOOKUP($D234,'Annual Lapse Rates'!$B$4:$C$14,2,FALSE)))^(1/12)</f>
        <v>1.6821425527395739E-3</v>
      </c>
      <c r="H234" s="80">
        <f t="shared" si="56"/>
        <v>11</v>
      </c>
      <c r="I234" s="65"/>
      <c r="J234" s="66"/>
      <c r="K234" s="66"/>
      <c r="M234" s="67">
        <f t="shared" si="64"/>
        <v>0</v>
      </c>
      <c r="N234" s="67">
        <f>IF(AND(MOD(C234,12)=1,D234&lt;15),Assumptions!$H$4*I234,0)</f>
        <v>0</v>
      </c>
      <c r="O234" s="67"/>
      <c r="P234" s="88">
        <f t="shared" si="57"/>
        <v>0</v>
      </c>
      <c r="Q234" s="88">
        <f>(M234+N234-O234)*VLOOKUP(MOD(C234,12)+(MOD(C234,12)=0)*12,Assumptions!$C$22:$D$33,2,FALSE)*(F234+G234)</f>
        <v>0</v>
      </c>
      <c r="R234" s="67">
        <f>IF(AND(MOD(C234,12)=0,D234&lt;15),Assumptions!$C$7*M234,0)</f>
        <v>0</v>
      </c>
      <c r="S234" s="68">
        <f>IF(MOD(C234,12)=0,M234*Assumptions!$D$17,0)</f>
        <v>0</v>
      </c>
      <c r="T234" s="68">
        <f>(M234+N234-O234-P234-Q234-R234+S234)*(D235=Assumptions!$H$9)</f>
        <v>0</v>
      </c>
      <c r="U234" s="67">
        <f>T234+AE234*(1+Assumptions!$D$17)</f>
        <v>0</v>
      </c>
      <c r="V234" s="67">
        <f t="shared" si="58"/>
        <v>0</v>
      </c>
      <c r="W234" s="67"/>
      <c r="X234" s="67">
        <f>IF(AND(MOD(C234,12)=1,D234&lt;15),Assumptions!$D$10*N234+Assumptions!$D$11*(1+Assumptions!$D$16)^(B234-1)*I234,0)</f>
        <v>0</v>
      </c>
      <c r="Y234" s="65">
        <f>Assumptions!$C$13*N234</f>
        <v>0</v>
      </c>
      <c r="Z234" s="65">
        <f>NPV(Assumptions!$D$19,N235:$N$259)</f>
        <v>0</v>
      </c>
      <c r="AA234" s="68">
        <f t="shared" si="59"/>
        <v>0</v>
      </c>
      <c r="AB234" s="96"/>
      <c r="AC234" s="67">
        <f>(AC233+N233-P233-Q233-T233-W233-X233-Y233+AD233)*IF(D234=Assumptions!$H$9,0,1)</f>
        <v>0</v>
      </c>
      <c r="AD234" s="91">
        <f>(AF233+N234-W234-X234-Y234)*Assumptions!$D$19-(P234+Q234)*Assumptions!$D$19/2</f>
        <v>0</v>
      </c>
      <c r="AE234" s="67">
        <f>(AE233+(AD234-O234-R234-Q234-S234))*IF(D234=Assumptions!$H$9,0,1)</f>
        <v>0</v>
      </c>
      <c r="AF234" s="91">
        <f t="shared" si="60"/>
        <v>0</v>
      </c>
      <c r="AG234" s="67">
        <f t="shared" si="61"/>
        <v>0</v>
      </c>
      <c r="AH234" s="89">
        <f>AG234*Assumptions!$C$18</f>
        <v>0</v>
      </c>
      <c r="AI234" s="67">
        <f t="shared" si="62"/>
        <v>0</v>
      </c>
      <c r="AK234" s="67">
        <f t="shared" si="63"/>
        <v>0</v>
      </c>
      <c r="AL234" s="70">
        <f t="shared" si="55"/>
        <v>0</v>
      </c>
      <c r="AM234" s="80">
        <f>(O234-W234-X234-Y234-AA234)*Assumptions!$D$19</f>
        <v>0</v>
      </c>
    </row>
    <row r="235" spans="2:39" x14ac:dyDescent="0.2">
      <c r="B235" s="5">
        <f t="shared" si="51"/>
        <v>228</v>
      </c>
      <c r="C235" s="5">
        <f t="shared" si="52"/>
        <v>228</v>
      </c>
      <c r="D235" s="5">
        <f t="shared" si="53"/>
        <v>18</v>
      </c>
      <c r="E235" s="5">
        <f t="shared" si="54"/>
        <v>64</v>
      </c>
      <c r="F235" s="64">
        <f>1-(1-VLOOKUP($E235,'Annual Mortality Rates'!$B$5:$C$105,2,FALSE))^(1/12)</f>
        <v>4.8378519100333861E-4</v>
      </c>
      <c r="G235" s="74">
        <f>1-(1-IF(D235&gt;=7,2%,VLOOKUP($D235,'Annual Lapse Rates'!$B$4:$C$14,2,FALSE)))^(1/12)</f>
        <v>1.6821425527395739E-3</v>
      </c>
      <c r="H235" s="80">
        <f t="shared" si="56"/>
        <v>12</v>
      </c>
      <c r="I235" s="65"/>
      <c r="J235" s="66"/>
      <c r="K235" s="66"/>
      <c r="M235" s="67">
        <f t="shared" si="64"/>
        <v>0</v>
      </c>
      <c r="N235" s="67">
        <f>IF(AND(MOD(C235,12)=1,D235&lt;15),Assumptions!$H$4*I235,0)</f>
        <v>0</v>
      </c>
      <c r="O235" s="67"/>
      <c r="P235" s="88">
        <f t="shared" si="57"/>
        <v>0</v>
      </c>
      <c r="Q235" s="88">
        <f>(M235+N235-O235)*VLOOKUP(MOD(C235,12)+(MOD(C235,12)=0)*12,Assumptions!$C$22:$D$33,2,FALSE)*(F235+G235)</f>
        <v>0</v>
      </c>
      <c r="R235" s="67">
        <f>IF(AND(MOD(C235,12)=0,D235&lt;15),Assumptions!$C$7*M235,0)</f>
        <v>0</v>
      </c>
      <c r="S235" s="68">
        <f>IF(MOD(C235,12)=0,M235*Assumptions!$D$17,0)</f>
        <v>0</v>
      </c>
      <c r="T235" s="68">
        <f>(M235+N235-O235-P235-Q235-R235+S235)*(D236=Assumptions!$H$9)</f>
        <v>0</v>
      </c>
      <c r="U235" s="67">
        <f>T235+AE235*(1+Assumptions!$D$17)</f>
        <v>0</v>
      </c>
      <c r="V235" s="67">
        <f t="shared" si="58"/>
        <v>0</v>
      </c>
      <c r="W235" s="67"/>
      <c r="X235" s="67">
        <f>IF(AND(MOD(C235,12)=1,D235&lt;15),Assumptions!$D$10*N235+Assumptions!$D$11*(1+Assumptions!$D$16)^(B235-1)*I235,0)</f>
        <v>0</v>
      </c>
      <c r="Y235" s="65">
        <f>Assumptions!$C$13*N235</f>
        <v>0</v>
      </c>
      <c r="Z235" s="65">
        <f>NPV(Assumptions!$D$19,N236:$N$259)</f>
        <v>0</v>
      </c>
      <c r="AA235" s="68">
        <f t="shared" si="59"/>
        <v>0</v>
      </c>
      <c r="AB235" s="96"/>
      <c r="AC235" s="67">
        <f>(AC234+N234-P234-Q234-T234-W234-X234-Y234+AD234)*IF(D235=Assumptions!$H$9,0,1)</f>
        <v>0</v>
      </c>
      <c r="AD235" s="91">
        <f>(AF234+N235-W235-X235-Y235)*Assumptions!$D$19-(P235+Q235)*Assumptions!$D$19/2</f>
        <v>0</v>
      </c>
      <c r="AE235" s="67">
        <f>(AE234+(AD235-O235-R235-Q235-S235))*IF(D235=Assumptions!$H$9,0,1)</f>
        <v>0</v>
      </c>
      <c r="AF235" s="91">
        <f t="shared" si="60"/>
        <v>0</v>
      </c>
      <c r="AG235" s="67">
        <f t="shared" si="61"/>
        <v>0</v>
      </c>
      <c r="AH235" s="89">
        <f>AG235*Assumptions!$C$18</f>
        <v>0</v>
      </c>
      <c r="AI235" s="67">
        <f t="shared" si="62"/>
        <v>0</v>
      </c>
      <c r="AK235" s="67">
        <f t="shared" si="63"/>
        <v>0</v>
      </c>
      <c r="AL235" s="70">
        <f t="shared" si="55"/>
        <v>0</v>
      </c>
      <c r="AM235" s="80">
        <f>(O235-W235-X235-Y235-AA235)*Assumptions!$D$19</f>
        <v>0</v>
      </c>
    </row>
    <row r="236" spans="2:39" x14ac:dyDescent="0.2">
      <c r="B236" s="5">
        <f t="shared" si="51"/>
        <v>229</v>
      </c>
      <c r="C236" s="5">
        <f t="shared" si="52"/>
        <v>229</v>
      </c>
      <c r="D236" s="5">
        <f t="shared" si="53"/>
        <v>19</v>
      </c>
      <c r="E236" s="5">
        <f t="shared" si="54"/>
        <v>65</v>
      </c>
      <c r="F236" s="64">
        <f>1-(1-VLOOKUP($E236,'Annual Mortality Rates'!$B$5:$C$105,2,FALSE))^(1/12)</f>
        <v>5.399338581985047E-4</v>
      </c>
      <c r="G236" s="74">
        <f>1-(1-IF(D236&gt;=7,2%,VLOOKUP($D236,'Annual Lapse Rates'!$B$4:$C$14,2,FALSE)))^(1/12)</f>
        <v>1.6821425527395739E-3</v>
      </c>
      <c r="H236" s="80">
        <f t="shared" si="56"/>
        <v>1</v>
      </c>
      <c r="I236" s="65"/>
      <c r="J236" s="66"/>
      <c r="K236" s="66"/>
      <c r="M236" s="67">
        <f t="shared" si="64"/>
        <v>0</v>
      </c>
      <c r="N236" s="67">
        <f>IF(AND(MOD(C236,12)=1,D236&lt;15),Assumptions!$H$4*I236,0)</f>
        <v>0</v>
      </c>
      <c r="O236" s="67"/>
      <c r="P236" s="88">
        <f t="shared" si="57"/>
        <v>0</v>
      </c>
      <c r="Q236" s="88">
        <f>(M236+N236-O236)*VLOOKUP(MOD(C236,12)+(MOD(C236,12)=0)*12,Assumptions!$C$22:$D$33,2,FALSE)*(F236+G236)</f>
        <v>0</v>
      </c>
      <c r="R236" s="67">
        <f>IF(AND(MOD(C236,12)=0,D236&lt;15),Assumptions!$C$7*M236,0)</f>
        <v>0</v>
      </c>
      <c r="S236" s="68">
        <f>IF(MOD(C236,12)=0,M236*Assumptions!$D$17,0)</f>
        <v>0</v>
      </c>
      <c r="T236" s="68">
        <f>(M236+N236-O236-P236-Q236-R236+S236)*(D237=Assumptions!$H$9)</f>
        <v>0</v>
      </c>
      <c r="U236" s="67">
        <f>T236+AE236*(1+Assumptions!$D$17)</f>
        <v>0</v>
      </c>
      <c r="V236" s="67">
        <f t="shared" si="58"/>
        <v>0</v>
      </c>
      <c r="W236" s="67"/>
      <c r="X236" s="67">
        <f>IF(AND(MOD(C236,12)=1,D236&lt;15),Assumptions!$D$10*N236+Assumptions!$D$11*(1+Assumptions!$D$16)^(B236-1)*I236,0)</f>
        <v>0</v>
      </c>
      <c r="Y236" s="65">
        <f>Assumptions!$C$13*N236</f>
        <v>0</v>
      </c>
      <c r="Z236" s="65">
        <f>NPV(Assumptions!$D$19,N237:$N$259)</f>
        <v>0</v>
      </c>
      <c r="AA236" s="68">
        <f t="shared" si="59"/>
        <v>0</v>
      </c>
      <c r="AB236" s="96"/>
      <c r="AC236" s="67">
        <f>(AC235+N235-P235-Q235-T235-W235-X235-Y235+AD235)*IF(D236=Assumptions!$H$9,0,1)</f>
        <v>0</v>
      </c>
      <c r="AD236" s="91">
        <f>(AF235+N236-W236-X236-Y236)*Assumptions!$D$19-(P236+Q236)*Assumptions!$D$19/2</f>
        <v>0</v>
      </c>
      <c r="AE236" s="67">
        <f>(AE235+(AD236-O236-R236-Q236-S236))*IF(D236=Assumptions!$H$9,0,1)</f>
        <v>0</v>
      </c>
      <c r="AF236" s="91">
        <f t="shared" si="60"/>
        <v>0</v>
      </c>
      <c r="AG236" s="67">
        <f t="shared" si="61"/>
        <v>0</v>
      </c>
      <c r="AH236" s="89">
        <f>AG236*Assumptions!$C$18</f>
        <v>0</v>
      </c>
      <c r="AI236" s="67">
        <f t="shared" si="62"/>
        <v>0</v>
      </c>
      <c r="AK236" s="67">
        <f t="shared" si="63"/>
        <v>0</v>
      </c>
      <c r="AL236" s="70">
        <f t="shared" si="55"/>
        <v>0</v>
      </c>
      <c r="AM236" s="80">
        <f>(O236-W236-X236-Y236-AA236)*Assumptions!$D$19</f>
        <v>0</v>
      </c>
    </row>
    <row r="237" spans="2:39" x14ac:dyDescent="0.2">
      <c r="B237" s="5">
        <f t="shared" si="51"/>
        <v>230</v>
      </c>
      <c r="C237" s="5">
        <f t="shared" si="52"/>
        <v>230</v>
      </c>
      <c r="D237" s="5">
        <f t="shared" si="53"/>
        <v>19</v>
      </c>
      <c r="E237" s="5">
        <f t="shared" si="54"/>
        <v>65</v>
      </c>
      <c r="F237" s="64">
        <f>1-(1-VLOOKUP($E237,'Annual Mortality Rates'!$B$5:$C$105,2,FALSE))^(1/12)</f>
        <v>5.399338581985047E-4</v>
      </c>
      <c r="G237" s="74">
        <f>1-(1-IF(D237&gt;=7,2%,VLOOKUP($D237,'Annual Lapse Rates'!$B$4:$C$14,2,FALSE)))^(1/12)</f>
        <v>1.6821425527395739E-3</v>
      </c>
      <c r="H237" s="80">
        <f t="shared" si="56"/>
        <v>2</v>
      </c>
      <c r="I237" s="65"/>
      <c r="J237" s="66"/>
      <c r="K237" s="66"/>
      <c r="M237" s="67">
        <f t="shared" si="64"/>
        <v>0</v>
      </c>
      <c r="N237" s="67">
        <f>IF(AND(MOD(C237,12)=1,D237&lt;15),Assumptions!$H$4*I237,0)</f>
        <v>0</v>
      </c>
      <c r="O237" s="67"/>
      <c r="P237" s="88">
        <f t="shared" si="57"/>
        <v>0</v>
      </c>
      <c r="Q237" s="88">
        <f>(M237+N237-O237)*VLOOKUP(MOD(C237,12)+(MOD(C237,12)=0)*12,Assumptions!$C$22:$D$33,2,FALSE)*(F237+G237)</f>
        <v>0</v>
      </c>
      <c r="R237" s="67">
        <f>IF(AND(MOD(C237,12)=0,D237&lt;15),Assumptions!$C$7*M237,0)</f>
        <v>0</v>
      </c>
      <c r="S237" s="68">
        <f>IF(MOD(C237,12)=0,M237*Assumptions!$D$17,0)</f>
        <v>0</v>
      </c>
      <c r="T237" s="68">
        <f>(M237+N237-O237-P237-Q237-R237+S237)*(D238=Assumptions!$H$9)</f>
        <v>0</v>
      </c>
      <c r="U237" s="67">
        <f>T237+AE237*(1+Assumptions!$D$17)</f>
        <v>0</v>
      </c>
      <c r="V237" s="67">
        <f t="shared" si="58"/>
        <v>0</v>
      </c>
      <c r="W237" s="67"/>
      <c r="X237" s="67">
        <f>IF(AND(MOD(C237,12)=1,D237&lt;15),Assumptions!$D$10*N237+Assumptions!$D$11*(1+Assumptions!$D$16)^(B237-1)*I237,0)</f>
        <v>0</v>
      </c>
      <c r="Y237" s="65">
        <f>Assumptions!$C$13*N237</f>
        <v>0</v>
      </c>
      <c r="Z237" s="65">
        <f>NPV(Assumptions!$D$19,N238:$N$259)</f>
        <v>0</v>
      </c>
      <c r="AA237" s="68">
        <f t="shared" si="59"/>
        <v>0</v>
      </c>
      <c r="AB237" s="96"/>
      <c r="AC237" s="67">
        <f>(AC236+N236-P236-Q236-T236-W236-X236-Y236+AD236)*IF(D237=Assumptions!$H$9,0,1)</f>
        <v>0</v>
      </c>
      <c r="AD237" s="91">
        <f>(AF236+N237-W237-X237-Y237)*Assumptions!$D$19-(P237+Q237)*Assumptions!$D$19/2</f>
        <v>0</v>
      </c>
      <c r="AE237" s="67">
        <f>(AE236+(AD237-O237-R237-Q237-S237))*IF(D237=Assumptions!$H$9,0,1)</f>
        <v>0</v>
      </c>
      <c r="AF237" s="91">
        <f t="shared" si="60"/>
        <v>0</v>
      </c>
      <c r="AG237" s="67">
        <f t="shared" si="61"/>
        <v>0</v>
      </c>
      <c r="AH237" s="89">
        <f>AG237*Assumptions!$C$18</f>
        <v>0</v>
      </c>
      <c r="AI237" s="67">
        <f t="shared" si="62"/>
        <v>0</v>
      </c>
      <c r="AK237" s="67">
        <f t="shared" si="63"/>
        <v>0</v>
      </c>
      <c r="AL237" s="70">
        <f t="shared" si="55"/>
        <v>0</v>
      </c>
      <c r="AM237" s="80">
        <f>(O237-W237-X237-Y237-AA237)*Assumptions!$D$19</f>
        <v>0</v>
      </c>
    </row>
    <row r="238" spans="2:39" x14ac:dyDescent="0.2">
      <c r="B238" s="5">
        <f t="shared" si="51"/>
        <v>231</v>
      </c>
      <c r="C238" s="5">
        <f t="shared" si="52"/>
        <v>231</v>
      </c>
      <c r="D238" s="5">
        <f t="shared" si="53"/>
        <v>19</v>
      </c>
      <c r="E238" s="5">
        <f t="shared" si="54"/>
        <v>65</v>
      </c>
      <c r="F238" s="64">
        <f>1-(1-VLOOKUP($E238,'Annual Mortality Rates'!$B$5:$C$105,2,FALSE))^(1/12)</f>
        <v>5.399338581985047E-4</v>
      </c>
      <c r="G238" s="74">
        <f>1-(1-IF(D238&gt;=7,2%,VLOOKUP($D238,'Annual Lapse Rates'!$B$4:$C$14,2,FALSE)))^(1/12)</f>
        <v>1.6821425527395739E-3</v>
      </c>
      <c r="H238" s="80">
        <f t="shared" si="56"/>
        <v>3</v>
      </c>
      <c r="I238" s="65"/>
      <c r="J238" s="66"/>
      <c r="K238" s="66"/>
      <c r="M238" s="67">
        <f t="shared" si="64"/>
        <v>0</v>
      </c>
      <c r="N238" s="67">
        <f>IF(AND(MOD(C238,12)=1,D238&lt;15),Assumptions!$H$4*I238,0)</f>
        <v>0</v>
      </c>
      <c r="O238" s="67"/>
      <c r="P238" s="88">
        <f t="shared" si="57"/>
        <v>0</v>
      </c>
      <c r="Q238" s="88">
        <f>(M238+N238-O238)*VLOOKUP(MOD(C238,12)+(MOD(C238,12)=0)*12,Assumptions!$C$22:$D$33,2,FALSE)*(F238+G238)</f>
        <v>0</v>
      </c>
      <c r="R238" s="67">
        <f>IF(AND(MOD(C238,12)=0,D238&lt;15),Assumptions!$C$7*M238,0)</f>
        <v>0</v>
      </c>
      <c r="S238" s="68">
        <f>IF(MOD(C238,12)=0,M238*Assumptions!$D$17,0)</f>
        <v>0</v>
      </c>
      <c r="T238" s="68">
        <f>(M238+N238-O238-P238-Q238-R238+S238)*(D239=Assumptions!$H$9)</f>
        <v>0</v>
      </c>
      <c r="U238" s="67">
        <f>T238+AE238*(1+Assumptions!$D$17)</f>
        <v>0</v>
      </c>
      <c r="V238" s="67">
        <f t="shared" si="58"/>
        <v>0</v>
      </c>
      <c r="W238" s="67"/>
      <c r="X238" s="67">
        <f>IF(AND(MOD(C238,12)=1,D238&lt;15),Assumptions!$D$10*N238+Assumptions!$D$11*(1+Assumptions!$D$16)^(B238-1)*I238,0)</f>
        <v>0</v>
      </c>
      <c r="Y238" s="65">
        <f>Assumptions!$C$13*N238</f>
        <v>0</v>
      </c>
      <c r="Z238" s="65">
        <f>NPV(Assumptions!$D$19,N239:$N$259)</f>
        <v>0</v>
      </c>
      <c r="AA238" s="68">
        <f t="shared" si="59"/>
        <v>0</v>
      </c>
      <c r="AB238" s="96"/>
      <c r="AC238" s="67">
        <f>(AC237+N237-P237-Q237-T237-W237-X237-Y237+AD237)*IF(D238=Assumptions!$H$9,0,1)</f>
        <v>0</v>
      </c>
      <c r="AD238" s="91">
        <f>(AF237+N238-W238-X238-Y238)*Assumptions!$D$19-(P238+Q238)*Assumptions!$D$19/2</f>
        <v>0</v>
      </c>
      <c r="AE238" s="67">
        <f>(AE237+(AD238-O238-R238-Q238-S238))*IF(D238=Assumptions!$H$9,0,1)</f>
        <v>0</v>
      </c>
      <c r="AF238" s="91">
        <f t="shared" si="60"/>
        <v>0</v>
      </c>
      <c r="AG238" s="67">
        <f t="shared" si="61"/>
        <v>0</v>
      </c>
      <c r="AH238" s="89">
        <f>AG238*Assumptions!$C$18</f>
        <v>0</v>
      </c>
      <c r="AI238" s="67">
        <f t="shared" si="62"/>
        <v>0</v>
      </c>
      <c r="AK238" s="67">
        <f t="shared" si="63"/>
        <v>0</v>
      </c>
      <c r="AL238" s="70">
        <f t="shared" si="55"/>
        <v>0</v>
      </c>
      <c r="AM238" s="80">
        <f>(O238-W238-X238-Y238-AA238)*Assumptions!$D$19</f>
        <v>0</v>
      </c>
    </row>
    <row r="239" spans="2:39" x14ac:dyDescent="0.2">
      <c r="B239" s="5">
        <f t="shared" si="51"/>
        <v>232</v>
      </c>
      <c r="C239" s="5">
        <f t="shared" si="52"/>
        <v>232</v>
      </c>
      <c r="D239" s="5">
        <f t="shared" si="53"/>
        <v>19</v>
      </c>
      <c r="E239" s="5">
        <f t="shared" si="54"/>
        <v>65</v>
      </c>
      <c r="F239" s="64">
        <f>1-(1-VLOOKUP($E239,'Annual Mortality Rates'!$B$5:$C$105,2,FALSE))^(1/12)</f>
        <v>5.399338581985047E-4</v>
      </c>
      <c r="G239" s="74">
        <f>1-(1-IF(D239&gt;=7,2%,VLOOKUP($D239,'Annual Lapse Rates'!$B$4:$C$14,2,FALSE)))^(1/12)</f>
        <v>1.6821425527395739E-3</v>
      </c>
      <c r="H239" s="80">
        <f t="shared" si="56"/>
        <v>4</v>
      </c>
      <c r="I239" s="65"/>
      <c r="J239" s="66"/>
      <c r="K239" s="66"/>
      <c r="M239" s="67">
        <f t="shared" si="64"/>
        <v>0</v>
      </c>
      <c r="N239" s="67">
        <f>IF(AND(MOD(C239,12)=1,D239&lt;15),Assumptions!$H$4*I239,0)</f>
        <v>0</v>
      </c>
      <c r="O239" s="67"/>
      <c r="P239" s="88">
        <f t="shared" si="57"/>
        <v>0</v>
      </c>
      <c r="Q239" s="88">
        <f>(M239+N239-O239)*VLOOKUP(MOD(C239,12)+(MOD(C239,12)=0)*12,Assumptions!$C$22:$D$33,2,FALSE)*(F239+G239)</f>
        <v>0</v>
      </c>
      <c r="R239" s="67">
        <f>IF(AND(MOD(C239,12)=0,D239&lt;15),Assumptions!$C$7*M239,0)</f>
        <v>0</v>
      </c>
      <c r="S239" s="68">
        <f>IF(MOD(C239,12)=0,M239*Assumptions!$D$17,0)</f>
        <v>0</v>
      </c>
      <c r="T239" s="68">
        <f>(M239+N239-O239-P239-Q239-R239+S239)*(D240=Assumptions!$H$9)</f>
        <v>0</v>
      </c>
      <c r="U239" s="67">
        <f>T239+AE239*(1+Assumptions!$D$17)</f>
        <v>0</v>
      </c>
      <c r="V239" s="67">
        <f t="shared" si="58"/>
        <v>0</v>
      </c>
      <c r="W239" s="67"/>
      <c r="X239" s="67">
        <f>IF(AND(MOD(C239,12)=1,D239&lt;15),Assumptions!$D$10*N239+Assumptions!$D$11*(1+Assumptions!$D$16)^(B239-1)*I239,0)</f>
        <v>0</v>
      </c>
      <c r="Y239" s="65">
        <f>Assumptions!$C$13*N239</f>
        <v>0</v>
      </c>
      <c r="Z239" s="65">
        <f>NPV(Assumptions!$D$19,N240:$N$259)</f>
        <v>0</v>
      </c>
      <c r="AA239" s="68">
        <f t="shared" si="59"/>
        <v>0</v>
      </c>
      <c r="AB239" s="96"/>
      <c r="AC239" s="67">
        <f>(AC238+N238-P238-Q238-T238-W238-X238-Y238+AD238)*IF(D239=Assumptions!$H$9,0,1)</f>
        <v>0</v>
      </c>
      <c r="AD239" s="91">
        <f>(AF238+N239-W239-X239-Y239)*Assumptions!$D$19-(P239+Q239)*Assumptions!$D$19/2</f>
        <v>0</v>
      </c>
      <c r="AE239" s="67">
        <f>(AE238+(AD239-O239-R239-Q239-S239))*IF(D239=Assumptions!$H$9,0,1)</f>
        <v>0</v>
      </c>
      <c r="AF239" s="91">
        <f t="shared" si="60"/>
        <v>0</v>
      </c>
      <c r="AG239" s="67">
        <f t="shared" si="61"/>
        <v>0</v>
      </c>
      <c r="AH239" s="89">
        <f>AG239*Assumptions!$C$18</f>
        <v>0</v>
      </c>
      <c r="AI239" s="67">
        <f t="shared" si="62"/>
        <v>0</v>
      </c>
      <c r="AK239" s="67">
        <f t="shared" si="63"/>
        <v>0</v>
      </c>
      <c r="AL239" s="70">
        <f t="shared" si="55"/>
        <v>0</v>
      </c>
      <c r="AM239" s="80">
        <f>(O239-W239-X239-Y239-AA239)*Assumptions!$D$19</f>
        <v>0</v>
      </c>
    </row>
    <row r="240" spans="2:39" x14ac:dyDescent="0.2">
      <c r="B240" s="5">
        <f t="shared" si="51"/>
        <v>233</v>
      </c>
      <c r="C240" s="5">
        <f t="shared" si="52"/>
        <v>233</v>
      </c>
      <c r="D240" s="5">
        <f t="shared" si="53"/>
        <v>19</v>
      </c>
      <c r="E240" s="5">
        <f t="shared" si="54"/>
        <v>65</v>
      </c>
      <c r="F240" s="64">
        <f>1-(1-VLOOKUP($E240,'Annual Mortality Rates'!$B$5:$C$105,2,FALSE))^(1/12)</f>
        <v>5.399338581985047E-4</v>
      </c>
      <c r="G240" s="74">
        <f>1-(1-IF(D240&gt;=7,2%,VLOOKUP($D240,'Annual Lapse Rates'!$B$4:$C$14,2,FALSE)))^(1/12)</f>
        <v>1.6821425527395739E-3</v>
      </c>
      <c r="H240" s="80">
        <f t="shared" si="56"/>
        <v>5</v>
      </c>
      <c r="I240" s="65"/>
      <c r="J240" s="66"/>
      <c r="K240" s="66"/>
      <c r="M240" s="67">
        <f t="shared" si="64"/>
        <v>0</v>
      </c>
      <c r="N240" s="67">
        <f>IF(AND(MOD(C240,12)=1,D240&lt;15),Assumptions!$H$4*I240,0)</f>
        <v>0</v>
      </c>
      <c r="O240" s="67"/>
      <c r="P240" s="88">
        <f t="shared" si="57"/>
        <v>0</v>
      </c>
      <c r="Q240" s="88">
        <f>(M240+N240-O240)*VLOOKUP(MOD(C240,12)+(MOD(C240,12)=0)*12,Assumptions!$C$22:$D$33,2,FALSE)*(F240+G240)</f>
        <v>0</v>
      </c>
      <c r="R240" s="67">
        <f>IF(AND(MOD(C240,12)=0,D240&lt;15),Assumptions!$C$7*M240,0)</f>
        <v>0</v>
      </c>
      <c r="S240" s="68">
        <f>IF(MOD(C240,12)=0,M240*Assumptions!$D$17,0)</f>
        <v>0</v>
      </c>
      <c r="T240" s="68">
        <f>(M240+N240-O240-P240-Q240-R240+S240)*(D241=Assumptions!$H$9)</f>
        <v>0</v>
      </c>
      <c r="U240" s="67">
        <f>T240+AE240*(1+Assumptions!$D$17)</f>
        <v>0</v>
      </c>
      <c r="V240" s="67">
        <f t="shared" si="58"/>
        <v>0</v>
      </c>
      <c r="W240" s="67"/>
      <c r="X240" s="67">
        <f>IF(AND(MOD(C240,12)=1,D240&lt;15),Assumptions!$D$10*N240+Assumptions!$D$11*(1+Assumptions!$D$16)^(B240-1)*I240,0)</f>
        <v>0</v>
      </c>
      <c r="Y240" s="65">
        <f>Assumptions!$C$13*N240</f>
        <v>0</v>
      </c>
      <c r="Z240" s="65">
        <f>NPV(Assumptions!$D$19,N241:$N$259)</f>
        <v>0</v>
      </c>
      <c r="AA240" s="68">
        <f t="shared" si="59"/>
        <v>0</v>
      </c>
      <c r="AB240" s="96"/>
      <c r="AC240" s="67">
        <f>(AC239+N239-P239-Q239-T239-W239-X239-Y239+AD239)*IF(D240=Assumptions!$H$9,0,1)</f>
        <v>0</v>
      </c>
      <c r="AD240" s="91">
        <f>(AF239+N240-W240-X240-Y240)*Assumptions!$D$19-(P240+Q240)*Assumptions!$D$19/2</f>
        <v>0</v>
      </c>
      <c r="AE240" s="67">
        <f>(AE239+(AD240-O240-R240-Q240-S240))*IF(D240=Assumptions!$H$9,0,1)</f>
        <v>0</v>
      </c>
      <c r="AF240" s="91">
        <f t="shared" si="60"/>
        <v>0</v>
      </c>
      <c r="AG240" s="67">
        <f t="shared" si="61"/>
        <v>0</v>
      </c>
      <c r="AH240" s="89">
        <f>AG240*Assumptions!$C$18</f>
        <v>0</v>
      </c>
      <c r="AI240" s="67">
        <f t="shared" si="62"/>
        <v>0</v>
      </c>
      <c r="AK240" s="67">
        <f t="shared" si="63"/>
        <v>0</v>
      </c>
      <c r="AL240" s="70">
        <f t="shared" si="55"/>
        <v>0</v>
      </c>
      <c r="AM240" s="80">
        <f>(O240-W240-X240-Y240-AA240)*Assumptions!$D$19</f>
        <v>0</v>
      </c>
    </row>
    <row r="241" spans="2:39" x14ac:dyDescent="0.2">
      <c r="B241" s="5">
        <f t="shared" si="51"/>
        <v>234</v>
      </c>
      <c r="C241" s="5">
        <f t="shared" si="52"/>
        <v>234</v>
      </c>
      <c r="D241" s="5">
        <f t="shared" si="53"/>
        <v>19</v>
      </c>
      <c r="E241" s="5">
        <f t="shared" si="54"/>
        <v>65</v>
      </c>
      <c r="F241" s="64">
        <f>1-(1-VLOOKUP($E241,'Annual Mortality Rates'!$B$5:$C$105,2,FALSE))^(1/12)</f>
        <v>5.399338581985047E-4</v>
      </c>
      <c r="G241" s="74">
        <f>1-(1-IF(D241&gt;=7,2%,VLOOKUP($D241,'Annual Lapse Rates'!$B$4:$C$14,2,FALSE)))^(1/12)</f>
        <v>1.6821425527395739E-3</v>
      </c>
      <c r="H241" s="80">
        <f t="shared" si="56"/>
        <v>6</v>
      </c>
      <c r="I241" s="65"/>
      <c r="J241" s="66"/>
      <c r="K241" s="66"/>
      <c r="M241" s="67">
        <f t="shared" si="64"/>
        <v>0</v>
      </c>
      <c r="N241" s="67">
        <f>IF(AND(MOD(C241,12)=1,D241&lt;15),Assumptions!$H$4*I241,0)</f>
        <v>0</v>
      </c>
      <c r="O241" s="67"/>
      <c r="P241" s="88">
        <f t="shared" si="57"/>
        <v>0</v>
      </c>
      <c r="Q241" s="88">
        <f>(M241+N241-O241)*VLOOKUP(MOD(C241,12)+(MOD(C241,12)=0)*12,Assumptions!$C$22:$D$33,2,FALSE)*(F241+G241)</f>
        <v>0</v>
      </c>
      <c r="R241" s="67">
        <f>IF(AND(MOD(C241,12)=0,D241&lt;15),Assumptions!$C$7*M241,0)</f>
        <v>0</v>
      </c>
      <c r="S241" s="68">
        <f>IF(MOD(C241,12)=0,M241*Assumptions!$D$17,0)</f>
        <v>0</v>
      </c>
      <c r="T241" s="68">
        <f>(M241+N241-O241-P241-Q241-R241+S241)*(D242=Assumptions!$H$9)</f>
        <v>0</v>
      </c>
      <c r="U241" s="67">
        <f>T241+AE241*(1+Assumptions!$D$17)</f>
        <v>0</v>
      </c>
      <c r="V241" s="67">
        <f t="shared" si="58"/>
        <v>0</v>
      </c>
      <c r="W241" s="67"/>
      <c r="X241" s="67">
        <f>IF(AND(MOD(C241,12)=1,D241&lt;15),Assumptions!$D$10*N241+Assumptions!$D$11*(1+Assumptions!$D$16)^(B241-1)*I241,0)</f>
        <v>0</v>
      </c>
      <c r="Y241" s="65">
        <f>Assumptions!$C$13*N241</f>
        <v>0</v>
      </c>
      <c r="Z241" s="65">
        <f>NPV(Assumptions!$D$19,N242:$N$259)</f>
        <v>0</v>
      </c>
      <c r="AA241" s="68">
        <f t="shared" si="59"/>
        <v>0</v>
      </c>
      <c r="AB241" s="96"/>
      <c r="AC241" s="67">
        <f>(AC240+N240-P240-Q240-T240-W240-X240-Y240+AD240)*IF(D241=Assumptions!$H$9,0,1)</f>
        <v>0</v>
      </c>
      <c r="AD241" s="91">
        <f>(AF240+N241-W241-X241-Y241)*Assumptions!$D$19-(P241+Q241)*Assumptions!$D$19/2</f>
        <v>0</v>
      </c>
      <c r="AE241" s="67">
        <f>(AE240+(AD241-O241-R241-Q241-S241))*IF(D241=Assumptions!$H$9,0,1)</f>
        <v>0</v>
      </c>
      <c r="AF241" s="91">
        <f t="shared" si="60"/>
        <v>0</v>
      </c>
      <c r="AG241" s="67">
        <f t="shared" si="61"/>
        <v>0</v>
      </c>
      <c r="AH241" s="89">
        <f>AG241*Assumptions!$C$18</f>
        <v>0</v>
      </c>
      <c r="AI241" s="67">
        <f t="shared" si="62"/>
        <v>0</v>
      </c>
      <c r="AK241" s="67">
        <f t="shared" si="63"/>
        <v>0</v>
      </c>
      <c r="AL241" s="70">
        <f t="shared" si="55"/>
        <v>0</v>
      </c>
      <c r="AM241" s="80">
        <f>(O241-W241-X241-Y241-AA241)*Assumptions!$D$19</f>
        <v>0</v>
      </c>
    </row>
    <row r="242" spans="2:39" x14ac:dyDescent="0.2">
      <c r="B242" s="5">
        <f t="shared" si="51"/>
        <v>235</v>
      </c>
      <c r="C242" s="5">
        <f t="shared" si="52"/>
        <v>235</v>
      </c>
      <c r="D242" s="5">
        <f t="shared" si="53"/>
        <v>19</v>
      </c>
      <c r="E242" s="5">
        <f t="shared" si="54"/>
        <v>65</v>
      </c>
      <c r="F242" s="64">
        <f>1-(1-VLOOKUP($E242,'Annual Mortality Rates'!$B$5:$C$105,2,FALSE))^(1/12)</f>
        <v>5.399338581985047E-4</v>
      </c>
      <c r="G242" s="74">
        <f>1-(1-IF(D242&gt;=7,2%,VLOOKUP($D242,'Annual Lapse Rates'!$B$4:$C$14,2,FALSE)))^(1/12)</f>
        <v>1.6821425527395739E-3</v>
      </c>
      <c r="H242" s="80">
        <f t="shared" si="56"/>
        <v>7</v>
      </c>
      <c r="I242" s="65"/>
      <c r="J242" s="66"/>
      <c r="K242" s="66"/>
      <c r="M242" s="67">
        <f t="shared" si="64"/>
        <v>0</v>
      </c>
      <c r="N242" s="67">
        <f>IF(AND(MOD(C242,12)=1,D242&lt;15),Assumptions!$H$4*I242,0)</f>
        <v>0</v>
      </c>
      <c r="O242" s="67"/>
      <c r="P242" s="88">
        <f t="shared" si="57"/>
        <v>0</v>
      </c>
      <c r="Q242" s="88">
        <f>(M242+N242-O242)*VLOOKUP(MOD(C242,12)+(MOD(C242,12)=0)*12,Assumptions!$C$22:$D$33,2,FALSE)*(F242+G242)</f>
        <v>0</v>
      </c>
      <c r="R242" s="67">
        <f>IF(AND(MOD(C242,12)=0,D242&lt;15),Assumptions!$C$7*M242,0)</f>
        <v>0</v>
      </c>
      <c r="S242" s="68">
        <f>IF(MOD(C242,12)=0,M242*Assumptions!$D$17,0)</f>
        <v>0</v>
      </c>
      <c r="T242" s="68">
        <f>(M242+N242-O242-P242-Q242-R242+S242)*(D243=Assumptions!$H$9)</f>
        <v>0</v>
      </c>
      <c r="U242" s="67">
        <f>T242+AE242*(1+Assumptions!$D$17)</f>
        <v>0</v>
      </c>
      <c r="V242" s="67">
        <f t="shared" si="58"/>
        <v>0</v>
      </c>
      <c r="W242" s="67"/>
      <c r="X242" s="67">
        <f>IF(AND(MOD(C242,12)=1,D242&lt;15),Assumptions!$D$10*N242+Assumptions!$D$11*(1+Assumptions!$D$16)^(B242-1)*I242,0)</f>
        <v>0</v>
      </c>
      <c r="Y242" s="65">
        <f>Assumptions!$C$13*N242</f>
        <v>0</v>
      </c>
      <c r="Z242" s="65">
        <f>NPV(Assumptions!$D$19,N243:$N$259)</f>
        <v>0</v>
      </c>
      <c r="AA242" s="68">
        <f t="shared" si="59"/>
        <v>0</v>
      </c>
      <c r="AB242" s="96"/>
      <c r="AC242" s="67">
        <f>(AC241+N241-P241-Q241-T241-W241-X241-Y241+AD241)*IF(D242=Assumptions!$H$9,0,1)</f>
        <v>0</v>
      </c>
      <c r="AD242" s="91">
        <f>(AF241+N242-W242-X242-Y242)*Assumptions!$D$19-(P242+Q242)*Assumptions!$D$19/2</f>
        <v>0</v>
      </c>
      <c r="AE242" s="67">
        <f>(AE241+(AD242-O242-R242-Q242-S242))*IF(D242=Assumptions!$H$9,0,1)</f>
        <v>0</v>
      </c>
      <c r="AF242" s="91">
        <f t="shared" si="60"/>
        <v>0</v>
      </c>
      <c r="AG242" s="67">
        <f t="shared" si="61"/>
        <v>0</v>
      </c>
      <c r="AH242" s="89">
        <f>AG242*Assumptions!$C$18</f>
        <v>0</v>
      </c>
      <c r="AI242" s="67">
        <f t="shared" si="62"/>
        <v>0</v>
      </c>
      <c r="AK242" s="67">
        <f t="shared" si="63"/>
        <v>0</v>
      </c>
      <c r="AL242" s="70">
        <f t="shared" si="55"/>
        <v>0</v>
      </c>
      <c r="AM242" s="80">
        <f>(O242-W242-X242-Y242-AA242)*Assumptions!$D$19</f>
        <v>0</v>
      </c>
    </row>
    <row r="243" spans="2:39" x14ac:dyDescent="0.2">
      <c r="B243" s="5">
        <f t="shared" si="51"/>
        <v>236</v>
      </c>
      <c r="C243" s="5">
        <f t="shared" si="52"/>
        <v>236</v>
      </c>
      <c r="D243" s="5">
        <f t="shared" si="53"/>
        <v>19</v>
      </c>
      <c r="E243" s="5">
        <f t="shared" si="54"/>
        <v>65</v>
      </c>
      <c r="F243" s="64">
        <f>1-(1-VLOOKUP($E243,'Annual Mortality Rates'!$B$5:$C$105,2,FALSE))^(1/12)</f>
        <v>5.399338581985047E-4</v>
      </c>
      <c r="G243" s="74">
        <f>1-(1-IF(D243&gt;=7,2%,VLOOKUP($D243,'Annual Lapse Rates'!$B$4:$C$14,2,FALSE)))^(1/12)</f>
        <v>1.6821425527395739E-3</v>
      </c>
      <c r="H243" s="80">
        <f t="shared" si="56"/>
        <v>8</v>
      </c>
      <c r="I243" s="65"/>
      <c r="J243" s="66"/>
      <c r="K243" s="66"/>
      <c r="M243" s="67">
        <f t="shared" si="64"/>
        <v>0</v>
      </c>
      <c r="N243" s="67">
        <f>IF(AND(MOD(C243,12)=1,D243&lt;15),Assumptions!$H$4*I243,0)</f>
        <v>0</v>
      </c>
      <c r="O243" s="67"/>
      <c r="P243" s="88">
        <f t="shared" si="57"/>
        <v>0</v>
      </c>
      <c r="Q243" s="88">
        <f>(M243+N243-O243)*VLOOKUP(MOD(C243,12)+(MOD(C243,12)=0)*12,Assumptions!$C$22:$D$33,2,FALSE)*(F243+G243)</f>
        <v>0</v>
      </c>
      <c r="R243" s="67">
        <f>IF(AND(MOD(C243,12)=0,D243&lt;15),Assumptions!$C$7*M243,0)</f>
        <v>0</v>
      </c>
      <c r="S243" s="68">
        <f>IF(MOD(C243,12)=0,M243*Assumptions!$D$17,0)</f>
        <v>0</v>
      </c>
      <c r="T243" s="68">
        <f>(M243+N243-O243-P243-Q243-R243+S243)*(D244=Assumptions!$H$9)</f>
        <v>0</v>
      </c>
      <c r="U243" s="67">
        <f>T243+AE243*(1+Assumptions!$D$17)</f>
        <v>0</v>
      </c>
      <c r="V243" s="67">
        <f t="shared" si="58"/>
        <v>0</v>
      </c>
      <c r="W243" s="67"/>
      <c r="X243" s="67">
        <f>IF(AND(MOD(C243,12)=1,D243&lt;15),Assumptions!$D$10*N243+Assumptions!$D$11*(1+Assumptions!$D$16)^(B243-1)*I243,0)</f>
        <v>0</v>
      </c>
      <c r="Y243" s="65">
        <f>Assumptions!$C$13*N243</f>
        <v>0</v>
      </c>
      <c r="Z243" s="65">
        <f>NPV(Assumptions!$D$19,N244:$N$259)</f>
        <v>0</v>
      </c>
      <c r="AA243" s="68">
        <f t="shared" si="59"/>
        <v>0</v>
      </c>
      <c r="AB243" s="96"/>
      <c r="AC243" s="67">
        <f>(AC242+N242-P242-Q242-T242-W242-X242-Y242+AD242)*IF(D243=Assumptions!$H$9,0,1)</f>
        <v>0</v>
      </c>
      <c r="AD243" s="91">
        <f>(AF242+N243-W243-X243-Y243)*Assumptions!$D$19-(P243+Q243)*Assumptions!$D$19/2</f>
        <v>0</v>
      </c>
      <c r="AE243" s="67">
        <f>(AE242+(AD243-O243-R243-Q243-S243))*IF(D243=Assumptions!$H$9,0,1)</f>
        <v>0</v>
      </c>
      <c r="AF243" s="91">
        <f t="shared" si="60"/>
        <v>0</v>
      </c>
      <c r="AG243" s="67">
        <f t="shared" si="61"/>
        <v>0</v>
      </c>
      <c r="AH243" s="89">
        <f>AG243*Assumptions!$C$18</f>
        <v>0</v>
      </c>
      <c r="AI243" s="67">
        <f t="shared" si="62"/>
        <v>0</v>
      </c>
      <c r="AK243" s="67">
        <f t="shared" si="63"/>
        <v>0</v>
      </c>
      <c r="AL243" s="70">
        <f t="shared" si="55"/>
        <v>0</v>
      </c>
      <c r="AM243" s="80">
        <f>(O243-W243-X243-Y243-AA243)*Assumptions!$D$19</f>
        <v>0</v>
      </c>
    </row>
    <row r="244" spans="2:39" x14ac:dyDescent="0.2">
      <c r="B244" s="5">
        <f t="shared" si="51"/>
        <v>237</v>
      </c>
      <c r="C244" s="5">
        <f t="shared" si="52"/>
        <v>237</v>
      </c>
      <c r="D244" s="5">
        <f t="shared" si="53"/>
        <v>19</v>
      </c>
      <c r="E244" s="5">
        <f t="shared" si="54"/>
        <v>65</v>
      </c>
      <c r="F244" s="64">
        <f>1-(1-VLOOKUP($E244,'Annual Mortality Rates'!$B$5:$C$105,2,FALSE))^(1/12)</f>
        <v>5.399338581985047E-4</v>
      </c>
      <c r="G244" s="74">
        <f>1-(1-IF(D244&gt;=7,2%,VLOOKUP($D244,'Annual Lapse Rates'!$B$4:$C$14,2,FALSE)))^(1/12)</f>
        <v>1.6821425527395739E-3</v>
      </c>
      <c r="H244" s="80">
        <f t="shared" si="56"/>
        <v>9</v>
      </c>
      <c r="I244" s="65"/>
      <c r="J244" s="66"/>
      <c r="K244" s="66"/>
      <c r="M244" s="67">
        <f t="shared" si="64"/>
        <v>0</v>
      </c>
      <c r="N244" s="67">
        <f>IF(AND(MOD(C244,12)=1,D244&lt;15),Assumptions!$H$4*I244,0)</f>
        <v>0</v>
      </c>
      <c r="O244" s="67"/>
      <c r="P244" s="88">
        <f t="shared" si="57"/>
        <v>0</v>
      </c>
      <c r="Q244" s="88">
        <f>(M244+N244-O244)*VLOOKUP(MOD(C244,12)+(MOD(C244,12)=0)*12,Assumptions!$C$22:$D$33,2,FALSE)*(F244+G244)</f>
        <v>0</v>
      </c>
      <c r="R244" s="67">
        <f>IF(AND(MOD(C244,12)=0,D244&lt;15),Assumptions!$C$7*M244,0)</f>
        <v>0</v>
      </c>
      <c r="S244" s="68">
        <f>IF(MOD(C244,12)=0,M244*Assumptions!$D$17,0)</f>
        <v>0</v>
      </c>
      <c r="T244" s="68">
        <f>(M244+N244-O244-P244-Q244-R244+S244)*(D245=Assumptions!$H$9)</f>
        <v>0</v>
      </c>
      <c r="U244" s="67">
        <f>T244+AE244*(1+Assumptions!$D$17)</f>
        <v>0</v>
      </c>
      <c r="V244" s="67">
        <f t="shared" si="58"/>
        <v>0</v>
      </c>
      <c r="W244" s="67"/>
      <c r="X244" s="67">
        <f>IF(AND(MOD(C244,12)=1,D244&lt;15),Assumptions!$D$10*N244+Assumptions!$D$11*(1+Assumptions!$D$16)^(B244-1)*I244,0)</f>
        <v>0</v>
      </c>
      <c r="Y244" s="65">
        <f>Assumptions!$C$13*N244</f>
        <v>0</v>
      </c>
      <c r="Z244" s="65">
        <f>NPV(Assumptions!$D$19,N245:$N$259)</f>
        <v>0</v>
      </c>
      <c r="AA244" s="68">
        <f t="shared" si="59"/>
        <v>0</v>
      </c>
      <c r="AB244" s="96"/>
      <c r="AC244" s="67">
        <f>(AC243+N243-P243-Q243-T243-W243-X243-Y243+AD243)*IF(D244=Assumptions!$H$9,0,1)</f>
        <v>0</v>
      </c>
      <c r="AD244" s="91">
        <f>(AF243+N244-W244-X244-Y244)*Assumptions!$D$19-(P244+Q244)*Assumptions!$D$19/2</f>
        <v>0</v>
      </c>
      <c r="AE244" s="67">
        <f>(AE243+(AD244-O244-R244-Q244-S244))*IF(D244=Assumptions!$H$9,0,1)</f>
        <v>0</v>
      </c>
      <c r="AF244" s="91">
        <f t="shared" si="60"/>
        <v>0</v>
      </c>
      <c r="AG244" s="67">
        <f t="shared" si="61"/>
        <v>0</v>
      </c>
      <c r="AH244" s="89">
        <f>AG244*Assumptions!$C$18</f>
        <v>0</v>
      </c>
      <c r="AI244" s="67">
        <f t="shared" si="62"/>
        <v>0</v>
      </c>
      <c r="AK244" s="67">
        <f t="shared" si="63"/>
        <v>0</v>
      </c>
      <c r="AL244" s="70">
        <f t="shared" si="55"/>
        <v>0</v>
      </c>
      <c r="AM244" s="80">
        <f>(O244-W244-X244-Y244-AA244)*Assumptions!$D$19</f>
        <v>0</v>
      </c>
    </row>
    <row r="245" spans="2:39" x14ac:dyDescent="0.2">
      <c r="B245" s="5">
        <f t="shared" si="51"/>
        <v>238</v>
      </c>
      <c r="C245" s="5">
        <f t="shared" si="52"/>
        <v>238</v>
      </c>
      <c r="D245" s="5">
        <f t="shared" si="53"/>
        <v>19</v>
      </c>
      <c r="E245" s="5">
        <f t="shared" si="54"/>
        <v>65</v>
      </c>
      <c r="F245" s="64">
        <f>1-(1-VLOOKUP($E245,'Annual Mortality Rates'!$B$5:$C$105,2,FALSE))^(1/12)</f>
        <v>5.399338581985047E-4</v>
      </c>
      <c r="G245" s="74">
        <f>1-(1-IF(D245&gt;=7,2%,VLOOKUP($D245,'Annual Lapse Rates'!$B$4:$C$14,2,FALSE)))^(1/12)</f>
        <v>1.6821425527395739E-3</v>
      </c>
      <c r="H245" s="80">
        <f t="shared" si="56"/>
        <v>10</v>
      </c>
      <c r="I245" s="65"/>
      <c r="J245" s="66"/>
      <c r="K245" s="66"/>
      <c r="M245" s="67">
        <f t="shared" si="64"/>
        <v>0</v>
      </c>
      <c r="N245" s="67">
        <f>IF(AND(MOD(C245,12)=1,D245&lt;15),Assumptions!$H$4*I245,0)</f>
        <v>0</v>
      </c>
      <c r="O245" s="67"/>
      <c r="P245" s="88">
        <f t="shared" si="57"/>
        <v>0</v>
      </c>
      <c r="Q245" s="88">
        <f>(M245+N245-O245)*VLOOKUP(MOD(C245,12)+(MOD(C245,12)=0)*12,Assumptions!$C$22:$D$33,2,FALSE)*(F245+G245)</f>
        <v>0</v>
      </c>
      <c r="R245" s="67">
        <f>IF(AND(MOD(C245,12)=0,D245&lt;15),Assumptions!$C$7*M245,0)</f>
        <v>0</v>
      </c>
      <c r="S245" s="68">
        <f>IF(MOD(C245,12)=0,M245*Assumptions!$D$17,0)</f>
        <v>0</v>
      </c>
      <c r="T245" s="68">
        <f>(M245+N245-O245-P245-Q245-R245+S245)*(D246=Assumptions!$H$9)</f>
        <v>0</v>
      </c>
      <c r="U245" s="67">
        <f>T245+AE245*(1+Assumptions!$D$17)</f>
        <v>0</v>
      </c>
      <c r="V245" s="67">
        <f t="shared" si="58"/>
        <v>0</v>
      </c>
      <c r="W245" s="67"/>
      <c r="X245" s="67">
        <f>IF(AND(MOD(C245,12)=1,D245&lt;15),Assumptions!$D$10*N245+Assumptions!$D$11*(1+Assumptions!$D$16)^(B245-1)*I245,0)</f>
        <v>0</v>
      </c>
      <c r="Y245" s="65">
        <f>Assumptions!$C$13*N245</f>
        <v>0</v>
      </c>
      <c r="Z245" s="65">
        <f>NPV(Assumptions!$D$19,N246:$N$259)</f>
        <v>0</v>
      </c>
      <c r="AA245" s="68">
        <f t="shared" si="59"/>
        <v>0</v>
      </c>
      <c r="AB245" s="96"/>
      <c r="AC245" s="67">
        <f>(AC244+N244-P244-Q244-T244-W244-X244-Y244+AD244)*IF(D245=Assumptions!$H$9,0,1)</f>
        <v>0</v>
      </c>
      <c r="AD245" s="91">
        <f>(AF244+N245-W245-X245-Y245)*Assumptions!$D$19-(P245+Q245)*Assumptions!$D$19/2</f>
        <v>0</v>
      </c>
      <c r="AE245" s="67">
        <f>(AE244+(AD245-O245-R245-Q245-S245))*IF(D245=Assumptions!$H$9,0,1)</f>
        <v>0</v>
      </c>
      <c r="AF245" s="91">
        <f t="shared" si="60"/>
        <v>0</v>
      </c>
      <c r="AG245" s="67">
        <f t="shared" si="61"/>
        <v>0</v>
      </c>
      <c r="AH245" s="89">
        <f>AG245*Assumptions!$C$18</f>
        <v>0</v>
      </c>
      <c r="AI245" s="67">
        <f t="shared" si="62"/>
        <v>0</v>
      </c>
      <c r="AK245" s="67">
        <f t="shared" si="63"/>
        <v>0</v>
      </c>
      <c r="AL245" s="70">
        <f t="shared" si="55"/>
        <v>0</v>
      </c>
      <c r="AM245" s="80">
        <f>(O245-W245-X245-Y245-AA245)*Assumptions!$D$19</f>
        <v>0</v>
      </c>
    </row>
    <row r="246" spans="2:39" x14ac:dyDescent="0.2">
      <c r="B246" s="5">
        <f t="shared" si="51"/>
        <v>239</v>
      </c>
      <c r="C246" s="5">
        <f t="shared" si="52"/>
        <v>239</v>
      </c>
      <c r="D246" s="5">
        <f t="shared" si="53"/>
        <v>19</v>
      </c>
      <c r="E246" s="5">
        <f t="shared" si="54"/>
        <v>65</v>
      </c>
      <c r="F246" s="64">
        <f>1-(1-VLOOKUP($E246,'Annual Mortality Rates'!$B$5:$C$105,2,FALSE))^(1/12)</f>
        <v>5.399338581985047E-4</v>
      </c>
      <c r="G246" s="74">
        <f>1-(1-IF(D246&gt;=7,2%,VLOOKUP($D246,'Annual Lapse Rates'!$B$4:$C$14,2,FALSE)))^(1/12)</f>
        <v>1.6821425527395739E-3</v>
      </c>
      <c r="H246" s="80">
        <f t="shared" si="56"/>
        <v>11</v>
      </c>
      <c r="I246" s="65"/>
      <c r="J246" s="66"/>
      <c r="K246" s="66"/>
      <c r="M246" s="67">
        <f t="shared" si="64"/>
        <v>0</v>
      </c>
      <c r="N246" s="67">
        <f>IF(AND(MOD(C246,12)=1,D246&lt;15),Assumptions!$H$4*I246,0)</f>
        <v>0</v>
      </c>
      <c r="O246" s="67"/>
      <c r="P246" s="88">
        <f t="shared" si="57"/>
        <v>0</v>
      </c>
      <c r="Q246" s="88">
        <f>(M246+N246-O246)*VLOOKUP(MOD(C246,12)+(MOD(C246,12)=0)*12,Assumptions!$C$22:$D$33,2,FALSE)*(F246+G246)</f>
        <v>0</v>
      </c>
      <c r="R246" s="67">
        <f>IF(AND(MOD(C246,12)=0,D246&lt;15),Assumptions!$C$7*M246,0)</f>
        <v>0</v>
      </c>
      <c r="S246" s="68">
        <f>IF(MOD(C246,12)=0,M246*Assumptions!$D$17,0)</f>
        <v>0</v>
      </c>
      <c r="T246" s="68">
        <f>(M246+N246-O246-P246-Q246-R246+S246)*(D247=Assumptions!$H$9)</f>
        <v>0</v>
      </c>
      <c r="U246" s="67">
        <f>T246+AE246*(1+Assumptions!$D$17)</f>
        <v>0</v>
      </c>
      <c r="V246" s="67">
        <f t="shared" si="58"/>
        <v>0</v>
      </c>
      <c r="W246" s="67"/>
      <c r="X246" s="67">
        <f>IF(AND(MOD(C246,12)=1,D246&lt;15),Assumptions!$D$10*N246+Assumptions!$D$11*(1+Assumptions!$D$16)^(B246-1)*I246,0)</f>
        <v>0</v>
      </c>
      <c r="Y246" s="65">
        <f>Assumptions!$C$13*N246</f>
        <v>0</v>
      </c>
      <c r="Z246" s="65">
        <f>NPV(Assumptions!$D$19,N247:$N$259)</f>
        <v>0</v>
      </c>
      <c r="AA246" s="68">
        <f t="shared" si="59"/>
        <v>0</v>
      </c>
      <c r="AB246" s="96"/>
      <c r="AC246" s="67">
        <f>(AC245+N245-P245-Q245-T245-W245-X245-Y245+AD245)*IF(D246=Assumptions!$H$9,0,1)</f>
        <v>0</v>
      </c>
      <c r="AD246" s="91">
        <f>(AF245+N246-W246-X246-Y246)*Assumptions!$D$19-(P246+Q246)*Assumptions!$D$19/2</f>
        <v>0</v>
      </c>
      <c r="AE246" s="67">
        <f>(AE245+(AD246-O246-R246-Q246-S246))*IF(D246=Assumptions!$H$9,0,1)</f>
        <v>0</v>
      </c>
      <c r="AF246" s="91">
        <f t="shared" si="60"/>
        <v>0</v>
      </c>
      <c r="AG246" s="67">
        <f t="shared" si="61"/>
        <v>0</v>
      </c>
      <c r="AH246" s="89">
        <f>AG246*Assumptions!$C$18</f>
        <v>0</v>
      </c>
      <c r="AI246" s="67">
        <f t="shared" si="62"/>
        <v>0</v>
      </c>
      <c r="AK246" s="67">
        <f t="shared" si="63"/>
        <v>0</v>
      </c>
      <c r="AL246" s="70">
        <f t="shared" si="55"/>
        <v>0</v>
      </c>
      <c r="AM246" s="80">
        <f>(O246-W246-X246-Y246-AA246)*Assumptions!$D$19</f>
        <v>0</v>
      </c>
    </row>
    <row r="247" spans="2:39" x14ac:dyDescent="0.2">
      <c r="B247" s="5">
        <f t="shared" si="51"/>
        <v>240</v>
      </c>
      <c r="C247" s="5">
        <f t="shared" si="52"/>
        <v>240</v>
      </c>
      <c r="D247" s="5">
        <f t="shared" si="53"/>
        <v>19</v>
      </c>
      <c r="E247" s="5">
        <f t="shared" si="54"/>
        <v>65</v>
      </c>
      <c r="F247" s="64">
        <f>1-(1-VLOOKUP($E247,'Annual Mortality Rates'!$B$5:$C$105,2,FALSE))^(1/12)</f>
        <v>5.399338581985047E-4</v>
      </c>
      <c r="G247" s="74">
        <f>1-(1-IF(D247&gt;=7,2%,VLOOKUP($D247,'Annual Lapse Rates'!$B$4:$C$14,2,FALSE)))^(1/12)</f>
        <v>1.6821425527395739E-3</v>
      </c>
      <c r="H247" s="80">
        <f t="shared" si="56"/>
        <v>12</v>
      </c>
      <c r="I247" s="65"/>
      <c r="J247" s="66"/>
      <c r="K247" s="66"/>
      <c r="M247" s="67">
        <f t="shared" si="64"/>
        <v>0</v>
      </c>
      <c r="N247" s="67">
        <f>IF(AND(MOD(C247,12)=1,D247&lt;15),Assumptions!$H$4*I247,0)</f>
        <v>0</v>
      </c>
      <c r="O247" s="67"/>
      <c r="P247" s="88">
        <f t="shared" si="57"/>
        <v>0</v>
      </c>
      <c r="Q247" s="88">
        <f>(M247+N247-O247)*VLOOKUP(MOD(C247,12)+(MOD(C247,12)=0)*12,Assumptions!$C$22:$D$33,2,FALSE)*(F247+G247)</f>
        <v>0</v>
      </c>
      <c r="R247" s="67">
        <f>IF(AND(MOD(C247,12)=0,D247&lt;15),Assumptions!$C$7*M247,0)</f>
        <v>0</v>
      </c>
      <c r="S247" s="68">
        <f>IF(MOD(C247,12)=0,M247*Assumptions!$D$17,0)</f>
        <v>0</v>
      </c>
      <c r="T247" s="68">
        <f>(M247+N247-O247-P247-Q247-R247+S247)*(D248=Assumptions!$H$9)</f>
        <v>0</v>
      </c>
      <c r="U247" s="67">
        <f>T247+AE247*(1+Assumptions!$D$17)</f>
        <v>0</v>
      </c>
      <c r="V247" s="67">
        <f t="shared" si="58"/>
        <v>0</v>
      </c>
      <c r="W247" s="67"/>
      <c r="X247" s="67">
        <f>IF(AND(MOD(C247,12)=1,D247&lt;15),Assumptions!$D$10*N247+Assumptions!$D$11*(1+Assumptions!$D$16)^(B247-1)*I247,0)</f>
        <v>0</v>
      </c>
      <c r="Y247" s="65">
        <f>Assumptions!$C$13*N247</f>
        <v>0</v>
      </c>
      <c r="Z247" s="65">
        <f>NPV(Assumptions!$D$19,N248:$N$259)</f>
        <v>0</v>
      </c>
      <c r="AA247" s="68">
        <f t="shared" si="59"/>
        <v>0</v>
      </c>
      <c r="AB247" s="96"/>
      <c r="AC247" s="67">
        <f>(AC246+N246-P246-Q246-T246-W246-X246-Y246+AD246)*IF(D247=Assumptions!$H$9,0,1)</f>
        <v>0</v>
      </c>
      <c r="AD247" s="91">
        <f>(AF246+N247-W247-X247-Y247)*Assumptions!$D$19-(P247+Q247)*Assumptions!$D$19/2</f>
        <v>0</v>
      </c>
      <c r="AE247" s="67">
        <f>(AE246+(AD247-O247-R247-Q247-S247))*IF(D247=Assumptions!$H$9,0,1)</f>
        <v>0</v>
      </c>
      <c r="AF247" s="91">
        <f t="shared" si="60"/>
        <v>0</v>
      </c>
      <c r="AG247" s="67">
        <f t="shared" si="61"/>
        <v>0</v>
      </c>
      <c r="AH247" s="89">
        <f>AG247*Assumptions!$C$18</f>
        <v>0</v>
      </c>
      <c r="AI247" s="67">
        <f t="shared" si="62"/>
        <v>0</v>
      </c>
      <c r="AK247" s="67">
        <f t="shared" si="63"/>
        <v>0</v>
      </c>
      <c r="AL247" s="70">
        <f t="shared" si="55"/>
        <v>0</v>
      </c>
      <c r="AM247" s="80">
        <f>(O247-W247-X247-Y247-AA247)*Assumptions!$D$19</f>
        <v>0</v>
      </c>
    </row>
    <row r="248" spans="2:39" x14ac:dyDescent="0.2">
      <c r="B248" s="5">
        <f t="shared" si="51"/>
        <v>241</v>
      </c>
      <c r="C248" s="5">
        <f t="shared" si="52"/>
        <v>241</v>
      </c>
      <c r="D248" s="5">
        <f t="shared" si="53"/>
        <v>20</v>
      </c>
      <c r="E248" s="5">
        <f t="shared" si="54"/>
        <v>66</v>
      </c>
      <c r="F248" s="64">
        <f>1-(1-VLOOKUP($E248,'Annual Mortality Rates'!$B$5:$C$105,2,FALSE))^(1/12)</f>
        <v>6.120561724122231E-4</v>
      </c>
      <c r="G248" s="74">
        <f>1-(1-IF(D248&gt;=7,2%,VLOOKUP($D248,'Annual Lapse Rates'!$B$4:$C$14,2,FALSE)))^(1/12)</f>
        <v>1.6821425527395739E-3</v>
      </c>
      <c r="H248" s="80">
        <f t="shared" si="56"/>
        <v>1</v>
      </c>
      <c r="I248" s="65"/>
      <c r="J248" s="66"/>
      <c r="K248" s="66"/>
      <c r="M248" s="67">
        <f t="shared" si="64"/>
        <v>0</v>
      </c>
      <c r="N248" s="67">
        <f>IF(AND(MOD(C248,12)=1,D248&lt;15),Assumptions!$H$4*I248,0)</f>
        <v>0</v>
      </c>
      <c r="O248" s="67"/>
      <c r="P248" s="88">
        <f t="shared" si="57"/>
        <v>0</v>
      </c>
      <c r="Q248" s="88">
        <f>(M248+N248-O248)*VLOOKUP(MOD(C248,12)+(MOD(C248,12)=0)*12,Assumptions!$C$22:$D$33,2,FALSE)*(F248+G248)</f>
        <v>0</v>
      </c>
      <c r="R248" s="67">
        <f>IF(AND(MOD(C248,12)=0,D248&lt;15),Assumptions!$C$7*M248,0)</f>
        <v>0</v>
      </c>
      <c r="S248" s="68">
        <f>IF(MOD(C248,12)=0,M248*Assumptions!$D$17,0)</f>
        <v>0</v>
      </c>
      <c r="T248" s="68">
        <f>(M248+N248-O248-P248-Q248-R248+S248)*(D249=Assumptions!$H$9)</f>
        <v>0</v>
      </c>
      <c r="U248" s="67">
        <f>T248+AE248*(1+Assumptions!$D$17)</f>
        <v>0</v>
      </c>
      <c r="V248" s="67">
        <f t="shared" si="58"/>
        <v>0</v>
      </c>
      <c r="W248" s="67"/>
      <c r="X248" s="67">
        <f>IF(AND(MOD(C248,12)=1,D248&lt;15),Assumptions!$D$10*N248+Assumptions!$D$11*(1+Assumptions!$D$16)^(B248-1)*I248,0)</f>
        <v>0</v>
      </c>
      <c r="Y248" s="65">
        <f>Assumptions!$C$13*N248</f>
        <v>0</v>
      </c>
      <c r="Z248" s="65">
        <f>NPV(Assumptions!$D$19,N249:$N$259)</f>
        <v>0</v>
      </c>
      <c r="AA248" s="68">
        <f t="shared" si="59"/>
        <v>0</v>
      </c>
      <c r="AB248" s="96"/>
      <c r="AC248" s="67">
        <f>(AC247+N247-P247-Q247-T247-W247-X247-Y247+AD247)*IF(D248=Assumptions!$H$9,0,1)</f>
        <v>0</v>
      </c>
      <c r="AD248" s="91">
        <f>(AF247+N248-W248-X248-Y248)*Assumptions!$D$19-(P248+Q248)*Assumptions!$D$19/2</f>
        <v>0</v>
      </c>
      <c r="AE248" s="67">
        <f>(AE247+(AD248-O248-R248-Q248-S248))*IF(D248=Assumptions!$H$9,0,1)</f>
        <v>0</v>
      </c>
      <c r="AF248" s="91">
        <f t="shared" si="60"/>
        <v>0</v>
      </c>
      <c r="AG248" s="67">
        <f t="shared" si="61"/>
        <v>0</v>
      </c>
      <c r="AH248" s="89">
        <f>AG248*Assumptions!$C$18</f>
        <v>0</v>
      </c>
      <c r="AI248" s="67">
        <f t="shared" si="62"/>
        <v>0</v>
      </c>
      <c r="AK248" s="67">
        <f t="shared" si="63"/>
        <v>0</v>
      </c>
      <c r="AL248" s="70">
        <f t="shared" si="55"/>
        <v>0</v>
      </c>
      <c r="AM248" s="80">
        <f>(O248-W248-X248-Y248-AA248)*Assumptions!$D$19</f>
        <v>0</v>
      </c>
    </row>
    <row r="249" spans="2:39" x14ac:dyDescent="0.2">
      <c r="B249" s="5">
        <f t="shared" si="51"/>
        <v>242</v>
      </c>
      <c r="C249" s="5">
        <f t="shared" si="52"/>
        <v>242</v>
      </c>
      <c r="D249" s="5">
        <f t="shared" si="53"/>
        <v>20</v>
      </c>
      <c r="E249" s="5">
        <f t="shared" si="54"/>
        <v>66</v>
      </c>
      <c r="F249" s="64">
        <f>1-(1-VLOOKUP($E249,'Annual Mortality Rates'!$B$5:$C$105,2,FALSE))^(1/12)</f>
        <v>6.120561724122231E-4</v>
      </c>
      <c r="G249" s="74">
        <f>1-(1-IF(D249&gt;=7,2%,VLOOKUP($D249,'Annual Lapse Rates'!$B$4:$C$14,2,FALSE)))^(1/12)</f>
        <v>1.6821425527395739E-3</v>
      </c>
      <c r="H249" s="80">
        <f t="shared" si="56"/>
        <v>2</v>
      </c>
      <c r="I249" s="65"/>
      <c r="J249" s="66"/>
      <c r="K249" s="66"/>
      <c r="M249" s="67">
        <f t="shared" si="64"/>
        <v>0</v>
      </c>
      <c r="N249" s="67">
        <f>IF(AND(MOD(C249,12)=1,D249&lt;15),Assumptions!$H$4*I249,0)</f>
        <v>0</v>
      </c>
      <c r="O249" s="67"/>
      <c r="P249" s="88">
        <f t="shared" si="57"/>
        <v>0</v>
      </c>
      <c r="Q249" s="88">
        <f>(M249+N249-O249)*VLOOKUP(MOD(C249,12)+(MOD(C249,12)=0)*12,Assumptions!$C$22:$D$33,2,FALSE)*(F249+G249)</f>
        <v>0</v>
      </c>
      <c r="R249" s="67">
        <f>IF(AND(MOD(C249,12)=0,D249&lt;15),Assumptions!$C$7*M249,0)</f>
        <v>0</v>
      </c>
      <c r="S249" s="68">
        <f>IF(MOD(C249,12)=0,M249*Assumptions!$D$17,0)</f>
        <v>0</v>
      </c>
      <c r="T249" s="68">
        <f>(M249+N249-O249-P249-Q249-R249+S249)*(D250=Assumptions!$H$9)</f>
        <v>0</v>
      </c>
      <c r="U249" s="67">
        <f>T249+AE249*(1+Assumptions!$D$17)</f>
        <v>0</v>
      </c>
      <c r="V249" s="67">
        <f t="shared" si="58"/>
        <v>0</v>
      </c>
      <c r="W249" s="67"/>
      <c r="X249" s="67">
        <f>IF(AND(MOD(C249,12)=1,D249&lt;15),Assumptions!$D$10*N249+Assumptions!$D$11*(1+Assumptions!$D$16)^(B249-1)*I249,0)</f>
        <v>0</v>
      </c>
      <c r="Y249" s="65">
        <f>Assumptions!$C$13*N249</f>
        <v>0</v>
      </c>
      <c r="Z249" s="65">
        <f>NPV(Assumptions!$D$19,N250:$N$259)</f>
        <v>0</v>
      </c>
      <c r="AA249" s="68">
        <f t="shared" si="59"/>
        <v>0</v>
      </c>
      <c r="AB249" s="96"/>
      <c r="AC249" s="67">
        <f>(AC248+N248-P248-Q248-T248-W248-X248-Y248+AD248)*IF(D249=Assumptions!$H$9,0,1)</f>
        <v>0</v>
      </c>
      <c r="AD249" s="91">
        <f>(AF248+N249-W249-X249-Y249)*Assumptions!$D$19-(P249+Q249)*Assumptions!$D$19/2</f>
        <v>0</v>
      </c>
      <c r="AE249" s="67">
        <f>(AE248+(AD249-O249-R249-Q249-S249))*IF(D249=Assumptions!$H$9,0,1)</f>
        <v>0</v>
      </c>
      <c r="AF249" s="91">
        <f t="shared" si="60"/>
        <v>0</v>
      </c>
      <c r="AG249" s="67">
        <f t="shared" si="61"/>
        <v>0</v>
      </c>
      <c r="AH249" s="89">
        <f>AG249*Assumptions!$C$18</f>
        <v>0</v>
      </c>
      <c r="AI249" s="67">
        <f t="shared" si="62"/>
        <v>0</v>
      </c>
      <c r="AK249" s="67">
        <f t="shared" si="63"/>
        <v>0</v>
      </c>
      <c r="AL249" s="70">
        <f t="shared" si="55"/>
        <v>0</v>
      </c>
      <c r="AM249" s="80">
        <f>(O249-W249-X249-Y249-AA249)*Assumptions!$D$19</f>
        <v>0</v>
      </c>
    </row>
    <row r="250" spans="2:39" x14ac:dyDescent="0.2">
      <c r="B250" s="5">
        <f t="shared" si="51"/>
        <v>243</v>
      </c>
      <c r="C250" s="5">
        <f t="shared" si="52"/>
        <v>243</v>
      </c>
      <c r="D250" s="5">
        <f t="shared" si="53"/>
        <v>20</v>
      </c>
      <c r="E250" s="5">
        <f t="shared" si="54"/>
        <v>66</v>
      </c>
      <c r="F250" s="64">
        <f>1-(1-VLOOKUP($E250,'Annual Mortality Rates'!$B$5:$C$105,2,FALSE))^(1/12)</f>
        <v>6.120561724122231E-4</v>
      </c>
      <c r="G250" s="74">
        <f>1-(1-IF(D250&gt;=7,2%,VLOOKUP($D250,'Annual Lapse Rates'!$B$4:$C$14,2,FALSE)))^(1/12)</f>
        <v>1.6821425527395739E-3</v>
      </c>
      <c r="H250" s="80">
        <f t="shared" si="56"/>
        <v>3</v>
      </c>
      <c r="I250" s="65"/>
      <c r="J250" s="66"/>
      <c r="K250" s="66"/>
      <c r="M250" s="67">
        <f t="shared" si="64"/>
        <v>0</v>
      </c>
      <c r="N250" s="67">
        <f>IF(AND(MOD(C250,12)=1,D250&lt;15),Assumptions!$H$4*I250,0)</f>
        <v>0</v>
      </c>
      <c r="O250" s="67"/>
      <c r="P250" s="88">
        <f t="shared" si="57"/>
        <v>0</v>
      </c>
      <c r="Q250" s="88">
        <f>(M250+N250-O250)*VLOOKUP(MOD(C250,12)+(MOD(C250,12)=0)*12,Assumptions!$C$22:$D$33,2,FALSE)*(F250+G250)</f>
        <v>0</v>
      </c>
      <c r="R250" s="67">
        <f>IF(AND(MOD(C250,12)=0,D250&lt;15),Assumptions!$C$7*M250,0)</f>
        <v>0</v>
      </c>
      <c r="S250" s="68">
        <f>IF(MOD(C250,12)=0,M250*Assumptions!$D$17,0)</f>
        <v>0</v>
      </c>
      <c r="T250" s="68">
        <f>(M250+N250-O250-P250-Q250-R250+S250)*(D251=Assumptions!$H$9)</f>
        <v>0</v>
      </c>
      <c r="U250" s="67">
        <f>T250+AE250*(1+Assumptions!$D$17)</f>
        <v>0</v>
      </c>
      <c r="V250" s="67">
        <f t="shared" si="58"/>
        <v>0</v>
      </c>
      <c r="W250" s="67"/>
      <c r="X250" s="67">
        <f>IF(AND(MOD(C250,12)=1,D250&lt;15),Assumptions!$D$10*N250+Assumptions!$D$11*(1+Assumptions!$D$16)^(B250-1)*I250,0)</f>
        <v>0</v>
      </c>
      <c r="Y250" s="65">
        <f>Assumptions!$C$13*N250</f>
        <v>0</v>
      </c>
      <c r="Z250" s="65">
        <f>NPV(Assumptions!$D$19,N251:$N$259)</f>
        <v>0</v>
      </c>
      <c r="AA250" s="68">
        <f t="shared" si="59"/>
        <v>0</v>
      </c>
      <c r="AB250" s="96"/>
      <c r="AC250" s="67">
        <f>(AC249+N249-P249-Q249-T249-W249-X249-Y249+AD249)*IF(D250=Assumptions!$H$9,0,1)</f>
        <v>0</v>
      </c>
      <c r="AD250" s="91">
        <f>(AF249+N250-W250-X250-Y250)*Assumptions!$D$19-(P250+Q250)*Assumptions!$D$19/2</f>
        <v>0</v>
      </c>
      <c r="AE250" s="67">
        <f>(AE249+(AD250-O250-R250-Q250-S250))*IF(D250=Assumptions!$H$9,0,1)</f>
        <v>0</v>
      </c>
      <c r="AF250" s="91">
        <f t="shared" si="60"/>
        <v>0</v>
      </c>
      <c r="AG250" s="67">
        <f t="shared" si="61"/>
        <v>0</v>
      </c>
      <c r="AH250" s="89">
        <f>AG250*Assumptions!$C$18</f>
        <v>0</v>
      </c>
      <c r="AI250" s="67">
        <f t="shared" si="62"/>
        <v>0</v>
      </c>
      <c r="AK250" s="67">
        <f t="shared" si="63"/>
        <v>0</v>
      </c>
      <c r="AL250" s="70">
        <f t="shared" si="55"/>
        <v>0</v>
      </c>
      <c r="AM250" s="80">
        <f>(O250-W250-X250-Y250-AA250)*Assumptions!$D$19</f>
        <v>0</v>
      </c>
    </row>
    <row r="251" spans="2:39" x14ac:dyDescent="0.2">
      <c r="B251" s="5">
        <f t="shared" si="51"/>
        <v>244</v>
      </c>
      <c r="C251" s="5">
        <f t="shared" si="52"/>
        <v>244</v>
      </c>
      <c r="D251" s="5">
        <f t="shared" si="53"/>
        <v>20</v>
      </c>
      <c r="E251" s="5">
        <f t="shared" si="54"/>
        <v>66</v>
      </c>
      <c r="F251" s="64">
        <f>1-(1-VLOOKUP($E251,'Annual Mortality Rates'!$B$5:$C$105,2,FALSE))^(1/12)</f>
        <v>6.120561724122231E-4</v>
      </c>
      <c r="G251" s="74">
        <f>1-(1-IF(D251&gt;=7,2%,VLOOKUP($D251,'Annual Lapse Rates'!$B$4:$C$14,2,FALSE)))^(1/12)</f>
        <v>1.6821425527395739E-3</v>
      </c>
      <c r="H251" s="80">
        <f t="shared" si="56"/>
        <v>4</v>
      </c>
      <c r="I251" s="65"/>
      <c r="J251" s="66"/>
      <c r="K251" s="66"/>
      <c r="M251" s="67">
        <f t="shared" si="64"/>
        <v>0</v>
      </c>
      <c r="N251" s="67">
        <f>IF(AND(MOD(C251,12)=1,D251&lt;15),Assumptions!$H$4*I251,0)</f>
        <v>0</v>
      </c>
      <c r="O251" s="67"/>
      <c r="P251" s="88">
        <f t="shared" si="57"/>
        <v>0</v>
      </c>
      <c r="Q251" s="88">
        <f>(M251+N251-O251)*VLOOKUP(MOD(C251,12)+(MOD(C251,12)=0)*12,Assumptions!$C$22:$D$33,2,FALSE)*(F251+G251)</f>
        <v>0</v>
      </c>
      <c r="R251" s="67">
        <f>IF(AND(MOD(C251,12)=0,D251&lt;15),Assumptions!$C$7*M251,0)</f>
        <v>0</v>
      </c>
      <c r="S251" s="68">
        <f>IF(MOD(C251,12)=0,M251*Assumptions!$D$17,0)</f>
        <v>0</v>
      </c>
      <c r="T251" s="68">
        <f>(M251+N251-O251-P251-Q251-R251+S251)*(D252=Assumptions!$H$9)</f>
        <v>0</v>
      </c>
      <c r="U251" s="67">
        <f>T251+AE251*(1+Assumptions!$D$17)</f>
        <v>0</v>
      </c>
      <c r="V251" s="67">
        <f t="shared" si="58"/>
        <v>0</v>
      </c>
      <c r="W251" s="67"/>
      <c r="X251" s="67">
        <f>IF(AND(MOD(C251,12)=1,D251&lt;15),Assumptions!$D$10*N251+Assumptions!$D$11*(1+Assumptions!$D$16)^(B251-1)*I251,0)</f>
        <v>0</v>
      </c>
      <c r="Y251" s="65">
        <f>Assumptions!$C$13*N251</f>
        <v>0</v>
      </c>
      <c r="Z251" s="65">
        <f>NPV(Assumptions!$D$19,N252:$N$259)</f>
        <v>0</v>
      </c>
      <c r="AA251" s="68">
        <f t="shared" si="59"/>
        <v>0</v>
      </c>
      <c r="AB251" s="96"/>
      <c r="AC251" s="67">
        <f>(AC250+N250-P250-Q250-T250-W250-X250-Y250+AD250)*IF(D251=Assumptions!$H$9,0,1)</f>
        <v>0</v>
      </c>
      <c r="AD251" s="91">
        <f>(AF250+N251-W251-X251-Y251)*Assumptions!$D$19-(P251+Q251)*Assumptions!$D$19/2</f>
        <v>0</v>
      </c>
      <c r="AE251" s="67">
        <f>(AE250+(AD251-O251-R251-Q251-S251))*IF(D251=Assumptions!$H$9,0,1)</f>
        <v>0</v>
      </c>
      <c r="AF251" s="91">
        <f t="shared" si="60"/>
        <v>0</v>
      </c>
      <c r="AG251" s="67">
        <f t="shared" si="61"/>
        <v>0</v>
      </c>
      <c r="AH251" s="89">
        <f>AG251*Assumptions!$C$18</f>
        <v>0</v>
      </c>
      <c r="AI251" s="67">
        <f t="shared" si="62"/>
        <v>0</v>
      </c>
      <c r="AK251" s="67">
        <f t="shared" si="63"/>
        <v>0</v>
      </c>
      <c r="AL251" s="70">
        <f t="shared" si="55"/>
        <v>0</v>
      </c>
      <c r="AM251" s="80">
        <f>(O251-W251-X251-Y251-AA251)*Assumptions!$D$19</f>
        <v>0</v>
      </c>
    </row>
    <row r="252" spans="2:39" x14ac:dyDescent="0.2">
      <c r="B252" s="5">
        <f t="shared" si="51"/>
        <v>245</v>
      </c>
      <c r="C252" s="5">
        <f t="shared" si="52"/>
        <v>245</v>
      </c>
      <c r="D252" s="5">
        <f t="shared" si="53"/>
        <v>20</v>
      </c>
      <c r="E252" s="5">
        <f t="shared" si="54"/>
        <v>66</v>
      </c>
      <c r="F252" s="64">
        <f>1-(1-VLOOKUP($E252,'Annual Mortality Rates'!$B$5:$C$105,2,FALSE))^(1/12)</f>
        <v>6.120561724122231E-4</v>
      </c>
      <c r="G252" s="74">
        <f>1-(1-IF(D252&gt;=7,2%,VLOOKUP($D252,'Annual Lapse Rates'!$B$4:$C$14,2,FALSE)))^(1/12)</f>
        <v>1.6821425527395739E-3</v>
      </c>
      <c r="H252" s="80">
        <f t="shared" si="56"/>
        <v>5</v>
      </c>
      <c r="I252" s="65"/>
      <c r="J252" s="66"/>
      <c r="K252" s="66"/>
      <c r="M252" s="67">
        <f t="shared" si="64"/>
        <v>0</v>
      </c>
      <c r="N252" s="67">
        <f>IF(AND(MOD(C252,12)=1,D252&lt;15),Assumptions!$H$4*I252,0)</f>
        <v>0</v>
      </c>
      <c r="O252" s="67"/>
      <c r="P252" s="88">
        <f t="shared" si="57"/>
        <v>0</v>
      </c>
      <c r="Q252" s="88">
        <f>(M252+N252-O252)*VLOOKUP(MOD(C252,12)+(MOD(C252,12)=0)*12,Assumptions!$C$22:$D$33,2,FALSE)*(F252+G252)</f>
        <v>0</v>
      </c>
      <c r="R252" s="67">
        <f>IF(AND(MOD(C252,12)=0,D252&lt;15),Assumptions!$C$7*M252,0)</f>
        <v>0</v>
      </c>
      <c r="S252" s="68">
        <f>IF(MOD(C252,12)=0,M252*Assumptions!$D$17,0)</f>
        <v>0</v>
      </c>
      <c r="T252" s="68">
        <f>(M252+N252-O252-P252-Q252-R252+S252)*(D253=Assumptions!$H$9)</f>
        <v>0</v>
      </c>
      <c r="U252" s="67">
        <f>T252+AE252*(1+Assumptions!$D$17)</f>
        <v>0</v>
      </c>
      <c r="V252" s="67">
        <f t="shared" si="58"/>
        <v>0</v>
      </c>
      <c r="W252" s="67"/>
      <c r="X252" s="67">
        <f>IF(AND(MOD(C252,12)=1,D252&lt;15),Assumptions!$D$10*N252+Assumptions!$D$11*(1+Assumptions!$D$16)^(B252-1)*I252,0)</f>
        <v>0</v>
      </c>
      <c r="Y252" s="65">
        <f>Assumptions!$C$13*N252</f>
        <v>0</v>
      </c>
      <c r="Z252" s="65">
        <f>NPV(Assumptions!$D$19,N253:$N$259)</f>
        <v>0</v>
      </c>
      <c r="AA252" s="68">
        <f t="shared" si="59"/>
        <v>0</v>
      </c>
      <c r="AB252" s="96"/>
      <c r="AC252" s="67">
        <f>(AC251+N251-P251-Q251-T251-W251-X251-Y251+AD251)*IF(D252=Assumptions!$H$9,0,1)</f>
        <v>0</v>
      </c>
      <c r="AD252" s="91">
        <f>(AF251+N252-W252-X252-Y252)*Assumptions!$D$19-(P252+Q252)*Assumptions!$D$19/2</f>
        <v>0</v>
      </c>
      <c r="AE252" s="67">
        <f>(AE251+(AD252-O252-R252-Q252-S252))*IF(D252=Assumptions!$H$9,0,1)</f>
        <v>0</v>
      </c>
      <c r="AF252" s="91">
        <f t="shared" si="60"/>
        <v>0</v>
      </c>
      <c r="AG252" s="67">
        <f t="shared" si="61"/>
        <v>0</v>
      </c>
      <c r="AH252" s="89">
        <f>AG252*Assumptions!$C$18</f>
        <v>0</v>
      </c>
      <c r="AI252" s="67">
        <f t="shared" si="62"/>
        <v>0</v>
      </c>
      <c r="AK252" s="67">
        <f t="shared" si="63"/>
        <v>0</v>
      </c>
      <c r="AL252" s="70">
        <f t="shared" si="55"/>
        <v>0</v>
      </c>
      <c r="AM252" s="80">
        <f>(O252-W252-X252-Y252-AA252)*Assumptions!$D$19</f>
        <v>0</v>
      </c>
    </row>
    <row r="253" spans="2:39" x14ac:dyDescent="0.2">
      <c r="B253" s="5">
        <f t="shared" si="51"/>
        <v>246</v>
      </c>
      <c r="C253" s="5">
        <f t="shared" si="52"/>
        <v>246</v>
      </c>
      <c r="D253" s="5">
        <f t="shared" si="53"/>
        <v>20</v>
      </c>
      <c r="E253" s="5">
        <f t="shared" si="54"/>
        <v>66</v>
      </c>
      <c r="F253" s="64">
        <f>1-(1-VLOOKUP($E253,'Annual Mortality Rates'!$B$5:$C$105,2,FALSE))^(1/12)</f>
        <v>6.120561724122231E-4</v>
      </c>
      <c r="G253" s="74">
        <f>1-(1-IF(D253&gt;=7,2%,VLOOKUP($D253,'Annual Lapse Rates'!$B$4:$C$14,2,FALSE)))^(1/12)</f>
        <v>1.6821425527395739E-3</v>
      </c>
      <c r="H253" s="80">
        <f t="shared" si="56"/>
        <v>6</v>
      </c>
      <c r="I253" s="65"/>
      <c r="J253" s="66"/>
      <c r="K253" s="66"/>
      <c r="M253" s="67">
        <f t="shared" si="64"/>
        <v>0</v>
      </c>
      <c r="N253" s="67">
        <f>IF(AND(MOD(C253,12)=1,D253&lt;15),Assumptions!$H$4*I253,0)</f>
        <v>0</v>
      </c>
      <c r="O253" s="67"/>
      <c r="P253" s="88">
        <f t="shared" si="57"/>
        <v>0</v>
      </c>
      <c r="Q253" s="88">
        <f>(M253+N253-O253)*VLOOKUP(MOD(C253,12)+(MOD(C253,12)=0)*12,Assumptions!$C$22:$D$33,2,FALSE)*(F253+G253)</f>
        <v>0</v>
      </c>
      <c r="R253" s="67">
        <f>IF(AND(MOD(C253,12)=0,D253&lt;15),Assumptions!$C$7*M253,0)</f>
        <v>0</v>
      </c>
      <c r="S253" s="68">
        <f>IF(MOD(C253,12)=0,M253*Assumptions!$D$17,0)</f>
        <v>0</v>
      </c>
      <c r="T253" s="68">
        <f>(M253+N253-O253-P253-Q253-R253+S253)*(D254=Assumptions!$H$9)</f>
        <v>0</v>
      </c>
      <c r="U253" s="67">
        <f>T253+AE253*(1+Assumptions!$D$17)</f>
        <v>0</v>
      </c>
      <c r="V253" s="67">
        <f t="shared" si="58"/>
        <v>0</v>
      </c>
      <c r="W253" s="67"/>
      <c r="X253" s="67">
        <f>IF(AND(MOD(C253,12)=1,D253&lt;15),Assumptions!$D$10*N253+Assumptions!$D$11*(1+Assumptions!$D$16)^(B253-1)*I253,0)</f>
        <v>0</v>
      </c>
      <c r="Y253" s="65">
        <f>Assumptions!$C$13*N253</f>
        <v>0</v>
      </c>
      <c r="Z253" s="65">
        <f>NPV(Assumptions!$D$19,N254:$N$259)</f>
        <v>0</v>
      </c>
      <c r="AA253" s="68">
        <f t="shared" si="59"/>
        <v>0</v>
      </c>
      <c r="AB253" s="96"/>
      <c r="AC253" s="67">
        <f>(AC252+N252-P252-Q252-T252-W252-X252-Y252+AD252)*IF(D253=Assumptions!$H$9,0,1)</f>
        <v>0</v>
      </c>
      <c r="AD253" s="91">
        <f>(AF252+N253-W253-X253-Y253)*Assumptions!$D$19-(P253+Q253)*Assumptions!$D$19/2</f>
        <v>0</v>
      </c>
      <c r="AE253" s="67">
        <f>(AE252+(AD253-O253-R253-Q253-S253))*IF(D253=Assumptions!$H$9,0,1)</f>
        <v>0</v>
      </c>
      <c r="AF253" s="91">
        <f t="shared" si="60"/>
        <v>0</v>
      </c>
      <c r="AG253" s="67">
        <f t="shared" si="61"/>
        <v>0</v>
      </c>
      <c r="AH253" s="89">
        <f>AG253*Assumptions!$C$18</f>
        <v>0</v>
      </c>
      <c r="AI253" s="67">
        <f t="shared" si="62"/>
        <v>0</v>
      </c>
      <c r="AK253" s="67">
        <f t="shared" si="63"/>
        <v>0</v>
      </c>
      <c r="AL253" s="70">
        <f t="shared" si="55"/>
        <v>0</v>
      </c>
      <c r="AM253" s="80">
        <f>(O253-W253-X253-Y253-AA253)*Assumptions!$D$19</f>
        <v>0</v>
      </c>
    </row>
    <row r="254" spans="2:39" x14ac:dyDescent="0.2">
      <c r="B254" s="5">
        <f t="shared" si="51"/>
        <v>247</v>
      </c>
      <c r="C254" s="5">
        <f t="shared" si="52"/>
        <v>247</v>
      </c>
      <c r="D254" s="5">
        <f t="shared" si="53"/>
        <v>20</v>
      </c>
      <c r="E254" s="5">
        <f t="shared" si="54"/>
        <v>66</v>
      </c>
      <c r="F254" s="64">
        <f>1-(1-VLOOKUP($E254,'Annual Mortality Rates'!$B$5:$C$105,2,FALSE))^(1/12)</f>
        <v>6.120561724122231E-4</v>
      </c>
      <c r="G254" s="74">
        <f>1-(1-IF(D254&gt;=7,2%,VLOOKUP($D254,'Annual Lapse Rates'!$B$4:$C$14,2,FALSE)))^(1/12)</f>
        <v>1.6821425527395739E-3</v>
      </c>
      <c r="H254" s="80">
        <f t="shared" si="56"/>
        <v>7</v>
      </c>
      <c r="I254" s="65"/>
      <c r="J254" s="66"/>
      <c r="K254" s="66"/>
      <c r="M254" s="67">
        <f t="shared" si="64"/>
        <v>0</v>
      </c>
      <c r="N254" s="67">
        <f>IF(AND(MOD(C254,12)=1,D254&lt;15),Assumptions!$H$4*I254,0)</f>
        <v>0</v>
      </c>
      <c r="O254" s="67"/>
      <c r="P254" s="88">
        <f t="shared" si="57"/>
        <v>0</v>
      </c>
      <c r="Q254" s="88">
        <f>(M254+N254-O254)*VLOOKUP(MOD(C254,12)+(MOD(C254,12)=0)*12,Assumptions!$C$22:$D$33,2,FALSE)*(F254+G254)</f>
        <v>0</v>
      </c>
      <c r="R254" s="67">
        <f>IF(AND(MOD(C254,12)=0,D254&lt;15),Assumptions!$C$7*M254,0)</f>
        <v>0</v>
      </c>
      <c r="S254" s="68">
        <f>IF(MOD(C254,12)=0,M254*Assumptions!$D$17,0)</f>
        <v>0</v>
      </c>
      <c r="T254" s="68">
        <f>(M254+N254-O254-P254-Q254-R254+S254)*(D255=Assumptions!$H$9)</f>
        <v>0</v>
      </c>
      <c r="U254" s="67">
        <f>T254+AE254*(1+Assumptions!$D$17)</f>
        <v>0</v>
      </c>
      <c r="V254" s="67">
        <f t="shared" si="58"/>
        <v>0</v>
      </c>
      <c r="W254" s="67"/>
      <c r="X254" s="67">
        <f>IF(AND(MOD(C254,12)=1,D254&lt;15),Assumptions!$D$10*N254+Assumptions!$D$11*(1+Assumptions!$D$16)^(B254-1)*I254,0)</f>
        <v>0</v>
      </c>
      <c r="Y254" s="65">
        <f>Assumptions!$C$13*N254</f>
        <v>0</v>
      </c>
      <c r="Z254" s="65">
        <f>NPV(Assumptions!$D$19,N255:$N$259)</f>
        <v>0</v>
      </c>
      <c r="AA254" s="68">
        <f t="shared" si="59"/>
        <v>0</v>
      </c>
      <c r="AB254" s="96"/>
      <c r="AC254" s="67">
        <f>(AC253+N253-P253-Q253-T253-W253-X253-Y253+AD253)*IF(D254=Assumptions!$H$9,0,1)</f>
        <v>0</v>
      </c>
      <c r="AD254" s="91">
        <f>(AF253+N254-W254-X254-Y254)*Assumptions!$D$19-(P254+Q254)*Assumptions!$D$19/2</f>
        <v>0</v>
      </c>
      <c r="AE254" s="67">
        <f>(AE253+(AD254-O254-R254-Q254-S254))*IF(D254=Assumptions!$H$9,0,1)</f>
        <v>0</v>
      </c>
      <c r="AF254" s="91">
        <f t="shared" si="60"/>
        <v>0</v>
      </c>
      <c r="AG254" s="67">
        <f t="shared" si="61"/>
        <v>0</v>
      </c>
      <c r="AH254" s="89">
        <f>AG254*Assumptions!$C$18</f>
        <v>0</v>
      </c>
      <c r="AI254" s="67">
        <f t="shared" si="62"/>
        <v>0</v>
      </c>
      <c r="AK254" s="67">
        <f t="shared" si="63"/>
        <v>0</v>
      </c>
      <c r="AL254" s="70">
        <f t="shared" si="55"/>
        <v>0</v>
      </c>
      <c r="AM254" s="80">
        <f>(O254-W254-X254-Y254-AA254)*Assumptions!$D$19</f>
        <v>0</v>
      </c>
    </row>
    <row r="255" spans="2:39" x14ac:dyDescent="0.2">
      <c r="B255" s="5">
        <f t="shared" si="51"/>
        <v>248</v>
      </c>
      <c r="C255" s="5">
        <f t="shared" si="52"/>
        <v>248</v>
      </c>
      <c r="D255" s="5">
        <f t="shared" si="53"/>
        <v>20</v>
      </c>
      <c r="E255" s="5">
        <f t="shared" si="54"/>
        <v>66</v>
      </c>
      <c r="F255" s="64">
        <f>1-(1-VLOOKUP($E255,'Annual Mortality Rates'!$B$5:$C$105,2,FALSE))^(1/12)</f>
        <v>6.120561724122231E-4</v>
      </c>
      <c r="G255" s="74">
        <f>1-(1-IF(D255&gt;=7,2%,VLOOKUP($D255,'Annual Lapse Rates'!$B$4:$C$14,2,FALSE)))^(1/12)</f>
        <v>1.6821425527395739E-3</v>
      </c>
      <c r="H255" s="80">
        <f t="shared" si="56"/>
        <v>8</v>
      </c>
      <c r="I255" s="65"/>
      <c r="J255" s="66"/>
      <c r="K255" s="66"/>
      <c r="M255" s="67">
        <f t="shared" si="64"/>
        <v>0</v>
      </c>
      <c r="N255" s="67">
        <f>IF(AND(MOD(C255,12)=1,D255&lt;15),Assumptions!$H$4*I255,0)</f>
        <v>0</v>
      </c>
      <c r="O255" s="67"/>
      <c r="P255" s="88">
        <f t="shared" si="57"/>
        <v>0</v>
      </c>
      <c r="Q255" s="88">
        <f>(M255+N255-O255)*VLOOKUP(MOD(C255,12)+(MOD(C255,12)=0)*12,Assumptions!$C$22:$D$33,2,FALSE)*(F255+G255)</f>
        <v>0</v>
      </c>
      <c r="R255" s="67">
        <f>IF(AND(MOD(C255,12)=0,D255&lt;15),Assumptions!$C$7*M255,0)</f>
        <v>0</v>
      </c>
      <c r="S255" s="68">
        <f>IF(MOD(C255,12)=0,M255*Assumptions!$D$17,0)</f>
        <v>0</v>
      </c>
      <c r="T255" s="68">
        <f>(M255+N255-O255-P255-Q255-R255+S255)*(D256=Assumptions!$H$9)</f>
        <v>0</v>
      </c>
      <c r="U255" s="67">
        <f>T255+AE255*(1+Assumptions!$D$17)</f>
        <v>0</v>
      </c>
      <c r="V255" s="67">
        <f t="shared" si="58"/>
        <v>0</v>
      </c>
      <c r="W255" s="67"/>
      <c r="X255" s="67">
        <f>IF(AND(MOD(C255,12)=1,D255&lt;15),Assumptions!$D$10*N255+Assumptions!$D$11*(1+Assumptions!$D$16)^(B255-1)*I255,0)</f>
        <v>0</v>
      </c>
      <c r="Y255" s="65">
        <f>Assumptions!$C$13*N255</f>
        <v>0</v>
      </c>
      <c r="Z255" s="65">
        <f>NPV(Assumptions!$D$19,N256:$N$259)</f>
        <v>0</v>
      </c>
      <c r="AA255" s="68">
        <f t="shared" si="59"/>
        <v>0</v>
      </c>
      <c r="AB255" s="96"/>
      <c r="AC255" s="67">
        <f>(AC254+N254-P254-Q254-T254-W254-X254-Y254+AD254)*IF(D255=Assumptions!$H$9,0,1)</f>
        <v>0</v>
      </c>
      <c r="AD255" s="91">
        <f>(AF254+N255-W255-X255-Y255)*Assumptions!$D$19-(P255+Q255)*Assumptions!$D$19/2</f>
        <v>0</v>
      </c>
      <c r="AE255" s="67">
        <f>(AE254+(AD255-O255-R255-Q255-S255))*IF(D255=Assumptions!$H$9,0,1)</f>
        <v>0</v>
      </c>
      <c r="AF255" s="91">
        <f t="shared" si="60"/>
        <v>0</v>
      </c>
      <c r="AG255" s="67">
        <f t="shared" si="61"/>
        <v>0</v>
      </c>
      <c r="AH255" s="89">
        <f>AG255*Assumptions!$C$18</f>
        <v>0</v>
      </c>
      <c r="AI255" s="67">
        <f t="shared" si="62"/>
        <v>0</v>
      </c>
      <c r="AK255" s="67">
        <f t="shared" si="63"/>
        <v>0</v>
      </c>
      <c r="AL255" s="70">
        <f t="shared" si="55"/>
        <v>0</v>
      </c>
      <c r="AM255" s="80">
        <f>(O255-W255-X255-Y255-AA255)*Assumptions!$D$19</f>
        <v>0</v>
      </c>
    </row>
    <row r="256" spans="2:39" x14ac:dyDescent="0.2">
      <c r="B256" s="5">
        <f t="shared" si="51"/>
        <v>249</v>
      </c>
      <c r="C256" s="5">
        <f t="shared" si="52"/>
        <v>249</v>
      </c>
      <c r="D256" s="5">
        <f t="shared" si="53"/>
        <v>20</v>
      </c>
      <c r="E256" s="5">
        <f t="shared" si="54"/>
        <v>66</v>
      </c>
      <c r="F256" s="64">
        <f>1-(1-VLOOKUP($E256,'Annual Mortality Rates'!$B$5:$C$105,2,FALSE))^(1/12)</f>
        <v>6.120561724122231E-4</v>
      </c>
      <c r="G256" s="74">
        <f>1-(1-IF(D256&gt;=7,2%,VLOOKUP($D256,'Annual Lapse Rates'!$B$4:$C$14,2,FALSE)))^(1/12)</f>
        <v>1.6821425527395739E-3</v>
      </c>
      <c r="H256" s="80">
        <f t="shared" si="56"/>
        <v>9</v>
      </c>
      <c r="I256" s="65"/>
      <c r="J256" s="66"/>
      <c r="K256" s="66"/>
      <c r="M256" s="67">
        <f t="shared" si="64"/>
        <v>0</v>
      </c>
      <c r="N256" s="67">
        <f>IF(AND(MOD(C256,12)=1,D256&lt;15),Assumptions!$H$4*I256,0)</f>
        <v>0</v>
      </c>
      <c r="O256" s="67"/>
      <c r="P256" s="88">
        <f t="shared" si="57"/>
        <v>0</v>
      </c>
      <c r="Q256" s="88">
        <f>(M256+N256-O256)*VLOOKUP(MOD(C256,12)+(MOD(C256,12)=0)*12,Assumptions!$C$22:$D$33,2,FALSE)*(F256+G256)</f>
        <v>0</v>
      </c>
      <c r="R256" s="67">
        <f>IF(AND(MOD(C256,12)=0,D256&lt;15),Assumptions!$C$7*M256,0)</f>
        <v>0</v>
      </c>
      <c r="S256" s="68">
        <f>IF(MOD(C256,12)=0,M256*Assumptions!$D$17,0)</f>
        <v>0</v>
      </c>
      <c r="T256" s="68">
        <f>(M256+N256-O256-P256-Q256-R256+S256)*(D257=Assumptions!$H$9)</f>
        <v>0</v>
      </c>
      <c r="U256" s="67">
        <f>T256+AE256*(1+Assumptions!$D$17)</f>
        <v>0</v>
      </c>
      <c r="V256" s="67">
        <f t="shared" si="58"/>
        <v>0</v>
      </c>
      <c r="W256" s="67"/>
      <c r="X256" s="67">
        <f>IF(AND(MOD(C256,12)=1,D256&lt;15),Assumptions!$D$10*N256+Assumptions!$D$11*(1+Assumptions!$D$16)^(B256-1)*I256,0)</f>
        <v>0</v>
      </c>
      <c r="Y256" s="65">
        <f>Assumptions!$C$13*N256</f>
        <v>0</v>
      </c>
      <c r="Z256" s="65">
        <f>NPV(Assumptions!$D$19,N257:$N$259)</f>
        <v>0</v>
      </c>
      <c r="AA256" s="68">
        <f t="shared" si="59"/>
        <v>0</v>
      </c>
      <c r="AB256" s="96"/>
      <c r="AC256" s="67">
        <f>(AC255+N255-P255-Q255-T255-W255-X255-Y255+AD255)*IF(D256=Assumptions!$H$9,0,1)</f>
        <v>0</v>
      </c>
      <c r="AD256" s="91">
        <f>(AF255+N256-W256-X256-Y256)*Assumptions!$D$19-(P256+Q256)*Assumptions!$D$19/2</f>
        <v>0</v>
      </c>
      <c r="AE256" s="67">
        <f>(AE255+(AD256-O256-R256-Q256-S256))*IF(D256=Assumptions!$H$9,0,1)</f>
        <v>0</v>
      </c>
      <c r="AF256" s="91">
        <f t="shared" si="60"/>
        <v>0</v>
      </c>
      <c r="AG256" s="67">
        <f t="shared" si="61"/>
        <v>0</v>
      </c>
      <c r="AH256" s="89">
        <f>AG256*Assumptions!$C$18</f>
        <v>0</v>
      </c>
      <c r="AI256" s="67">
        <f t="shared" si="62"/>
        <v>0</v>
      </c>
      <c r="AK256" s="67">
        <f t="shared" si="63"/>
        <v>0</v>
      </c>
      <c r="AL256" s="70">
        <f t="shared" si="55"/>
        <v>0</v>
      </c>
      <c r="AM256" s="80">
        <f>(O256-W256-X256-Y256-AA256)*Assumptions!$D$19</f>
        <v>0</v>
      </c>
    </row>
    <row r="257" spans="2:39" x14ac:dyDescent="0.2">
      <c r="B257" s="5">
        <f t="shared" si="51"/>
        <v>250</v>
      </c>
      <c r="C257" s="5">
        <f t="shared" si="52"/>
        <v>250</v>
      </c>
      <c r="D257" s="5">
        <f t="shared" si="53"/>
        <v>20</v>
      </c>
      <c r="E257" s="5">
        <f t="shared" si="54"/>
        <v>66</v>
      </c>
      <c r="F257" s="64">
        <f>1-(1-VLOOKUP($E257,'Annual Mortality Rates'!$B$5:$C$105,2,FALSE))^(1/12)</f>
        <v>6.120561724122231E-4</v>
      </c>
      <c r="G257" s="74">
        <f>1-(1-IF(D257&gt;=7,2%,VLOOKUP($D257,'Annual Lapse Rates'!$B$4:$C$14,2,FALSE)))^(1/12)</f>
        <v>1.6821425527395739E-3</v>
      </c>
      <c r="H257" s="80">
        <f t="shared" si="56"/>
        <v>10</v>
      </c>
      <c r="I257" s="65"/>
      <c r="J257" s="66"/>
      <c r="K257" s="66"/>
      <c r="M257" s="67">
        <f t="shared" si="64"/>
        <v>0</v>
      </c>
      <c r="N257" s="67">
        <f>IF(AND(MOD(C257,12)=1,D257&lt;15),Assumptions!$H$4*I257,0)</f>
        <v>0</v>
      </c>
      <c r="O257" s="67"/>
      <c r="P257" s="88">
        <f t="shared" si="57"/>
        <v>0</v>
      </c>
      <c r="Q257" s="88">
        <f>(M257+N257-O257)*VLOOKUP(MOD(C257,12)+(MOD(C257,12)=0)*12,Assumptions!$C$22:$D$33,2,FALSE)*(F257+G257)</f>
        <v>0</v>
      </c>
      <c r="R257" s="67">
        <f>IF(AND(MOD(C257,12)=0,D257&lt;15),Assumptions!$C$7*M257,0)</f>
        <v>0</v>
      </c>
      <c r="S257" s="68">
        <f>IF(MOD(C257,12)=0,M257*Assumptions!$D$17,0)</f>
        <v>0</v>
      </c>
      <c r="T257" s="68">
        <f>(M257+N257-O257-P257-Q257-R257+S257)*(D258=Assumptions!$H$9)</f>
        <v>0</v>
      </c>
      <c r="U257" s="67">
        <f>T257+AE257*(1+Assumptions!$D$17)</f>
        <v>0</v>
      </c>
      <c r="V257" s="67">
        <f t="shared" si="58"/>
        <v>0</v>
      </c>
      <c r="W257" s="67"/>
      <c r="X257" s="67">
        <f>IF(AND(MOD(C257,12)=1,D257&lt;15),Assumptions!$D$10*N257+Assumptions!$D$11*(1+Assumptions!$D$16)^(B257-1)*I257,0)</f>
        <v>0</v>
      </c>
      <c r="Y257" s="65">
        <f>Assumptions!$C$13*N257</f>
        <v>0</v>
      </c>
      <c r="Z257" s="65">
        <f>NPV(Assumptions!$D$19,N258:$N$259)</f>
        <v>0</v>
      </c>
      <c r="AA257" s="68">
        <f t="shared" si="59"/>
        <v>0</v>
      </c>
      <c r="AB257" s="96"/>
      <c r="AC257" s="67">
        <f>(AC256+N256-P256-Q256-T256-W256-X256-Y256+AD256)*IF(D257=Assumptions!$H$9,0,1)</f>
        <v>0</v>
      </c>
      <c r="AD257" s="91">
        <f>(AF256+N257-W257-X257-Y257)*Assumptions!$D$19-(P257+Q257)*Assumptions!$D$19/2</f>
        <v>0</v>
      </c>
      <c r="AE257" s="67">
        <f>(AE256+(AD257-O257-R257-Q257-S257))*IF(D257=Assumptions!$H$9,0,1)</f>
        <v>0</v>
      </c>
      <c r="AF257" s="91">
        <f t="shared" si="60"/>
        <v>0</v>
      </c>
      <c r="AG257" s="67">
        <f t="shared" si="61"/>
        <v>0</v>
      </c>
      <c r="AH257" s="89">
        <f>AG257*Assumptions!$C$18</f>
        <v>0</v>
      </c>
      <c r="AI257" s="67">
        <f t="shared" si="62"/>
        <v>0</v>
      </c>
      <c r="AK257" s="67">
        <f t="shared" si="63"/>
        <v>0</v>
      </c>
      <c r="AL257" s="70">
        <f t="shared" si="55"/>
        <v>0</v>
      </c>
      <c r="AM257" s="80">
        <f>(O257-W257-X257-Y257-AA257)*Assumptions!$D$19</f>
        <v>0</v>
      </c>
    </row>
    <row r="258" spans="2:39" x14ac:dyDescent="0.2">
      <c r="B258" s="5">
        <f t="shared" si="51"/>
        <v>251</v>
      </c>
      <c r="C258" s="5">
        <f t="shared" si="52"/>
        <v>251</v>
      </c>
      <c r="D258" s="5">
        <f t="shared" si="53"/>
        <v>20</v>
      </c>
      <c r="E258" s="5">
        <f t="shared" si="54"/>
        <v>66</v>
      </c>
      <c r="F258" s="64">
        <f>1-(1-VLOOKUP($E258,'Annual Mortality Rates'!$B$5:$C$105,2,FALSE))^(1/12)</f>
        <v>6.120561724122231E-4</v>
      </c>
      <c r="G258" s="74">
        <f>1-(1-IF(D258&gt;=7,2%,VLOOKUP($D258,'Annual Lapse Rates'!$B$4:$C$14,2,FALSE)))^(1/12)</f>
        <v>1.6821425527395739E-3</v>
      </c>
      <c r="H258" s="80">
        <f t="shared" si="56"/>
        <v>11</v>
      </c>
      <c r="I258" s="65"/>
      <c r="J258" s="66"/>
      <c r="K258" s="66"/>
      <c r="M258" s="67">
        <f t="shared" si="64"/>
        <v>0</v>
      </c>
      <c r="N258" s="67">
        <f>IF(AND(MOD(C258,12)=1,D258&lt;15),Assumptions!$H$4*I258,0)</f>
        <v>0</v>
      </c>
      <c r="O258" s="67"/>
      <c r="P258" s="88">
        <f t="shared" si="57"/>
        <v>0</v>
      </c>
      <c r="Q258" s="88">
        <f>(M258+N258-O258)*VLOOKUP(MOD(C258,12)+(MOD(C258,12)=0)*12,Assumptions!$C$22:$D$33,2,FALSE)*(F258+G258)</f>
        <v>0</v>
      </c>
      <c r="R258" s="67">
        <f>IF(AND(MOD(C258,12)=0,D258&lt;15),Assumptions!$C$7*M258,0)</f>
        <v>0</v>
      </c>
      <c r="S258" s="68">
        <f>IF(MOD(C258,12)=0,M258*Assumptions!$D$17,0)</f>
        <v>0</v>
      </c>
      <c r="T258" s="68">
        <f>(M258+N258-O258-P258-Q258-R258+S258)*(D259=Assumptions!$H$9)</f>
        <v>0</v>
      </c>
      <c r="U258" s="67">
        <f>T258+AE258*(1+Assumptions!$D$17)</f>
        <v>0</v>
      </c>
      <c r="V258" s="67">
        <f t="shared" si="58"/>
        <v>0</v>
      </c>
      <c r="W258" s="67"/>
      <c r="X258" s="67">
        <f>IF(AND(MOD(C258,12)=1,D258&lt;15),Assumptions!$D$10*N258+Assumptions!$D$11*(1+Assumptions!$D$16)^(B258-1)*I258,0)</f>
        <v>0</v>
      </c>
      <c r="Y258" s="65">
        <f>Assumptions!$C$13*N258</f>
        <v>0</v>
      </c>
      <c r="Z258" s="65">
        <f>NPV(Assumptions!$D$19,N259:$N$259)</f>
        <v>0</v>
      </c>
      <c r="AA258" s="68">
        <f t="shared" si="59"/>
        <v>0</v>
      </c>
      <c r="AB258" s="96"/>
      <c r="AC258" s="67">
        <f>(AC257+N257-P257-Q257-T257-W257-X257-Y257+AD257)*IF(D258=Assumptions!$H$9,0,1)</f>
        <v>0</v>
      </c>
      <c r="AD258" s="91">
        <f>(AF257+N258-W258-X258-Y258)*Assumptions!$D$19-(P258+Q258)*Assumptions!$D$19/2</f>
        <v>0</v>
      </c>
      <c r="AE258" s="67">
        <f>(AE257+(AD258-O258-R258-Q258-S258))*IF(D258=Assumptions!$H$9,0,1)</f>
        <v>0</v>
      </c>
      <c r="AF258" s="91">
        <f t="shared" si="60"/>
        <v>0</v>
      </c>
      <c r="AG258" s="67">
        <f t="shared" si="61"/>
        <v>0</v>
      </c>
      <c r="AH258" s="89">
        <f>AG258*Assumptions!$C$18</f>
        <v>0</v>
      </c>
      <c r="AI258" s="67">
        <f t="shared" si="62"/>
        <v>0</v>
      </c>
      <c r="AK258" s="67">
        <f t="shared" si="63"/>
        <v>0</v>
      </c>
      <c r="AL258" s="70">
        <f t="shared" si="55"/>
        <v>0</v>
      </c>
      <c r="AM258" s="80">
        <f>(O258-W258-X258-Y258-AA258)*Assumptions!$D$19</f>
        <v>0</v>
      </c>
    </row>
    <row r="259" spans="2:39" x14ac:dyDescent="0.2">
      <c r="B259" s="5">
        <f t="shared" si="51"/>
        <v>252</v>
      </c>
      <c r="C259" s="5">
        <f t="shared" si="52"/>
        <v>252</v>
      </c>
      <c r="D259" s="5">
        <f t="shared" si="53"/>
        <v>20</v>
      </c>
      <c r="E259" s="5">
        <f t="shared" si="54"/>
        <v>66</v>
      </c>
      <c r="F259" s="64">
        <f>1-(1-VLOOKUP($E259,'Annual Mortality Rates'!$B$5:$C$105,2,FALSE))^(1/12)</f>
        <v>6.120561724122231E-4</v>
      </c>
      <c r="G259" s="74">
        <f>1-(1-IF(D259&gt;=7,2%,VLOOKUP($D259,'Annual Lapse Rates'!$B$4:$C$14,2,FALSE)))^(1/12)</f>
        <v>1.6821425527395739E-3</v>
      </c>
      <c r="H259" s="80">
        <f t="shared" si="56"/>
        <v>12</v>
      </c>
      <c r="I259" s="65"/>
      <c r="J259" s="66"/>
      <c r="K259" s="66"/>
      <c r="M259" s="67">
        <f t="shared" si="64"/>
        <v>0</v>
      </c>
      <c r="N259" s="67">
        <f>IF(AND(MOD(C259,12)=1,D259&lt;15),Assumptions!$H$4*I259,0)</f>
        <v>0</v>
      </c>
      <c r="O259" s="67"/>
      <c r="P259" s="88">
        <f t="shared" si="57"/>
        <v>0</v>
      </c>
      <c r="Q259" s="88">
        <f>(M259+N259-O259)*VLOOKUP(MOD(C259,12)+(MOD(C259,12)=0)*12,Assumptions!$C$22:$D$33,2,FALSE)*(F259+G259)</f>
        <v>0</v>
      </c>
      <c r="R259" s="67">
        <f>IF(AND(MOD(C259,12)=0,D259&lt;15),Assumptions!$C$7*M259,0)</f>
        <v>0</v>
      </c>
      <c r="S259" s="68">
        <f>IF(MOD(C259,12)=0,M259*Assumptions!$D$17,0)</f>
        <v>0</v>
      </c>
      <c r="T259" s="68">
        <f>(M259+N259-O259-P259-Q259-R259+S259)*(D260=Assumptions!$H$9)</f>
        <v>0</v>
      </c>
      <c r="U259" s="67">
        <f>T259+AE259*(1+Assumptions!$D$17)</f>
        <v>0</v>
      </c>
      <c r="V259" s="67">
        <f t="shared" si="58"/>
        <v>0</v>
      </c>
      <c r="W259" s="67"/>
      <c r="X259" s="67">
        <f>IF(AND(MOD(C259,12)=1,D259&lt;15),Assumptions!$D$10*N259+Assumptions!$D$11*(1+Assumptions!$D$16)^(B259-1)*I259,0)</f>
        <v>0</v>
      </c>
      <c r="Y259" s="65">
        <f>Assumptions!$C$13*N259</f>
        <v>0</v>
      </c>
      <c r="Z259" s="65">
        <f>NPV(Assumptions!$D$19,N$259:$N260)</f>
        <v>0</v>
      </c>
      <c r="AA259" s="68">
        <f t="shared" si="59"/>
        <v>0</v>
      </c>
      <c r="AB259" s="96"/>
      <c r="AC259" s="67">
        <f>(AC258+N258-P258-Q258-T258-W258-X258-Y258+AD258)*IF(D259=Assumptions!$H$9,0,1)</f>
        <v>0</v>
      </c>
      <c r="AD259" s="91">
        <f>(AF258+N259-W259-X259-Y259)*Assumptions!$D$19-(P259+Q259)*Assumptions!$D$19/2</f>
        <v>0</v>
      </c>
      <c r="AE259" s="67">
        <f>(AE258+(AD259-O259-R259-Q259-S259))*IF(D259=Assumptions!$H$9,0,1)</f>
        <v>0</v>
      </c>
      <c r="AF259" s="91">
        <f t="shared" si="60"/>
        <v>0</v>
      </c>
      <c r="AG259" s="67">
        <f t="shared" si="61"/>
        <v>0</v>
      </c>
      <c r="AH259" s="89">
        <f>AG259*Assumptions!$C$18</f>
        <v>0</v>
      </c>
      <c r="AI259" s="67">
        <f t="shared" si="62"/>
        <v>0</v>
      </c>
      <c r="AK259" s="67">
        <f t="shared" si="63"/>
        <v>0</v>
      </c>
      <c r="AL259" s="70">
        <f t="shared" si="55"/>
        <v>0</v>
      </c>
      <c r="AM259" s="80">
        <f>(O259-W259-X259-Y259-AA259)*Assumptions!$D$19</f>
        <v>0</v>
      </c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2019-08-17T08:28:13Z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