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115" windowHeight="8010" tabRatio="890" activeTab="8"/>
  </bookViews>
  <sheets>
    <sheet name="Business Mix" sheetId="12" r:id="rId1"/>
    <sheet name="Mortality" sheetId="2" r:id="rId2"/>
    <sheet name="Premium rates" sheetId="3" r:id="rId3"/>
    <sheet name="1a(i) Unit Costs" sheetId="17" r:id="rId4"/>
    <sheet name="1a(ii) Health Loading" sheetId="9" r:id="rId5"/>
    <sheet name="1a(iii) Assumptions" sheetId="1" r:id="rId6"/>
    <sheet name="1a(iii) Current" sheetId="4" r:id="rId7"/>
    <sheet name="1a(iii) Proposed" sheetId="16" r:id="rId8"/>
    <sheet name="1a(iii) Table" sheetId="8" r:id="rId9"/>
  </sheets>
  <definedNames>
    <definedName name="Acq_per_pol_prop">'1a(iii) Assumptions'!$C$16</definedName>
    <definedName name="AcqExp_dollar">'1a(iii) Assumptions'!$B$16</definedName>
    <definedName name="AcqExp_perc">'1a(iii) Assumptions'!$B$15</definedName>
    <definedName name="Age">#REF!</definedName>
    <definedName name="Claims_Loading">'1a(iii) Assumptions'!$B$30</definedName>
    <definedName name="Claims_Loading_prop">'1a(iii) Assumptions'!$C$30</definedName>
    <definedName name="Expense_inflation">'1a(iii) Assumptions'!$B$22</definedName>
    <definedName name="Expense_inflation_direct" localSheetId="7">'1a(iii) Assumptions'!#REF!</definedName>
    <definedName name="Expense_inflation_direct">'1a(iii) Assumptions'!#REF!</definedName>
    <definedName name="Interest">'1a(iii) Assumptions'!$B$48</definedName>
    <definedName name="Interest_direct" localSheetId="7">'1a(iii) Assumptions'!#REF!</definedName>
    <definedName name="Interest_direct">'1a(iii) Assumptions'!#REF!</definedName>
    <definedName name="Lapse_Y1">'1a(iii) Assumptions'!$B$42</definedName>
    <definedName name="Lapse_Y1_direct" localSheetId="7">'1a(iii) Assumptions'!#REF!</definedName>
    <definedName name="Lapse_Y1_direct">'1a(iii) Assumptions'!#REF!</definedName>
    <definedName name="Lapse_Y2">'1a(iii) Assumptions'!$B$43</definedName>
    <definedName name="Lapse_Y2_direct" localSheetId="7">'1a(iii) Assumptions'!#REF!</definedName>
    <definedName name="Lapse_Y2_direct">'1a(iii) Assumptions'!#REF!</definedName>
    <definedName name="Lapse_Y3">'1a(iii) Assumptions'!$B$44</definedName>
    <definedName name="Lapse_Y3_direct" localSheetId="7">'1a(iii) Assumptions'!#REF!</definedName>
    <definedName name="Lapse_Y3_direct">'1a(iii) Assumptions'!#REF!</definedName>
    <definedName name="Lapse_Y4">'1a(iii) Assumptions'!$B$45</definedName>
    <definedName name="Lapse_Y4_direct" localSheetId="7">'1a(iii) Assumptions'!#REF!</definedName>
    <definedName name="Lapse_Y4_direct">'1a(iii) Assumptions'!#REF!</definedName>
    <definedName name="Lapse_Y5">'1a(iii) Assumptions'!$B$46</definedName>
    <definedName name="Lapse_Y5_direct" localSheetId="7">'1a(iii) Assumptions'!#REF!</definedName>
    <definedName name="Lapse_Y5_direct">'1a(iii) Assumptions'!#REF!</definedName>
    <definedName name="Loss_ratio">'1a(iii) Assumptions'!$B$32</definedName>
    <definedName name="Mort_Table">'1a(iii) Assumptions'!$B$35</definedName>
    <definedName name="Mort_Table_direct" localSheetId="7">'1a(iii) Assumptions'!#REF!</definedName>
    <definedName name="Mort_Table_direct">'1a(iii) Assumptions'!#REF!</definedName>
    <definedName name="Mort_Y1">'1a(iii) Assumptions'!$B$36</definedName>
    <definedName name="Mort_Y1_direct" localSheetId="7">'1a(iii) Assumptions'!#REF!</definedName>
    <definedName name="Mort_Y1_direct">'1a(iii) Assumptions'!#REF!</definedName>
    <definedName name="Mort_Y2">'1a(iii) Assumptions'!$B$37</definedName>
    <definedName name="Mort_Y2_direct" localSheetId="7">'1a(iii) Assumptions'!#REF!</definedName>
    <definedName name="Mort_Y2_direct">'1a(iii) Assumptions'!#REF!</definedName>
    <definedName name="Mort_Y3">'1a(iii) Assumptions'!$B$38</definedName>
    <definedName name="Mort_Y3_direct" localSheetId="7">'1a(iii) Assumptions'!#REF!</definedName>
    <definedName name="Mort_Y3_direct">'1a(iii) Assumptions'!#REF!</definedName>
    <definedName name="Policy_Fee">'1a(iii) Assumptions'!$B$11</definedName>
    <definedName name="Policy_Fee_direct" localSheetId="7">'1a(iii) Assumptions'!#REF!</definedName>
    <definedName name="Policy_Fee_direct">'1a(iii) Assumptions'!#REF!</definedName>
    <definedName name="Prem_Loading">'1a(iii) Assumptions'!$B$29</definedName>
    <definedName name="Prem_Loading_prop">'1a(iii) Assumptions'!$C$29</definedName>
    <definedName name="Premium_factor">'Premium rates'!$B$4</definedName>
    <definedName name="Premium_factor_direct" localSheetId="7">'1a(iii) Assumptions'!#REF!</definedName>
    <definedName name="Premium_factor_direct">'1a(iii) Assumptions'!#REF!</definedName>
    <definedName name="RDR">'1a(iii) Assumptions'!$B$50</definedName>
    <definedName name="Ren_Exp_dollar_prop">'1a(iii) Assumptions'!$C$20</definedName>
    <definedName name="RenComm_percent">'1a(iii) Assumptions'!$B$26</definedName>
    <definedName name="RenComm_percent_direct" localSheetId="7">'1a(iii) Assumptions'!#REF!</definedName>
    <definedName name="RenComm_percent_direct">'1a(iii) Assumptions'!#REF!</definedName>
    <definedName name="RenExp_dollar">'1a(iii) Assumptions'!$B$20</definedName>
    <definedName name="RenExp_dollar_direct" localSheetId="7">'1a(iii) Assumptions'!#REF!</definedName>
    <definedName name="RenExp_dollar_direct">'1a(iii) Assumptions'!#REF!</definedName>
    <definedName name="RenExp_perc">'1a(iii) Assumptions'!$B$19</definedName>
    <definedName name="RenExp_perc_direct" localSheetId="7">'1a(iii) Assumptions'!#REF!</definedName>
    <definedName name="RenExp_perc_direct">'1a(iii) Assumptions'!#REF!</definedName>
    <definedName name="Reserves">'1a(iii) Assumptions'!$B$53</definedName>
    <definedName name="SexSmoker">#REF!</definedName>
    <definedName name="Start_Age">'1a(iii) Assumptions'!$B$5</definedName>
    <definedName name="Sum_Insured">'1a(iii) Assumptions'!$B$9</definedName>
    <definedName name="Sum_Insured_direct" localSheetId="7">'1a(iii) Assumptions'!#REF!</definedName>
    <definedName name="Sum_Insured_direct">'1a(iii) Assumptions'!#REF!</definedName>
    <definedName name="UpfrontComm_percent">'1a(iii) Assumptions'!$B$25</definedName>
    <definedName name="UpfrontComm_percent_direct" localSheetId="7">'1a(iii) Assumptions'!#REF!</definedName>
    <definedName name="UpfrontComm_percent_direct">'1a(iii) Assumptions'!#REF!</definedName>
  </definedNames>
  <calcPr calcId="152511" calcMode="manual"/>
</workbook>
</file>

<file path=xl/calcChain.xml><?xml version="1.0" encoding="utf-8"?>
<calcChain xmlns="http://schemas.openxmlformats.org/spreadsheetml/2006/main">
  <c r="B15" i="8" l="1"/>
  <c r="B14" i="8"/>
  <c r="B13" i="8"/>
  <c r="B5" i="8"/>
  <c r="B4" i="8"/>
  <c r="C30" i="1"/>
  <c r="C29" i="1"/>
  <c r="B30" i="1"/>
  <c r="B29" i="1"/>
  <c r="B26" i="17" l="1"/>
  <c r="B34" i="17"/>
  <c r="B32" i="1"/>
  <c r="B16" i="1" l="1"/>
  <c r="B36" i="17"/>
  <c r="B10" i="8" l="1"/>
  <c r="D43" i="9" l="1"/>
  <c r="B38" i="9"/>
  <c r="B36" i="9"/>
  <c r="B35" i="9"/>
  <c r="C35" i="17"/>
  <c r="C30" i="17"/>
  <c r="B30" i="17"/>
  <c r="B29" i="17" l="1"/>
  <c r="B23" i="9"/>
  <c r="D20" i="17"/>
  <c r="B11" i="9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8" i="16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8" i="4"/>
  <c r="C5" i="9"/>
  <c r="B37" i="9" s="1"/>
  <c r="B5" i="9"/>
  <c r="B13" i="9" s="1"/>
  <c r="C4" i="9"/>
  <c r="B4" i="9"/>
  <c r="B12" i="9" s="1"/>
  <c r="C19" i="17"/>
  <c r="C18" i="17"/>
  <c r="B19" i="17"/>
  <c r="C6" i="17"/>
  <c r="B5" i="17"/>
  <c r="B18" i="17" s="1"/>
  <c r="B35" i="17"/>
  <c r="C29" i="17"/>
  <c r="B24" i="17"/>
  <c r="C8" i="17"/>
  <c r="C24" i="17" s="1"/>
  <c r="B18" i="9" l="1"/>
  <c r="B25" i="9"/>
  <c r="B30" i="9"/>
  <c r="B24" i="9"/>
  <c r="C20" i="17"/>
  <c r="C26" i="17" s="1"/>
  <c r="C34" i="17" s="1"/>
  <c r="C31" i="17"/>
  <c r="B20" i="17"/>
  <c r="C32" i="1"/>
  <c r="Z42" i="16"/>
  <c r="A9" i="16"/>
  <c r="O9" i="16" s="1"/>
  <c r="R8" i="16"/>
  <c r="O8" i="16"/>
  <c r="B8" i="16"/>
  <c r="P8" i="16" s="1"/>
  <c r="C36" i="17" l="1"/>
  <c r="C16" i="1" s="1"/>
  <c r="B48" i="9"/>
  <c r="D36" i="17"/>
  <c r="C20" i="1"/>
  <c r="D35" i="17"/>
  <c r="D34" i="17"/>
  <c r="B39" i="9"/>
  <c r="B9" i="16"/>
  <c r="A10" i="16"/>
  <c r="P9" i="16" l="1"/>
  <c r="B10" i="16"/>
  <c r="O10" i="16"/>
  <c r="A11" i="16"/>
  <c r="A12" i="16" l="1"/>
  <c r="O11" i="16"/>
  <c r="B11" i="16"/>
  <c r="P10" i="16"/>
  <c r="A13" i="16" l="1"/>
  <c r="O12" i="16"/>
  <c r="B12" i="16"/>
  <c r="P11" i="16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10" i="4"/>
  <c r="G9" i="4"/>
  <c r="G8" i="4"/>
  <c r="Z42" i="4"/>
  <c r="P12" i="16" l="1"/>
  <c r="B13" i="16"/>
  <c r="O13" i="16"/>
  <c r="A14" i="16"/>
  <c r="O14" i="16" l="1"/>
  <c r="A15" i="16"/>
  <c r="P13" i="16"/>
  <c r="B14" i="16"/>
  <c r="A9" i="3"/>
  <c r="T8" i="16" l="1"/>
  <c r="T4" i="16" s="1"/>
  <c r="G18" i="16"/>
  <c r="O15" i="16"/>
  <c r="A16" i="16"/>
  <c r="P14" i="16"/>
  <c r="B15" i="16"/>
  <c r="Q8" i="16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B14" i="9"/>
  <c r="B26" i="9"/>
  <c r="R8" i="4"/>
  <c r="G39" i="16" l="1"/>
  <c r="G40" i="16"/>
  <c r="G42" i="16"/>
  <c r="G25" i="16"/>
  <c r="G13" i="16"/>
  <c r="H13" i="16" s="1"/>
  <c r="G27" i="16"/>
  <c r="G28" i="16"/>
  <c r="G30" i="16"/>
  <c r="G12" i="16"/>
  <c r="H12" i="16" s="1"/>
  <c r="G24" i="16"/>
  <c r="G23" i="16"/>
  <c r="G26" i="16"/>
  <c r="G29" i="16"/>
  <c r="G9" i="16"/>
  <c r="H9" i="16" s="1"/>
  <c r="G10" i="16"/>
  <c r="H10" i="16" s="1"/>
  <c r="G11" i="16"/>
  <c r="H11" i="16" s="1"/>
  <c r="G14" i="16"/>
  <c r="H14" i="16" s="1"/>
  <c r="G41" i="16"/>
  <c r="G21" i="16"/>
  <c r="G8" i="16"/>
  <c r="H8" i="16" s="1"/>
  <c r="K8" i="16" s="1"/>
  <c r="L8" i="16" s="1"/>
  <c r="M8" i="16" s="1"/>
  <c r="J9" i="16" s="1"/>
  <c r="V9" i="16" s="1"/>
  <c r="G36" i="16"/>
  <c r="G20" i="16"/>
  <c r="G35" i="16"/>
  <c r="G19" i="16"/>
  <c r="G38" i="16"/>
  <c r="G22" i="16"/>
  <c r="G33" i="16"/>
  <c r="G17" i="16"/>
  <c r="G37" i="16"/>
  <c r="G32" i="16"/>
  <c r="G16" i="16"/>
  <c r="G31" i="16"/>
  <c r="G15" i="16"/>
  <c r="G34" i="16"/>
  <c r="U8" i="16"/>
  <c r="U4" i="16" s="1"/>
  <c r="E5" i="8" s="1"/>
  <c r="Z7" i="16"/>
  <c r="X8" i="16"/>
  <c r="X4" i="16" s="1"/>
  <c r="G5" i="8" s="1"/>
  <c r="P15" i="16"/>
  <c r="B16" i="16"/>
  <c r="O16" i="16"/>
  <c r="A17" i="16"/>
  <c r="T8" i="4"/>
  <c r="T4" i="4" s="1"/>
  <c r="B8" i="4"/>
  <c r="O8" i="4"/>
  <c r="A9" i="4"/>
  <c r="O9" i="4" s="1"/>
  <c r="H15" i="16" l="1"/>
  <c r="S8" i="16"/>
  <c r="AA8" i="16"/>
  <c r="Q9" i="16"/>
  <c r="R9" i="16"/>
  <c r="K9" i="16"/>
  <c r="S9" i="16" s="1"/>
  <c r="O17" i="16"/>
  <c r="A18" i="16"/>
  <c r="P16" i="16"/>
  <c r="H16" i="16"/>
  <c r="B17" i="16"/>
  <c r="H8" i="4"/>
  <c r="K8" i="4" s="1"/>
  <c r="S8" i="4" s="1"/>
  <c r="Q8" i="4"/>
  <c r="U8" i="4" s="1"/>
  <c r="B9" i="4"/>
  <c r="P8" i="4"/>
  <c r="A10" i="4"/>
  <c r="AB8" i="16" l="1"/>
  <c r="Y9" i="16"/>
  <c r="Z8" i="16"/>
  <c r="W9" i="16"/>
  <c r="L9" i="16"/>
  <c r="M9" i="16" s="1"/>
  <c r="J10" i="16" s="1"/>
  <c r="A19" i="16"/>
  <c r="O18" i="16"/>
  <c r="B18" i="16"/>
  <c r="H17" i="16"/>
  <c r="P17" i="16"/>
  <c r="H9" i="4"/>
  <c r="Z7" i="4"/>
  <c r="U4" i="4"/>
  <c r="E4" i="8" s="1"/>
  <c r="E6" i="8" s="1"/>
  <c r="B10" i="4"/>
  <c r="L8" i="4"/>
  <c r="M8" i="4" s="1"/>
  <c r="J9" i="4" s="1"/>
  <c r="P9" i="4"/>
  <c r="X8" i="4"/>
  <c r="A11" i="4"/>
  <c r="O10" i="4"/>
  <c r="AA9" i="16" l="1"/>
  <c r="AB9" i="16" s="1"/>
  <c r="Q10" i="16"/>
  <c r="R10" i="16"/>
  <c r="V10" i="16"/>
  <c r="K10" i="16"/>
  <c r="S10" i="16" s="1"/>
  <c r="O19" i="16"/>
  <c r="A20" i="16"/>
  <c r="P18" i="16"/>
  <c r="H18" i="16"/>
  <c r="B19" i="16"/>
  <c r="Q9" i="4"/>
  <c r="W9" i="4" s="1"/>
  <c r="K9" i="4"/>
  <c r="S9" i="4" s="1"/>
  <c r="V9" i="4"/>
  <c r="X4" i="4"/>
  <c r="G4" i="8" s="1"/>
  <c r="H10" i="4"/>
  <c r="P10" i="4"/>
  <c r="B11" i="4"/>
  <c r="AA8" i="4"/>
  <c r="R9" i="4"/>
  <c r="A12" i="4"/>
  <c r="O11" i="4"/>
  <c r="L10" i="16" l="1"/>
  <c r="M10" i="16" s="1"/>
  <c r="J11" i="16" s="1"/>
  <c r="R11" i="16" s="1"/>
  <c r="Y10" i="16"/>
  <c r="Z9" i="16"/>
  <c r="W10" i="16"/>
  <c r="P19" i="16"/>
  <c r="H19" i="16"/>
  <c r="B20" i="16"/>
  <c r="O20" i="16"/>
  <c r="A21" i="16"/>
  <c r="Z8" i="4"/>
  <c r="H11" i="4"/>
  <c r="AB8" i="4"/>
  <c r="B12" i="4"/>
  <c r="L9" i="4"/>
  <c r="M9" i="4" s="1"/>
  <c r="J10" i="4" s="1"/>
  <c r="K10" i="4" s="1"/>
  <c r="S10" i="4" s="1"/>
  <c r="Y9" i="4"/>
  <c r="P11" i="4"/>
  <c r="A13" i="4"/>
  <c r="O12" i="4"/>
  <c r="K11" i="16" l="1"/>
  <c r="S11" i="16" s="1"/>
  <c r="V11" i="16"/>
  <c r="Q11" i="16"/>
  <c r="Y11" i="16" s="1"/>
  <c r="AA10" i="16"/>
  <c r="AB10" i="16" s="1"/>
  <c r="L11" i="16"/>
  <c r="M11" i="16" s="1"/>
  <c r="J12" i="16" s="1"/>
  <c r="O21" i="16"/>
  <c r="A22" i="16"/>
  <c r="P20" i="16"/>
  <c r="H20" i="16"/>
  <c r="B21" i="16"/>
  <c r="Q10" i="4"/>
  <c r="Z9" i="4" s="1"/>
  <c r="V10" i="4"/>
  <c r="H12" i="4"/>
  <c r="B13" i="4"/>
  <c r="R10" i="4"/>
  <c r="AA9" i="4"/>
  <c r="P12" i="4"/>
  <c r="A14" i="4"/>
  <c r="O13" i="4"/>
  <c r="W11" i="16" l="1"/>
  <c r="Z10" i="16"/>
  <c r="Q12" i="16"/>
  <c r="V12" i="16"/>
  <c r="R12" i="16"/>
  <c r="K12" i="16"/>
  <c r="S12" i="16" s="1"/>
  <c r="A23" i="16"/>
  <c r="O22" i="16"/>
  <c r="B22" i="16"/>
  <c r="H21" i="16"/>
  <c r="P21" i="16"/>
  <c r="H13" i="4"/>
  <c r="AB9" i="4"/>
  <c r="W10" i="4"/>
  <c r="B14" i="4"/>
  <c r="L10" i="4"/>
  <c r="M10" i="4" s="1"/>
  <c r="J11" i="4" s="1"/>
  <c r="V11" i="4" s="1"/>
  <c r="Y10" i="4"/>
  <c r="P13" i="4"/>
  <c r="A15" i="4"/>
  <c r="O14" i="4"/>
  <c r="AA11" i="16" l="1"/>
  <c r="AB11" i="16" s="1"/>
  <c r="L12" i="16"/>
  <c r="M12" i="16" s="1"/>
  <c r="J13" i="16" s="1"/>
  <c r="Q13" i="16" s="1"/>
  <c r="W12" i="16"/>
  <c r="Y12" i="16"/>
  <c r="Z11" i="16"/>
  <c r="P22" i="16"/>
  <c r="H22" i="16"/>
  <c r="B23" i="16"/>
  <c r="O23" i="16"/>
  <c r="A24" i="16"/>
  <c r="H14" i="4"/>
  <c r="Q11" i="4"/>
  <c r="B15" i="4"/>
  <c r="R11" i="4"/>
  <c r="AA10" i="4"/>
  <c r="K11" i="4"/>
  <c r="S11" i="4" s="1"/>
  <c r="P14" i="4"/>
  <c r="A16" i="4"/>
  <c r="O15" i="4"/>
  <c r="AA12" i="16" l="1"/>
  <c r="AB12" i="16" s="1"/>
  <c r="K13" i="16"/>
  <c r="S13" i="16" s="1"/>
  <c r="V13" i="16"/>
  <c r="R13" i="16"/>
  <c r="Y13" i="16"/>
  <c r="Z12" i="16"/>
  <c r="W13" i="16"/>
  <c r="O24" i="16"/>
  <c r="A25" i="16"/>
  <c r="P23" i="16"/>
  <c r="H23" i="16"/>
  <c r="B24" i="16"/>
  <c r="Z10" i="4"/>
  <c r="H15" i="4"/>
  <c r="AB10" i="4"/>
  <c r="B16" i="4"/>
  <c r="W11" i="4"/>
  <c r="L11" i="4"/>
  <c r="M11" i="4" s="1"/>
  <c r="J12" i="4" s="1"/>
  <c r="V12" i="4" s="1"/>
  <c r="Y11" i="4"/>
  <c r="P15" i="4"/>
  <c r="A17" i="4"/>
  <c r="O16" i="4"/>
  <c r="L13" i="16" l="1"/>
  <c r="M13" i="16" s="1"/>
  <c r="J14" i="16" s="1"/>
  <c r="Q14" i="16" s="1"/>
  <c r="AA13" i="16"/>
  <c r="AB13" i="16" s="1"/>
  <c r="P24" i="16"/>
  <c r="H24" i="16"/>
  <c r="B25" i="16"/>
  <c r="O25" i="16"/>
  <c r="A26" i="16"/>
  <c r="H16" i="4"/>
  <c r="Q12" i="4"/>
  <c r="B17" i="4"/>
  <c r="AA11" i="4"/>
  <c r="R12" i="4"/>
  <c r="K12" i="4"/>
  <c r="S12" i="4" s="1"/>
  <c r="P16" i="4"/>
  <c r="A18" i="4"/>
  <c r="O17" i="4"/>
  <c r="R14" i="16" l="1"/>
  <c r="V14" i="16"/>
  <c r="K14" i="16"/>
  <c r="S14" i="16" s="1"/>
  <c r="Z13" i="16"/>
  <c r="W14" i="16"/>
  <c r="Y14" i="16"/>
  <c r="O26" i="16"/>
  <c r="A27" i="16"/>
  <c r="B26" i="16"/>
  <c r="H25" i="16"/>
  <c r="P25" i="16"/>
  <c r="Z11" i="4"/>
  <c r="H17" i="4"/>
  <c r="AB11" i="4"/>
  <c r="B18" i="4"/>
  <c r="W12" i="4"/>
  <c r="L12" i="4"/>
  <c r="M12" i="4" s="1"/>
  <c r="J13" i="4" s="1"/>
  <c r="Y12" i="4"/>
  <c r="P17" i="4"/>
  <c r="A19" i="4"/>
  <c r="O18" i="4"/>
  <c r="L14" i="16" l="1"/>
  <c r="M14" i="16" s="1"/>
  <c r="J15" i="16" s="1"/>
  <c r="Q15" i="16" s="1"/>
  <c r="AA14" i="16"/>
  <c r="AB14" i="16" s="1"/>
  <c r="O27" i="16"/>
  <c r="A28" i="16"/>
  <c r="P26" i="16"/>
  <c r="H26" i="16"/>
  <c r="B27" i="16"/>
  <c r="V13" i="4"/>
  <c r="R13" i="4"/>
  <c r="H18" i="4"/>
  <c r="Q13" i="4"/>
  <c r="Z12" i="4" s="1"/>
  <c r="B19" i="4"/>
  <c r="AA12" i="4"/>
  <c r="K13" i="4"/>
  <c r="S13" i="4" s="1"/>
  <c r="A20" i="4"/>
  <c r="O19" i="4"/>
  <c r="P18" i="4"/>
  <c r="R15" i="16" l="1"/>
  <c r="V15" i="16"/>
  <c r="K15" i="16"/>
  <c r="S15" i="16" s="1"/>
  <c r="Y15" i="16"/>
  <c r="Z14" i="16"/>
  <c r="W15" i="16"/>
  <c r="O28" i="16"/>
  <c r="A29" i="16"/>
  <c r="P27" i="16"/>
  <c r="H27" i="16"/>
  <c r="B28" i="16"/>
  <c r="H19" i="4"/>
  <c r="AB12" i="4"/>
  <c r="B20" i="4"/>
  <c r="W13" i="4"/>
  <c r="L13" i="4"/>
  <c r="M13" i="4" s="1"/>
  <c r="J14" i="4" s="1"/>
  <c r="V14" i="4" s="1"/>
  <c r="Y13" i="4"/>
  <c r="A21" i="4"/>
  <c r="O20" i="4"/>
  <c r="P19" i="4"/>
  <c r="L15" i="16" l="1"/>
  <c r="M15" i="16" s="1"/>
  <c r="J16" i="16" s="1"/>
  <c r="V16" i="16" s="1"/>
  <c r="AA15" i="16"/>
  <c r="AB15" i="16" s="1"/>
  <c r="A30" i="16"/>
  <c r="O29" i="16"/>
  <c r="B29" i="16"/>
  <c r="H28" i="16"/>
  <c r="P28" i="16"/>
  <c r="H20" i="4"/>
  <c r="Q14" i="4"/>
  <c r="Z13" i="4" s="1"/>
  <c r="B21" i="4"/>
  <c r="AA13" i="4"/>
  <c r="AB13" i="4" s="1"/>
  <c r="R14" i="4"/>
  <c r="K14" i="4"/>
  <c r="S14" i="4" s="1"/>
  <c r="P20" i="4"/>
  <c r="A22" i="4"/>
  <c r="O21" i="4"/>
  <c r="Q16" i="16" l="1"/>
  <c r="W16" i="16" s="1"/>
  <c r="K16" i="16"/>
  <c r="R16" i="16"/>
  <c r="P29" i="16"/>
  <c r="H29" i="16"/>
  <c r="B30" i="16"/>
  <c r="O30" i="16"/>
  <c r="A31" i="16"/>
  <c r="H21" i="4"/>
  <c r="L14" i="4"/>
  <c r="M14" i="4" s="1"/>
  <c r="J15" i="4" s="1"/>
  <c r="B22" i="4"/>
  <c r="W14" i="4"/>
  <c r="Y14" i="4"/>
  <c r="A23" i="4"/>
  <c r="O22" i="4"/>
  <c r="P21" i="4"/>
  <c r="Y16" i="16" l="1"/>
  <c r="Z15" i="16"/>
  <c r="S16" i="16"/>
  <c r="L16" i="16"/>
  <c r="M16" i="16" s="1"/>
  <c r="J17" i="16" s="1"/>
  <c r="P30" i="16"/>
  <c r="H30" i="16"/>
  <c r="B31" i="16"/>
  <c r="O31" i="16"/>
  <c r="A32" i="16"/>
  <c r="Q15" i="4"/>
  <c r="Z14" i="4" s="1"/>
  <c r="V15" i="4"/>
  <c r="H22" i="4"/>
  <c r="B23" i="4"/>
  <c r="AA14" i="4"/>
  <c r="AB14" i="4" s="1"/>
  <c r="R15" i="4"/>
  <c r="K15" i="4"/>
  <c r="S15" i="4" s="1"/>
  <c r="P22" i="4"/>
  <c r="A24" i="4"/>
  <c r="O23" i="4"/>
  <c r="AA16" i="16" l="1"/>
  <c r="AB16" i="16" s="1"/>
  <c r="R17" i="16"/>
  <c r="V17" i="16"/>
  <c r="Q17" i="16"/>
  <c r="K17" i="16"/>
  <c r="S17" i="16" s="1"/>
  <c r="O32" i="16"/>
  <c r="A33" i="16"/>
  <c r="P31" i="16"/>
  <c r="H31" i="16"/>
  <c r="B32" i="16"/>
  <c r="H23" i="4"/>
  <c r="L15" i="4"/>
  <c r="M15" i="4" s="1"/>
  <c r="J16" i="4" s="1"/>
  <c r="V16" i="4" s="1"/>
  <c r="B24" i="4"/>
  <c r="W15" i="4"/>
  <c r="Y15" i="4"/>
  <c r="A25" i="4"/>
  <c r="O24" i="4"/>
  <c r="P23" i="4"/>
  <c r="Z16" i="16" l="1"/>
  <c r="W17" i="16"/>
  <c r="Y17" i="16"/>
  <c r="L17" i="16"/>
  <c r="M17" i="16" s="1"/>
  <c r="J18" i="16" s="1"/>
  <c r="A34" i="16"/>
  <c r="O33" i="16"/>
  <c r="B33" i="16"/>
  <c r="M32" i="16"/>
  <c r="J33" i="16" s="1"/>
  <c r="H32" i="16"/>
  <c r="P32" i="16"/>
  <c r="H24" i="4"/>
  <c r="Q16" i="4"/>
  <c r="Z15" i="4" s="1"/>
  <c r="B25" i="4"/>
  <c r="AA15" i="4"/>
  <c r="AB15" i="4" s="1"/>
  <c r="K16" i="4"/>
  <c r="S16" i="4" s="1"/>
  <c r="R16" i="4"/>
  <c r="A26" i="4"/>
  <c r="O25" i="4"/>
  <c r="P24" i="4"/>
  <c r="AA17" i="16" l="1"/>
  <c r="AB17" i="16" s="1"/>
  <c r="K18" i="16"/>
  <c r="S18" i="16" s="1"/>
  <c r="R18" i="16"/>
  <c r="Q18" i="16"/>
  <c r="V18" i="16"/>
  <c r="R33" i="16"/>
  <c r="V33" i="16"/>
  <c r="O34" i="16"/>
  <c r="A35" i="16"/>
  <c r="P33" i="16"/>
  <c r="H33" i="16"/>
  <c r="K33" i="16" s="1"/>
  <c r="S33" i="16" s="1"/>
  <c r="Q33" i="16"/>
  <c r="B34" i="16"/>
  <c r="H25" i="4"/>
  <c r="B26" i="4"/>
  <c r="W16" i="4"/>
  <c r="L16" i="4"/>
  <c r="M16" i="4" s="1"/>
  <c r="J17" i="4" s="1"/>
  <c r="V17" i="4" s="1"/>
  <c r="Y16" i="4"/>
  <c r="A27" i="4"/>
  <c r="O26" i="4"/>
  <c r="P25" i="4"/>
  <c r="L18" i="16" l="1"/>
  <c r="M18" i="16" s="1"/>
  <c r="J19" i="16" s="1"/>
  <c r="K19" i="16" s="1"/>
  <c r="Y18" i="16"/>
  <c r="Z17" i="16"/>
  <c r="W18" i="16"/>
  <c r="Y33" i="16"/>
  <c r="Z32" i="16"/>
  <c r="W33" i="16"/>
  <c r="O35" i="16"/>
  <c r="A36" i="16"/>
  <c r="L33" i="16"/>
  <c r="M33" i="16" s="1"/>
  <c r="J34" i="16" s="1"/>
  <c r="P34" i="16"/>
  <c r="H34" i="16"/>
  <c r="B35" i="16"/>
  <c r="H26" i="4"/>
  <c r="Q17" i="4"/>
  <c r="Z16" i="4" s="1"/>
  <c r="B27" i="4"/>
  <c r="R17" i="4"/>
  <c r="K17" i="4"/>
  <c r="S17" i="4" s="1"/>
  <c r="AA16" i="4"/>
  <c r="AB16" i="4" s="1"/>
  <c r="P26" i="4"/>
  <c r="A28" i="4"/>
  <c r="O27" i="4"/>
  <c r="R19" i="16" l="1"/>
  <c r="Q19" i="16"/>
  <c r="Z18" i="16" s="1"/>
  <c r="S19" i="16"/>
  <c r="L19" i="16"/>
  <c r="M19" i="16" s="1"/>
  <c r="J20" i="16" s="1"/>
  <c r="K20" i="16" s="1"/>
  <c r="V19" i="16"/>
  <c r="AA18" i="16"/>
  <c r="AB18" i="16" s="1"/>
  <c r="Q34" i="16"/>
  <c r="AA33" i="16"/>
  <c r="K34" i="16"/>
  <c r="S34" i="16" s="1"/>
  <c r="V34" i="16"/>
  <c r="R34" i="16"/>
  <c r="P35" i="16"/>
  <c r="H35" i="16"/>
  <c r="B36" i="16"/>
  <c r="O36" i="16"/>
  <c r="A37" i="16"/>
  <c r="H27" i="4"/>
  <c r="B28" i="4"/>
  <c r="W17" i="4"/>
  <c r="L17" i="4"/>
  <c r="M17" i="4" s="1"/>
  <c r="J18" i="4" s="1"/>
  <c r="V18" i="4" s="1"/>
  <c r="Y17" i="4"/>
  <c r="P27" i="4"/>
  <c r="A29" i="4"/>
  <c r="O28" i="4"/>
  <c r="Y19" i="16" l="1"/>
  <c r="R20" i="16"/>
  <c r="W19" i="16"/>
  <c r="AA19" i="16" s="1"/>
  <c r="AB19" i="16" s="1"/>
  <c r="V20" i="16"/>
  <c r="Q20" i="16"/>
  <c r="W20" i="16" s="1"/>
  <c r="S20" i="16"/>
  <c r="L20" i="16"/>
  <c r="M20" i="16" s="1"/>
  <c r="J21" i="16" s="1"/>
  <c r="R21" i="16" s="1"/>
  <c r="L34" i="16"/>
  <c r="M34" i="16" s="1"/>
  <c r="J35" i="16" s="1"/>
  <c r="Q35" i="16" s="1"/>
  <c r="A38" i="16"/>
  <c r="O37" i="16"/>
  <c r="B37" i="16"/>
  <c r="H36" i="16"/>
  <c r="P36" i="16"/>
  <c r="W34" i="16"/>
  <c r="Y34" i="16"/>
  <c r="Z33" i="16"/>
  <c r="H28" i="4"/>
  <c r="Q18" i="4"/>
  <c r="B29" i="4"/>
  <c r="K18" i="4"/>
  <c r="S18" i="4" s="1"/>
  <c r="AA17" i="4"/>
  <c r="AB17" i="4" s="1"/>
  <c r="R18" i="4"/>
  <c r="A30" i="4"/>
  <c r="O29" i="4"/>
  <c r="P28" i="4"/>
  <c r="Z19" i="16" l="1"/>
  <c r="Y20" i="16"/>
  <c r="Q21" i="16"/>
  <c r="W21" i="16" s="1"/>
  <c r="V21" i="16"/>
  <c r="K21" i="16"/>
  <c r="S21" i="16" s="1"/>
  <c r="K35" i="16"/>
  <c r="S35" i="16" s="1"/>
  <c r="R35" i="16"/>
  <c r="V35" i="16"/>
  <c r="O38" i="16"/>
  <c r="A39" i="16"/>
  <c r="Y35" i="16"/>
  <c r="Z34" i="16"/>
  <c r="W35" i="16"/>
  <c r="AA34" i="16"/>
  <c r="AB34" i="16" s="1"/>
  <c r="P37" i="16"/>
  <c r="H37" i="16"/>
  <c r="B38" i="16"/>
  <c r="H29" i="4"/>
  <c r="Y18" i="4"/>
  <c r="Z17" i="4"/>
  <c r="B30" i="4"/>
  <c r="L18" i="4"/>
  <c r="M18" i="4" s="1"/>
  <c r="J19" i="4" s="1"/>
  <c r="V19" i="4" s="1"/>
  <c r="W18" i="4"/>
  <c r="P29" i="4"/>
  <c r="A31" i="4"/>
  <c r="A32" i="4" s="1"/>
  <c r="O30" i="4"/>
  <c r="AA20" i="16" l="1"/>
  <c r="AB20" i="16" s="1"/>
  <c r="Y21" i="16"/>
  <c r="L21" i="16"/>
  <c r="M21" i="16" s="1"/>
  <c r="J22" i="16" s="1"/>
  <c r="K22" i="16" s="1"/>
  <c r="Z20" i="16"/>
  <c r="L35" i="16"/>
  <c r="M35" i="16" s="1"/>
  <c r="J36" i="16" s="1"/>
  <c r="Q36" i="16" s="1"/>
  <c r="O39" i="16"/>
  <c r="A40" i="16"/>
  <c r="P38" i="16"/>
  <c r="H38" i="16"/>
  <c r="B39" i="16"/>
  <c r="AA35" i="16"/>
  <c r="AB35" i="16" s="1"/>
  <c r="O32" i="4"/>
  <c r="A33" i="4"/>
  <c r="H30" i="4"/>
  <c r="Q19" i="4"/>
  <c r="B31" i="4"/>
  <c r="AA18" i="4"/>
  <c r="AB18" i="4" s="1"/>
  <c r="K19" i="4"/>
  <c r="S19" i="4" s="1"/>
  <c r="R19" i="4"/>
  <c r="O31" i="4"/>
  <c r="P30" i="4"/>
  <c r="AA21" i="16" l="1"/>
  <c r="AB21" i="16" s="1"/>
  <c r="Q22" i="16"/>
  <c r="W22" i="16" s="1"/>
  <c r="V22" i="16"/>
  <c r="R22" i="16"/>
  <c r="K36" i="16"/>
  <c r="S36" i="16" s="1"/>
  <c r="V36" i="16"/>
  <c r="R36" i="16"/>
  <c r="S22" i="16"/>
  <c r="L22" i="16"/>
  <c r="M22" i="16" s="1"/>
  <c r="J23" i="16" s="1"/>
  <c r="Y36" i="16"/>
  <c r="Z35" i="16"/>
  <c r="W36" i="16"/>
  <c r="P39" i="16"/>
  <c r="H39" i="16"/>
  <c r="B40" i="16"/>
  <c r="O40" i="16"/>
  <c r="A41" i="16"/>
  <c r="O33" i="4"/>
  <c r="A34" i="4"/>
  <c r="H31" i="4"/>
  <c r="W19" i="4"/>
  <c r="Z18" i="4"/>
  <c r="B32" i="4"/>
  <c r="B33" i="4" s="1"/>
  <c r="L19" i="4"/>
  <c r="M19" i="4" s="1"/>
  <c r="J20" i="4" s="1"/>
  <c r="V20" i="4" s="1"/>
  <c r="Y19" i="4"/>
  <c r="P31" i="4"/>
  <c r="Y22" i="16" l="1"/>
  <c r="Z21" i="16"/>
  <c r="AA22" i="16" s="1"/>
  <c r="AB22" i="16" s="1"/>
  <c r="L36" i="16"/>
  <c r="M36" i="16" s="1"/>
  <c r="J37" i="16" s="1"/>
  <c r="Q37" i="16" s="1"/>
  <c r="R23" i="16"/>
  <c r="Q23" i="16"/>
  <c r="K23" i="16"/>
  <c r="V23" i="16"/>
  <c r="A42" i="16"/>
  <c r="O42" i="16" s="1"/>
  <c r="O41" i="16"/>
  <c r="B41" i="16"/>
  <c r="H40" i="16"/>
  <c r="P40" i="16"/>
  <c r="AA36" i="16"/>
  <c r="AB36" i="16" s="1"/>
  <c r="O34" i="4"/>
  <c r="A35" i="4"/>
  <c r="P33" i="4"/>
  <c r="B34" i="4"/>
  <c r="H33" i="4"/>
  <c r="H32" i="4"/>
  <c r="Q20" i="4"/>
  <c r="Z19" i="4" s="1"/>
  <c r="P32" i="4"/>
  <c r="R20" i="4"/>
  <c r="K20" i="4"/>
  <c r="S20" i="4" s="1"/>
  <c r="AA19" i="4"/>
  <c r="AB19" i="4" s="1"/>
  <c r="K37" i="16" l="1"/>
  <c r="S37" i="16" s="1"/>
  <c r="V37" i="16"/>
  <c r="R37" i="16"/>
  <c r="S23" i="16"/>
  <c r="L23" i="16"/>
  <c r="M23" i="16" s="1"/>
  <c r="J24" i="16" s="1"/>
  <c r="Z22" i="16"/>
  <c r="W23" i="16"/>
  <c r="Y23" i="16"/>
  <c r="Y37" i="16"/>
  <c r="Z36" i="16"/>
  <c r="W37" i="16"/>
  <c r="P41" i="16"/>
  <c r="H41" i="16"/>
  <c r="B42" i="16"/>
  <c r="B35" i="4"/>
  <c r="P34" i="4"/>
  <c r="H34" i="4"/>
  <c r="A36" i="4"/>
  <c r="O35" i="4"/>
  <c r="L20" i="4"/>
  <c r="M20" i="4" s="1"/>
  <c r="J21" i="4" s="1"/>
  <c r="V21" i="4" s="1"/>
  <c r="Y20" i="4"/>
  <c r="W20" i="4"/>
  <c r="L37" i="16" l="1"/>
  <c r="M37" i="16" s="1"/>
  <c r="J38" i="16" s="1"/>
  <c r="Q38" i="16" s="1"/>
  <c r="AA23" i="16"/>
  <c r="AB23" i="16" s="1"/>
  <c r="K24" i="16"/>
  <c r="S24" i="16" s="1"/>
  <c r="Q24" i="16"/>
  <c r="R24" i="16"/>
  <c r="V24" i="16"/>
  <c r="AA37" i="16"/>
  <c r="AB37" i="16" s="1"/>
  <c r="P42" i="16"/>
  <c r="H42" i="16"/>
  <c r="V38" i="16"/>
  <c r="K38" i="16"/>
  <c r="S38" i="16" s="1"/>
  <c r="A37" i="4"/>
  <c r="O36" i="4"/>
  <c r="B36" i="4"/>
  <c r="H35" i="4"/>
  <c r="P35" i="4"/>
  <c r="Q21" i="4"/>
  <c r="Z20" i="4" s="1"/>
  <c r="R21" i="4"/>
  <c r="K21" i="4"/>
  <c r="S21" i="4" s="1"/>
  <c r="AA20" i="4"/>
  <c r="AB20" i="4" s="1"/>
  <c r="R38" i="16" l="1"/>
  <c r="Y24" i="16"/>
  <c r="W24" i="16"/>
  <c r="Z23" i="16"/>
  <c r="L24" i="16"/>
  <c r="M24" i="16" s="1"/>
  <c r="J25" i="16" s="1"/>
  <c r="L38" i="16"/>
  <c r="M38" i="16" s="1"/>
  <c r="J39" i="16" s="1"/>
  <c r="W38" i="16"/>
  <c r="Y38" i="16"/>
  <c r="Z37" i="16"/>
  <c r="B37" i="4"/>
  <c r="P36" i="4"/>
  <c r="H36" i="4"/>
  <c r="O37" i="4"/>
  <c r="A38" i="4"/>
  <c r="L21" i="4"/>
  <c r="M21" i="4" s="1"/>
  <c r="J22" i="4" s="1"/>
  <c r="V22" i="4" s="1"/>
  <c r="W21" i="4"/>
  <c r="Y21" i="4"/>
  <c r="AA24" i="16" l="1"/>
  <c r="AB24" i="16" s="1"/>
  <c r="Q25" i="16"/>
  <c r="K25" i="16"/>
  <c r="S25" i="16" s="1"/>
  <c r="V25" i="16"/>
  <c r="R25" i="16"/>
  <c r="V39" i="16"/>
  <c r="Q39" i="16"/>
  <c r="W39" i="16" s="1"/>
  <c r="K39" i="16"/>
  <c r="S39" i="16" s="1"/>
  <c r="R39" i="16"/>
  <c r="AA38" i="16"/>
  <c r="AB38" i="16" s="1"/>
  <c r="O38" i="4"/>
  <c r="A39" i="4"/>
  <c r="P37" i="4"/>
  <c r="B38" i="4"/>
  <c r="H37" i="4"/>
  <c r="Q22" i="4"/>
  <c r="Z21" i="4" s="1"/>
  <c r="R22" i="4"/>
  <c r="K22" i="4"/>
  <c r="S22" i="4" s="1"/>
  <c r="AA21" i="4"/>
  <c r="AB21" i="4" s="1"/>
  <c r="L25" i="16" l="1"/>
  <c r="M25" i="16" s="1"/>
  <c r="J26" i="16" s="1"/>
  <c r="Y25" i="16"/>
  <c r="W25" i="16"/>
  <c r="Z24" i="16"/>
  <c r="Z38" i="16"/>
  <c r="Y39" i="16"/>
  <c r="L39" i="16"/>
  <c r="M39" i="16" s="1"/>
  <c r="J40" i="16" s="1"/>
  <c r="Q40" i="16" s="1"/>
  <c r="A40" i="4"/>
  <c r="O39" i="4"/>
  <c r="B39" i="4"/>
  <c r="H38" i="4"/>
  <c r="P38" i="4"/>
  <c r="W22" i="4"/>
  <c r="Y22" i="4"/>
  <c r="L22" i="4"/>
  <c r="M22" i="4" s="1"/>
  <c r="J23" i="4" s="1"/>
  <c r="V23" i="4" s="1"/>
  <c r="AA25" i="16" l="1"/>
  <c r="AB25" i="16" s="1"/>
  <c r="AA39" i="16"/>
  <c r="AB39" i="16" s="1"/>
  <c r="Q26" i="16"/>
  <c r="K26" i="16"/>
  <c r="S26" i="16" s="1"/>
  <c r="V26" i="16"/>
  <c r="R26" i="16"/>
  <c r="K40" i="16"/>
  <c r="S40" i="16" s="1"/>
  <c r="V40" i="16"/>
  <c r="R40" i="16"/>
  <c r="Y40" i="16"/>
  <c r="Z39" i="16"/>
  <c r="W40" i="16"/>
  <c r="P39" i="4"/>
  <c r="H39" i="4"/>
  <c r="B40" i="4"/>
  <c r="O40" i="4"/>
  <c r="A41" i="4"/>
  <c r="Q23" i="4"/>
  <c r="Z22" i="4" s="1"/>
  <c r="AA22" i="4"/>
  <c r="AB22" i="4" s="1"/>
  <c r="R23" i="4"/>
  <c r="K23" i="4"/>
  <c r="S23" i="4" s="1"/>
  <c r="L26" i="16" l="1"/>
  <c r="M26" i="16" s="1"/>
  <c r="J27" i="16" s="1"/>
  <c r="Q27" i="16" s="1"/>
  <c r="W26" i="16"/>
  <c r="Z25" i="16"/>
  <c r="Y26" i="16"/>
  <c r="L40" i="16"/>
  <c r="M40" i="16" s="1"/>
  <c r="J41" i="16" s="1"/>
  <c r="Q41" i="16" s="1"/>
  <c r="AA40" i="16"/>
  <c r="AB40" i="16" s="1"/>
  <c r="B41" i="4"/>
  <c r="P40" i="4"/>
  <c r="H40" i="4"/>
  <c r="O41" i="4"/>
  <c r="A42" i="4"/>
  <c r="O42" i="4" s="1"/>
  <c r="L23" i="4"/>
  <c r="M23" i="4" s="1"/>
  <c r="J24" i="4" s="1"/>
  <c r="V24" i="4" s="1"/>
  <c r="Y23" i="4"/>
  <c r="W23" i="4"/>
  <c r="K27" i="16" l="1"/>
  <c r="S27" i="16" s="1"/>
  <c r="R27" i="16"/>
  <c r="V27" i="16"/>
  <c r="AA26" i="16"/>
  <c r="AB26" i="16" s="1"/>
  <c r="R41" i="16"/>
  <c r="W27" i="16"/>
  <c r="Z26" i="16"/>
  <c r="Y27" i="16"/>
  <c r="L27" i="16"/>
  <c r="M27" i="16" s="1"/>
  <c r="J28" i="16" s="1"/>
  <c r="K41" i="16"/>
  <c r="S41" i="16" s="1"/>
  <c r="V41" i="16"/>
  <c r="Y41" i="16"/>
  <c r="Z40" i="16"/>
  <c r="W41" i="16"/>
  <c r="P41" i="4"/>
  <c r="H41" i="4"/>
  <c r="B42" i="4"/>
  <c r="Q24" i="4"/>
  <c r="Z23" i="4" s="1"/>
  <c r="AA23" i="4"/>
  <c r="AB23" i="4" s="1"/>
  <c r="K24" i="4"/>
  <c r="S24" i="4" s="1"/>
  <c r="R24" i="4"/>
  <c r="AA27" i="16" l="1"/>
  <c r="AB27" i="16" s="1"/>
  <c r="R28" i="16"/>
  <c r="Q28" i="16"/>
  <c r="V28" i="16"/>
  <c r="K28" i="16"/>
  <c r="S28" i="16" s="1"/>
  <c r="L41" i="16"/>
  <c r="M41" i="16" s="1"/>
  <c r="J42" i="16" s="1"/>
  <c r="Q42" i="16" s="1"/>
  <c r="AA41" i="16"/>
  <c r="AB41" i="16" s="1"/>
  <c r="H42" i="4"/>
  <c r="P42" i="4"/>
  <c r="L24" i="4"/>
  <c r="M24" i="4" s="1"/>
  <c r="J25" i="4" s="1"/>
  <c r="V25" i="4" s="1"/>
  <c r="Y24" i="4"/>
  <c r="W24" i="4"/>
  <c r="V42" i="16" l="1"/>
  <c r="K42" i="16"/>
  <c r="S42" i="16" s="1"/>
  <c r="R42" i="16"/>
  <c r="Y28" i="16"/>
  <c r="W28" i="16"/>
  <c r="Z27" i="16"/>
  <c r="L28" i="16"/>
  <c r="M28" i="16" s="1"/>
  <c r="J29" i="16" s="1"/>
  <c r="W42" i="16"/>
  <c r="Y42" i="16"/>
  <c r="Z41" i="16"/>
  <c r="L42" i="16"/>
  <c r="M42" i="16" s="1"/>
  <c r="Q25" i="4"/>
  <c r="Z24" i="4" s="1"/>
  <c r="AA24" i="4"/>
  <c r="AB24" i="4" s="1"/>
  <c r="K25" i="4"/>
  <c r="S25" i="4" s="1"/>
  <c r="R25" i="4"/>
  <c r="AA28" i="16" l="1"/>
  <c r="AB28" i="16" s="1"/>
  <c r="K29" i="16"/>
  <c r="S29" i="16" s="1"/>
  <c r="V29" i="16"/>
  <c r="R29" i="16"/>
  <c r="Q29" i="16"/>
  <c r="AA42" i="16"/>
  <c r="Y25" i="4"/>
  <c r="W25" i="4"/>
  <c r="L25" i="4"/>
  <c r="M25" i="4" s="1"/>
  <c r="J26" i="4" s="1"/>
  <c r="V26" i="4" s="1"/>
  <c r="L29" i="16" l="1"/>
  <c r="M29" i="16" s="1"/>
  <c r="J30" i="16" s="1"/>
  <c r="Z28" i="16"/>
  <c r="W29" i="16"/>
  <c r="Y29" i="16"/>
  <c r="AB42" i="16"/>
  <c r="Q26" i="4"/>
  <c r="Z25" i="4" s="1"/>
  <c r="AA25" i="4"/>
  <c r="AB25" i="4" s="1"/>
  <c r="K26" i="4"/>
  <c r="S26" i="4" s="1"/>
  <c r="R26" i="4"/>
  <c r="AA29" i="16" l="1"/>
  <c r="AB29" i="16" s="1"/>
  <c r="R30" i="16"/>
  <c r="K30" i="16"/>
  <c r="S30" i="16" s="1"/>
  <c r="Q30" i="16"/>
  <c r="V30" i="16"/>
  <c r="Y26" i="4"/>
  <c r="L26" i="4"/>
  <c r="M26" i="4" s="1"/>
  <c r="J27" i="4" s="1"/>
  <c r="V27" i="4" s="1"/>
  <c r="W26" i="4"/>
  <c r="L30" i="16" l="1"/>
  <c r="M30" i="16" s="1"/>
  <c r="J31" i="16" s="1"/>
  <c r="R31" i="16" s="1"/>
  <c r="Z29" i="16"/>
  <c r="W30" i="16"/>
  <c r="Y30" i="16"/>
  <c r="Q27" i="4"/>
  <c r="Z26" i="4" s="1"/>
  <c r="AA26" i="4"/>
  <c r="AB26" i="4" s="1"/>
  <c r="K27" i="4"/>
  <c r="S27" i="4" s="1"/>
  <c r="R27" i="4"/>
  <c r="Q31" i="16" l="1"/>
  <c r="Z30" i="16" s="1"/>
  <c r="K31" i="16"/>
  <c r="S31" i="16" s="1"/>
  <c r="V31" i="16"/>
  <c r="AA30" i="16"/>
  <c r="AB30" i="16" s="1"/>
  <c r="L27" i="4"/>
  <c r="M27" i="4" s="1"/>
  <c r="J28" i="4" s="1"/>
  <c r="V28" i="4" s="1"/>
  <c r="Y27" i="4"/>
  <c r="W27" i="4"/>
  <c r="Y31" i="16" l="1"/>
  <c r="W31" i="16"/>
  <c r="L31" i="16"/>
  <c r="M31" i="16" s="1"/>
  <c r="J32" i="16" s="1"/>
  <c r="V32" i="16" s="1"/>
  <c r="V4" i="16" s="1"/>
  <c r="Q28" i="4"/>
  <c r="Z27" i="4" s="1"/>
  <c r="K28" i="4"/>
  <c r="S28" i="4" s="1"/>
  <c r="R28" i="4"/>
  <c r="AA27" i="4"/>
  <c r="AB27" i="4" s="1"/>
  <c r="AA31" i="16" l="1"/>
  <c r="AB31" i="16" s="1"/>
  <c r="K32" i="16"/>
  <c r="S32" i="16" s="1"/>
  <c r="S4" i="16" s="1"/>
  <c r="D5" i="8" s="1"/>
  <c r="R32" i="16"/>
  <c r="R4" i="16" s="1"/>
  <c r="C5" i="8" s="1"/>
  <c r="Q32" i="16"/>
  <c r="Y32" i="16" s="1"/>
  <c r="Y4" i="16" s="1"/>
  <c r="H5" i="8" s="1"/>
  <c r="L28" i="4"/>
  <c r="M28" i="4" s="1"/>
  <c r="J29" i="4" s="1"/>
  <c r="V29" i="4" s="1"/>
  <c r="W28" i="4"/>
  <c r="Y28" i="4"/>
  <c r="C14" i="8" l="1"/>
  <c r="Q4" i="16"/>
  <c r="L32" i="16"/>
  <c r="W32" i="16"/>
  <c r="W4" i="16" s="1"/>
  <c r="F5" i="8" s="1"/>
  <c r="Z31" i="16"/>
  <c r="AB33" i="16" s="1"/>
  <c r="Q29" i="4"/>
  <c r="Z28" i="4" s="1"/>
  <c r="K29" i="4"/>
  <c r="S29" i="4" s="1"/>
  <c r="R29" i="4"/>
  <c r="AA28" i="4"/>
  <c r="AB28" i="4" s="1"/>
  <c r="AA32" i="16" l="1"/>
  <c r="AB32" i="16" s="1"/>
  <c r="Z4" i="16"/>
  <c r="I5" i="8" s="1"/>
  <c r="W29" i="4"/>
  <c r="L29" i="4"/>
  <c r="M29" i="4" s="1"/>
  <c r="J30" i="4" s="1"/>
  <c r="V30" i="4" s="1"/>
  <c r="Y29" i="4"/>
  <c r="AA4" i="16" l="1"/>
  <c r="J5" i="8" s="1"/>
  <c r="AB2" i="16"/>
  <c r="L5" i="8" s="1"/>
  <c r="AB4" i="16"/>
  <c r="K5" i="8" s="1"/>
  <c r="Q30" i="4"/>
  <c r="Z29" i="4" s="1"/>
  <c r="AA29" i="4"/>
  <c r="AB29" i="4" s="1"/>
  <c r="K30" i="4"/>
  <c r="S30" i="4" s="1"/>
  <c r="R30" i="4"/>
  <c r="L30" i="4" l="1"/>
  <c r="M30" i="4" s="1"/>
  <c r="J31" i="4" s="1"/>
  <c r="V31" i="4" s="1"/>
  <c r="Y30" i="4"/>
  <c r="W30" i="4"/>
  <c r="Q31" i="4" l="1"/>
  <c r="Z30" i="4" s="1"/>
  <c r="AA30" i="4"/>
  <c r="AB30" i="4" s="1"/>
  <c r="R31" i="4"/>
  <c r="K31" i="4"/>
  <c r="S31" i="4" s="1"/>
  <c r="W31" i="4" l="1"/>
  <c r="L31" i="4"/>
  <c r="M31" i="4" s="1"/>
  <c r="J32" i="4" s="1"/>
  <c r="Y31" i="4"/>
  <c r="Q32" i="4" l="1"/>
  <c r="V32" i="4"/>
  <c r="AA31" i="4"/>
  <c r="AB31" i="4" s="1"/>
  <c r="R32" i="4"/>
  <c r="K32" i="4"/>
  <c r="S32" i="4" s="1"/>
  <c r="Z31" i="4" l="1"/>
  <c r="W32" i="4"/>
  <c r="L32" i="4"/>
  <c r="M32" i="4" s="1"/>
  <c r="J33" i="4" s="1"/>
  <c r="V33" i="4" s="1"/>
  <c r="Y32" i="4"/>
  <c r="R33" i="4" l="1"/>
  <c r="Q33" i="4"/>
  <c r="K33" i="4"/>
  <c r="S33" i="4" s="1"/>
  <c r="AA32" i="4"/>
  <c r="L33" i="4" l="1"/>
  <c r="M33" i="4" s="1"/>
  <c r="J34" i="4" s="1"/>
  <c r="V34" i="4" s="1"/>
  <c r="W33" i="4"/>
  <c r="Y33" i="4"/>
  <c r="Z32" i="4"/>
  <c r="AB32" i="4"/>
  <c r="K34" i="4" l="1"/>
  <c r="S34" i="4" s="1"/>
  <c r="Q34" i="4"/>
  <c r="Y34" i="4" s="1"/>
  <c r="R34" i="4"/>
  <c r="AA33" i="4"/>
  <c r="AB33" i="4" s="1"/>
  <c r="L34" i="4" l="1"/>
  <c r="M34" i="4" s="1"/>
  <c r="J35" i="4" s="1"/>
  <c r="V35" i="4" s="1"/>
  <c r="Z33" i="4"/>
  <c r="W34" i="4"/>
  <c r="K35" i="4" l="1"/>
  <c r="S35" i="4" s="1"/>
  <c r="R35" i="4"/>
  <c r="Q35" i="4"/>
  <c r="Z34" i="4" s="1"/>
  <c r="AA34" i="4"/>
  <c r="AB34" i="4" s="1"/>
  <c r="L35" i="4"/>
  <c r="M35" i="4" s="1"/>
  <c r="J36" i="4" s="1"/>
  <c r="V36" i="4" s="1"/>
  <c r="Y35" i="4" l="1"/>
  <c r="W35" i="4"/>
  <c r="R36" i="4"/>
  <c r="Q36" i="4"/>
  <c r="K36" i="4"/>
  <c r="S36" i="4" s="1"/>
  <c r="AA35" i="4" l="1"/>
  <c r="AB35" i="4" s="1"/>
  <c r="W36" i="4"/>
  <c r="Z35" i="4"/>
  <c r="Y36" i="4"/>
  <c r="L36" i="4"/>
  <c r="M36" i="4" s="1"/>
  <c r="J37" i="4" s="1"/>
  <c r="V37" i="4" s="1"/>
  <c r="AA36" i="4" l="1"/>
  <c r="AB36" i="4" s="1"/>
  <c r="R37" i="4"/>
  <c r="Q37" i="4"/>
  <c r="K37" i="4"/>
  <c r="S37" i="4" s="1"/>
  <c r="L37" i="4" l="1"/>
  <c r="M37" i="4" s="1"/>
  <c r="J38" i="4" s="1"/>
  <c r="V38" i="4" s="1"/>
  <c r="W37" i="4"/>
  <c r="Y37" i="4"/>
  <c r="Z36" i="4"/>
  <c r="AA37" i="4" l="1"/>
  <c r="AB37" i="4" s="1"/>
  <c r="R38" i="4"/>
  <c r="Q38" i="4"/>
  <c r="K38" i="4"/>
  <c r="S38" i="4" s="1"/>
  <c r="L38" i="4" l="1"/>
  <c r="M38" i="4" s="1"/>
  <c r="J39" i="4" s="1"/>
  <c r="V39" i="4" s="1"/>
  <c r="Y38" i="4"/>
  <c r="Z37" i="4"/>
  <c r="W38" i="4"/>
  <c r="AA38" i="4" l="1"/>
  <c r="AB38" i="4" s="1"/>
  <c r="R39" i="4"/>
  <c r="K39" i="4"/>
  <c r="S39" i="4" s="1"/>
  <c r="Q39" i="4"/>
  <c r="Y39" i="4" l="1"/>
  <c r="Z38" i="4"/>
  <c r="W39" i="4"/>
  <c r="L39" i="4"/>
  <c r="M39" i="4" s="1"/>
  <c r="J40" i="4" s="1"/>
  <c r="V40" i="4" s="1"/>
  <c r="AA39" i="4" l="1"/>
  <c r="AB39" i="4" s="1"/>
  <c r="R40" i="4"/>
  <c r="Q40" i="4"/>
  <c r="K40" i="4"/>
  <c r="S40" i="4" s="1"/>
  <c r="W40" i="4" l="1"/>
  <c r="Y40" i="4"/>
  <c r="Z39" i="4"/>
  <c r="L40" i="4"/>
  <c r="M40" i="4" s="1"/>
  <c r="J41" i="4" s="1"/>
  <c r="V41" i="4" s="1"/>
  <c r="AA40" i="4" l="1"/>
  <c r="AB40" i="4" s="1"/>
  <c r="R41" i="4"/>
  <c r="Q41" i="4"/>
  <c r="K41" i="4"/>
  <c r="S41" i="4" s="1"/>
  <c r="L41" i="4" l="1"/>
  <c r="M41" i="4" s="1"/>
  <c r="J42" i="4" s="1"/>
  <c r="V42" i="4" s="1"/>
  <c r="W41" i="4"/>
  <c r="Y41" i="4"/>
  <c r="Z40" i="4"/>
  <c r="AA41" i="4" l="1"/>
  <c r="AB41" i="4" s="1"/>
  <c r="R42" i="4"/>
  <c r="R4" i="4" s="1"/>
  <c r="C4" i="8" s="1"/>
  <c r="V4" i="4"/>
  <c r="K42" i="4"/>
  <c r="Q42" i="4"/>
  <c r="C13" i="8" l="1"/>
  <c r="C15" i="8" s="1"/>
  <c r="C6" i="8"/>
  <c r="S42" i="4"/>
  <c r="S4" i="4" s="1"/>
  <c r="D4" i="8" s="1"/>
  <c r="D6" i="8" s="1"/>
  <c r="Z41" i="4"/>
  <c r="Z4" i="4" s="1"/>
  <c r="I4" i="8" s="1"/>
  <c r="Q4" i="4"/>
  <c r="L42" i="4"/>
  <c r="M42" i="4" s="1"/>
  <c r="Y42" i="4"/>
  <c r="Y4" i="4" s="1"/>
  <c r="H4" i="8" s="1"/>
  <c r="W42" i="4"/>
  <c r="W4" i="4" s="1"/>
  <c r="F4" i="8" s="1"/>
  <c r="F6" i="8" s="1"/>
  <c r="B6" i="8" l="1"/>
  <c r="AA42" i="4"/>
  <c r="AB42" i="4" l="1"/>
  <c r="AA4" i="4"/>
  <c r="J4" i="8" s="1"/>
  <c r="AB4" i="4" l="1"/>
  <c r="K4" i="8" s="1"/>
  <c r="AB2" i="4"/>
  <c r="L4" i="8" s="1"/>
  <c r="L6" i="8" s="1"/>
</calcChain>
</file>

<file path=xl/sharedStrings.xml><?xml version="1.0" encoding="utf-8"?>
<sst xmlns="http://schemas.openxmlformats.org/spreadsheetml/2006/main" count="217" uniqueCount="132">
  <si>
    <t>Model point</t>
  </si>
  <si>
    <t>Expenses</t>
  </si>
  <si>
    <t>Acquistion</t>
  </si>
  <si>
    <t>Renewal</t>
  </si>
  <si>
    <r>
      <t xml:space="preserve">  </t>
    </r>
    <r>
      <rPr>
        <sz val="11"/>
        <color theme="1"/>
        <rFont val="Calibri"/>
        <family val="2"/>
        <scheme val="minor"/>
      </rPr>
      <t>$ per policy</t>
    </r>
  </si>
  <si>
    <t xml:space="preserve">  % premium</t>
  </si>
  <si>
    <t xml:space="preserve">  $ per policy</t>
  </si>
  <si>
    <t>Commission</t>
  </si>
  <si>
    <t xml:space="preserve">  Upfront commission</t>
  </si>
  <si>
    <t xml:space="preserve">  Renewal commission</t>
  </si>
  <si>
    <t>Decrement</t>
  </si>
  <si>
    <t xml:space="preserve">      Year 1</t>
  </si>
  <si>
    <t xml:space="preserve">      Year 2</t>
  </si>
  <si>
    <t xml:space="preserve">      Year 3+</t>
  </si>
  <si>
    <t>Interest</t>
  </si>
  <si>
    <t>Lapses</t>
  </si>
  <si>
    <t>Reserves</t>
  </si>
  <si>
    <t>Males</t>
  </si>
  <si>
    <t>Females</t>
  </si>
  <si>
    <t>Nonsmoker</t>
  </si>
  <si>
    <t>Smoker</t>
  </si>
  <si>
    <t>Age</t>
  </si>
  <si>
    <t>Premium</t>
  </si>
  <si>
    <t>Mortality rates - death only</t>
  </si>
  <si>
    <t>Premium Rates per $1000</t>
  </si>
  <si>
    <t>Year</t>
  </si>
  <si>
    <t xml:space="preserve">  Age</t>
  </si>
  <si>
    <t xml:space="preserve">  Sex</t>
  </si>
  <si>
    <t>M</t>
  </si>
  <si>
    <t xml:space="preserve">  Smoker</t>
  </si>
  <si>
    <t>NS</t>
  </si>
  <si>
    <t>Sum Insured</t>
  </si>
  <si>
    <t>base qx</t>
  </si>
  <si>
    <t>Mult</t>
  </si>
  <si>
    <t>Eff qx</t>
  </si>
  <si>
    <t>wx</t>
  </si>
  <si>
    <t>lx</t>
  </si>
  <si>
    <t>lx+1</t>
  </si>
  <si>
    <t>Decrement table</t>
  </si>
  <si>
    <t>dx</t>
  </si>
  <si>
    <t xml:space="preserve">Premium
boy </t>
  </si>
  <si>
    <t>Claims
eoy</t>
  </si>
  <si>
    <t>Ren %
boy</t>
  </si>
  <si>
    <t>Ren $
boy</t>
  </si>
  <si>
    <t>Upfront
boy</t>
  </si>
  <si>
    <t>Renewal
boy</t>
  </si>
  <si>
    <t>Policy Fee</t>
  </si>
  <si>
    <t>Policy Fee
boy</t>
  </si>
  <si>
    <t>Interest
eoy</t>
  </si>
  <si>
    <t>PV</t>
  </si>
  <si>
    <t>IRR</t>
  </si>
  <si>
    <t>Reserves
eoy</t>
  </si>
  <si>
    <t>Transfer 
Value</t>
  </si>
  <si>
    <t>Acq $
boy</t>
  </si>
  <si>
    <t>Acq %
boy</t>
  </si>
  <si>
    <t>Expense inflation</t>
  </si>
  <si>
    <t>Claims</t>
  </si>
  <si>
    <t>Present Values</t>
  </si>
  <si>
    <t>Pol Fee</t>
  </si>
  <si>
    <t>Tfr Value</t>
  </si>
  <si>
    <t>Investment return</t>
  </si>
  <si>
    <t>Risk discount rate</t>
  </si>
  <si>
    <t>Comm Upfront</t>
  </si>
  <si>
    <t>Comm Renewal</t>
  </si>
  <si>
    <t>Model inputs</t>
  </si>
  <si>
    <t>IA04-08</t>
  </si>
  <si>
    <t>Medical Loadings</t>
  </si>
  <si>
    <t>Premiums</t>
  </si>
  <si>
    <t>Loss ratio</t>
  </si>
  <si>
    <t>Medical exam</t>
  </si>
  <si>
    <t>Blood tests</t>
  </si>
  <si>
    <t>Total</t>
  </si>
  <si>
    <t>Acquisition $ per policy</t>
  </si>
  <si>
    <t>Estimated health loading for premiums</t>
  </si>
  <si>
    <t xml:space="preserve">Discretionary </t>
  </si>
  <si>
    <t>Loaded</t>
  </si>
  <si>
    <t>Average health loading</t>
  </si>
  <si>
    <t xml:space="preserve">Est </t>
  </si>
  <si>
    <t>Estimated health loading for claims</t>
  </si>
  <si>
    <t>&lt; 500</t>
  </si>
  <si>
    <t>501 to 750</t>
  </si>
  <si>
    <t>751K to 1,000</t>
  </si>
  <si>
    <t xml:space="preserve"> 1,001 to 1,500</t>
  </si>
  <si>
    <t>≥1,501</t>
  </si>
  <si>
    <t>Current</t>
  </si>
  <si>
    <t>Proposed</t>
  </si>
  <si>
    <t>% Premium</t>
  </si>
  <si>
    <t>% Lives</t>
  </si>
  <si>
    <t>Sum Insured band '000</t>
  </si>
  <si>
    <t>Sales uplift</t>
  </si>
  <si>
    <t>Declines</t>
  </si>
  <si>
    <t>M40NS</t>
  </si>
  <si>
    <t>Completion rate</t>
  </si>
  <si>
    <t>% of Business (lives)</t>
  </si>
  <si>
    <t>Number of applications</t>
  </si>
  <si>
    <t>Discretionary medical tests</t>
  </si>
  <si>
    <t>Total Cost</t>
  </si>
  <si>
    <t>Medical exams</t>
  </si>
  <si>
    <t>Cost medical tests</t>
  </si>
  <si>
    <t>Bloods</t>
  </si>
  <si>
    <t>Number completed applications</t>
  </si>
  <si>
    <t>Cost per completed application</t>
  </si>
  <si>
    <t>Fixed overheads</t>
  </si>
  <si>
    <t>Cost per policy</t>
  </si>
  <si>
    <t>No policies</t>
  </si>
  <si>
    <t>Underwriting</t>
  </si>
  <si>
    <t>Unit costs</t>
  </si>
  <si>
    <t>Acquistion unit costs $ per policy</t>
  </si>
  <si>
    <t>Health Loading</t>
  </si>
  <si>
    <t>751K+</t>
  </si>
  <si>
    <t>1001+</t>
  </si>
  <si>
    <t>No medical screening</t>
  </si>
  <si>
    <t>Medical screening</t>
  </si>
  <si>
    <t>Check current health loading</t>
  </si>
  <si>
    <t>Health loading</t>
  </si>
  <si>
    <t xml:space="preserve">     No medical screening</t>
  </si>
  <si>
    <t xml:space="preserve">     Medical screening</t>
  </si>
  <si>
    <t xml:space="preserve">     Declines</t>
  </si>
  <si>
    <t xml:space="preserve">     Discretionary</t>
  </si>
  <si>
    <t xml:space="preserve">     Anti selection</t>
  </si>
  <si>
    <t>Standard</t>
  </si>
  <si>
    <t>300+ loading for declines in provided in the question</t>
  </si>
  <si>
    <t>Allows for anti selection. Expect students to come up with a plausible scenario that results in an assumption that is greater than +75</t>
  </si>
  <si>
    <t xml:space="preserve">These assumptions are not provided the question. Expect students to develop a plausible scenario for anti selection.  </t>
  </si>
  <si>
    <t>Difference</t>
  </si>
  <si>
    <t>Portfolio</t>
  </si>
  <si>
    <t>Current Sales</t>
  </si>
  <si>
    <t>Proposed Sales</t>
  </si>
  <si>
    <t>Assumes model point is representative of portfolio and sales uplift applies across portfolio. This is a simplification.</t>
  </si>
  <si>
    <t>Acq Exp</t>
  </si>
  <si>
    <t>Ren Exp</t>
  </si>
  <si>
    <t>Premium 
(incl policy fee)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</si>
</sst>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&quot;$&quot;#,##0_);[Red]\(&quot;$&quot;#,##0\)"/>
    <numFmt numFmtId="165" formatCode="_(* #,##0.00_);_(* \(#,##0.00\);_(* &quot;-&quot;??_);_(@_)"/>
    <numFmt numFmtId="166" formatCode="0.00000"/>
    <numFmt numFmtId="167" formatCode="#,##0\ ;\(#,##0\)"/>
    <numFmt numFmtId="168" formatCode="&quot;$&quot;#,##0.00_-;\-&quot;$&quot;#,##0.00_-;_-&quot;$&quot;* &quot;-&quot;??_-;_-@_-"/>
    <numFmt numFmtId="169" formatCode="0.0%"/>
    <numFmt numFmtId="170" formatCode="&quot;$&quot;#,##0"/>
    <numFmt numFmtId="171" formatCode="_(* #,##0_);_(* \(#,##0\);_(* &quot;-&quot;??_);_(@_)"/>
    <numFmt numFmtId="172" formatCode="0.0000"/>
    <numFmt numFmtId="173" formatCode="&quot;$&quot;#,##0.00"/>
    <numFmt numFmtId="174" formatCode="0.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5F5F5F"/>
      </left>
      <right/>
      <top/>
      <bottom/>
      <diagonal/>
    </border>
    <border>
      <left/>
      <right style="thin">
        <color rgb="FF5F5F5F"/>
      </right>
      <top/>
      <bottom/>
      <diagonal/>
    </border>
    <border>
      <left style="thin">
        <color rgb="FF5F5F5F"/>
      </left>
      <right style="thin">
        <color rgb="FF5F5F5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F5F5F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4" xfId="1" applyFont="1" applyBorder="1" applyAlignment="1">
      <alignment horizontal="center"/>
    </xf>
    <xf numFmtId="9" fontId="2" fillId="0" borderId="4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6" fontId="1" fillId="0" borderId="9" xfId="1" applyNumberFormat="1" applyFont="1" applyBorder="1" applyAlignment="1">
      <alignment horizontal="center"/>
    </xf>
    <xf numFmtId="166" fontId="1" fillId="0" borderId="8" xfId="1" applyNumberFormat="1" applyFon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5" fillId="0" borderId="0" xfId="2" applyFont="1"/>
    <xf numFmtId="0" fontId="2" fillId="0" borderId="3" xfId="1" applyFont="1" applyBorder="1" applyAlignment="1">
      <alignment horizontal="left"/>
    </xf>
    <xf numFmtId="167" fontId="7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6" fillId="0" borderId="11" xfId="2" quotePrefix="1" applyBorder="1" applyAlignment="1">
      <alignment horizontal="center"/>
    </xf>
    <xf numFmtId="0" fontId="6" fillId="0" borderId="11" xfId="2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2" fontId="0" fillId="0" borderId="0" xfId="0" applyNumberFormat="1"/>
    <xf numFmtId="9" fontId="0" fillId="0" borderId="11" xfId="0" applyNumberForma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 wrapText="1"/>
    </xf>
    <xf numFmtId="3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9" fillId="0" borderId="0" xfId="0" applyFont="1"/>
    <xf numFmtId="0" fontId="10" fillId="0" borderId="11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 wrapText="1"/>
    </xf>
    <xf numFmtId="9" fontId="9" fillId="4" borderId="11" xfId="6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/>
    </xf>
    <xf numFmtId="9" fontId="2" fillId="3" borderId="15" xfId="0" applyNumberFormat="1" applyFont="1" applyFill="1" applyBorder="1"/>
    <xf numFmtId="3" fontId="2" fillId="0" borderId="1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1" xfId="0" applyFont="1" applyBorder="1"/>
    <xf numFmtId="0" fontId="0" fillId="0" borderId="0" xfId="0" applyAlignment="1">
      <alignment wrapText="1"/>
    </xf>
    <xf numFmtId="1" fontId="9" fillId="0" borderId="1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167" fontId="7" fillId="0" borderId="0" xfId="3" applyFont="1" applyAlignment="1">
      <alignment horizontal="left"/>
    </xf>
    <xf numFmtId="0" fontId="11" fillId="0" borderId="0" xfId="2" applyFont="1" applyAlignment="1">
      <alignment horizontal="left"/>
    </xf>
    <xf numFmtId="0" fontId="5" fillId="0" borderId="0" xfId="2" applyFont="1" applyBorder="1"/>
    <xf numFmtId="0" fontId="2" fillId="0" borderId="0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1" fillId="0" borderId="2" xfId="0" applyNumberFormat="1" applyFont="1" applyFill="1" applyBorder="1" applyAlignment="1">
      <alignment horizontal="center"/>
    </xf>
    <xf numFmtId="0" fontId="5" fillId="0" borderId="1" xfId="2" applyFont="1" applyBorder="1"/>
    <xf numFmtId="0" fontId="1" fillId="0" borderId="1" xfId="0" applyFont="1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9" fontId="0" fillId="0" borderId="21" xfId="0" applyNumberForma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 wrapText="1"/>
    </xf>
    <xf numFmtId="0" fontId="10" fillId="0" borderId="11" xfId="0" applyFont="1" applyBorder="1"/>
    <xf numFmtId="171" fontId="2" fillId="2" borderId="13" xfId="7" applyNumberFormat="1" applyFont="1" applyFill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2" fillId="3" borderId="11" xfId="0" applyFont="1" applyFill="1" applyBorder="1"/>
    <xf numFmtId="166" fontId="1" fillId="0" borderId="22" xfId="1" applyNumberFormat="1" applyFont="1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0" fontId="0" fillId="3" borderId="0" xfId="0" applyFont="1" applyFill="1" applyBorder="1"/>
    <xf numFmtId="164" fontId="0" fillId="3" borderId="0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9" fontId="0" fillId="0" borderId="0" xfId="0" applyNumberFormat="1"/>
    <xf numFmtId="170" fontId="0" fillId="0" borderId="0" xfId="0" applyNumberFormat="1" applyAlignment="1">
      <alignment horizontal="center"/>
    </xf>
    <xf numFmtId="173" fontId="0" fillId="0" borderId="0" xfId="0" applyNumberForma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70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70" fontId="2" fillId="3" borderId="23" xfId="0" applyNumberFormat="1" applyFont="1" applyFill="1" applyBorder="1" applyAlignment="1">
      <alignment horizontal="center"/>
    </xf>
    <xf numFmtId="170" fontId="0" fillId="0" borderId="0" xfId="0" applyNumberFormat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/>
    <xf numFmtId="9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9" fontId="2" fillId="3" borderId="1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74" fontId="0" fillId="0" borderId="0" xfId="0" applyNumberFormat="1"/>
    <xf numFmtId="0" fontId="0" fillId="0" borderId="0" xfId="0" quotePrefix="1"/>
    <xf numFmtId="9" fontId="9" fillId="0" borderId="0" xfId="0" applyNumberFormat="1" applyFont="1"/>
    <xf numFmtId="171" fontId="9" fillId="0" borderId="11" xfId="7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43" fontId="9" fillId="0" borderId="0" xfId="0" applyNumberFormat="1" applyFont="1"/>
    <xf numFmtId="0" fontId="2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8">
    <cellStyle name="Comma" xfId="7" builtinId="3"/>
    <cellStyle name="Comma 2" xfId="3"/>
    <cellStyle name="Currency 2" xfId="4"/>
    <cellStyle name="Normal" xfId="0" builtinId="0"/>
    <cellStyle name="Normal 2" xfId="1"/>
    <cellStyle name="Normal 3" xfId="2"/>
    <cellStyle name="Percent" xfId="6" builtinId="5"/>
    <cellStyle name="Percent 2" xf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showGridLines="0" workbookViewId="0">
      <selection activeCell="B30" sqref="B30"/>
    </sheetView>
  </sheetViews>
  <sheetFormatPr defaultColWidth="14.28515625" defaultRowHeight="15" x14ac:dyDescent="0.25"/>
  <cols>
    <col min="1" max="3" width="28.85546875" customWidth="1"/>
  </cols>
  <sheetData>
    <row r="2" spans="1:3" thickBot="1" x14ac:dyDescent="0.35"/>
    <row r="3" spans="1:3" thickBot="1" x14ac:dyDescent="0.35">
      <c r="A3" s="77" t="s">
        <v>88</v>
      </c>
      <c r="B3" s="78" t="s">
        <v>87</v>
      </c>
      <c r="C3" s="78" t="s">
        <v>86</v>
      </c>
    </row>
    <row r="4" spans="1:3" thickBot="1" x14ac:dyDescent="0.35">
      <c r="A4" s="74" t="s">
        <v>79</v>
      </c>
      <c r="B4" s="79">
        <v>0.11</v>
      </c>
      <c r="C4" s="79">
        <v>0.04</v>
      </c>
    </row>
    <row r="5" spans="1:3" thickBot="1" x14ac:dyDescent="0.35">
      <c r="A5" s="75" t="s">
        <v>80</v>
      </c>
      <c r="B5" s="76">
        <v>0.22</v>
      </c>
      <c r="C5" s="76">
        <v>0.09</v>
      </c>
    </row>
    <row r="6" spans="1:3" thickBot="1" x14ac:dyDescent="0.35">
      <c r="A6" s="75" t="s">
        <v>81</v>
      </c>
      <c r="B6" s="76">
        <v>0.35</v>
      </c>
      <c r="C6" s="76">
        <v>0.38</v>
      </c>
    </row>
    <row r="7" spans="1:3" thickBot="1" x14ac:dyDescent="0.35">
      <c r="A7" s="75" t="s">
        <v>82</v>
      </c>
      <c r="B7" s="76">
        <v>0.16</v>
      </c>
      <c r="C7" s="76">
        <v>0.21</v>
      </c>
    </row>
    <row r="8" spans="1:3" ht="15.75" thickBot="1" x14ac:dyDescent="0.3">
      <c r="A8" s="75" t="s">
        <v>83</v>
      </c>
      <c r="B8" s="76">
        <v>0.16</v>
      </c>
      <c r="C8" s="76">
        <v>0.28000000000000003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showGridLines="0" topLeftCell="A16" zoomScale="75" zoomScaleNormal="75" workbookViewId="0">
      <selection activeCell="D11" sqref="D11"/>
    </sheetView>
  </sheetViews>
  <sheetFormatPr defaultColWidth="18.5703125" defaultRowHeight="15" x14ac:dyDescent="0.25"/>
  <cols>
    <col min="1" max="1" width="22.140625" style="5" customWidth="1"/>
    <col min="2" max="6" width="16" style="5" customWidth="1"/>
    <col min="7" max="7" width="7.7109375" style="4" customWidth="1"/>
    <col min="8" max="16384" width="18.5703125" style="4"/>
  </cols>
  <sheetData>
    <row r="1" spans="1:7" ht="21" x14ac:dyDescent="0.4">
      <c r="A1" s="57" t="s">
        <v>65</v>
      </c>
      <c r="F1" s="4"/>
    </row>
    <row r="2" spans="1:7" ht="14.45" x14ac:dyDescent="0.3">
      <c r="A2" s="21" t="s">
        <v>23</v>
      </c>
      <c r="B2" s="6"/>
      <c r="C2" s="6"/>
      <c r="D2" s="7"/>
      <c r="E2" s="8"/>
      <c r="F2" s="9"/>
    </row>
    <row r="3" spans="1:7" ht="14.45" x14ac:dyDescent="0.3">
      <c r="A3" s="10"/>
      <c r="B3" s="131" t="s">
        <v>17</v>
      </c>
      <c r="C3" s="132"/>
      <c r="D3" s="131" t="s">
        <v>18</v>
      </c>
      <c r="E3" s="133"/>
      <c r="F3" s="9"/>
    </row>
    <row r="4" spans="1:7" ht="14.45" x14ac:dyDescent="0.3">
      <c r="A4" s="17" t="s">
        <v>21</v>
      </c>
      <c r="B4" s="42" t="s">
        <v>19</v>
      </c>
      <c r="C4" s="42" t="s">
        <v>20</v>
      </c>
      <c r="D4" s="42" t="s">
        <v>19</v>
      </c>
      <c r="E4" s="42" t="s">
        <v>20</v>
      </c>
      <c r="F4" s="9"/>
    </row>
    <row r="5" spans="1:7" ht="14.45" x14ac:dyDescent="0.3">
      <c r="A5" s="18"/>
      <c r="B5" s="11"/>
      <c r="C5" s="11"/>
      <c r="D5" s="11"/>
      <c r="E5" s="11"/>
      <c r="F5" s="9"/>
    </row>
    <row r="6" spans="1:7" ht="14.45" x14ac:dyDescent="0.3">
      <c r="A6" s="18">
        <v>0</v>
      </c>
      <c r="B6" s="12">
        <v>5.2300000000000003E-3</v>
      </c>
      <c r="C6" s="12">
        <v>1.0460000000000001E-2</v>
      </c>
      <c r="D6" s="12">
        <v>4.4000000000000003E-3</v>
      </c>
      <c r="E6" s="12">
        <v>7.4799999999999997E-3</v>
      </c>
      <c r="F6" s="9"/>
    </row>
    <row r="7" spans="1:7" ht="14.45" x14ac:dyDescent="0.3">
      <c r="A7" s="18">
        <v>1</v>
      </c>
      <c r="B7" s="12">
        <v>2.82E-3</v>
      </c>
      <c r="C7" s="12">
        <v>5.64E-3</v>
      </c>
      <c r="D7" s="12">
        <v>2.3600000000000001E-3</v>
      </c>
      <c r="E7" s="12">
        <v>4.0099999999999997E-3</v>
      </c>
      <c r="F7" s="9"/>
    </row>
    <row r="8" spans="1:7" ht="14.45" x14ac:dyDescent="0.3">
      <c r="A8" s="18">
        <v>2</v>
      </c>
      <c r="B8" s="12">
        <v>3.4000000000000002E-4</v>
      </c>
      <c r="C8" s="12">
        <v>6.8000000000000005E-4</v>
      </c>
      <c r="D8" s="12">
        <v>2.5999999999999998E-4</v>
      </c>
      <c r="E8" s="12">
        <v>4.4000000000000002E-4</v>
      </c>
      <c r="F8" s="9"/>
    </row>
    <row r="9" spans="1:7" ht="14.45" x14ac:dyDescent="0.3">
      <c r="A9" s="18">
        <v>3</v>
      </c>
      <c r="B9" s="12">
        <v>2.3000000000000001E-4</v>
      </c>
      <c r="C9" s="12">
        <v>4.6000000000000001E-4</v>
      </c>
      <c r="D9" s="12">
        <v>1.7000000000000001E-4</v>
      </c>
      <c r="E9" s="12">
        <v>2.9E-4</v>
      </c>
      <c r="F9" s="9"/>
    </row>
    <row r="10" spans="1:7" ht="14.45" x14ac:dyDescent="0.3">
      <c r="A10" s="18">
        <v>4</v>
      </c>
      <c r="B10" s="12">
        <v>1.6000000000000001E-4</v>
      </c>
      <c r="C10" s="12">
        <v>3.2000000000000003E-4</v>
      </c>
      <c r="D10" s="12">
        <v>1.3999999999999999E-4</v>
      </c>
      <c r="E10" s="12">
        <v>2.4000000000000001E-4</v>
      </c>
      <c r="F10" s="9"/>
    </row>
    <row r="11" spans="1:7" ht="14.45" x14ac:dyDescent="0.3">
      <c r="A11" s="18">
        <v>5</v>
      </c>
      <c r="B11" s="12">
        <v>1.3999999999999999E-4</v>
      </c>
      <c r="C11" s="12">
        <v>2.7999999999999998E-4</v>
      </c>
      <c r="D11" s="12">
        <v>1.2E-4</v>
      </c>
      <c r="E11" s="12">
        <v>2.0000000000000001E-4</v>
      </c>
      <c r="F11" s="9"/>
      <c r="G11" s="9"/>
    </row>
    <row r="12" spans="1:7" ht="14.45" x14ac:dyDescent="0.3">
      <c r="A12" s="18">
        <v>6</v>
      </c>
      <c r="B12" s="12">
        <v>1.2999999999999999E-4</v>
      </c>
      <c r="C12" s="12">
        <v>2.5999999999999998E-4</v>
      </c>
      <c r="D12" s="12">
        <v>1.1E-4</v>
      </c>
      <c r="E12" s="12">
        <v>1.9000000000000001E-4</v>
      </c>
      <c r="F12" s="9"/>
      <c r="G12" s="9"/>
    </row>
    <row r="13" spans="1:7" ht="14.45" x14ac:dyDescent="0.3">
      <c r="A13" s="18">
        <v>7</v>
      </c>
      <c r="B13" s="12">
        <v>1.2E-4</v>
      </c>
      <c r="C13" s="12">
        <v>2.4000000000000001E-4</v>
      </c>
      <c r="D13" s="12">
        <v>1E-4</v>
      </c>
      <c r="E13" s="12">
        <v>1.7000000000000001E-4</v>
      </c>
      <c r="F13" s="9"/>
      <c r="G13" s="9"/>
    </row>
    <row r="14" spans="1:7" ht="14.45" x14ac:dyDescent="0.3">
      <c r="A14" s="18">
        <v>8</v>
      </c>
      <c r="B14" s="12">
        <v>1.1E-4</v>
      </c>
      <c r="C14" s="12">
        <v>2.2000000000000001E-4</v>
      </c>
      <c r="D14" s="12">
        <v>9.0000000000000006E-5</v>
      </c>
      <c r="E14" s="12">
        <v>1.4999999999999999E-4</v>
      </c>
      <c r="F14" s="9"/>
      <c r="G14" s="9"/>
    </row>
    <row r="15" spans="1:7" ht="14.45" x14ac:dyDescent="0.3">
      <c r="A15" s="18">
        <v>9</v>
      </c>
      <c r="B15" s="12">
        <v>1E-4</v>
      </c>
      <c r="C15" s="12">
        <v>2.0000000000000001E-4</v>
      </c>
      <c r="D15" s="12">
        <v>8.0000000000000007E-5</v>
      </c>
      <c r="E15" s="12">
        <v>1.3999999999999999E-4</v>
      </c>
      <c r="F15" s="9"/>
      <c r="G15" s="9"/>
    </row>
    <row r="16" spans="1:7" ht="14.45" x14ac:dyDescent="0.3">
      <c r="A16" s="18">
        <v>10</v>
      </c>
      <c r="B16" s="12">
        <v>1E-4</v>
      </c>
      <c r="C16" s="12">
        <v>2.0000000000000001E-4</v>
      </c>
      <c r="D16" s="12">
        <v>6.9999999999999994E-5</v>
      </c>
      <c r="E16" s="12">
        <v>1.2E-4</v>
      </c>
      <c r="F16" s="9"/>
      <c r="G16" s="9"/>
    </row>
    <row r="17" spans="1:7" ht="14.45" x14ac:dyDescent="0.3">
      <c r="A17" s="18">
        <v>11</v>
      </c>
      <c r="B17" s="12">
        <v>1.1E-4</v>
      </c>
      <c r="C17" s="12">
        <v>2.2000000000000001E-4</v>
      </c>
      <c r="D17" s="12">
        <v>6.9999999999999994E-5</v>
      </c>
      <c r="E17" s="12">
        <v>1.2E-4</v>
      </c>
      <c r="F17" s="9"/>
      <c r="G17" s="9"/>
    </row>
    <row r="18" spans="1:7" ht="14.45" x14ac:dyDescent="0.3">
      <c r="A18" s="18">
        <v>12</v>
      </c>
      <c r="B18" s="12">
        <v>1.2E-4</v>
      </c>
      <c r="C18" s="12">
        <v>2.4000000000000001E-4</v>
      </c>
      <c r="D18" s="12">
        <v>8.0000000000000007E-5</v>
      </c>
      <c r="E18" s="12">
        <v>1.3999999999999999E-4</v>
      </c>
      <c r="F18" s="9"/>
      <c r="G18" s="9"/>
    </row>
    <row r="19" spans="1:7" ht="14.45" x14ac:dyDescent="0.3">
      <c r="A19" s="18">
        <v>13</v>
      </c>
      <c r="B19" s="12">
        <v>1.2999999999999999E-4</v>
      </c>
      <c r="C19" s="12">
        <v>2.5999999999999998E-4</v>
      </c>
      <c r="D19" s="12">
        <v>9.0000000000000006E-5</v>
      </c>
      <c r="E19" s="12">
        <v>1.4999999999999999E-4</v>
      </c>
      <c r="F19" s="9"/>
      <c r="G19" s="9"/>
    </row>
    <row r="20" spans="1:7" ht="14.45" x14ac:dyDescent="0.3">
      <c r="A20" s="18">
        <v>14</v>
      </c>
      <c r="B20" s="12">
        <v>1.4999999999999999E-4</v>
      </c>
      <c r="C20" s="12">
        <v>2.9999999999999997E-4</v>
      </c>
      <c r="D20" s="12">
        <v>1.2E-4</v>
      </c>
      <c r="E20" s="12">
        <v>2.0000000000000001E-4</v>
      </c>
      <c r="F20" s="9"/>
      <c r="G20" s="9"/>
    </row>
    <row r="21" spans="1:7" ht="14.45" x14ac:dyDescent="0.3">
      <c r="A21" s="18">
        <v>15</v>
      </c>
      <c r="B21" s="12">
        <v>1.9000000000000001E-4</v>
      </c>
      <c r="C21" s="12">
        <v>3.8000000000000002E-4</v>
      </c>
      <c r="D21" s="12">
        <v>1.6000000000000001E-4</v>
      </c>
      <c r="E21" s="12">
        <v>2.7E-4</v>
      </c>
      <c r="F21" s="9"/>
      <c r="G21" s="9"/>
    </row>
    <row r="22" spans="1:7" ht="14.45" x14ac:dyDescent="0.3">
      <c r="A22" s="18">
        <v>16</v>
      </c>
      <c r="B22" s="12">
        <v>2.7999999999999998E-4</v>
      </c>
      <c r="C22" s="12">
        <v>5.5999999999999995E-4</v>
      </c>
      <c r="D22" s="12">
        <v>2.0000000000000001E-4</v>
      </c>
      <c r="E22" s="12">
        <v>3.4000000000000002E-4</v>
      </c>
      <c r="F22" s="9"/>
      <c r="G22" s="9"/>
    </row>
    <row r="23" spans="1:7" ht="14.45" x14ac:dyDescent="0.3">
      <c r="A23" s="18">
        <v>17</v>
      </c>
      <c r="B23" s="12">
        <v>4.0999999999999999E-4</v>
      </c>
      <c r="C23" s="12">
        <v>8.1999999999999998E-4</v>
      </c>
      <c r="D23" s="12">
        <v>2.3000000000000001E-4</v>
      </c>
      <c r="E23" s="12">
        <v>3.8999999999999999E-4</v>
      </c>
      <c r="F23" s="9"/>
      <c r="G23" s="9"/>
    </row>
    <row r="24" spans="1:7" ht="14.45" x14ac:dyDescent="0.3">
      <c r="A24" s="18">
        <v>18</v>
      </c>
      <c r="B24" s="12">
        <v>4.4999999999999999E-4</v>
      </c>
      <c r="C24" s="12">
        <v>8.9999999999999998E-4</v>
      </c>
      <c r="D24" s="12">
        <v>2.5000000000000001E-4</v>
      </c>
      <c r="E24" s="12">
        <v>4.2999999999999999E-4</v>
      </c>
      <c r="F24" s="9"/>
      <c r="G24" s="9"/>
    </row>
    <row r="25" spans="1:7" ht="14.45" x14ac:dyDescent="0.3">
      <c r="A25" s="18">
        <v>19</v>
      </c>
      <c r="B25" s="12">
        <v>5.2999999999999998E-4</v>
      </c>
      <c r="C25" s="12">
        <v>1.06E-3</v>
      </c>
      <c r="D25" s="12">
        <v>2.5000000000000001E-4</v>
      </c>
      <c r="E25" s="12">
        <v>4.2999999999999999E-4</v>
      </c>
      <c r="F25" s="9"/>
      <c r="G25" s="9"/>
    </row>
    <row r="26" spans="1:7" ht="14.45" x14ac:dyDescent="0.3">
      <c r="A26" s="18">
        <v>20</v>
      </c>
      <c r="B26" s="12">
        <v>5.9999999999999995E-4</v>
      </c>
      <c r="C26" s="12">
        <v>1.1999999999999999E-3</v>
      </c>
      <c r="D26" s="12">
        <v>2.4000000000000001E-4</v>
      </c>
      <c r="E26" s="12">
        <v>4.0999999999999999E-4</v>
      </c>
      <c r="F26" s="9"/>
      <c r="G26" s="9"/>
    </row>
    <row r="27" spans="1:7" ht="14.45" x14ac:dyDescent="0.3">
      <c r="A27" s="18">
        <v>21</v>
      </c>
      <c r="B27" s="12">
        <v>6.0999999999999997E-4</v>
      </c>
      <c r="C27" s="12">
        <v>1.2199999999999999E-3</v>
      </c>
      <c r="D27" s="12">
        <v>2.4000000000000001E-4</v>
      </c>
      <c r="E27" s="12">
        <v>4.0999999999999999E-4</v>
      </c>
      <c r="F27" s="9"/>
      <c r="G27" s="9"/>
    </row>
    <row r="28" spans="1:7" ht="14.45" x14ac:dyDescent="0.3">
      <c r="A28" s="18">
        <v>22</v>
      </c>
      <c r="B28" s="12">
        <v>5.9999999999999995E-4</v>
      </c>
      <c r="C28" s="12">
        <v>1.1999999999999999E-3</v>
      </c>
      <c r="D28" s="12">
        <v>2.2000000000000001E-4</v>
      </c>
      <c r="E28" s="12">
        <v>3.6999999999999999E-4</v>
      </c>
      <c r="F28" s="9"/>
      <c r="G28" s="9"/>
    </row>
    <row r="29" spans="1:7" ht="14.45" x14ac:dyDescent="0.3">
      <c r="A29" s="18">
        <v>23</v>
      </c>
      <c r="B29" s="12">
        <v>5.6999999999999998E-4</v>
      </c>
      <c r="C29" s="12">
        <v>1.14E-3</v>
      </c>
      <c r="D29" s="12">
        <v>2.1000000000000001E-4</v>
      </c>
      <c r="E29" s="12">
        <v>3.6000000000000002E-4</v>
      </c>
      <c r="F29" s="9"/>
      <c r="G29" s="9"/>
    </row>
    <row r="30" spans="1:7" ht="14.45" x14ac:dyDescent="0.3">
      <c r="A30" s="18">
        <v>24</v>
      </c>
      <c r="B30" s="12">
        <v>5.5000000000000003E-4</v>
      </c>
      <c r="C30" s="12">
        <v>1.1000000000000001E-3</v>
      </c>
      <c r="D30" s="12">
        <v>1.9000000000000001E-4</v>
      </c>
      <c r="E30" s="12">
        <v>3.2000000000000003E-4</v>
      </c>
      <c r="F30" s="9"/>
      <c r="G30" s="9"/>
    </row>
    <row r="31" spans="1:7" ht="14.45" x14ac:dyDescent="0.3">
      <c r="A31" s="18">
        <v>25</v>
      </c>
      <c r="B31" s="12">
        <v>5.2999999999999998E-4</v>
      </c>
      <c r="C31" s="12">
        <v>1.06E-3</v>
      </c>
      <c r="D31" s="12">
        <v>1.7000000000000001E-4</v>
      </c>
      <c r="E31" s="12">
        <v>2.9E-4</v>
      </c>
      <c r="F31" s="9"/>
      <c r="G31" s="9"/>
    </row>
    <row r="32" spans="1:7" ht="14.45" x14ac:dyDescent="0.3">
      <c r="A32" s="18">
        <v>26</v>
      </c>
      <c r="B32" s="12">
        <v>5.0000000000000001E-4</v>
      </c>
      <c r="C32" s="12">
        <v>1E-3</v>
      </c>
      <c r="D32" s="12">
        <v>1.6000000000000001E-4</v>
      </c>
      <c r="E32" s="12">
        <v>2.7E-4</v>
      </c>
      <c r="F32" s="9"/>
      <c r="G32" s="9"/>
    </row>
    <row r="33" spans="1:7" ht="14.45" x14ac:dyDescent="0.3">
      <c r="A33" s="18">
        <v>27</v>
      </c>
      <c r="B33" s="12">
        <v>4.8000000000000001E-4</v>
      </c>
      <c r="C33" s="12">
        <v>9.6000000000000002E-4</v>
      </c>
      <c r="D33" s="12">
        <v>1.6000000000000001E-4</v>
      </c>
      <c r="E33" s="12">
        <v>2.7E-4</v>
      </c>
      <c r="F33" s="9"/>
      <c r="G33" s="9"/>
    </row>
    <row r="34" spans="1:7" ht="14.45" x14ac:dyDescent="0.3">
      <c r="A34" s="18">
        <v>28</v>
      </c>
      <c r="B34" s="12">
        <v>4.6000000000000001E-4</v>
      </c>
      <c r="C34" s="12">
        <v>9.2000000000000003E-4</v>
      </c>
      <c r="D34" s="12">
        <v>1.7000000000000001E-4</v>
      </c>
      <c r="E34" s="12">
        <v>2.9E-4</v>
      </c>
      <c r="F34" s="9"/>
      <c r="G34" s="9"/>
    </row>
    <row r="35" spans="1:7" ht="14.45" x14ac:dyDescent="0.3">
      <c r="A35" s="18">
        <v>29</v>
      </c>
      <c r="B35" s="12">
        <v>4.4999999999999999E-4</v>
      </c>
      <c r="C35" s="12">
        <v>8.9999999999999998E-4</v>
      </c>
      <c r="D35" s="12">
        <v>1.9000000000000001E-4</v>
      </c>
      <c r="E35" s="12">
        <v>3.2000000000000003E-4</v>
      </c>
      <c r="F35" s="9"/>
      <c r="G35" s="9"/>
    </row>
    <row r="36" spans="1:7" ht="14.45" x14ac:dyDescent="0.3">
      <c r="A36" s="18">
        <v>30</v>
      </c>
      <c r="B36" s="12">
        <v>4.2999999999999999E-4</v>
      </c>
      <c r="C36" s="12">
        <v>8.5999999999999998E-4</v>
      </c>
      <c r="D36" s="12">
        <v>2.1000000000000001E-4</v>
      </c>
      <c r="E36" s="12">
        <v>3.6000000000000002E-4</v>
      </c>
      <c r="F36" s="9"/>
      <c r="G36" s="9"/>
    </row>
    <row r="37" spans="1:7" ht="14.45" x14ac:dyDescent="0.3">
      <c r="A37" s="18">
        <v>31</v>
      </c>
      <c r="B37" s="12">
        <v>4.2000000000000002E-4</v>
      </c>
      <c r="C37" s="12">
        <v>8.4000000000000003E-4</v>
      </c>
      <c r="D37" s="12">
        <v>2.3000000000000001E-4</v>
      </c>
      <c r="E37" s="12">
        <v>3.8999999999999999E-4</v>
      </c>
      <c r="F37" s="9"/>
      <c r="G37" s="9"/>
    </row>
    <row r="38" spans="1:7" ht="14.45" x14ac:dyDescent="0.3">
      <c r="A38" s="18">
        <v>32</v>
      </c>
      <c r="B38" s="12">
        <v>4.0999999999999999E-4</v>
      </c>
      <c r="C38" s="12">
        <v>8.1999999999999998E-4</v>
      </c>
      <c r="D38" s="12">
        <v>2.5000000000000001E-4</v>
      </c>
      <c r="E38" s="12">
        <v>4.2999999999999999E-4</v>
      </c>
      <c r="F38" s="9"/>
      <c r="G38" s="9"/>
    </row>
    <row r="39" spans="1:7" ht="14.45" x14ac:dyDescent="0.3">
      <c r="A39" s="18">
        <v>33</v>
      </c>
      <c r="B39" s="12">
        <v>4.0000000000000002E-4</v>
      </c>
      <c r="C39" s="12">
        <v>8.0000000000000004E-4</v>
      </c>
      <c r="D39" s="12">
        <v>2.7E-4</v>
      </c>
      <c r="E39" s="12">
        <v>4.6000000000000001E-4</v>
      </c>
      <c r="F39" s="9"/>
      <c r="G39" s="9"/>
    </row>
    <row r="40" spans="1:7" ht="14.45" x14ac:dyDescent="0.3">
      <c r="A40" s="18">
        <v>34</v>
      </c>
      <c r="B40" s="12">
        <v>4.0999999999999999E-4</v>
      </c>
      <c r="C40" s="12">
        <v>8.1999999999999998E-4</v>
      </c>
      <c r="D40" s="12">
        <v>2.9999999999999997E-4</v>
      </c>
      <c r="E40" s="12">
        <v>5.1000000000000004E-4</v>
      </c>
      <c r="F40" s="9"/>
      <c r="G40" s="9"/>
    </row>
    <row r="41" spans="1:7" ht="14.45" x14ac:dyDescent="0.3">
      <c r="A41" s="18">
        <v>35</v>
      </c>
      <c r="B41" s="12">
        <v>4.2000000000000002E-4</v>
      </c>
      <c r="C41" s="12">
        <v>8.4000000000000003E-4</v>
      </c>
      <c r="D41" s="12">
        <v>3.2000000000000003E-4</v>
      </c>
      <c r="E41" s="12">
        <v>5.4000000000000001E-4</v>
      </c>
      <c r="F41" s="9"/>
      <c r="G41" s="9"/>
    </row>
    <row r="42" spans="1:7" ht="14.45" x14ac:dyDescent="0.3">
      <c r="A42" s="18">
        <v>36</v>
      </c>
      <c r="B42" s="12">
        <v>4.2999999999999999E-4</v>
      </c>
      <c r="C42" s="12">
        <v>8.5999999999999998E-4</v>
      </c>
      <c r="D42" s="12">
        <v>3.4000000000000002E-4</v>
      </c>
      <c r="E42" s="12">
        <v>5.8E-4</v>
      </c>
      <c r="F42" s="9"/>
      <c r="G42" s="9"/>
    </row>
    <row r="43" spans="1:7" ht="14.45" x14ac:dyDescent="0.3">
      <c r="A43" s="18">
        <v>37</v>
      </c>
      <c r="B43" s="12">
        <v>4.4999999999999999E-4</v>
      </c>
      <c r="C43" s="12">
        <v>8.9999999999999998E-4</v>
      </c>
      <c r="D43" s="12">
        <v>3.6999999999999999E-4</v>
      </c>
      <c r="E43" s="12">
        <v>6.3000000000000003E-4</v>
      </c>
      <c r="F43" s="9"/>
      <c r="G43" s="9"/>
    </row>
    <row r="44" spans="1:7" ht="14.45" x14ac:dyDescent="0.3">
      <c r="A44" s="18">
        <v>38</v>
      </c>
      <c r="B44" s="12">
        <v>4.8999999999999998E-4</v>
      </c>
      <c r="C44" s="12">
        <v>9.7999999999999997E-4</v>
      </c>
      <c r="D44" s="12">
        <v>4.0000000000000002E-4</v>
      </c>
      <c r="E44" s="12">
        <v>6.8000000000000005E-4</v>
      </c>
      <c r="F44" s="9"/>
      <c r="G44" s="9"/>
    </row>
    <row r="45" spans="1:7" ht="14.45" x14ac:dyDescent="0.3">
      <c r="A45" s="18">
        <v>39</v>
      </c>
      <c r="B45" s="12">
        <v>5.2999999999999998E-4</v>
      </c>
      <c r="C45" s="12">
        <v>1.06E-3</v>
      </c>
      <c r="D45" s="12">
        <v>4.2999999999999999E-4</v>
      </c>
      <c r="E45" s="12">
        <v>7.2999999999999996E-4</v>
      </c>
      <c r="F45" s="9"/>
      <c r="G45" s="9"/>
    </row>
    <row r="46" spans="1:7" ht="14.45" x14ac:dyDescent="0.3">
      <c r="A46" s="18">
        <v>40</v>
      </c>
      <c r="B46" s="12">
        <v>5.8E-4</v>
      </c>
      <c r="C46" s="12">
        <v>1.16E-3</v>
      </c>
      <c r="D46" s="12">
        <v>4.6999999999999999E-4</v>
      </c>
      <c r="E46" s="12">
        <v>8.0000000000000004E-4</v>
      </c>
      <c r="F46" s="9"/>
      <c r="G46" s="9"/>
    </row>
    <row r="47" spans="1:7" ht="14.45" x14ac:dyDescent="0.3">
      <c r="A47" s="18">
        <v>41</v>
      </c>
      <c r="B47" s="12">
        <v>6.3000000000000003E-4</v>
      </c>
      <c r="C47" s="12">
        <v>1.2600000000000001E-3</v>
      </c>
      <c r="D47" s="12">
        <v>5.1000000000000004E-4</v>
      </c>
      <c r="E47" s="12">
        <v>8.7000000000000001E-4</v>
      </c>
      <c r="F47" s="9"/>
      <c r="G47" s="9"/>
    </row>
    <row r="48" spans="1:7" ht="14.45" x14ac:dyDescent="0.3">
      <c r="A48" s="18">
        <v>42</v>
      </c>
      <c r="B48" s="12">
        <v>6.8000000000000005E-4</v>
      </c>
      <c r="C48" s="12">
        <v>1.3600000000000001E-3</v>
      </c>
      <c r="D48" s="12">
        <v>5.5000000000000003E-4</v>
      </c>
      <c r="E48" s="12">
        <v>9.3999999999999997E-4</v>
      </c>
      <c r="F48" s="9"/>
      <c r="G48" s="9"/>
    </row>
    <row r="49" spans="1:7" x14ac:dyDescent="0.25">
      <c r="A49" s="18">
        <v>43</v>
      </c>
      <c r="B49" s="12">
        <v>7.3999999999999999E-4</v>
      </c>
      <c r="C49" s="12">
        <v>1.48E-3</v>
      </c>
      <c r="D49" s="12">
        <v>5.9000000000000003E-4</v>
      </c>
      <c r="E49" s="12">
        <v>1E-3</v>
      </c>
      <c r="F49" s="9"/>
      <c r="G49" s="9"/>
    </row>
    <row r="50" spans="1:7" x14ac:dyDescent="0.25">
      <c r="A50" s="18">
        <v>44</v>
      </c>
      <c r="B50" s="12">
        <v>7.9000000000000001E-4</v>
      </c>
      <c r="C50" s="12">
        <v>1.58E-3</v>
      </c>
      <c r="D50" s="12">
        <v>6.3000000000000003E-4</v>
      </c>
      <c r="E50" s="12">
        <v>1.07E-3</v>
      </c>
      <c r="F50" s="9"/>
      <c r="G50" s="9"/>
    </row>
    <row r="51" spans="1:7" x14ac:dyDescent="0.25">
      <c r="A51" s="18">
        <v>45</v>
      </c>
      <c r="B51" s="12">
        <v>8.5999999999999998E-4</v>
      </c>
      <c r="C51" s="12">
        <v>1.72E-3</v>
      </c>
      <c r="D51" s="12">
        <v>6.8999999999999997E-4</v>
      </c>
      <c r="E51" s="12">
        <v>1.17E-3</v>
      </c>
      <c r="F51" s="9"/>
      <c r="G51" s="9"/>
    </row>
    <row r="52" spans="1:7" x14ac:dyDescent="0.25">
      <c r="A52" s="18">
        <v>46</v>
      </c>
      <c r="B52" s="12">
        <v>9.3000000000000005E-4</v>
      </c>
      <c r="C52" s="12">
        <v>1.8600000000000001E-3</v>
      </c>
      <c r="D52" s="12">
        <v>7.5000000000000002E-4</v>
      </c>
      <c r="E52" s="12">
        <v>1.2800000000000001E-3</v>
      </c>
      <c r="F52" s="9"/>
      <c r="G52" s="9"/>
    </row>
    <row r="53" spans="1:7" x14ac:dyDescent="0.25">
      <c r="A53" s="18">
        <v>47</v>
      </c>
      <c r="B53" s="12">
        <v>1.0300000000000001E-3</v>
      </c>
      <c r="C53" s="12">
        <v>2.0600000000000002E-3</v>
      </c>
      <c r="D53" s="12">
        <v>8.4000000000000003E-4</v>
      </c>
      <c r="E53" s="12">
        <v>1.4300000000000001E-3</v>
      </c>
      <c r="F53" s="9"/>
      <c r="G53" s="9"/>
    </row>
    <row r="54" spans="1:7" x14ac:dyDescent="0.25">
      <c r="A54" s="18">
        <v>48</v>
      </c>
      <c r="B54" s="12">
        <v>1.15E-3</v>
      </c>
      <c r="C54" s="12">
        <v>2.3E-3</v>
      </c>
      <c r="D54" s="12">
        <v>9.3000000000000005E-4</v>
      </c>
      <c r="E54" s="12">
        <v>1.58E-3</v>
      </c>
      <c r="F54" s="9"/>
      <c r="G54" s="9"/>
    </row>
    <row r="55" spans="1:7" x14ac:dyDescent="0.25">
      <c r="A55" s="18">
        <v>49</v>
      </c>
      <c r="B55" s="12">
        <v>1.2800000000000001E-3</v>
      </c>
      <c r="C55" s="12">
        <v>2.5600000000000002E-3</v>
      </c>
      <c r="D55" s="12">
        <v>1.0499999999999999E-3</v>
      </c>
      <c r="E55" s="12">
        <v>1.7899999999999999E-3</v>
      </c>
      <c r="F55" s="9"/>
      <c r="G55" s="9"/>
    </row>
    <row r="56" spans="1:7" x14ac:dyDescent="0.25">
      <c r="A56" s="18">
        <v>50</v>
      </c>
      <c r="B56" s="13">
        <v>1.42E-3</v>
      </c>
      <c r="C56" s="14">
        <v>2.8400000000000001E-3</v>
      </c>
      <c r="D56" s="13">
        <v>1.17E-3</v>
      </c>
      <c r="E56" s="96">
        <v>1.99E-3</v>
      </c>
      <c r="F56" s="9"/>
      <c r="G56" s="9"/>
    </row>
    <row r="57" spans="1:7" x14ac:dyDescent="0.25">
      <c r="A57" s="18">
        <v>51</v>
      </c>
      <c r="B57" s="12">
        <v>1.56E-3</v>
      </c>
      <c r="C57" s="12">
        <v>3.1199999999999999E-3</v>
      </c>
      <c r="D57" s="12">
        <v>1.2899999999999999E-3</v>
      </c>
      <c r="E57" s="12">
        <v>2.1900000000000001E-3</v>
      </c>
      <c r="F57" s="9"/>
      <c r="G57" s="9"/>
    </row>
    <row r="58" spans="1:7" x14ac:dyDescent="0.25">
      <c r="A58" s="18">
        <v>52</v>
      </c>
      <c r="B58" s="12">
        <v>1.72E-3</v>
      </c>
      <c r="C58" s="12">
        <v>3.4399999999999999E-3</v>
      </c>
      <c r="D58" s="12">
        <v>1.39E-3</v>
      </c>
      <c r="E58" s="12">
        <v>2.3600000000000001E-3</v>
      </c>
      <c r="F58" s="9"/>
      <c r="G58" s="9"/>
    </row>
    <row r="59" spans="1:7" x14ac:dyDescent="0.25">
      <c r="A59" s="18">
        <v>53</v>
      </c>
      <c r="B59" s="12">
        <v>1.89E-3</v>
      </c>
      <c r="C59" s="12">
        <v>3.7799999999999999E-3</v>
      </c>
      <c r="D59" s="12">
        <v>1.49E-3</v>
      </c>
      <c r="E59" s="12">
        <v>2.5300000000000001E-3</v>
      </c>
      <c r="F59" s="9"/>
      <c r="G59" s="9"/>
    </row>
    <row r="60" spans="1:7" x14ac:dyDescent="0.25">
      <c r="A60" s="18">
        <v>54</v>
      </c>
      <c r="B60" s="12">
        <v>2.0799999999999998E-3</v>
      </c>
      <c r="C60" s="12">
        <v>4.1599999999999996E-3</v>
      </c>
      <c r="D60" s="12">
        <v>1.57E-3</v>
      </c>
      <c r="E60" s="12">
        <v>2.6700000000000001E-3</v>
      </c>
      <c r="F60" s="9"/>
      <c r="G60" s="9"/>
    </row>
    <row r="61" spans="1:7" x14ac:dyDescent="0.25">
      <c r="A61" s="18">
        <v>55</v>
      </c>
      <c r="B61" s="12">
        <v>2.3E-3</v>
      </c>
      <c r="C61" s="12">
        <v>4.5999999999999999E-3</v>
      </c>
      <c r="D61" s="12">
        <v>1.66E-3</v>
      </c>
      <c r="E61" s="12">
        <v>2.82E-3</v>
      </c>
      <c r="F61" s="9"/>
      <c r="G61" s="9"/>
    </row>
    <row r="62" spans="1:7" x14ac:dyDescent="0.25">
      <c r="A62" s="18">
        <v>56</v>
      </c>
      <c r="B62" s="12">
        <v>2.5500000000000002E-3</v>
      </c>
      <c r="C62" s="12">
        <v>5.1000000000000004E-3</v>
      </c>
      <c r="D62" s="12">
        <v>1.7899999999999999E-3</v>
      </c>
      <c r="E62" s="12">
        <v>3.0400000000000002E-3</v>
      </c>
      <c r="F62" s="9"/>
      <c r="G62" s="9"/>
    </row>
    <row r="63" spans="1:7" x14ac:dyDescent="0.25">
      <c r="A63" s="18">
        <v>57</v>
      </c>
      <c r="B63" s="12">
        <v>2.8600000000000001E-3</v>
      </c>
      <c r="C63" s="12">
        <v>5.7200000000000003E-3</v>
      </c>
      <c r="D63" s="12">
        <v>1.9599999999999999E-3</v>
      </c>
      <c r="E63" s="12">
        <v>3.3300000000000001E-3</v>
      </c>
      <c r="F63" s="9"/>
      <c r="G63" s="9"/>
    </row>
    <row r="64" spans="1:7" x14ac:dyDescent="0.25">
      <c r="A64" s="18">
        <v>58</v>
      </c>
      <c r="B64" s="12">
        <v>3.2000000000000002E-3</v>
      </c>
      <c r="C64" s="12">
        <v>6.4000000000000003E-3</v>
      </c>
      <c r="D64" s="12">
        <v>2.1900000000000001E-3</v>
      </c>
      <c r="E64" s="12">
        <v>3.7200000000000002E-3</v>
      </c>
      <c r="F64" s="9"/>
      <c r="G64" s="9"/>
    </row>
    <row r="65" spans="1:7" x14ac:dyDescent="0.25">
      <c r="A65" s="18">
        <v>59</v>
      </c>
      <c r="B65" s="12">
        <v>3.5799999999999998E-3</v>
      </c>
      <c r="C65" s="12">
        <v>7.1599999999999997E-3</v>
      </c>
      <c r="D65" s="12">
        <v>2.48E-3</v>
      </c>
      <c r="E65" s="12">
        <v>4.2199999999999998E-3</v>
      </c>
      <c r="F65" s="9"/>
      <c r="G65" s="9"/>
    </row>
    <row r="66" spans="1:7" x14ac:dyDescent="0.25">
      <c r="A66" s="18">
        <v>60</v>
      </c>
      <c r="B66" s="12">
        <v>3.9699999999999996E-3</v>
      </c>
      <c r="C66" s="12">
        <v>7.9399999999999991E-3</v>
      </c>
      <c r="D66" s="12">
        <v>2.8400000000000001E-3</v>
      </c>
      <c r="E66" s="12">
        <v>4.8300000000000001E-3</v>
      </c>
      <c r="F66" s="9"/>
      <c r="G66" s="9"/>
    </row>
    <row r="67" spans="1:7" x14ac:dyDescent="0.25">
      <c r="A67" s="18">
        <v>61</v>
      </c>
      <c r="B67" s="12">
        <v>4.3800000000000002E-3</v>
      </c>
      <c r="C67" s="12">
        <v>8.7600000000000004E-3</v>
      </c>
      <c r="D67" s="12">
        <v>3.2699999999999999E-3</v>
      </c>
      <c r="E67" s="12">
        <v>5.5599999999999998E-3</v>
      </c>
      <c r="F67" s="9"/>
      <c r="G67" s="9"/>
    </row>
    <row r="68" spans="1:7" x14ac:dyDescent="0.25">
      <c r="A68" s="18">
        <v>62</v>
      </c>
      <c r="B68" s="12">
        <v>4.79E-3</v>
      </c>
      <c r="C68" s="12">
        <v>9.58E-3</v>
      </c>
      <c r="D68" s="12">
        <v>3.7499999999999999E-3</v>
      </c>
      <c r="E68" s="12">
        <v>6.3800000000000003E-3</v>
      </c>
      <c r="F68" s="9"/>
      <c r="G68" s="9"/>
    </row>
    <row r="69" spans="1:7" x14ac:dyDescent="0.25">
      <c r="A69" s="18">
        <v>63</v>
      </c>
      <c r="B69" s="12">
        <v>5.2500000000000003E-3</v>
      </c>
      <c r="C69" s="12">
        <v>1.0500000000000001E-2</v>
      </c>
      <c r="D69" s="12">
        <v>4.28E-3</v>
      </c>
      <c r="E69" s="12">
        <v>7.28E-3</v>
      </c>
      <c r="F69" s="9"/>
      <c r="G69" s="9"/>
    </row>
    <row r="70" spans="1:7" x14ac:dyDescent="0.25">
      <c r="A70" s="18">
        <v>64</v>
      </c>
      <c r="B70" s="12">
        <v>5.79E-3</v>
      </c>
      <c r="C70" s="12">
        <v>1.158E-2</v>
      </c>
      <c r="D70" s="12">
        <v>4.8599999999999997E-3</v>
      </c>
      <c r="E70" s="12">
        <v>8.26E-3</v>
      </c>
      <c r="F70" s="9"/>
      <c r="G70" s="9"/>
    </row>
    <row r="71" spans="1:7" x14ac:dyDescent="0.25">
      <c r="A71" s="18">
        <v>65</v>
      </c>
      <c r="B71" s="12">
        <v>6.4599999999999996E-3</v>
      </c>
      <c r="C71" s="12">
        <v>1.2919999999999999E-2</v>
      </c>
      <c r="D71" s="12">
        <v>5.4900000000000001E-3</v>
      </c>
      <c r="E71" s="12">
        <v>9.3299999999999998E-3</v>
      </c>
      <c r="F71" s="9"/>
      <c r="G71" s="9"/>
    </row>
    <row r="72" spans="1:7" x14ac:dyDescent="0.25">
      <c r="A72" s="18">
        <v>66</v>
      </c>
      <c r="B72" s="12">
        <v>7.3200000000000001E-3</v>
      </c>
      <c r="C72" s="12">
        <v>1.464E-2</v>
      </c>
      <c r="D72" s="12">
        <v>6.1599999999999997E-3</v>
      </c>
      <c r="E72" s="12">
        <v>1.047E-2</v>
      </c>
      <c r="F72" s="9"/>
      <c r="G72" s="9"/>
    </row>
    <row r="73" spans="1:7" x14ac:dyDescent="0.25">
      <c r="A73" s="18">
        <v>67</v>
      </c>
      <c r="B73" s="12">
        <v>8.4200000000000004E-3</v>
      </c>
      <c r="C73" s="12">
        <v>1.6840000000000001E-2</v>
      </c>
      <c r="D73" s="12">
        <v>6.9100000000000003E-3</v>
      </c>
      <c r="E73" s="12">
        <v>1.175E-2</v>
      </c>
      <c r="F73" s="9"/>
      <c r="G73" s="9"/>
    </row>
    <row r="74" spans="1:7" x14ac:dyDescent="0.25">
      <c r="A74" s="18">
        <v>68</v>
      </c>
      <c r="B74" s="12">
        <v>9.7699999999999992E-3</v>
      </c>
      <c r="C74" s="12">
        <v>1.9539999999999998E-2</v>
      </c>
      <c r="D74" s="12">
        <v>7.7299999999999999E-3</v>
      </c>
      <c r="E74" s="12">
        <v>1.3140000000000001E-2</v>
      </c>
      <c r="F74" s="9"/>
      <c r="G74" s="9"/>
    </row>
    <row r="75" spans="1:7" x14ac:dyDescent="0.25">
      <c r="A75" s="18">
        <v>69</v>
      </c>
      <c r="B75" s="12">
        <v>1.136E-2</v>
      </c>
      <c r="C75" s="12">
        <v>2.2720000000000001E-2</v>
      </c>
      <c r="D75" s="12">
        <v>8.6499999999999997E-3</v>
      </c>
      <c r="E75" s="12">
        <v>1.4710000000000001E-2</v>
      </c>
      <c r="F75" s="9"/>
      <c r="G75" s="9"/>
    </row>
    <row r="76" spans="1:7" x14ac:dyDescent="0.25">
      <c r="A76" s="18">
        <v>70</v>
      </c>
      <c r="B76" s="12">
        <v>1.321E-2</v>
      </c>
      <c r="C76" s="12">
        <v>2.6419999999999999E-2</v>
      </c>
      <c r="D76" s="12">
        <v>9.6699999999999998E-3</v>
      </c>
      <c r="E76" s="12">
        <v>1.644E-2</v>
      </c>
      <c r="F76" s="9"/>
      <c r="G76" s="9"/>
    </row>
    <row r="77" spans="1:7" x14ac:dyDescent="0.25">
      <c r="A77" s="18">
        <v>71</v>
      </c>
      <c r="B77" s="12">
        <v>1.5350000000000001E-2</v>
      </c>
      <c r="C77" s="12">
        <v>3.0700000000000002E-2</v>
      </c>
      <c r="D77" s="12">
        <v>1.0829999999999999E-2</v>
      </c>
      <c r="E77" s="12">
        <v>1.8409999999999999E-2</v>
      </c>
      <c r="F77" s="9"/>
      <c r="G77" s="9"/>
    </row>
    <row r="78" spans="1:7" x14ac:dyDescent="0.25">
      <c r="A78" s="18">
        <v>72</v>
      </c>
      <c r="B78" s="12">
        <v>1.78E-2</v>
      </c>
      <c r="C78" s="12">
        <v>3.56E-2</v>
      </c>
      <c r="D78" s="12">
        <v>1.2160000000000001E-2</v>
      </c>
      <c r="E78" s="12">
        <v>2.0670000000000001E-2</v>
      </c>
      <c r="F78" s="9"/>
      <c r="G78" s="9"/>
    </row>
    <row r="79" spans="1:7" x14ac:dyDescent="0.25">
      <c r="A79" s="18">
        <v>73</v>
      </c>
      <c r="B79" s="12">
        <v>2.0480000000000002E-2</v>
      </c>
      <c r="C79" s="12">
        <v>4.0960000000000003E-2</v>
      </c>
      <c r="D79" s="12">
        <v>1.3690000000000001E-2</v>
      </c>
      <c r="E79" s="12">
        <v>2.3269999999999999E-2</v>
      </c>
      <c r="F79" s="9"/>
      <c r="G79" s="9"/>
    </row>
    <row r="80" spans="1:7" x14ac:dyDescent="0.25">
      <c r="A80" s="18">
        <v>74</v>
      </c>
      <c r="B80" s="12">
        <v>2.341E-2</v>
      </c>
      <c r="C80" s="12">
        <v>4.6820000000000001E-2</v>
      </c>
      <c r="D80" s="12">
        <v>1.5469999999999999E-2</v>
      </c>
      <c r="E80" s="12">
        <v>2.63E-2</v>
      </c>
      <c r="F80" s="9"/>
      <c r="G80" s="9"/>
    </row>
    <row r="81" spans="1:7" x14ac:dyDescent="0.25">
      <c r="A81" s="18">
        <v>75</v>
      </c>
      <c r="B81" s="12">
        <v>2.674E-2</v>
      </c>
      <c r="C81" s="12">
        <v>5.348E-2</v>
      </c>
      <c r="D81" s="12">
        <v>1.7510000000000001E-2</v>
      </c>
      <c r="E81" s="12">
        <v>2.9770000000000001E-2</v>
      </c>
      <c r="F81" s="9"/>
      <c r="G81" s="9"/>
    </row>
    <row r="82" spans="1:7" x14ac:dyDescent="0.25">
      <c r="A82" s="18">
        <v>76</v>
      </c>
      <c r="B82" s="12">
        <v>3.0630000000000001E-2</v>
      </c>
      <c r="C82" s="12">
        <v>6.0339999999999998E-2</v>
      </c>
      <c r="D82" s="12">
        <v>1.985E-2</v>
      </c>
      <c r="E82" s="12">
        <v>3.3390000000000003E-2</v>
      </c>
      <c r="F82" s="9"/>
      <c r="G82" s="9"/>
    </row>
    <row r="83" spans="1:7" x14ac:dyDescent="0.25">
      <c r="A83" s="18">
        <v>77</v>
      </c>
      <c r="B83" s="12">
        <v>3.5069999999999997E-2</v>
      </c>
      <c r="C83" s="12">
        <v>6.8040000000000003E-2</v>
      </c>
      <c r="D83" s="12">
        <v>2.256E-2</v>
      </c>
      <c r="E83" s="12">
        <v>3.7539999999999997E-2</v>
      </c>
      <c r="F83" s="9"/>
      <c r="G83" s="9"/>
    </row>
    <row r="84" spans="1:7" x14ac:dyDescent="0.25">
      <c r="A84" s="18">
        <v>78</v>
      </c>
      <c r="B84" s="12">
        <v>4.0099999999999997E-2</v>
      </c>
      <c r="C84" s="12">
        <v>7.6590000000000005E-2</v>
      </c>
      <c r="D84" s="12">
        <v>2.5680000000000001E-2</v>
      </c>
      <c r="E84" s="12">
        <v>4.2270000000000002E-2</v>
      </c>
      <c r="F84" s="9"/>
      <c r="G84" s="9"/>
    </row>
    <row r="85" spans="1:7" x14ac:dyDescent="0.25">
      <c r="A85" s="18">
        <v>79</v>
      </c>
      <c r="B85" s="12">
        <v>4.5749999999999999E-2</v>
      </c>
      <c r="C85" s="12">
        <v>8.6010000000000003E-2</v>
      </c>
      <c r="D85" s="12">
        <v>2.93E-2</v>
      </c>
      <c r="E85" s="12">
        <v>4.7699999999999999E-2</v>
      </c>
      <c r="F85" s="9"/>
      <c r="G85" s="9"/>
    </row>
    <row r="86" spans="1:7" x14ac:dyDescent="0.25">
      <c r="A86" s="18">
        <v>80</v>
      </c>
      <c r="B86" s="12">
        <v>5.2060000000000002E-2</v>
      </c>
      <c r="C86" s="12">
        <v>9.6310000000000007E-2</v>
      </c>
      <c r="D86" s="12">
        <v>3.347E-2</v>
      </c>
      <c r="E86" s="12">
        <v>5.389E-2</v>
      </c>
      <c r="F86" s="9"/>
      <c r="G86" s="9"/>
    </row>
    <row r="87" spans="1:7" x14ac:dyDescent="0.25">
      <c r="A87" s="18">
        <v>81</v>
      </c>
      <c r="B87" s="12">
        <v>5.9020000000000003E-2</v>
      </c>
      <c r="C87" s="12">
        <v>0.10742</v>
      </c>
      <c r="D87" s="12">
        <v>3.8370000000000001E-2</v>
      </c>
      <c r="E87" s="12">
        <v>6.1089999999999998E-2</v>
      </c>
      <c r="F87" s="9"/>
      <c r="G87" s="9"/>
    </row>
    <row r="88" spans="1:7" x14ac:dyDescent="0.25">
      <c r="A88" s="18">
        <v>82</v>
      </c>
      <c r="B88" s="12">
        <v>6.6110000000000002E-2</v>
      </c>
      <c r="C88" s="12">
        <v>0.11834</v>
      </c>
      <c r="D88" s="12">
        <v>4.385E-2</v>
      </c>
      <c r="E88" s="12">
        <v>6.9019999999999998E-2</v>
      </c>
      <c r="F88" s="9"/>
      <c r="G88" s="9"/>
    </row>
    <row r="89" spans="1:7" x14ac:dyDescent="0.25">
      <c r="A89" s="18">
        <v>83</v>
      </c>
      <c r="B89" s="12">
        <v>7.3859999999999995E-2</v>
      </c>
      <c r="C89" s="12">
        <v>0.12998999999999999</v>
      </c>
      <c r="D89" s="12">
        <v>5.0139999999999997E-2</v>
      </c>
      <c r="E89" s="12">
        <v>7.8020000000000006E-2</v>
      </c>
      <c r="F89" s="9"/>
      <c r="G89" s="9"/>
    </row>
    <row r="90" spans="1:7" x14ac:dyDescent="0.25">
      <c r="A90" s="18">
        <v>84</v>
      </c>
      <c r="B90" s="12">
        <v>8.2500000000000004E-2</v>
      </c>
      <c r="C90" s="12">
        <v>0.14273</v>
      </c>
      <c r="D90" s="12">
        <v>5.7340000000000002E-2</v>
      </c>
      <c r="E90" s="12">
        <v>8.8190000000000004E-2</v>
      </c>
      <c r="F90" s="9"/>
      <c r="G90" s="9"/>
    </row>
    <row r="91" spans="1:7" x14ac:dyDescent="0.25">
      <c r="A91" s="18">
        <v>85</v>
      </c>
      <c r="B91" s="12">
        <v>9.2090000000000005E-2</v>
      </c>
      <c r="C91" s="12">
        <v>0.15654999999999999</v>
      </c>
      <c r="D91" s="12">
        <v>6.5500000000000003E-2</v>
      </c>
      <c r="E91" s="12">
        <v>9.9559999999999996E-2</v>
      </c>
      <c r="F91" s="9"/>
      <c r="G91" s="9"/>
    </row>
    <row r="92" spans="1:7" x14ac:dyDescent="0.25">
      <c r="A92" s="18">
        <v>86</v>
      </c>
      <c r="B92" s="12">
        <v>0.10269</v>
      </c>
      <c r="C92" s="12">
        <v>0.17149</v>
      </c>
      <c r="D92" s="12">
        <v>7.4709999999999999E-2</v>
      </c>
      <c r="E92" s="12">
        <v>0.11221</v>
      </c>
      <c r="F92" s="9"/>
      <c r="G92" s="9"/>
    </row>
    <row r="93" spans="1:7" x14ac:dyDescent="0.25">
      <c r="A93" s="18">
        <v>87</v>
      </c>
      <c r="B93" s="12">
        <v>0.11434</v>
      </c>
      <c r="C93" s="12">
        <v>0.18751999999999999</v>
      </c>
      <c r="D93" s="12">
        <v>8.5010000000000002E-2</v>
      </c>
      <c r="E93" s="12">
        <v>0.12615000000000001</v>
      </c>
      <c r="F93" s="9"/>
      <c r="G93" s="9"/>
    </row>
    <row r="94" spans="1:7" x14ac:dyDescent="0.25">
      <c r="A94" s="18">
        <v>88</v>
      </c>
      <c r="B94" s="12">
        <v>0.12695000000000001</v>
      </c>
      <c r="C94" s="12">
        <v>0.20438999999999999</v>
      </c>
      <c r="D94" s="12">
        <v>9.6449999999999994E-2</v>
      </c>
      <c r="E94" s="12">
        <v>0.1414</v>
      </c>
      <c r="F94" s="9"/>
      <c r="G94" s="9"/>
    </row>
    <row r="95" spans="1:7" x14ac:dyDescent="0.25">
      <c r="A95" s="18">
        <v>89</v>
      </c>
      <c r="B95" s="12">
        <v>0.14029</v>
      </c>
      <c r="C95" s="12">
        <v>0.22166</v>
      </c>
      <c r="D95" s="12">
        <v>0.10907</v>
      </c>
      <c r="E95" s="12">
        <v>0.15792999999999999</v>
      </c>
      <c r="F95" s="9"/>
      <c r="G95" s="9"/>
    </row>
    <row r="96" spans="1:7" x14ac:dyDescent="0.25">
      <c r="A96" s="18">
        <v>90</v>
      </c>
      <c r="B96" s="15">
        <v>0.15415000000000001</v>
      </c>
      <c r="C96" s="15">
        <v>0.23893</v>
      </c>
      <c r="D96" s="15">
        <v>0.12277</v>
      </c>
      <c r="E96" s="96">
        <v>0.17555999999999999</v>
      </c>
      <c r="F96" s="9"/>
      <c r="G96" s="9"/>
    </row>
    <row r="97" spans="1:7" x14ac:dyDescent="0.25">
      <c r="A97" s="18">
        <v>91</v>
      </c>
      <c r="B97" s="12">
        <v>0.16829</v>
      </c>
      <c r="C97" s="12">
        <v>0.25580000000000003</v>
      </c>
      <c r="D97" s="12">
        <v>0.13735</v>
      </c>
      <c r="E97" s="12">
        <v>0.19394</v>
      </c>
      <c r="F97" s="9"/>
      <c r="G97" s="9"/>
    </row>
    <row r="98" spans="1:7" x14ac:dyDescent="0.25">
      <c r="A98" s="18">
        <v>92</v>
      </c>
      <c r="B98" s="12">
        <v>0.18253</v>
      </c>
      <c r="C98" s="12">
        <v>0.27196999999999999</v>
      </c>
      <c r="D98" s="12">
        <v>0.15259</v>
      </c>
      <c r="E98" s="12">
        <v>0.21271000000000001</v>
      </c>
      <c r="F98" s="9"/>
      <c r="G98" s="9"/>
    </row>
    <row r="99" spans="1:7" x14ac:dyDescent="0.25">
      <c r="A99" s="18">
        <v>93</v>
      </c>
      <c r="B99" s="12">
        <v>0.19664000000000001</v>
      </c>
      <c r="C99" s="12">
        <v>0.28709000000000001</v>
      </c>
      <c r="D99" s="12">
        <v>0.16830000000000001</v>
      </c>
      <c r="E99" s="12">
        <v>0.23158000000000001</v>
      </c>
      <c r="F99" s="9"/>
      <c r="G99" s="9"/>
    </row>
    <row r="100" spans="1:7" x14ac:dyDescent="0.25">
      <c r="A100" s="18">
        <v>94</v>
      </c>
      <c r="B100" s="12">
        <v>0.21045</v>
      </c>
      <c r="C100" s="12">
        <v>0.30093999999999999</v>
      </c>
      <c r="D100" s="12">
        <v>0.18426999999999999</v>
      </c>
      <c r="E100" s="12">
        <v>0.25024000000000002</v>
      </c>
      <c r="F100" s="9"/>
      <c r="G100" s="9"/>
    </row>
    <row r="101" spans="1:7" x14ac:dyDescent="0.25">
      <c r="A101" s="18">
        <v>95</v>
      </c>
      <c r="B101" s="12">
        <v>0.22375</v>
      </c>
      <c r="C101" s="12">
        <v>0.31324999999999997</v>
      </c>
      <c r="D101" s="12">
        <v>0.20032</v>
      </c>
      <c r="E101" s="12">
        <v>0.26843</v>
      </c>
      <c r="F101" s="9"/>
      <c r="G101" s="9"/>
    </row>
    <row r="102" spans="1:7" x14ac:dyDescent="0.25">
      <c r="A102" s="18">
        <v>96</v>
      </c>
      <c r="B102" s="12">
        <v>0.23641000000000001</v>
      </c>
      <c r="C102" s="12">
        <v>0.32388</v>
      </c>
      <c r="D102" s="12">
        <v>0.21626000000000001</v>
      </c>
      <c r="E102" s="12">
        <v>0.28589999999999999</v>
      </c>
      <c r="F102" s="9"/>
      <c r="G102" s="9"/>
    </row>
    <row r="103" spans="1:7" x14ac:dyDescent="0.25">
      <c r="A103" s="18">
        <v>97</v>
      </c>
      <c r="B103" s="12">
        <v>0.24826000000000001</v>
      </c>
      <c r="C103" s="12">
        <v>0.33267000000000002</v>
      </c>
      <c r="D103" s="12">
        <v>0.23194000000000001</v>
      </c>
      <c r="E103" s="12">
        <v>0.30245</v>
      </c>
      <c r="F103" s="9"/>
      <c r="G103" s="9"/>
    </row>
    <row r="104" spans="1:7" x14ac:dyDescent="0.25">
      <c r="A104" s="18">
        <v>98</v>
      </c>
      <c r="B104" s="12">
        <v>0.25916</v>
      </c>
      <c r="C104" s="12">
        <v>0.33950000000000002</v>
      </c>
      <c r="D104" s="12">
        <v>0.24722</v>
      </c>
      <c r="E104" s="12">
        <v>0.31791999999999998</v>
      </c>
      <c r="F104" s="9"/>
      <c r="G104" s="9"/>
    </row>
    <row r="105" spans="1:7" x14ac:dyDescent="0.25">
      <c r="A105" s="18">
        <v>99</v>
      </c>
      <c r="B105" s="12">
        <v>0.26896999999999999</v>
      </c>
      <c r="C105" s="12">
        <v>0.34427999999999997</v>
      </c>
      <c r="D105" s="12">
        <v>0.26196000000000003</v>
      </c>
      <c r="E105" s="12">
        <v>0.33217000000000002</v>
      </c>
      <c r="F105" s="9"/>
      <c r="G105" s="9"/>
    </row>
    <row r="106" spans="1:7" x14ac:dyDescent="0.25">
      <c r="A106" s="19">
        <v>100</v>
      </c>
      <c r="B106" s="16">
        <v>0.27786</v>
      </c>
      <c r="C106" s="16">
        <v>0.34733000000000003</v>
      </c>
      <c r="D106" s="16">
        <v>0.27603</v>
      </c>
      <c r="E106" s="16">
        <v>0.34504000000000001</v>
      </c>
      <c r="F106" s="9"/>
      <c r="G106" s="9"/>
    </row>
    <row r="107" spans="1:7" x14ac:dyDescent="0.25">
      <c r="F107" s="9"/>
      <c r="G107" s="9"/>
    </row>
    <row r="108" spans="1:7" x14ac:dyDescent="0.25">
      <c r="F108" s="9"/>
      <c r="G108" s="9"/>
    </row>
    <row r="109" spans="1:7" x14ac:dyDescent="0.25">
      <c r="F109" s="9"/>
      <c r="G109" s="9"/>
    </row>
    <row r="110" spans="1:7" x14ac:dyDescent="0.25">
      <c r="F110" s="9"/>
      <c r="G110" s="9"/>
    </row>
    <row r="111" spans="1:7" x14ac:dyDescent="0.25">
      <c r="F111" s="9"/>
      <c r="G111" s="9"/>
    </row>
    <row r="112" spans="1:7" x14ac:dyDescent="0.25">
      <c r="F112" s="9"/>
      <c r="G112" s="9"/>
    </row>
    <row r="113" spans="6:7" x14ac:dyDescent="0.25">
      <c r="F113" s="9"/>
      <c r="G113" s="9"/>
    </row>
    <row r="114" spans="6:7" x14ac:dyDescent="0.25">
      <c r="F114" s="9"/>
      <c r="G114" s="9"/>
    </row>
    <row r="115" spans="6:7" x14ac:dyDescent="0.25">
      <c r="F115" s="9"/>
      <c r="G115" s="9"/>
    </row>
    <row r="116" spans="6:7" x14ac:dyDescent="0.25">
      <c r="F116" s="9"/>
      <c r="G116" s="9"/>
    </row>
    <row r="117" spans="6:7" x14ac:dyDescent="0.25">
      <c r="F117" s="9"/>
      <c r="G117" s="9"/>
    </row>
    <row r="118" spans="6:7" x14ac:dyDescent="0.25">
      <c r="F118" s="9"/>
      <c r="G118" s="9"/>
    </row>
    <row r="119" spans="6:7" x14ac:dyDescent="0.25">
      <c r="F119" s="9"/>
      <c r="G119" s="9"/>
    </row>
    <row r="120" spans="6:7" x14ac:dyDescent="0.25">
      <c r="F120" s="9"/>
      <c r="G120" s="9"/>
    </row>
    <row r="121" spans="6:7" x14ac:dyDescent="0.25">
      <c r="F121" s="9"/>
      <c r="G121" s="9"/>
    </row>
    <row r="122" spans="6:7" x14ac:dyDescent="0.25">
      <c r="F122" s="9"/>
      <c r="G122" s="9"/>
    </row>
    <row r="123" spans="6:7" x14ac:dyDescent="0.25">
      <c r="F123" s="9"/>
      <c r="G123" s="9"/>
    </row>
    <row r="124" spans="6:7" x14ac:dyDescent="0.25">
      <c r="F124" s="9"/>
      <c r="G124" s="9"/>
    </row>
    <row r="125" spans="6:7" x14ac:dyDescent="0.25">
      <c r="F125" s="9"/>
      <c r="G125" s="9"/>
    </row>
    <row r="126" spans="6:7" x14ac:dyDescent="0.25">
      <c r="F126" s="9"/>
      <c r="G126" s="9"/>
    </row>
    <row r="127" spans="6:7" x14ac:dyDescent="0.25">
      <c r="F127" s="9"/>
      <c r="G127" s="9"/>
    </row>
    <row r="128" spans="6:7" x14ac:dyDescent="0.25">
      <c r="F128" s="9"/>
      <c r="G128" s="9"/>
    </row>
    <row r="129" spans="6:7" x14ac:dyDescent="0.25">
      <c r="F129" s="9"/>
      <c r="G129" s="9"/>
    </row>
    <row r="130" spans="6:7" x14ac:dyDescent="0.25">
      <c r="F130" s="9"/>
      <c r="G130" s="9"/>
    </row>
    <row r="131" spans="6:7" x14ac:dyDescent="0.25">
      <c r="F131" s="9"/>
      <c r="G131" s="9"/>
    </row>
    <row r="132" spans="6:7" x14ac:dyDescent="0.25">
      <c r="F132" s="9"/>
      <c r="G132" s="9"/>
    </row>
    <row r="133" spans="6:7" x14ac:dyDescent="0.25">
      <c r="F133" s="9"/>
      <c r="G133" s="9"/>
    </row>
    <row r="134" spans="6:7" x14ac:dyDescent="0.25">
      <c r="F134" s="9"/>
      <c r="G134" s="9"/>
    </row>
    <row r="135" spans="6:7" x14ac:dyDescent="0.25">
      <c r="F135" s="9"/>
      <c r="G135" s="9"/>
    </row>
    <row r="136" spans="6:7" x14ac:dyDescent="0.25">
      <c r="F136" s="9"/>
      <c r="G136" s="9"/>
    </row>
    <row r="137" spans="6:7" x14ac:dyDescent="0.25">
      <c r="F137" s="9"/>
      <c r="G137" s="9"/>
    </row>
    <row r="138" spans="6:7" x14ac:dyDescent="0.25">
      <c r="F138" s="9"/>
      <c r="G138" s="9"/>
    </row>
    <row r="139" spans="6:7" x14ac:dyDescent="0.25">
      <c r="F139" s="9"/>
      <c r="G139" s="9"/>
    </row>
    <row r="140" spans="6:7" x14ac:dyDescent="0.25">
      <c r="F140" s="9"/>
      <c r="G140" s="9"/>
    </row>
    <row r="141" spans="6:7" x14ac:dyDescent="0.25">
      <c r="F141" s="9"/>
      <c r="G141" s="9"/>
    </row>
    <row r="142" spans="6:7" x14ac:dyDescent="0.25">
      <c r="F142" s="9"/>
      <c r="G142" s="9"/>
    </row>
    <row r="143" spans="6:7" x14ac:dyDescent="0.25">
      <c r="F143" s="9"/>
      <c r="G143" s="9"/>
    </row>
    <row r="144" spans="6:7" x14ac:dyDescent="0.25">
      <c r="F144" s="9"/>
      <c r="G144" s="9"/>
    </row>
    <row r="145" spans="6:7" x14ac:dyDescent="0.25">
      <c r="F145" s="9"/>
      <c r="G145" s="9"/>
    </row>
    <row r="146" spans="6:7" x14ac:dyDescent="0.25">
      <c r="F146" s="9"/>
      <c r="G146" s="9"/>
    </row>
    <row r="147" spans="6:7" x14ac:dyDescent="0.25">
      <c r="F147" s="9"/>
      <c r="G147" s="9"/>
    </row>
    <row r="148" spans="6:7" x14ac:dyDescent="0.25">
      <c r="F148" s="9"/>
      <c r="G148" s="9"/>
    </row>
    <row r="149" spans="6:7" x14ac:dyDescent="0.25">
      <c r="F149" s="9"/>
      <c r="G149" s="9"/>
    </row>
    <row r="150" spans="6:7" x14ac:dyDescent="0.25">
      <c r="F150" s="9"/>
      <c r="G150" s="9"/>
    </row>
    <row r="151" spans="6:7" x14ac:dyDescent="0.25">
      <c r="F151" s="9"/>
      <c r="G151" s="9"/>
    </row>
    <row r="152" spans="6:7" x14ac:dyDescent="0.25">
      <c r="F152" s="9"/>
      <c r="G152" s="9"/>
    </row>
    <row r="153" spans="6:7" x14ac:dyDescent="0.25">
      <c r="F153" s="9"/>
      <c r="G153" s="9"/>
    </row>
    <row r="154" spans="6:7" x14ac:dyDescent="0.25">
      <c r="F154" s="9"/>
      <c r="G154" s="9"/>
    </row>
    <row r="155" spans="6:7" x14ac:dyDescent="0.25">
      <c r="F155" s="9"/>
      <c r="G155" s="9"/>
    </row>
    <row r="156" spans="6:7" x14ac:dyDescent="0.25">
      <c r="F156" s="9"/>
      <c r="G156" s="9"/>
    </row>
    <row r="157" spans="6:7" x14ac:dyDescent="0.25">
      <c r="F157" s="9"/>
      <c r="G157" s="9"/>
    </row>
    <row r="158" spans="6:7" x14ac:dyDescent="0.25">
      <c r="F158" s="9"/>
      <c r="G158" s="9"/>
    </row>
    <row r="159" spans="6:7" x14ac:dyDescent="0.25">
      <c r="F159" s="9"/>
      <c r="G159" s="9"/>
    </row>
    <row r="160" spans="6:7" x14ac:dyDescent="0.25">
      <c r="F160" s="9"/>
      <c r="G160" s="9"/>
    </row>
    <row r="161" spans="6:7" x14ac:dyDescent="0.25">
      <c r="F161" s="9"/>
      <c r="G161" s="9"/>
    </row>
    <row r="162" spans="6:7" x14ac:dyDescent="0.25">
      <c r="F162" s="9"/>
      <c r="G162" s="9"/>
    </row>
    <row r="163" spans="6:7" x14ac:dyDescent="0.25">
      <c r="F163" s="9"/>
      <c r="G163" s="9"/>
    </row>
    <row r="164" spans="6:7" x14ac:dyDescent="0.25">
      <c r="F164" s="9"/>
      <c r="G164" s="9"/>
    </row>
    <row r="165" spans="6:7" x14ac:dyDescent="0.25">
      <c r="F165" s="9"/>
      <c r="G165" s="9"/>
    </row>
    <row r="166" spans="6:7" x14ac:dyDescent="0.25">
      <c r="F166" s="9"/>
      <c r="G166" s="9"/>
    </row>
    <row r="167" spans="6:7" x14ac:dyDescent="0.25">
      <c r="F167" s="9"/>
      <c r="G167" s="9"/>
    </row>
    <row r="168" spans="6:7" x14ac:dyDescent="0.25">
      <c r="F168" s="9"/>
      <c r="G168" s="9"/>
    </row>
    <row r="169" spans="6:7" x14ac:dyDescent="0.25">
      <c r="F169" s="9"/>
      <c r="G169" s="9"/>
    </row>
    <row r="170" spans="6:7" x14ac:dyDescent="0.25">
      <c r="F170" s="9"/>
      <c r="G170" s="9"/>
    </row>
    <row r="171" spans="6:7" x14ac:dyDescent="0.25">
      <c r="F171" s="9"/>
      <c r="G171" s="9"/>
    </row>
    <row r="172" spans="6:7" x14ac:dyDescent="0.25">
      <c r="F172" s="9"/>
      <c r="G172" s="9"/>
    </row>
  </sheetData>
  <mergeCells count="2">
    <mergeCell ref="B3:C3"/>
    <mergeCell ref="D3:E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showGridLines="0" topLeftCell="A4" zoomScale="75" zoomScaleNormal="75" workbookViewId="0">
      <selection activeCell="F2" sqref="F2"/>
    </sheetView>
  </sheetViews>
  <sheetFormatPr defaultColWidth="9.140625" defaultRowHeight="15" x14ac:dyDescent="0.25"/>
  <cols>
    <col min="1" max="1" width="16.7109375" style="4" customWidth="1"/>
    <col min="2" max="5" width="13.7109375" style="4" customWidth="1"/>
    <col min="6" max="16384" width="9.140625" style="4"/>
  </cols>
  <sheetData>
    <row r="1" spans="1:5" ht="23.45" x14ac:dyDescent="0.45">
      <c r="A1" s="59" t="s">
        <v>24</v>
      </c>
      <c r="B1" s="58"/>
      <c r="C1" s="22"/>
    </row>
    <row r="2" spans="1:5" ht="14.45" x14ac:dyDescent="0.3">
      <c r="A2" s="20"/>
      <c r="B2" s="20"/>
      <c r="C2" s="20"/>
    </row>
    <row r="3" spans="1:5" ht="14.45" x14ac:dyDescent="0.3">
      <c r="A3" s="20"/>
      <c r="B3" s="20"/>
      <c r="C3" s="20"/>
    </row>
    <row r="4" spans="1:5" ht="14.45" x14ac:dyDescent="0.3">
      <c r="A4" s="104"/>
      <c r="B4" s="51"/>
      <c r="C4" s="51"/>
    </row>
    <row r="5" spans="1:5" ht="14.45" x14ac:dyDescent="0.3">
      <c r="A5" s="60"/>
      <c r="B5" s="131" t="s">
        <v>17</v>
      </c>
      <c r="C5" s="133"/>
      <c r="D5" s="131" t="s">
        <v>18</v>
      </c>
      <c r="E5" s="133"/>
    </row>
    <row r="6" spans="1:5" ht="14.45" x14ac:dyDescent="0.3">
      <c r="A6" s="60"/>
      <c r="B6" s="42" t="s">
        <v>19</v>
      </c>
      <c r="C6" s="42" t="s">
        <v>20</v>
      </c>
      <c r="D6" s="42" t="s">
        <v>19</v>
      </c>
      <c r="E6" s="42" t="s">
        <v>20</v>
      </c>
    </row>
    <row r="7" spans="1:5" ht="14.45" x14ac:dyDescent="0.3">
      <c r="A7" s="61" t="s">
        <v>21</v>
      </c>
      <c r="B7" s="62"/>
      <c r="C7" s="65"/>
      <c r="D7" s="66"/>
      <c r="E7" s="66"/>
    </row>
    <row r="8" spans="1:5" ht="14.45" x14ac:dyDescent="0.3">
      <c r="A8" s="9">
        <v>18</v>
      </c>
      <c r="B8" s="63">
        <v>0.67808219178082196</v>
      </c>
      <c r="C8" s="63">
        <v>1.3561643835616439</v>
      </c>
      <c r="D8" s="63">
        <v>0.37671232876712329</v>
      </c>
      <c r="E8" s="63">
        <v>0.64794520547945211</v>
      </c>
    </row>
    <row r="9" spans="1:5" ht="14.45" x14ac:dyDescent="0.3">
      <c r="A9" s="9">
        <f>A8+1</f>
        <v>19</v>
      </c>
      <c r="B9" s="63">
        <v>0.79863013698630148</v>
      </c>
      <c r="C9" s="63">
        <v>1.597260273972603</v>
      </c>
      <c r="D9" s="63">
        <v>0.37671232876712329</v>
      </c>
      <c r="E9" s="63">
        <v>0.64794520547945211</v>
      </c>
    </row>
    <row r="10" spans="1:5" ht="14.45" x14ac:dyDescent="0.3">
      <c r="A10" s="9">
        <f t="shared" ref="A10:A54" si="0">A9+1</f>
        <v>20</v>
      </c>
      <c r="B10" s="63">
        <v>0.90410958904109595</v>
      </c>
      <c r="C10" s="63">
        <v>1.8082191780821919</v>
      </c>
      <c r="D10" s="63">
        <v>0.36164383561643837</v>
      </c>
      <c r="E10" s="63">
        <v>0.61780821917808226</v>
      </c>
    </row>
    <row r="11" spans="1:5" ht="14.45" x14ac:dyDescent="0.3">
      <c r="A11" s="9">
        <f t="shared" si="0"/>
        <v>21</v>
      </c>
      <c r="B11" s="63">
        <v>0.91917808219178088</v>
      </c>
      <c r="C11" s="63">
        <v>1.8383561643835618</v>
      </c>
      <c r="D11" s="63">
        <v>0.36164383561643837</v>
      </c>
      <c r="E11" s="63">
        <v>0.61780821917808226</v>
      </c>
    </row>
    <row r="12" spans="1:5" ht="14.45" x14ac:dyDescent="0.3">
      <c r="A12" s="9">
        <f t="shared" si="0"/>
        <v>22</v>
      </c>
      <c r="B12" s="63">
        <v>0.90410958904109595</v>
      </c>
      <c r="C12" s="63">
        <v>1.8082191780821919</v>
      </c>
      <c r="D12" s="63">
        <v>0.33150684931506857</v>
      </c>
      <c r="E12" s="63">
        <v>0.55753424657534256</v>
      </c>
    </row>
    <row r="13" spans="1:5" ht="14.45" x14ac:dyDescent="0.3">
      <c r="A13" s="9">
        <f t="shared" si="0"/>
        <v>23</v>
      </c>
      <c r="B13" s="63">
        <v>0.85890410958904118</v>
      </c>
      <c r="C13" s="63">
        <v>1.7178082191780824</v>
      </c>
      <c r="D13" s="63">
        <v>0.31643835616438365</v>
      </c>
      <c r="E13" s="63">
        <v>0.54246575342465764</v>
      </c>
    </row>
    <row r="14" spans="1:5" ht="14.45" x14ac:dyDescent="0.3">
      <c r="A14" s="9">
        <f t="shared" si="0"/>
        <v>24</v>
      </c>
      <c r="B14" s="63">
        <v>0.82876712328767133</v>
      </c>
      <c r="C14" s="63">
        <v>1.6575342465753427</v>
      </c>
      <c r="D14" s="63">
        <v>0.28630136986301374</v>
      </c>
      <c r="E14" s="63">
        <v>0.48219178082191794</v>
      </c>
    </row>
    <row r="15" spans="1:5" ht="14.45" x14ac:dyDescent="0.3">
      <c r="A15" s="9">
        <f t="shared" si="0"/>
        <v>25</v>
      </c>
      <c r="B15" s="63">
        <v>0.79863013698630148</v>
      </c>
      <c r="C15" s="63">
        <v>1.597260273972603</v>
      </c>
      <c r="D15" s="63">
        <v>0.25616438356164389</v>
      </c>
      <c r="E15" s="63">
        <v>0.43698630136986311</v>
      </c>
    </row>
    <row r="16" spans="1:5" ht="14.45" x14ac:dyDescent="0.3">
      <c r="A16" s="9">
        <f t="shared" si="0"/>
        <v>26</v>
      </c>
      <c r="B16" s="63">
        <v>0.75342465753424659</v>
      </c>
      <c r="C16" s="63">
        <v>1.5068493150684932</v>
      </c>
      <c r="D16" s="63">
        <v>0.24109589041095897</v>
      </c>
      <c r="E16" s="63">
        <v>0.40684931506849314</v>
      </c>
    </row>
    <row r="17" spans="1:5" ht="14.45" x14ac:dyDescent="0.3">
      <c r="A17" s="9">
        <f t="shared" si="0"/>
        <v>27</v>
      </c>
      <c r="B17" s="63">
        <v>0.72328767123287674</v>
      </c>
      <c r="C17" s="63">
        <v>1.4465753424657535</v>
      </c>
      <c r="D17" s="63">
        <v>0.24109589041095897</v>
      </c>
      <c r="E17" s="63">
        <v>0.40684931506849314</v>
      </c>
    </row>
    <row r="18" spans="1:5" ht="14.45" x14ac:dyDescent="0.3">
      <c r="A18" s="9">
        <f t="shared" si="0"/>
        <v>28</v>
      </c>
      <c r="B18" s="63">
        <v>0.693150684931507</v>
      </c>
      <c r="C18" s="63">
        <v>1.386301369863014</v>
      </c>
      <c r="D18" s="63">
        <v>0.25616438356164389</v>
      </c>
      <c r="E18" s="63">
        <v>0.43698630136986311</v>
      </c>
    </row>
    <row r="19" spans="1:5" ht="14.45" x14ac:dyDescent="0.3">
      <c r="A19" s="9">
        <f t="shared" si="0"/>
        <v>29</v>
      </c>
      <c r="B19" s="63">
        <v>0.67808219178082196</v>
      </c>
      <c r="C19" s="63">
        <v>1.3561643835616439</v>
      </c>
      <c r="D19" s="63">
        <v>0.28630136986301374</v>
      </c>
      <c r="E19" s="63">
        <v>0.48219178082191794</v>
      </c>
    </row>
    <row r="20" spans="1:5" ht="14.45" x14ac:dyDescent="0.3">
      <c r="A20" s="9">
        <f t="shared" si="0"/>
        <v>30</v>
      </c>
      <c r="B20" s="63">
        <v>0.64794520547945211</v>
      </c>
      <c r="C20" s="63">
        <v>1.2958904109589042</v>
      </c>
      <c r="D20" s="63">
        <v>0.31643835616438365</v>
      </c>
      <c r="E20" s="63">
        <v>0.54246575342465764</v>
      </c>
    </row>
    <row r="21" spans="1:5" ht="14.45" x14ac:dyDescent="0.3">
      <c r="A21" s="9">
        <f t="shared" si="0"/>
        <v>31</v>
      </c>
      <c r="B21" s="63">
        <v>0.6328767123287673</v>
      </c>
      <c r="C21" s="63">
        <v>1.2657534246575346</v>
      </c>
      <c r="D21" s="63">
        <v>0.3465753424657535</v>
      </c>
      <c r="E21" s="63">
        <v>0.58767123287671241</v>
      </c>
    </row>
    <row r="22" spans="1:5" ht="14.45" x14ac:dyDescent="0.3">
      <c r="A22" s="9">
        <f t="shared" si="0"/>
        <v>32</v>
      </c>
      <c r="B22" s="63">
        <v>0.61780821917808226</v>
      </c>
      <c r="C22" s="63">
        <v>1.2356164383561645</v>
      </c>
      <c r="D22" s="63">
        <v>0.37671232876712329</v>
      </c>
      <c r="E22" s="63">
        <v>0.64794520547945211</v>
      </c>
    </row>
    <row r="23" spans="1:5" ht="14.45" x14ac:dyDescent="0.3">
      <c r="A23" s="9">
        <f t="shared" si="0"/>
        <v>33</v>
      </c>
      <c r="B23" s="63">
        <v>0.60273972602739745</v>
      </c>
      <c r="C23" s="63">
        <v>1.2054794520547949</v>
      </c>
      <c r="D23" s="63">
        <v>0.40684931506849314</v>
      </c>
      <c r="E23" s="63">
        <v>0.693150684931507</v>
      </c>
    </row>
    <row r="24" spans="1:5" ht="14.45" x14ac:dyDescent="0.3">
      <c r="A24" s="9">
        <f t="shared" si="0"/>
        <v>34</v>
      </c>
      <c r="B24" s="63">
        <v>0.61780821917808226</v>
      </c>
      <c r="C24" s="63">
        <v>1.2356164383561645</v>
      </c>
      <c r="D24" s="63">
        <v>0.45205479452054798</v>
      </c>
      <c r="E24" s="63">
        <v>0.76849315068493163</v>
      </c>
    </row>
    <row r="25" spans="1:5" ht="14.45" x14ac:dyDescent="0.3">
      <c r="A25" s="9">
        <f t="shared" si="0"/>
        <v>35</v>
      </c>
      <c r="B25" s="63">
        <v>0.6328767123287673</v>
      </c>
      <c r="C25" s="63">
        <v>1.2657534246575346</v>
      </c>
      <c r="D25" s="63">
        <v>0.48219178082191794</v>
      </c>
      <c r="E25" s="63">
        <v>0.81369863013698629</v>
      </c>
    </row>
    <row r="26" spans="1:5" ht="14.45" x14ac:dyDescent="0.3">
      <c r="A26" s="9">
        <f t="shared" si="0"/>
        <v>36</v>
      </c>
      <c r="B26" s="63">
        <v>0.64794520547945211</v>
      </c>
      <c r="C26" s="63">
        <v>1.2958904109589042</v>
      </c>
      <c r="D26" s="63">
        <v>0.51232876712328779</v>
      </c>
      <c r="E26" s="63">
        <v>0.87397260273972621</v>
      </c>
    </row>
    <row r="27" spans="1:5" ht="14.45" x14ac:dyDescent="0.3">
      <c r="A27" s="9">
        <f t="shared" si="0"/>
        <v>37</v>
      </c>
      <c r="B27" s="63">
        <v>0.67808219178082196</v>
      </c>
      <c r="C27" s="63">
        <v>1.3561643835616439</v>
      </c>
      <c r="D27" s="63">
        <v>0.55753424657534256</v>
      </c>
      <c r="E27" s="63">
        <v>0.94931506849315084</v>
      </c>
    </row>
    <row r="28" spans="1:5" ht="14.45" x14ac:dyDescent="0.3">
      <c r="A28" s="9">
        <f t="shared" si="0"/>
        <v>38</v>
      </c>
      <c r="B28" s="63">
        <v>0.73835616438356155</v>
      </c>
      <c r="C28" s="63">
        <v>1.4767123287671231</v>
      </c>
      <c r="D28" s="63">
        <v>0.60273972602739745</v>
      </c>
      <c r="E28" s="63">
        <v>1.0246575342465756</v>
      </c>
    </row>
    <row r="29" spans="1:5" ht="14.45" x14ac:dyDescent="0.3">
      <c r="A29" s="9">
        <f t="shared" si="0"/>
        <v>39</v>
      </c>
      <c r="B29" s="63">
        <v>0.79863013698630148</v>
      </c>
      <c r="C29" s="63">
        <v>1.597260273972603</v>
      </c>
      <c r="D29" s="63">
        <v>0.64794520547945211</v>
      </c>
      <c r="E29" s="63">
        <v>1.1000000000000001</v>
      </c>
    </row>
    <row r="30" spans="1:5" ht="14.45" x14ac:dyDescent="0.3">
      <c r="A30" s="9">
        <f t="shared" si="0"/>
        <v>40</v>
      </c>
      <c r="B30" s="63">
        <v>0.87397260273972621</v>
      </c>
      <c r="C30" s="63">
        <v>1.7479452054794524</v>
      </c>
      <c r="D30" s="63">
        <v>0.70821917808219181</v>
      </c>
      <c r="E30" s="63">
        <v>1.2054794520547949</v>
      </c>
    </row>
    <row r="31" spans="1:5" ht="14.45" x14ac:dyDescent="0.3">
      <c r="A31" s="9">
        <f t="shared" si="0"/>
        <v>41</v>
      </c>
      <c r="B31" s="63">
        <v>0.94931506849315084</v>
      </c>
      <c r="C31" s="63">
        <v>1.8986301369863017</v>
      </c>
      <c r="D31" s="63">
        <v>0.76849315068493163</v>
      </c>
      <c r="E31" s="63">
        <v>1.3109589041095893</v>
      </c>
    </row>
    <row r="32" spans="1:5" ht="14.45" x14ac:dyDescent="0.3">
      <c r="A32" s="9">
        <f t="shared" si="0"/>
        <v>42</v>
      </c>
      <c r="B32" s="63">
        <v>1.0246575342465756</v>
      </c>
      <c r="C32" s="63">
        <v>2.0493150684931511</v>
      </c>
      <c r="D32" s="63">
        <v>0.82876712328767133</v>
      </c>
      <c r="E32" s="63">
        <v>1.4164383561643836</v>
      </c>
    </row>
    <row r="33" spans="1:5" ht="14.45" x14ac:dyDescent="0.3">
      <c r="A33" s="9">
        <f t="shared" si="0"/>
        <v>43</v>
      </c>
      <c r="B33" s="63">
        <v>1.1150684931506851</v>
      </c>
      <c r="C33" s="63">
        <v>2.2301369863013702</v>
      </c>
      <c r="D33" s="63">
        <v>0.88904109589041114</v>
      </c>
      <c r="E33" s="63">
        <v>1.5068493150684932</v>
      </c>
    </row>
    <row r="34" spans="1:5" ht="14.45" x14ac:dyDescent="0.3">
      <c r="A34" s="9">
        <f t="shared" si="0"/>
        <v>44</v>
      </c>
      <c r="B34" s="63">
        <v>1.1904109589041099</v>
      </c>
      <c r="C34" s="63">
        <v>2.3808219178082197</v>
      </c>
      <c r="D34" s="63">
        <v>0.94931506849315084</v>
      </c>
      <c r="E34" s="63">
        <v>1.6123287671232875</v>
      </c>
    </row>
    <row r="35" spans="1:5" ht="14.45" x14ac:dyDescent="0.3">
      <c r="A35" s="9">
        <f t="shared" si="0"/>
        <v>45</v>
      </c>
      <c r="B35" s="63">
        <v>1.2958904109589042</v>
      </c>
      <c r="C35" s="63">
        <v>2.5917808219178085</v>
      </c>
      <c r="D35" s="63">
        <v>1.0397260273972602</v>
      </c>
      <c r="E35" s="63">
        <v>1.7630136986301372</v>
      </c>
    </row>
    <row r="36" spans="1:5" ht="14.45" x14ac:dyDescent="0.3">
      <c r="A36" s="9">
        <f t="shared" si="0"/>
        <v>46</v>
      </c>
      <c r="B36" s="63">
        <v>1.401369863013699</v>
      </c>
      <c r="C36" s="63">
        <v>2.8027397260273981</v>
      </c>
      <c r="D36" s="63">
        <v>1.1301369863013702</v>
      </c>
      <c r="E36" s="63">
        <v>1.9287671232876717</v>
      </c>
    </row>
    <row r="37" spans="1:5" x14ac:dyDescent="0.25">
      <c r="A37" s="9">
        <f t="shared" si="0"/>
        <v>47</v>
      </c>
      <c r="B37" s="63">
        <v>1.5520547945205481</v>
      </c>
      <c r="C37" s="63">
        <v>3.1041095890410961</v>
      </c>
      <c r="D37" s="63">
        <v>1.2657534246575346</v>
      </c>
      <c r="E37" s="63">
        <v>2.1547945205479455</v>
      </c>
    </row>
    <row r="38" spans="1:5" x14ac:dyDescent="0.25">
      <c r="A38" s="9">
        <f t="shared" si="0"/>
        <v>48</v>
      </c>
      <c r="B38" s="63">
        <v>1.7328767123287674</v>
      </c>
      <c r="C38" s="63">
        <v>3.4657534246575348</v>
      </c>
      <c r="D38" s="63">
        <v>1.401369863013699</v>
      </c>
      <c r="E38" s="63">
        <v>2.3808219178082197</v>
      </c>
    </row>
    <row r="39" spans="1:5" x14ac:dyDescent="0.25">
      <c r="A39" s="9">
        <f t="shared" si="0"/>
        <v>49</v>
      </c>
      <c r="B39" s="63">
        <v>1.9287671232876717</v>
      </c>
      <c r="C39" s="63">
        <v>3.8575342465753435</v>
      </c>
      <c r="D39" s="63">
        <v>1.5821917808219179</v>
      </c>
      <c r="E39" s="63">
        <v>2.6972602739726028</v>
      </c>
    </row>
    <row r="40" spans="1:5" x14ac:dyDescent="0.25">
      <c r="A40" s="9">
        <f t="shared" si="0"/>
        <v>50</v>
      </c>
      <c r="B40" s="63">
        <v>2.1397260273972605</v>
      </c>
      <c r="C40" s="63">
        <v>4.279452054794521</v>
      </c>
      <c r="D40" s="63">
        <v>1.7630136986301372</v>
      </c>
      <c r="E40" s="63">
        <v>2.9986301369863013</v>
      </c>
    </row>
    <row r="41" spans="1:5" x14ac:dyDescent="0.25">
      <c r="A41" s="9">
        <f t="shared" si="0"/>
        <v>51</v>
      </c>
      <c r="B41" s="63">
        <v>2.3506849315068497</v>
      </c>
      <c r="C41" s="63">
        <v>4.7013698630136993</v>
      </c>
      <c r="D41" s="63">
        <v>1.9438356164383563</v>
      </c>
      <c r="E41" s="63">
        <v>3.3000000000000003</v>
      </c>
    </row>
    <row r="42" spans="1:5" x14ac:dyDescent="0.25">
      <c r="A42" s="9">
        <f t="shared" si="0"/>
        <v>52</v>
      </c>
      <c r="B42" s="63">
        <v>2.5917808219178085</v>
      </c>
      <c r="C42" s="63">
        <v>5.1835616438356169</v>
      </c>
      <c r="D42" s="63">
        <v>2.0945205479452054</v>
      </c>
      <c r="E42" s="63">
        <v>3.5561643835616445</v>
      </c>
    </row>
    <row r="43" spans="1:5" x14ac:dyDescent="0.25">
      <c r="A43" s="9">
        <f t="shared" si="0"/>
        <v>53</v>
      </c>
      <c r="B43" s="63">
        <v>2.8479452054794523</v>
      </c>
      <c r="C43" s="63">
        <v>5.6958904109589046</v>
      </c>
      <c r="D43" s="63">
        <v>2.2452054794520553</v>
      </c>
      <c r="E43" s="63">
        <v>3.8123287671232884</v>
      </c>
    </row>
    <row r="44" spans="1:5" x14ac:dyDescent="0.25">
      <c r="A44" s="9">
        <f t="shared" si="0"/>
        <v>54</v>
      </c>
      <c r="B44" s="63">
        <v>3.1342465753424658</v>
      </c>
      <c r="C44" s="63">
        <v>6.2684931506849315</v>
      </c>
      <c r="D44" s="63">
        <v>2.3657534246575347</v>
      </c>
      <c r="E44" s="63">
        <v>4.0232876712328771</v>
      </c>
    </row>
    <row r="45" spans="1:5" x14ac:dyDescent="0.25">
      <c r="A45" s="9">
        <f t="shared" si="0"/>
        <v>55</v>
      </c>
      <c r="B45" s="63">
        <v>3.4657534246575348</v>
      </c>
      <c r="C45" s="63">
        <v>6.9315068493150696</v>
      </c>
      <c r="D45" s="63">
        <v>2.5013698630136991</v>
      </c>
      <c r="E45" s="63">
        <v>4.2493150684931509</v>
      </c>
    </row>
    <row r="46" spans="1:5" x14ac:dyDescent="0.25">
      <c r="A46" s="9">
        <f t="shared" si="0"/>
        <v>56</v>
      </c>
      <c r="B46" s="63">
        <v>3.8424657534246585</v>
      </c>
      <c r="C46" s="63">
        <v>7.6849315068493169</v>
      </c>
      <c r="D46" s="63">
        <v>2.6972602739726028</v>
      </c>
      <c r="E46" s="63">
        <v>4.5808219178082199</v>
      </c>
    </row>
    <row r="47" spans="1:5" x14ac:dyDescent="0.25">
      <c r="A47" s="9">
        <f t="shared" si="0"/>
        <v>57</v>
      </c>
      <c r="B47" s="63">
        <v>4.309589041095891</v>
      </c>
      <c r="C47" s="63">
        <v>8.6191780821917821</v>
      </c>
      <c r="D47" s="63">
        <v>2.9534246575342462</v>
      </c>
      <c r="E47" s="63">
        <v>5.0178082191780824</v>
      </c>
    </row>
    <row r="48" spans="1:5" x14ac:dyDescent="0.25">
      <c r="A48" s="9">
        <f t="shared" si="0"/>
        <v>58</v>
      </c>
      <c r="B48" s="63">
        <v>4.8219178082191796</v>
      </c>
      <c r="C48" s="63">
        <v>9.6438356164383592</v>
      </c>
      <c r="D48" s="63">
        <v>3.3000000000000003</v>
      </c>
      <c r="E48" s="63">
        <v>5.6054794520547961</v>
      </c>
    </row>
    <row r="49" spans="1:5" x14ac:dyDescent="0.25">
      <c r="A49" s="9">
        <f t="shared" si="0"/>
        <v>59</v>
      </c>
      <c r="B49" s="63">
        <v>5.3945205479452056</v>
      </c>
      <c r="C49" s="63">
        <v>10.789041095890411</v>
      </c>
      <c r="D49" s="63">
        <v>3.7369863013698637</v>
      </c>
      <c r="E49" s="63">
        <v>6.3589041095890417</v>
      </c>
    </row>
    <row r="50" spans="1:5" x14ac:dyDescent="0.25">
      <c r="A50" s="9">
        <f t="shared" si="0"/>
        <v>60</v>
      </c>
      <c r="B50" s="63">
        <v>5.9821917808219185</v>
      </c>
      <c r="C50" s="63">
        <v>11.964383561643837</v>
      </c>
      <c r="D50" s="63">
        <v>4.279452054794521</v>
      </c>
      <c r="E50" s="63">
        <v>7.2780821917808227</v>
      </c>
    </row>
    <row r="51" spans="1:5" x14ac:dyDescent="0.25">
      <c r="A51" s="9">
        <f t="shared" si="0"/>
        <v>61</v>
      </c>
      <c r="B51" s="63">
        <v>6.6000000000000005</v>
      </c>
      <c r="C51" s="63">
        <v>13.200000000000001</v>
      </c>
      <c r="D51" s="63">
        <v>4.9273972602739731</v>
      </c>
      <c r="E51" s="63">
        <v>8.3780821917808215</v>
      </c>
    </row>
    <row r="52" spans="1:5" x14ac:dyDescent="0.25">
      <c r="A52" s="9">
        <f t="shared" si="0"/>
        <v>62</v>
      </c>
      <c r="B52" s="63">
        <v>7.2178082191780826</v>
      </c>
      <c r="C52" s="63">
        <v>14.435616438356165</v>
      </c>
      <c r="D52" s="63">
        <v>5.6506849315068495</v>
      </c>
      <c r="E52" s="63">
        <v>9.6136986301369873</v>
      </c>
    </row>
    <row r="53" spans="1:5" x14ac:dyDescent="0.25">
      <c r="A53" s="9">
        <f t="shared" si="0"/>
        <v>63</v>
      </c>
      <c r="B53" s="63">
        <v>7.9109589041095907</v>
      </c>
      <c r="C53" s="63">
        <v>15.821917808219181</v>
      </c>
      <c r="D53" s="63">
        <v>6.4493150684931502</v>
      </c>
      <c r="E53" s="63">
        <v>10.969863013698632</v>
      </c>
    </row>
    <row r="54" spans="1:5" x14ac:dyDescent="0.25">
      <c r="A54" s="9">
        <f t="shared" si="0"/>
        <v>64</v>
      </c>
      <c r="B54" s="64">
        <v>8.7246575342465764</v>
      </c>
      <c r="C54" s="64">
        <v>17.449315068493153</v>
      </c>
      <c r="D54" s="64">
        <v>7.3232876712328769</v>
      </c>
      <c r="E54" s="64">
        <v>12.446575342465755</v>
      </c>
    </row>
    <row r="55" spans="1:5" x14ac:dyDescent="0.25">
      <c r="A55" s="20"/>
      <c r="B55" s="20"/>
      <c r="C55" s="20"/>
    </row>
    <row r="56" spans="1:5" x14ac:dyDescent="0.25">
      <c r="C56" s="20"/>
    </row>
    <row r="57" spans="1:5" x14ac:dyDescent="0.25">
      <c r="C57" s="20"/>
    </row>
    <row r="58" spans="1:5" x14ac:dyDescent="0.25">
      <c r="C58" s="20"/>
    </row>
    <row r="59" spans="1:5" x14ac:dyDescent="0.25">
      <c r="C59" s="20"/>
    </row>
    <row r="60" spans="1:5" x14ac:dyDescent="0.25">
      <c r="C60" s="20"/>
    </row>
    <row r="61" spans="1:5" x14ac:dyDescent="0.25">
      <c r="C61" s="20"/>
    </row>
    <row r="62" spans="1:5" x14ac:dyDescent="0.25">
      <c r="C62" s="20"/>
    </row>
    <row r="63" spans="1:5" x14ac:dyDescent="0.25">
      <c r="C63" s="20"/>
    </row>
    <row r="64" spans="1:5" x14ac:dyDescent="0.25">
      <c r="C64" s="20"/>
    </row>
    <row r="65" spans="3:3" x14ac:dyDescent="0.25">
      <c r="C65" s="20"/>
    </row>
    <row r="66" spans="3:3" x14ac:dyDescent="0.25">
      <c r="C66" s="20"/>
    </row>
    <row r="67" spans="3:3" x14ac:dyDescent="0.25">
      <c r="C67" s="20"/>
    </row>
    <row r="68" spans="3:3" x14ac:dyDescent="0.25">
      <c r="C68" s="20"/>
    </row>
    <row r="69" spans="3:3" x14ac:dyDescent="0.25">
      <c r="C69" s="20"/>
    </row>
    <row r="70" spans="3:3" x14ac:dyDescent="0.25">
      <c r="C70" s="20"/>
    </row>
    <row r="71" spans="3:3" x14ac:dyDescent="0.25">
      <c r="C71" s="20"/>
    </row>
    <row r="72" spans="3:3" x14ac:dyDescent="0.25">
      <c r="C72" s="20"/>
    </row>
    <row r="73" spans="3:3" x14ac:dyDescent="0.25">
      <c r="C73" s="20"/>
    </row>
    <row r="74" spans="3:3" x14ac:dyDescent="0.25">
      <c r="C74" s="20"/>
    </row>
    <row r="75" spans="3:3" x14ac:dyDescent="0.25">
      <c r="C75" s="20"/>
    </row>
    <row r="76" spans="3:3" x14ac:dyDescent="0.25">
      <c r="C76" s="20"/>
    </row>
    <row r="77" spans="3:3" x14ac:dyDescent="0.25">
      <c r="C77" s="20"/>
    </row>
    <row r="78" spans="3:3" x14ac:dyDescent="0.25">
      <c r="C78" s="20"/>
    </row>
    <row r="79" spans="3:3" x14ac:dyDescent="0.25">
      <c r="C79" s="20"/>
    </row>
    <row r="80" spans="3:3" x14ac:dyDescent="0.25">
      <c r="C80" s="20"/>
    </row>
    <row r="81" spans="3:3" x14ac:dyDescent="0.25">
      <c r="C81" s="20"/>
    </row>
    <row r="82" spans="3:3" x14ac:dyDescent="0.25">
      <c r="C82" s="20"/>
    </row>
    <row r="83" spans="3:3" x14ac:dyDescent="0.25">
      <c r="C83" s="20"/>
    </row>
    <row r="84" spans="3:3" x14ac:dyDescent="0.25">
      <c r="C84" s="20"/>
    </row>
    <row r="85" spans="3:3" x14ac:dyDescent="0.25">
      <c r="C85" s="20"/>
    </row>
    <row r="86" spans="3:3" x14ac:dyDescent="0.25">
      <c r="C86" s="20"/>
    </row>
    <row r="87" spans="3:3" x14ac:dyDescent="0.25">
      <c r="C87" s="20"/>
    </row>
    <row r="88" spans="3:3" x14ac:dyDescent="0.25">
      <c r="C88" s="20"/>
    </row>
    <row r="89" spans="3:3" x14ac:dyDescent="0.25">
      <c r="C89" s="20"/>
    </row>
    <row r="90" spans="3:3" x14ac:dyDescent="0.25">
      <c r="C90" s="20"/>
    </row>
    <row r="91" spans="3:3" x14ac:dyDescent="0.25">
      <c r="C91" s="20"/>
    </row>
    <row r="92" spans="3:3" x14ac:dyDescent="0.25">
      <c r="C92" s="20"/>
    </row>
    <row r="93" spans="3:3" x14ac:dyDescent="0.25">
      <c r="C93" s="20"/>
    </row>
    <row r="94" spans="3:3" x14ac:dyDescent="0.25">
      <c r="C94" s="20"/>
    </row>
    <row r="95" spans="3:3" x14ac:dyDescent="0.25">
      <c r="C95" s="20"/>
    </row>
    <row r="96" spans="3:3" x14ac:dyDescent="0.25">
      <c r="C96" s="20"/>
    </row>
    <row r="97" spans="3:3" x14ac:dyDescent="0.25">
      <c r="C97" s="20"/>
    </row>
    <row r="98" spans="3:3" x14ac:dyDescent="0.25">
      <c r="C98" s="20"/>
    </row>
    <row r="99" spans="3:3" x14ac:dyDescent="0.25">
      <c r="C99" s="20"/>
    </row>
    <row r="100" spans="3:3" x14ac:dyDescent="0.25">
      <c r="C100" s="20"/>
    </row>
    <row r="101" spans="3:3" x14ac:dyDescent="0.25">
      <c r="C101" s="20"/>
    </row>
    <row r="102" spans="3:3" x14ac:dyDescent="0.25">
      <c r="C102" s="20"/>
    </row>
    <row r="103" spans="3:3" x14ac:dyDescent="0.25">
      <c r="C103" s="20"/>
    </row>
    <row r="104" spans="3:3" x14ac:dyDescent="0.25">
      <c r="C104" s="20"/>
    </row>
    <row r="105" spans="3:3" x14ac:dyDescent="0.25">
      <c r="C105" s="20"/>
    </row>
    <row r="106" spans="3:3" x14ac:dyDescent="0.25">
      <c r="C106" s="20"/>
    </row>
  </sheetData>
  <mergeCells count="2">
    <mergeCell ref="B5:C5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topLeftCell="A4" zoomScale="66" zoomScaleNormal="66" workbookViewId="0">
      <selection activeCell="D34" sqref="D34"/>
    </sheetView>
  </sheetViews>
  <sheetFormatPr defaultRowHeight="15" x14ac:dyDescent="0.25"/>
  <cols>
    <col min="1" max="1" width="38.7109375" customWidth="1"/>
    <col min="2" max="2" width="25.7109375" style="23" customWidth="1"/>
    <col min="3" max="3" width="29" style="23" customWidth="1"/>
  </cols>
  <sheetData>
    <row r="1" spans="1:5" ht="14.45" x14ac:dyDescent="0.3">
      <c r="A1" s="134" t="s">
        <v>106</v>
      </c>
      <c r="B1" s="134"/>
      <c r="C1" s="134"/>
    </row>
    <row r="2" spans="1:5" ht="14.45" x14ac:dyDescent="0.3">
      <c r="A2" s="1" t="s">
        <v>72</v>
      </c>
      <c r="B2" s="71" t="s">
        <v>84</v>
      </c>
      <c r="C2" s="71" t="s">
        <v>85</v>
      </c>
    </row>
    <row r="4" spans="1:5" ht="14.45" x14ac:dyDescent="0.3">
      <c r="A4" s="1" t="s">
        <v>93</v>
      </c>
    </row>
    <row r="5" spans="1:5" ht="14.45" x14ac:dyDescent="0.3">
      <c r="A5" t="s">
        <v>109</v>
      </c>
      <c r="B5" s="69">
        <f>SUM('Business Mix'!B6:B8)</f>
        <v>0.67</v>
      </c>
    </row>
    <row r="6" spans="1:5" ht="14.45" x14ac:dyDescent="0.3">
      <c r="A6" t="s">
        <v>110</v>
      </c>
      <c r="C6" s="69">
        <f>SUM('Business Mix'!B7:B8)</f>
        <v>0.32</v>
      </c>
      <c r="D6" s="104"/>
      <c r="E6" s="104"/>
    </row>
    <row r="8" spans="1:5" ht="14.45" x14ac:dyDescent="0.3">
      <c r="A8" t="s">
        <v>94</v>
      </c>
      <c r="B8" s="23">
        <v>2000</v>
      </c>
      <c r="C8" s="23">
        <f>B8*(1+C9)</f>
        <v>2400</v>
      </c>
    </row>
    <row r="9" spans="1:5" ht="14.45" x14ac:dyDescent="0.3">
      <c r="A9" t="s">
        <v>89</v>
      </c>
      <c r="C9" s="69">
        <v>0.2</v>
      </c>
    </row>
    <row r="11" spans="1:5" ht="14.45" x14ac:dyDescent="0.3">
      <c r="A11" t="s">
        <v>95</v>
      </c>
      <c r="B11" s="69">
        <v>0.2</v>
      </c>
      <c r="C11" s="69">
        <v>0.2</v>
      </c>
    </row>
    <row r="13" spans="1:5" ht="14.45" x14ac:dyDescent="0.3">
      <c r="A13" s="1" t="s">
        <v>98</v>
      </c>
    </row>
    <row r="14" spans="1:5" ht="14.45" x14ac:dyDescent="0.3">
      <c r="A14" t="s">
        <v>69</v>
      </c>
      <c r="B14" s="23">
        <v>400</v>
      </c>
      <c r="C14" s="23">
        <v>400</v>
      </c>
    </row>
    <row r="15" spans="1:5" ht="14.45" x14ac:dyDescent="0.3">
      <c r="A15" t="s">
        <v>99</v>
      </c>
      <c r="B15" s="23">
        <v>150</v>
      </c>
      <c r="C15" s="23">
        <v>150</v>
      </c>
    </row>
    <row r="17" spans="1:4" ht="14.45" x14ac:dyDescent="0.3">
      <c r="A17" s="1" t="s">
        <v>96</v>
      </c>
    </row>
    <row r="18" spans="1:4" ht="14.45" x14ac:dyDescent="0.3">
      <c r="A18" t="s">
        <v>97</v>
      </c>
      <c r="B18" s="105">
        <f>(B5+B11*(1-B5))*B8*B14</f>
        <v>588800</v>
      </c>
      <c r="C18" s="105">
        <f>(C6+C11*(1-C6))*C8*C14</f>
        <v>437759.99999999994</v>
      </c>
    </row>
    <row r="19" spans="1:4" ht="14.45" x14ac:dyDescent="0.3">
      <c r="A19" t="s">
        <v>70</v>
      </c>
      <c r="B19" s="105">
        <f>(B5+B11*(1-B5))*B8*B15</f>
        <v>220800</v>
      </c>
      <c r="C19" s="105">
        <f>(C6+C11*(1-C6))*C8*C15</f>
        <v>164159.99999999997</v>
      </c>
    </row>
    <row r="20" spans="1:4" ht="14.45" x14ac:dyDescent="0.3">
      <c r="A20" t="s">
        <v>71</v>
      </c>
      <c r="B20" s="109">
        <f>SUM(B18:B19)</f>
        <v>809600</v>
      </c>
      <c r="C20" s="109">
        <f>SUM(C18:C19)</f>
        <v>601919.99999999988</v>
      </c>
      <c r="D20" s="116">
        <f>B20-C20</f>
        <v>207680.00000000012</v>
      </c>
    </row>
    <row r="22" spans="1:4" ht="14.45" x14ac:dyDescent="0.3">
      <c r="A22" s="2" t="s">
        <v>92</v>
      </c>
      <c r="B22" s="69">
        <v>0.8</v>
      </c>
      <c r="C22" s="69">
        <v>0.8</v>
      </c>
    </row>
    <row r="24" spans="1:4" ht="14.45" x14ac:dyDescent="0.3">
      <c r="A24" t="s">
        <v>100</v>
      </c>
      <c r="B24" s="23">
        <f>B8*B22</f>
        <v>1600</v>
      </c>
      <c r="C24" s="23">
        <f>C8*C22</f>
        <v>1920</v>
      </c>
    </row>
    <row r="26" spans="1:4" ht="14.45" x14ac:dyDescent="0.3">
      <c r="A26" s="1" t="s">
        <v>101</v>
      </c>
      <c r="B26" s="105">
        <f>B20/B24</f>
        <v>506</v>
      </c>
      <c r="C26" s="105">
        <f>C20/C24</f>
        <v>313.49999999999994</v>
      </c>
      <c r="D26" s="106"/>
    </row>
    <row r="28" spans="1:4" ht="14.45" x14ac:dyDescent="0.3">
      <c r="A28" t="s">
        <v>102</v>
      </c>
    </row>
    <row r="29" spans="1:4" ht="14.45" x14ac:dyDescent="0.3">
      <c r="A29" t="s">
        <v>71</v>
      </c>
      <c r="B29" s="23">
        <f>B31*B30</f>
        <v>275000</v>
      </c>
      <c r="C29" s="23">
        <f>B29</f>
        <v>275000</v>
      </c>
    </row>
    <row r="30" spans="1:4" ht="14.45" x14ac:dyDescent="0.3">
      <c r="A30" t="s">
        <v>104</v>
      </c>
      <c r="B30" s="23">
        <f>5500</f>
        <v>5500</v>
      </c>
      <c r="C30" s="23">
        <f>B30-B24+C24</f>
        <v>5820</v>
      </c>
    </row>
    <row r="31" spans="1:4" ht="14.45" x14ac:dyDescent="0.3">
      <c r="A31" t="s">
        <v>103</v>
      </c>
      <c r="B31" s="107">
        <v>50</v>
      </c>
      <c r="C31" s="108">
        <f>C29/C30</f>
        <v>47.250859106529212</v>
      </c>
    </row>
    <row r="33" spans="1:5" ht="14.45" x14ac:dyDescent="0.3">
      <c r="A33" s="110" t="s">
        <v>107</v>
      </c>
      <c r="B33" s="111"/>
      <c r="C33" s="111"/>
    </row>
    <row r="34" spans="1:5" ht="14.45" x14ac:dyDescent="0.3">
      <c r="A34" s="112" t="s">
        <v>105</v>
      </c>
      <c r="B34" s="113">
        <f>B26</f>
        <v>506</v>
      </c>
      <c r="C34" s="113">
        <f>C26</f>
        <v>313.49999999999994</v>
      </c>
      <c r="D34" s="116">
        <f>B34-C34</f>
        <v>192.50000000000006</v>
      </c>
      <c r="E34" s="116"/>
    </row>
    <row r="35" spans="1:5" ht="14.45" x14ac:dyDescent="0.3">
      <c r="A35" s="112" t="s">
        <v>102</v>
      </c>
      <c r="B35" s="111">
        <f>B31</f>
        <v>50</v>
      </c>
      <c r="C35" s="114">
        <f>B35</f>
        <v>50</v>
      </c>
      <c r="D35" s="116">
        <f>B35-C35</f>
        <v>0</v>
      </c>
    </row>
    <row r="36" spans="1:5" thickBot="1" x14ac:dyDescent="0.35">
      <c r="A36" s="112" t="s">
        <v>71</v>
      </c>
      <c r="B36" s="115">
        <f>SUM(B34:B35)</f>
        <v>556</v>
      </c>
      <c r="C36" s="115">
        <f>SUM(C34:C35)</f>
        <v>363.49999999999994</v>
      </c>
      <c r="D36" s="116">
        <f>B36-C36</f>
        <v>192.50000000000006</v>
      </c>
    </row>
    <row r="37" spans="1:5" thickTop="1" x14ac:dyDescent="0.3"/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topLeftCell="A16" zoomScale="69" zoomScaleNormal="69" workbookViewId="0">
      <selection activeCell="J26" sqref="J26:J27"/>
    </sheetView>
  </sheetViews>
  <sheetFormatPr defaultRowHeight="15" x14ac:dyDescent="0.25"/>
  <cols>
    <col min="1" max="1" width="32.42578125" customWidth="1"/>
    <col min="2" max="2" width="15.28515625" style="23" customWidth="1"/>
    <col min="3" max="4" width="15.28515625" style="55" customWidth="1"/>
    <col min="6" max="6" width="10" bestFit="1" customWidth="1"/>
  </cols>
  <sheetData>
    <row r="1" spans="1:6" ht="14.45" x14ac:dyDescent="0.3">
      <c r="A1" s="134" t="s">
        <v>108</v>
      </c>
      <c r="B1" s="134"/>
      <c r="C1" s="134"/>
      <c r="D1" s="134"/>
    </row>
    <row r="3" spans="1:6" ht="14.45" x14ac:dyDescent="0.3">
      <c r="A3" s="1" t="s">
        <v>93</v>
      </c>
      <c r="B3" s="71" t="s">
        <v>84</v>
      </c>
      <c r="C3" s="121" t="s">
        <v>85</v>
      </c>
    </row>
    <row r="4" spans="1:6" ht="14.45" x14ac:dyDescent="0.3">
      <c r="A4" s="2" t="s">
        <v>111</v>
      </c>
      <c r="B4" s="69">
        <f>SUM('Business Mix'!B4:B5)</f>
        <v>0.33</v>
      </c>
      <c r="C4" s="94">
        <f>SUM('Business Mix'!B4:B6)</f>
        <v>0.67999999999999994</v>
      </c>
      <c r="D4" s="120"/>
    </row>
    <row r="5" spans="1:6" ht="14.45" x14ac:dyDescent="0.3">
      <c r="A5" s="2" t="s">
        <v>112</v>
      </c>
      <c r="B5" s="69">
        <f>SUM('Business Mix'!B6:B8)</f>
        <v>0.67</v>
      </c>
      <c r="C5" s="94">
        <f>SUM('Business Mix'!B7:B8)</f>
        <v>0.32</v>
      </c>
      <c r="D5" s="120"/>
    </row>
    <row r="7" spans="1:6" ht="14.45" x14ac:dyDescent="0.3">
      <c r="A7" t="s">
        <v>95</v>
      </c>
      <c r="B7" s="69">
        <v>0.2</v>
      </c>
    </row>
    <row r="9" spans="1:6" s="119" customFormat="1" ht="14.45" x14ac:dyDescent="0.3">
      <c r="A9" s="117" t="s">
        <v>113</v>
      </c>
      <c r="B9" s="117"/>
      <c r="C9" s="118"/>
      <c r="D9" s="118"/>
    </row>
    <row r="10" spans="1:6" s="119" customFormat="1" ht="14.45" x14ac:dyDescent="0.3">
      <c r="A10" s="117"/>
      <c r="B10" s="117"/>
      <c r="C10" s="93" t="s">
        <v>120</v>
      </c>
      <c r="D10" s="93" t="s">
        <v>75</v>
      </c>
    </row>
    <row r="11" spans="1:6" ht="14.45" x14ac:dyDescent="0.3">
      <c r="A11" t="s">
        <v>74</v>
      </c>
      <c r="B11" s="69">
        <f>B4*B7</f>
        <v>6.6000000000000003E-2</v>
      </c>
      <c r="C11" s="94">
        <v>0.4</v>
      </c>
      <c r="D11" s="94">
        <v>0.6</v>
      </c>
      <c r="F11" s="125"/>
    </row>
    <row r="12" spans="1:6" ht="14.45" x14ac:dyDescent="0.3">
      <c r="A12" t="s">
        <v>111</v>
      </c>
      <c r="B12" s="69">
        <f>B4*(1-B7)</f>
        <v>0.26400000000000001</v>
      </c>
      <c r="C12" s="94">
        <v>1</v>
      </c>
      <c r="D12" s="94"/>
    </row>
    <row r="13" spans="1:6" ht="14.45" x14ac:dyDescent="0.3">
      <c r="A13" t="s">
        <v>112</v>
      </c>
      <c r="B13" s="69">
        <f>B5</f>
        <v>0.67</v>
      </c>
      <c r="C13" s="94">
        <v>0.4</v>
      </c>
      <c r="D13" s="94">
        <v>0.6</v>
      </c>
    </row>
    <row r="14" spans="1:6" ht="14.45" x14ac:dyDescent="0.3">
      <c r="B14" s="69">
        <f>SUM(B11:B13)</f>
        <v>1</v>
      </c>
      <c r="C14" s="93"/>
      <c r="D14" s="93"/>
    </row>
    <row r="15" spans="1:6" ht="14.45" x14ac:dyDescent="0.3">
      <c r="C15" s="93"/>
      <c r="D15" s="93"/>
    </row>
    <row r="16" spans="1:6" ht="14.45" x14ac:dyDescent="0.3">
      <c r="A16" t="s">
        <v>76</v>
      </c>
      <c r="B16" s="69"/>
      <c r="C16" s="94">
        <v>0</v>
      </c>
      <c r="D16" s="94">
        <v>0.75</v>
      </c>
    </row>
    <row r="18" spans="1:5" ht="14.45" x14ac:dyDescent="0.3">
      <c r="A18" s="95" t="s">
        <v>114</v>
      </c>
      <c r="B18" s="122">
        <f>SUMPRODUCT(C11:D11,$C$16:$D$16)*B11+SUMPRODUCT(C12:D12,C16:D16)*B12+SUMPRODUCT(C13:D13,C16:D16)*B13</f>
        <v>0.33119999999999999</v>
      </c>
    </row>
    <row r="20" spans="1:5" s="119" customFormat="1" ht="14.45" x14ac:dyDescent="0.3">
      <c r="A20" s="117" t="s">
        <v>73</v>
      </c>
      <c r="B20" s="117"/>
      <c r="C20" s="118"/>
      <c r="D20" s="118"/>
    </row>
    <row r="22" spans="1:5" ht="14.45" x14ac:dyDescent="0.3">
      <c r="C22" s="93" t="s">
        <v>120</v>
      </c>
      <c r="D22" s="93" t="s">
        <v>75</v>
      </c>
    </row>
    <row r="23" spans="1:5" ht="14.45" x14ac:dyDescent="0.3">
      <c r="A23" t="s">
        <v>74</v>
      </c>
      <c r="B23" s="69">
        <f>C4*B7</f>
        <v>0.13599999999999998</v>
      </c>
      <c r="C23" s="94">
        <v>0.4</v>
      </c>
      <c r="D23" s="94">
        <v>0.6</v>
      </c>
      <c r="E23" s="73"/>
    </row>
    <row r="24" spans="1:5" ht="14.45" x14ac:dyDescent="0.3">
      <c r="A24" t="s">
        <v>111</v>
      </c>
      <c r="B24" s="69">
        <f>C4*(1-B7)</f>
        <v>0.54399999999999993</v>
      </c>
      <c r="C24" s="94">
        <v>1</v>
      </c>
      <c r="D24" s="94"/>
    </row>
    <row r="25" spans="1:5" ht="14.45" x14ac:dyDescent="0.3">
      <c r="A25" t="s">
        <v>112</v>
      </c>
      <c r="B25" s="69">
        <f>C5</f>
        <v>0.32</v>
      </c>
      <c r="C25" s="94">
        <v>0.4</v>
      </c>
      <c r="D25" s="94">
        <v>0.6</v>
      </c>
    </row>
    <row r="26" spans="1:5" ht="14.45" x14ac:dyDescent="0.3">
      <c r="B26" s="69">
        <f>SUM(B23:B25)</f>
        <v>1</v>
      </c>
      <c r="C26" s="93"/>
      <c r="D26" s="93"/>
    </row>
    <row r="27" spans="1:5" ht="14.45" x14ac:dyDescent="0.3">
      <c r="C27" s="93"/>
      <c r="D27" s="93"/>
    </row>
    <row r="28" spans="1:5" ht="14.45" x14ac:dyDescent="0.3">
      <c r="A28" t="s">
        <v>76</v>
      </c>
      <c r="B28" s="69"/>
      <c r="C28" s="94">
        <v>0</v>
      </c>
      <c r="D28" s="94">
        <v>0.75</v>
      </c>
    </row>
    <row r="30" spans="1:5" ht="14.45" x14ac:dyDescent="0.3">
      <c r="A30" s="95" t="s">
        <v>77</v>
      </c>
      <c r="B30" s="122">
        <f>SUMPRODUCT(C23:D23,$C$28:$D$28)*B23+SUMPRODUCT(C24:D24,C28:D28)*B24+SUMPRODUCT(C25:D25,C28:D28)*B25</f>
        <v>0.20519999999999997</v>
      </c>
    </row>
    <row r="32" spans="1:5" s="119" customFormat="1" ht="14.45" x14ac:dyDescent="0.3">
      <c r="A32" s="117" t="s">
        <v>78</v>
      </c>
      <c r="B32" s="117"/>
      <c r="C32" s="118"/>
      <c r="D32" s="118"/>
    </row>
    <row r="34" spans="1:5" ht="14.45" x14ac:dyDescent="0.3">
      <c r="C34" s="93" t="s">
        <v>120</v>
      </c>
      <c r="D34" s="93" t="s">
        <v>75</v>
      </c>
    </row>
    <row r="35" spans="1:5" ht="14.45" x14ac:dyDescent="0.3">
      <c r="A35" t="s">
        <v>74</v>
      </c>
      <c r="B35" s="69">
        <f>C4*B7</f>
        <v>0.13599999999999998</v>
      </c>
      <c r="C35" s="94">
        <v>0.4</v>
      </c>
      <c r="D35" s="94">
        <v>0.6</v>
      </c>
    </row>
    <row r="36" spans="1:5" ht="14.45" x14ac:dyDescent="0.3">
      <c r="A36" t="s">
        <v>111</v>
      </c>
      <c r="B36" s="69">
        <f>C4-B35-B38</f>
        <v>0.48959999999999992</v>
      </c>
      <c r="C36" s="94">
        <v>0.4</v>
      </c>
      <c r="D36" s="94">
        <v>0.6</v>
      </c>
    </row>
    <row r="37" spans="1:5" ht="14.45" x14ac:dyDescent="0.3">
      <c r="A37" t="s">
        <v>112</v>
      </c>
      <c r="B37" s="69">
        <f>C5</f>
        <v>0.32</v>
      </c>
      <c r="C37" s="94">
        <v>0.4</v>
      </c>
      <c r="D37" s="94">
        <v>0.6</v>
      </c>
    </row>
    <row r="38" spans="1:5" ht="14.45" x14ac:dyDescent="0.3">
      <c r="A38" t="s">
        <v>90</v>
      </c>
      <c r="B38" s="69">
        <f>C4*(1-B7)*B45</f>
        <v>5.4399999999999997E-2</v>
      </c>
      <c r="C38" s="94"/>
      <c r="D38" s="94">
        <v>1</v>
      </c>
    </row>
    <row r="39" spans="1:5" ht="14.45" x14ac:dyDescent="0.3">
      <c r="B39" s="69">
        <f>SUM(B35:B38)</f>
        <v>1</v>
      </c>
      <c r="C39" s="93"/>
      <c r="D39" s="93"/>
    </row>
    <row r="40" spans="1:5" ht="14.45" x14ac:dyDescent="0.3">
      <c r="C40" s="93"/>
      <c r="D40" s="93"/>
    </row>
    <row r="41" spans="1:5" ht="14.45" x14ac:dyDescent="0.3">
      <c r="A41" t="s">
        <v>76</v>
      </c>
      <c r="C41" s="93"/>
      <c r="D41" s="93"/>
    </row>
    <row r="42" spans="1:5" ht="14.45" x14ac:dyDescent="0.3">
      <c r="A42" t="s">
        <v>118</v>
      </c>
      <c r="C42" s="94">
        <v>0</v>
      </c>
      <c r="D42" s="94">
        <v>0.75</v>
      </c>
    </row>
    <row r="43" spans="1:5" ht="14.45" x14ac:dyDescent="0.3">
      <c r="A43" t="s">
        <v>115</v>
      </c>
      <c r="B43" s="69"/>
      <c r="C43" s="94">
        <v>0</v>
      </c>
      <c r="D43" s="94">
        <f>D44*(1-B47)+D47*B47</f>
        <v>0.90000000000000013</v>
      </c>
      <c r="E43" t="s">
        <v>122</v>
      </c>
    </row>
    <row r="44" spans="1:5" ht="14.45" x14ac:dyDescent="0.3">
      <c r="A44" t="s">
        <v>116</v>
      </c>
      <c r="B44" s="69"/>
      <c r="C44" s="94">
        <v>0</v>
      </c>
      <c r="D44" s="94">
        <v>0.75</v>
      </c>
    </row>
    <row r="45" spans="1:5" ht="14.45" x14ac:dyDescent="0.3">
      <c r="A45" t="s">
        <v>117</v>
      </c>
      <c r="B45" s="69">
        <v>0.1</v>
      </c>
      <c r="C45" s="94">
        <v>0</v>
      </c>
      <c r="D45" s="94">
        <v>3</v>
      </c>
      <c r="E45" s="126" t="s">
        <v>121</v>
      </c>
    </row>
    <row r="46" spans="1:5" ht="14.45" x14ac:dyDescent="0.3">
      <c r="B46" s="69"/>
      <c r="C46" s="94"/>
      <c r="D46" s="94"/>
    </row>
    <row r="47" spans="1:5" ht="14.45" x14ac:dyDescent="0.3">
      <c r="A47" t="s">
        <v>119</v>
      </c>
      <c r="B47" s="69">
        <v>0.2</v>
      </c>
      <c r="C47" s="94"/>
      <c r="D47" s="94">
        <v>1.5</v>
      </c>
      <c r="E47" s="126" t="s">
        <v>123</v>
      </c>
    </row>
    <row r="48" spans="1:5" ht="14.45" x14ac:dyDescent="0.3">
      <c r="A48" s="95" t="s">
        <v>77</v>
      </c>
      <c r="B48" s="122">
        <f>SUMPRODUCT(C35:D35,C42:D42)*B35+SUMPRODUCT(C36:D36,C43:D43)*B36+SUMPRODUCT(C37:D37,C44:D44)*B37+SUMPRODUCT(C38:D38,C45:D45)*B38</f>
        <v>0.6327839999999999</v>
      </c>
    </row>
    <row r="49" spans="2:2" x14ac:dyDescent="0.25">
      <c r="B49" s="72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showGridLines="0" topLeftCell="A7" zoomScale="75" zoomScaleNormal="75" workbookViewId="0">
      <selection activeCell="C30" sqref="C30"/>
    </sheetView>
  </sheetViews>
  <sheetFormatPr defaultColWidth="8.85546875" defaultRowHeight="15" x14ac:dyDescent="0.25"/>
  <cols>
    <col min="1" max="1" width="24.42578125" style="83" customWidth="1"/>
    <col min="2" max="3" width="11.28515625" style="67" customWidth="1"/>
    <col min="4" max="16384" width="8.85546875" style="123"/>
  </cols>
  <sheetData>
    <row r="1" spans="1:3" ht="14.45" x14ac:dyDescent="0.3">
      <c r="B1" s="135" t="s">
        <v>64</v>
      </c>
      <c r="C1" s="135"/>
    </row>
    <row r="2" spans="1:3" ht="14.45" x14ac:dyDescent="0.3">
      <c r="A2" s="84"/>
      <c r="B2" s="101"/>
    </row>
    <row r="3" spans="1:3" ht="14.45" x14ac:dyDescent="0.3">
      <c r="B3" s="101" t="s">
        <v>84</v>
      </c>
      <c r="C3" s="102" t="s">
        <v>85</v>
      </c>
    </row>
    <row r="4" spans="1:3" s="124" customFormat="1" ht="14.45" x14ac:dyDescent="0.3">
      <c r="A4" s="85" t="s">
        <v>0</v>
      </c>
      <c r="B4" s="91"/>
      <c r="C4" s="92"/>
    </row>
    <row r="5" spans="1:3" ht="14.45" x14ac:dyDescent="0.3">
      <c r="A5" s="83" t="s">
        <v>26</v>
      </c>
      <c r="B5" s="67">
        <v>40</v>
      </c>
      <c r="C5" s="67">
        <v>40</v>
      </c>
    </row>
    <row r="6" spans="1:3" ht="14.45" x14ac:dyDescent="0.3">
      <c r="A6" s="83" t="s">
        <v>27</v>
      </c>
      <c r="B6" s="67" t="s">
        <v>28</v>
      </c>
      <c r="C6" s="67" t="s">
        <v>28</v>
      </c>
    </row>
    <row r="7" spans="1:3" ht="14.45" x14ac:dyDescent="0.3">
      <c r="A7" s="83" t="s">
        <v>29</v>
      </c>
      <c r="B7" s="67" t="s">
        <v>30</v>
      </c>
      <c r="C7" s="67" t="s">
        <v>30</v>
      </c>
    </row>
    <row r="9" spans="1:3" ht="14.45" x14ac:dyDescent="0.3">
      <c r="A9" s="84" t="s">
        <v>31</v>
      </c>
      <c r="B9" s="86">
        <v>1000000</v>
      </c>
      <c r="C9" s="86">
        <v>1000000</v>
      </c>
    </row>
    <row r="11" spans="1:3" ht="14.45" x14ac:dyDescent="0.3">
      <c r="A11" s="84" t="s">
        <v>46</v>
      </c>
      <c r="B11" s="87">
        <v>60</v>
      </c>
      <c r="C11" s="87">
        <v>60</v>
      </c>
    </row>
    <row r="13" spans="1:3" ht="14.45" x14ac:dyDescent="0.3">
      <c r="A13" s="88" t="s">
        <v>1</v>
      </c>
    </row>
    <row r="14" spans="1:3" ht="14.45" x14ac:dyDescent="0.3">
      <c r="A14" s="83" t="s">
        <v>2</v>
      </c>
    </row>
    <row r="15" spans="1:3" ht="14.45" x14ac:dyDescent="0.3">
      <c r="A15" s="83" t="s">
        <v>5</v>
      </c>
      <c r="B15" s="68">
        <v>0.15</v>
      </c>
      <c r="C15" s="68">
        <v>0.15</v>
      </c>
    </row>
    <row r="16" spans="1:3" ht="14.45" x14ac:dyDescent="0.3">
      <c r="A16" s="98" t="s">
        <v>4</v>
      </c>
      <c r="B16" s="99">
        <f>'1a(i) Unit Costs'!B36</f>
        <v>556</v>
      </c>
      <c r="C16" s="99">
        <f>'1a(i) Unit Costs'!C36</f>
        <v>363.49999999999994</v>
      </c>
    </row>
    <row r="18" spans="1:3" ht="14.45" x14ac:dyDescent="0.3">
      <c r="A18" s="83" t="s">
        <v>3</v>
      </c>
    </row>
    <row r="19" spans="1:3" ht="14.45" x14ac:dyDescent="0.3">
      <c r="A19" s="82" t="s">
        <v>5</v>
      </c>
      <c r="B19" s="68">
        <v>0.1</v>
      </c>
      <c r="C19" s="68">
        <v>0.1</v>
      </c>
    </row>
    <row r="20" spans="1:3" ht="14.45" x14ac:dyDescent="0.3">
      <c r="A20" s="98" t="s">
        <v>6</v>
      </c>
      <c r="B20" s="99">
        <v>50</v>
      </c>
      <c r="C20" s="99">
        <f>'1a(i) Unit Costs'!C35</f>
        <v>50</v>
      </c>
    </row>
    <row r="21" spans="1:3" ht="14.45" x14ac:dyDescent="0.3">
      <c r="B21" s="87"/>
      <c r="C21" s="87"/>
    </row>
    <row r="22" spans="1:3" ht="14.45" x14ac:dyDescent="0.3">
      <c r="A22" s="88" t="s">
        <v>55</v>
      </c>
      <c r="B22" s="68">
        <v>0.02</v>
      </c>
      <c r="C22" s="68">
        <v>0.02</v>
      </c>
    </row>
    <row r="24" spans="1:3" ht="14.45" x14ac:dyDescent="0.3">
      <c r="A24" s="88" t="s">
        <v>7</v>
      </c>
    </row>
    <row r="25" spans="1:3" ht="14.45" x14ac:dyDescent="0.3">
      <c r="A25" s="83" t="s">
        <v>8</v>
      </c>
      <c r="B25" s="68">
        <v>1.2</v>
      </c>
      <c r="C25" s="68">
        <v>1.2</v>
      </c>
    </row>
    <row r="26" spans="1:3" ht="14.45" x14ac:dyDescent="0.3">
      <c r="A26" s="83" t="s">
        <v>9</v>
      </c>
      <c r="B26" s="68">
        <v>0.08</v>
      </c>
      <c r="C26" s="68">
        <v>0.08</v>
      </c>
    </row>
    <row r="27" spans="1:3" ht="14.45" x14ac:dyDescent="0.3">
      <c r="B27" s="68"/>
      <c r="C27" s="68"/>
    </row>
    <row r="28" spans="1:3" ht="14.45" x14ac:dyDescent="0.3">
      <c r="A28" s="88" t="s">
        <v>66</v>
      </c>
    </row>
    <row r="29" spans="1:3" ht="14.45" x14ac:dyDescent="0.3">
      <c r="A29" s="98" t="s">
        <v>67</v>
      </c>
      <c r="B29" s="100">
        <f>ROUND('1a(ii) Health Loading'!B18,3)</f>
        <v>0.33100000000000002</v>
      </c>
      <c r="C29" s="100">
        <f>ROUND('1a(ii) Health Loading'!B30,3)</f>
        <v>0.20499999999999999</v>
      </c>
    </row>
    <row r="30" spans="1:3" ht="14.45" x14ac:dyDescent="0.3">
      <c r="A30" s="83" t="s">
        <v>56</v>
      </c>
      <c r="B30" s="68">
        <f>ROUND('1a(ii) Health Loading'!B18,3)</f>
        <v>0.33100000000000002</v>
      </c>
      <c r="C30" s="68">
        <f>ROUND('1a(ii) Health Loading'!B48,3)</f>
        <v>0.63300000000000001</v>
      </c>
    </row>
    <row r="32" spans="1:3" ht="14.45" x14ac:dyDescent="0.3">
      <c r="A32" s="83" t="s">
        <v>68</v>
      </c>
      <c r="B32" s="68">
        <f>Mortality!B46/'Premium rates'!B30*1000</f>
        <v>0.66363636363636358</v>
      </c>
      <c r="C32" s="68">
        <f>Loss_ratio</f>
        <v>0.66363636363636358</v>
      </c>
    </row>
    <row r="34" spans="1:3" ht="14.45" x14ac:dyDescent="0.3">
      <c r="A34" s="88" t="s">
        <v>10</v>
      </c>
    </row>
    <row r="35" spans="1:3" ht="14.45" x14ac:dyDescent="0.3">
      <c r="A35" s="82"/>
      <c r="B35" s="67" t="s">
        <v>65</v>
      </c>
      <c r="C35" s="67" t="s">
        <v>65</v>
      </c>
    </row>
    <row r="36" spans="1:3" ht="14.45" x14ac:dyDescent="0.3">
      <c r="A36" s="83" t="s">
        <v>11</v>
      </c>
      <c r="B36" s="68">
        <v>0.4</v>
      </c>
      <c r="C36" s="68">
        <v>0.4</v>
      </c>
    </row>
    <row r="37" spans="1:3" ht="14.45" x14ac:dyDescent="0.3">
      <c r="A37" s="82" t="s">
        <v>12</v>
      </c>
      <c r="B37" s="68">
        <v>0.6</v>
      </c>
      <c r="C37" s="68">
        <v>0.6</v>
      </c>
    </row>
    <row r="38" spans="1:3" x14ac:dyDescent="0.25">
      <c r="A38" s="82" t="s">
        <v>13</v>
      </c>
      <c r="B38" s="68">
        <v>0.8</v>
      </c>
      <c r="C38" s="68">
        <v>0.8</v>
      </c>
    </row>
    <row r="40" spans="1:3" x14ac:dyDescent="0.25">
      <c r="A40" s="88" t="s">
        <v>15</v>
      </c>
    </row>
    <row r="41" spans="1:3" x14ac:dyDescent="0.25">
      <c r="A41" s="82" t="s">
        <v>25</v>
      </c>
    </row>
    <row r="42" spans="1:3" x14ac:dyDescent="0.25">
      <c r="A42" s="89">
        <v>1</v>
      </c>
      <c r="B42" s="68">
        <v>0.05</v>
      </c>
      <c r="C42" s="68">
        <v>0.05</v>
      </c>
    </row>
    <row r="43" spans="1:3" x14ac:dyDescent="0.25">
      <c r="A43" s="90">
        <v>2</v>
      </c>
      <c r="B43" s="68">
        <v>0.15</v>
      </c>
      <c r="C43" s="68">
        <v>0.15</v>
      </c>
    </row>
    <row r="44" spans="1:3" x14ac:dyDescent="0.25">
      <c r="A44" s="90">
        <v>3</v>
      </c>
      <c r="B44" s="68">
        <v>0.11</v>
      </c>
      <c r="C44" s="68">
        <v>0.11</v>
      </c>
    </row>
    <row r="45" spans="1:3" x14ac:dyDescent="0.25">
      <c r="A45" s="90">
        <v>4</v>
      </c>
      <c r="B45" s="68">
        <v>0.1</v>
      </c>
      <c r="C45" s="68">
        <v>0.1</v>
      </c>
    </row>
    <row r="46" spans="1:3" x14ac:dyDescent="0.25">
      <c r="A46" s="90">
        <v>5</v>
      </c>
      <c r="B46" s="68">
        <v>0.1</v>
      </c>
      <c r="C46" s="68">
        <v>0.1</v>
      </c>
    </row>
    <row r="48" spans="1:3" x14ac:dyDescent="0.25">
      <c r="A48" s="88" t="s">
        <v>60</v>
      </c>
      <c r="B48" s="68">
        <v>0.04</v>
      </c>
      <c r="C48" s="68">
        <v>0.04</v>
      </c>
    </row>
    <row r="49" spans="1:3" x14ac:dyDescent="0.25">
      <c r="B49" s="68"/>
      <c r="C49" s="68"/>
    </row>
    <row r="50" spans="1:3" x14ac:dyDescent="0.25">
      <c r="A50" s="88" t="s">
        <v>61</v>
      </c>
      <c r="B50" s="68">
        <v>0.12</v>
      </c>
      <c r="C50" s="68">
        <v>0.12</v>
      </c>
    </row>
    <row r="51" spans="1:3" x14ac:dyDescent="0.25">
      <c r="A51" s="88"/>
      <c r="B51" s="68"/>
      <c r="C51" s="68"/>
    </row>
    <row r="52" spans="1:3" x14ac:dyDescent="0.25">
      <c r="A52" s="88" t="s">
        <v>16</v>
      </c>
    </row>
    <row r="53" spans="1:3" x14ac:dyDescent="0.25">
      <c r="A53" s="82" t="s">
        <v>5</v>
      </c>
      <c r="B53" s="68">
        <v>1.2</v>
      </c>
      <c r="C53" s="68">
        <v>1.2</v>
      </c>
    </row>
    <row r="69" spans="2:2" x14ac:dyDescent="0.25">
      <c r="B69" s="82"/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showGridLines="0" zoomScale="70" zoomScaleNormal="70" workbookViewId="0">
      <selection activeCell="G15" sqref="G15"/>
    </sheetView>
  </sheetViews>
  <sheetFormatPr defaultRowHeight="15" x14ac:dyDescent="0.25"/>
  <cols>
    <col min="1" max="2" width="9.42578125" style="3" bestFit="1" customWidth="1"/>
    <col min="3" max="3" width="4" style="3" customWidth="1"/>
    <col min="4" max="4" width="10.140625" style="3" bestFit="1" customWidth="1"/>
    <col min="5" max="5" width="4.7109375" style="3" customWidth="1"/>
    <col min="6" max="7" width="9.5703125" style="3" bestFit="1" customWidth="1"/>
    <col min="8" max="8" width="10.140625" style="3" bestFit="1" customWidth="1"/>
    <col min="9" max="9" width="3.140625" style="3" customWidth="1"/>
    <col min="10" max="13" width="9.42578125" style="3" bestFit="1" customWidth="1"/>
    <col min="14" max="14" width="3.42578125" style="3" customWidth="1"/>
    <col min="15" max="16" width="11.140625" style="3" customWidth="1"/>
    <col min="17" max="28" width="11.28515625" customWidth="1"/>
  </cols>
  <sheetData>
    <row r="1" spans="1:29" thickBot="1" x14ac:dyDescent="0.35"/>
    <row r="2" spans="1:29" thickBot="1" x14ac:dyDescent="0.35">
      <c r="AA2" s="48" t="s">
        <v>50</v>
      </c>
      <c r="AB2" s="49">
        <f>IRR(AB8:AB42)</f>
        <v>0.13666538551742757</v>
      </c>
    </row>
    <row r="3" spans="1:29" thickBot="1" x14ac:dyDescent="0.35">
      <c r="Y3" s="28"/>
      <c r="Z3" s="28"/>
      <c r="AB3" s="28"/>
    </row>
    <row r="4" spans="1:29" thickBot="1" x14ac:dyDescent="0.35">
      <c r="P4" s="30" t="s">
        <v>49</v>
      </c>
      <c r="Q4" s="81">
        <f>NPV(RDR,Q8:Q42)*(1+RDR)</f>
        <v>8296.7089127808067</v>
      </c>
      <c r="R4" s="81">
        <f>NPV(RDR,R8:R42)*(1+RDR)</f>
        <v>303.50895202981667</v>
      </c>
      <c r="S4" s="81">
        <f>NPV(RDR,S8:S42)</f>
        <v>3889.1867941064356</v>
      </c>
      <c r="T4" s="81">
        <f>NPV(RDR,T8:T42)*(1+RDR)</f>
        <v>556</v>
      </c>
      <c r="U4" s="81">
        <f>NPV(RDR,U8:U42)*(1+RDR)</f>
        <v>159.89289041095893</v>
      </c>
      <c r="V4" s="81">
        <f>NPV(RDR,V9:V42)</f>
        <v>224.31894136373361</v>
      </c>
      <c r="W4" s="81">
        <f>NPV(RDR,W9:W42)</f>
        <v>723.07563100410812</v>
      </c>
      <c r="X4" s="81">
        <f>NPV(RDR,X8:X42)*(1+RDR)</f>
        <v>1279.1431232876714</v>
      </c>
      <c r="Y4" s="81">
        <f>NPV(RDR,Y9:Y42)</f>
        <v>578.4605048032862</v>
      </c>
      <c r="Z4" s="81">
        <f>NPV(RDR,Z7:Z42)*(1+RDR)</f>
        <v>9956.0506953369659</v>
      </c>
      <c r="AA4" s="81">
        <f>NPV(RDR,AA8:AA42)</f>
        <v>536.97776675992247</v>
      </c>
      <c r="AB4" s="81">
        <f>NPV(RDR,AB8:AB42)</f>
        <v>230.47584460289127</v>
      </c>
      <c r="AC4" s="28"/>
    </row>
    <row r="5" spans="1:29" ht="14.45" x14ac:dyDescent="0.3">
      <c r="O5" s="31"/>
      <c r="P5" s="31"/>
      <c r="Q5" s="32"/>
      <c r="R5" s="32"/>
      <c r="S5" s="33"/>
      <c r="T5" s="137" t="s">
        <v>1</v>
      </c>
      <c r="U5" s="137"/>
      <c r="V5" s="137"/>
      <c r="W5" s="137"/>
      <c r="X5" s="137" t="s">
        <v>7</v>
      </c>
      <c r="Y5" s="137"/>
      <c r="Z5" s="34"/>
      <c r="AA5" s="32"/>
      <c r="AB5" s="35"/>
    </row>
    <row r="6" spans="1:29" ht="28.9" x14ac:dyDescent="0.3">
      <c r="J6" s="136" t="s">
        <v>38</v>
      </c>
      <c r="K6" s="136"/>
      <c r="L6" s="136"/>
      <c r="M6" s="136"/>
      <c r="O6" s="37" t="s">
        <v>25</v>
      </c>
      <c r="P6" s="37" t="s">
        <v>21</v>
      </c>
      <c r="Q6" s="41" t="s">
        <v>40</v>
      </c>
      <c r="R6" s="41" t="s">
        <v>47</v>
      </c>
      <c r="S6" s="50" t="s">
        <v>41</v>
      </c>
      <c r="T6" s="50" t="s">
        <v>53</v>
      </c>
      <c r="U6" s="50" t="s">
        <v>54</v>
      </c>
      <c r="V6" s="41" t="s">
        <v>43</v>
      </c>
      <c r="W6" s="41" t="s">
        <v>42</v>
      </c>
      <c r="X6" s="41" t="s">
        <v>44</v>
      </c>
      <c r="Y6" s="41" t="s">
        <v>45</v>
      </c>
      <c r="Z6" s="41" t="s">
        <v>51</v>
      </c>
      <c r="AA6" s="41" t="s">
        <v>48</v>
      </c>
      <c r="AB6" s="41" t="s">
        <v>52</v>
      </c>
    </row>
    <row r="7" spans="1:29" ht="14.45" x14ac:dyDescent="0.3">
      <c r="A7" s="24" t="s">
        <v>25</v>
      </c>
      <c r="B7" s="24" t="s">
        <v>21</v>
      </c>
      <c r="D7" s="24" t="s">
        <v>22</v>
      </c>
      <c r="F7" s="24" t="s">
        <v>32</v>
      </c>
      <c r="G7" s="24" t="s">
        <v>33</v>
      </c>
      <c r="H7" s="24" t="s">
        <v>34</v>
      </c>
      <c r="J7" s="24" t="s">
        <v>36</v>
      </c>
      <c r="K7" s="26" t="s">
        <v>39</v>
      </c>
      <c r="L7" s="25" t="s">
        <v>35</v>
      </c>
      <c r="M7" s="26" t="s">
        <v>37</v>
      </c>
      <c r="O7" s="36"/>
      <c r="P7" s="36"/>
      <c r="Q7" s="36"/>
      <c r="R7" s="36"/>
      <c r="S7" s="38"/>
      <c r="T7" s="39"/>
      <c r="U7" s="39"/>
      <c r="V7" s="36"/>
      <c r="W7" s="36"/>
      <c r="X7" s="36"/>
      <c r="Y7" s="36"/>
      <c r="Z7" s="40">
        <f t="shared" ref="Z7:Z32" si="0">Q8*Reserves</f>
        <v>1279.1431232876714</v>
      </c>
      <c r="AA7" s="36"/>
      <c r="AB7" s="37"/>
    </row>
    <row r="8" spans="1:29" ht="14.45" x14ac:dyDescent="0.3">
      <c r="A8" s="24">
        <v>1</v>
      </c>
      <c r="B8" s="24">
        <f>Start_Age</f>
        <v>40</v>
      </c>
      <c r="D8" s="97">
        <f>IF(B8&lt;65,'Premium rates'!B30,0)</f>
        <v>0.87397260273972621</v>
      </c>
      <c r="F8" s="24">
        <f>Mortality!B46</f>
        <v>5.8E-4</v>
      </c>
      <c r="G8" s="29">
        <f>Mort_Y1*(1+Claims_Loading)</f>
        <v>0.53239999999999998</v>
      </c>
      <c r="H8" s="24">
        <f>F8*G8</f>
        <v>3.0879200000000001E-4</v>
      </c>
      <c r="J8" s="27">
        <v>1</v>
      </c>
      <c r="K8" s="27">
        <f>H8*J8</f>
        <v>3.0879200000000001E-4</v>
      </c>
      <c r="L8" s="27">
        <f>Lapse_Y1*(J8-K8)</f>
        <v>4.9984560400000003E-2</v>
      </c>
      <c r="M8" s="27">
        <f t="shared" ref="M8:M32" si="1">IF(B8=64,0,(J8-L8-K8))</f>
        <v>0.94970664760000001</v>
      </c>
      <c r="O8" s="36">
        <f t="shared" ref="O8:O32" si="2">A8</f>
        <v>1</v>
      </c>
      <c r="P8" s="36">
        <f t="shared" ref="P8:P32" si="3">B8</f>
        <v>40</v>
      </c>
      <c r="Q8" s="40">
        <f>D8*Sum_Insured/1000*J8*(1+Prem_Loading*Loss_ratio)</f>
        <v>1065.9526027397262</v>
      </c>
      <c r="R8" s="40">
        <f t="shared" ref="R8:R32" si="4">Policy_Fee*J8</f>
        <v>60</v>
      </c>
      <c r="S8" s="40">
        <f t="shared" ref="S8:S42" si="5">Sum_Insured*K8</f>
        <v>308.79200000000003</v>
      </c>
      <c r="T8" s="40">
        <f>(AcqExp_dollar)</f>
        <v>556</v>
      </c>
      <c r="U8" s="40">
        <f>AcqExp_perc*'1a(iii) Current'!Q8</f>
        <v>159.89289041095893</v>
      </c>
      <c r="V8" s="40"/>
      <c r="W8" s="40"/>
      <c r="X8" s="40">
        <f>(UpfrontComm_percent*Q8)</f>
        <v>1279.1431232876714</v>
      </c>
      <c r="Y8" s="40"/>
      <c r="Z8" s="40">
        <f t="shared" si="0"/>
        <v>1319.5357901265872</v>
      </c>
      <c r="AA8" s="40">
        <f t="shared" ref="AA8:AA32" si="6">(SUM(Q8:R8)-SUM(T8:Y8)+Z7)*Interest</f>
        <v>16.402388493150692</v>
      </c>
      <c r="AB8" s="70">
        <f>SUM(Q8:R8)-SUM(S8:Y8)+AA8-Z7</f>
        <v>-2440.6161457534249</v>
      </c>
      <c r="AC8" s="28"/>
    </row>
    <row r="9" spans="1:29" ht="14.45" x14ac:dyDescent="0.3">
      <c r="A9" s="24">
        <f>A8+1</f>
        <v>2</v>
      </c>
      <c r="B9" s="24">
        <f>B8+1</f>
        <v>41</v>
      </c>
      <c r="D9" s="97">
        <f>IF(B9&lt;65,'Premium rates'!B31,0)</f>
        <v>0.94931506849315084</v>
      </c>
      <c r="F9" s="24">
        <f>Mortality!B47</f>
        <v>6.3000000000000003E-4</v>
      </c>
      <c r="G9" s="29">
        <f>Mort_Y2*(1+Claims_Loading)</f>
        <v>0.79859999999999998</v>
      </c>
      <c r="H9" s="24">
        <f>F9*G9</f>
        <v>5.0311799999999999E-4</v>
      </c>
      <c r="J9" s="27">
        <f>M8</f>
        <v>0.94970664760000001</v>
      </c>
      <c r="K9" s="27">
        <f t="shared" ref="K9:K31" si="7">H9*J9</f>
        <v>4.778145091272168E-4</v>
      </c>
      <c r="L9" s="27">
        <f>Lapse_Y2*(J9-K9)</f>
        <v>0.1423843249636309</v>
      </c>
      <c r="M9" s="27">
        <f t="shared" si="1"/>
        <v>0.80684450812724184</v>
      </c>
      <c r="O9" s="36">
        <f t="shared" si="2"/>
        <v>2</v>
      </c>
      <c r="P9" s="36">
        <f t="shared" si="3"/>
        <v>41</v>
      </c>
      <c r="Q9" s="40">
        <f>D9*Sum_Insured/1000*J9*(1+Prem_Loading*Loss_ratio)</f>
        <v>1099.6131584388227</v>
      </c>
      <c r="R9" s="40">
        <f t="shared" si="4"/>
        <v>56.982398856000003</v>
      </c>
      <c r="S9" s="40">
        <f t="shared" si="5"/>
        <v>477.81450912721681</v>
      </c>
      <c r="T9" s="40"/>
      <c r="U9" s="40"/>
      <c r="V9" s="40">
        <f>(RenExp_dollar*J9)*(1+Expense_inflation)^(O9-1)</f>
        <v>48.435039027600006</v>
      </c>
      <c r="W9" s="40">
        <f>(RenExp_perc*Q9)</f>
        <v>109.96131584388228</v>
      </c>
      <c r="X9" s="40"/>
      <c r="Y9" s="40">
        <f t="shared" ref="Y9:Y32" si="8">(RenComm_percent*Q9)</f>
        <v>87.969052675105814</v>
      </c>
      <c r="Z9" s="40">
        <f t="shared" si="0"/>
        <v>1210.0126393287965</v>
      </c>
      <c r="AA9" s="40">
        <f t="shared" si="6"/>
        <v>89.190637594992879</v>
      </c>
      <c r="AB9" s="70">
        <f t="shared" ref="AB9:AB32" si="9">SUM(Q9:R9)-SUM(S9:Y9)+AA9-(Z8-Z7)</f>
        <v>481.21361137709471</v>
      </c>
      <c r="AC9" s="28"/>
    </row>
    <row r="10" spans="1:29" ht="14.45" x14ac:dyDescent="0.3">
      <c r="A10" s="24">
        <f t="shared" ref="A10:B32" si="10">A9+1</f>
        <v>3</v>
      </c>
      <c r="B10" s="24">
        <f t="shared" si="10"/>
        <v>42</v>
      </c>
      <c r="D10" s="97">
        <f>IF(B10&lt;65,'Premium rates'!B32,0)</f>
        <v>1.0246575342465756</v>
      </c>
      <c r="F10" s="24">
        <f>Mortality!B48</f>
        <v>6.8000000000000005E-4</v>
      </c>
      <c r="G10" s="29">
        <f t="shared" ref="G10:G42" si="11">Mort_Y3*(1+Claims_Loading)</f>
        <v>1.0648</v>
      </c>
      <c r="H10" s="24">
        <f>F10*G10</f>
        <v>7.2406400000000007E-4</v>
      </c>
      <c r="J10" s="27">
        <f t="shared" ref="J10:J31" si="12">M9</f>
        <v>0.80684450812724184</v>
      </c>
      <c r="K10" s="27">
        <f t="shared" si="7"/>
        <v>5.8420706193264326E-4</v>
      </c>
      <c r="L10" s="27">
        <f>Lapse_Y3*(J10-K10)</f>
        <v>8.8688633117184015E-2</v>
      </c>
      <c r="M10" s="27">
        <f t="shared" si="1"/>
        <v>0.71757166794812521</v>
      </c>
      <c r="O10" s="36">
        <f t="shared" si="2"/>
        <v>3</v>
      </c>
      <c r="P10" s="36">
        <f t="shared" si="3"/>
        <v>42</v>
      </c>
      <c r="Q10" s="40">
        <f t="shared" ref="Q10:Q32" si="13">D10*Sum_Insured/1000*J10*(1+Prem_Loading*Loss_ratio)</f>
        <v>1008.3438661073304</v>
      </c>
      <c r="R10" s="40">
        <f t="shared" si="4"/>
        <v>48.410670487634512</v>
      </c>
      <c r="S10" s="40">
        <f t="shared" si="5"/>
        <v>584.20706193264323</v>
      </c>
      <c r="T10" s="40"/>
      <c r="U10" s="40"/>
      <c r="V10" s="40">
        <f t="shared" ref="V10:V32" si="14">(RenExp_dollar*J10)*(1+Expense_inflation)^(O10-1)</f>
        <v>41.972051312779115</v>
      </c>
      <c r="W10" s="40">
        <f t="shared" ref="W10:W32" si="15">(RenExp_perc*Q10)</f>
        <v>100.83438661073305</v>
      </c>
      <c r="X10" s="40"/>
      <c r="Y10" s="40">
        <f t="shared" si="8"/>
        <v>80.66750928858643</v>
      </c>
      <c r="Z10" s="40">
        <f t="shared" si="0"/>
        <v>1171.0842754245045</v>
      </c>
      <c r="AA10" s="40">
        <f t="shared" si="6"/>
        <v>81.731729148466513</v>
      </c>
      <c r="AB10" s="70">
        <f t="shared" si="9"/>
        <v>440.32840739648049</v>
      </c>
      <c r="AC10" s="28"/>
    </row>
    <row r="11" spans="1:29" ht="14.45" x14ac:dyDescent="0.3">
      <c r="A11" s="24">
        <f t="shared" si="10"/>
        <v>4</v>
      </c>
      <c r="B11" s="24">
        <f t="shared" si="10"/>
        <v>43</v>
      </c>
      <c r="D11" s="97">
        <f>IF(B11&lt;65,'Premium rates'!B33,0)</f>
        <v>1.1150684931506851</v>
      </c>
      <c r="F11" s="24">
        <f>Mortality!B49</f>
        <v>7.3999999999999999E-4</v>
      </c>
      <c r="G11" s="29">
        <f t="shared" si="11"/>
        <v>1.0648</v>
      </c>
      <c r="H11" s="24">
        <f t="shared" ref="H11:H31" si="16">F11*G11</f>
        <v>7.8795199999999997E-4</v>
      </c>
      <c r="J11" s="27">
        <f t="shared" si="12"/>
        <v>0.71757166794812521</v>
      </c>
      <c r="K11" s="27">
        <f t="shared" si="7"/>
        <v>5.6541203090306109E-4</v>
      </c>
      <c r="L11" s="27">
        <f>Lapse_Y4*(J11-K11)</f>
        <v>7.1700625591722217E-2</v>
      </c>
      <c r="M11" s="27">
        <f t="shared" si="1"/>
        <v>0.64530563032549992</v>
      </c>
      <c r="O11" s="36">
        <f t="shared" si="2"/>
        <v>4</v>
      </c>
      <c r="P11" s="36">
        <f t="shared" si="3"/>
        <v>43</v>
      </c>
      <c r="Q11" s="40">
        <f t="shared" si="13"/>
        <v>975.90356285375378</v>
      </c>
      <c r="R11" s="40">
        <f t="shared" si="4"/>
        <v>43.054300076887515</v>
      </c>
      <c r="S11" s="40">
        <f t="shared" si="5"/>
        <v>565.41203090306112</v>
      </c>
      <c r="T11" s="40"/>
      <c r="U11" s="40"/>
      <c r="V11" s="40">
        <f t="shared" si="14"/>
        <v>38.074639729994701</v>
      </c>
      <c r="W11" s="40">
        <f t="shared" si="15"/>
        <v>97.590356285375378</v>
      </c>
      <c r="X11" s="40"/>
      <c r="Y11" s="40">
        <f t="shared" si="8"/>
        <v>78.0722850283003</v>
      </c>
      <c r="Z11" s="40">
        <f t="shared" si="0"/>
        <v>1124.3038361469773</v>
      </c>
      <c r="AA11" s="40">
        <f t="shared" si="6"/>
        <v>79.052194292459021</v>
      </c>
      <c r="AB11" s="70">
        <f t="shared" si="9"/>
        <v>357.78910918066083</v>
      </c>
      <c r="AC11" s="28"/>
    </row>
    <row r="12" spans="1:29" ht="14.45" x14ac:dyDescent="0.3">
      <c r="A12" s="24">
        <f t="shared" si="10"/>
        <v>5</v>
      </c>
      <c r="B12" s="24">
        <f t="shared" si="10"/>
        <v>44</v>
      </c>
      <c r="D12" s="97">
        <f>IF(B12&lt;65,'Premium rates'!B34,0)</f>
        <v>1.1904109589041099</v>
      </c>
      <c r="F12" s="24">
        <f>Mortality!B50</f>
        <v>7.9000000000000001E-4</v>
      </c>
      <c r="G12" s="29">
        <f t="shared" si="11"/>
        <v>1.0648</v>
      </c>
      <c r="H12" s="24">
        <f t="shared" si="16"/>
        <v>8.4119199999999994E-4</v>
      </c>
      <c r="J12" s="27">
        <f t="shared" si="12"/>
        <v>0.64530563032549992</v>
      </c>
      <c r="K12" s="27">
        <f t="shared" si="7"/>
        <v>5.4282593378476786E-4</v>
      </c>
      <c r="L12" s="27">
        <f t="shared" ref="L12:L32" si="17">Lapse_Y5*(J12-K12)</f>
        <v>6.4476280439171516E-2</v>
      </c>
      <c r="M12" s="27">
        <f t="shared" si="1"/>
        <v>0.58028652395254365</v>
      </c>
      <c r="O12" s="36">
        <f t="shared" si="2"/>
        <v>5</v>
      </c>
      <c r="P12" s="36">
        <f t="shared" si="3"/>
        <v>44</v>
      </c>
      <c r="Q12" s="40">
        <f t="shared" si="13"/>
        <v>936.91986345581449</v>
      </c>
      <c r="R12" s="40">
        <f t="shared" si="4"/>
        <v>38.718337819529992</v>
      </c>
      <c r="S12" s="40">
        <f t="shared" si="5"/>
        <v>542.82593378476781</v>
      </c>
      <c r="T12" s="40"/>
      <c r="U12" s="40"/>
      <c r="V12" s="40">
        <f t="shared" si="14"/>
        <v>34.92497836466962</v>
      </c>
      <c r="W12" s="40">
        <f t="shared" si="15"/>
        <v>93.691986345581455</v>
      </c>
      <c r="X12" s="40"/>
      <c r="Y12" s="40">
        <f t="shared" si="8"/>
        <v>74.953589076465164</v>
      </c>
      <c r="Z12" s="40">
        <f t="shared" si="0"/>
        <v>1100.6065246885282</v>
      </c>
      <c r="AA12" s="40">
        <f t="shared" si="6"/>
        <v>75.854859345424231</v>
      </c>
      <c r="AB12" s="70">
        <f t="shared" si="9"/>
        <v>351.87701232681189</v>
      </c>
      <c r="AC12" s="28"/>
    </row>
    <row r="13" spans="1:29" ht="14.45" x14ac:dyDescent="0.3">
      <c r="A13" s="24">
        <f t="shared" si="10"/>
        <v>6</v>
      </c>
      <c r="B13" s="24">
        <f t="shared" si="10"/>
        <v>45</v>
      </c>
      <c r="D13" s="97">
        <f>IF(B13&lt;65,'Premium rates'!B35,0)</f>
        <v>1.2958904109589042</v>
      </c>
      <c r="F13" s="24">
        <f>Mortality!B51</f>
        <v>8.5999999999999998E-4</v>
      </c>
      <c r="G13" s="29">
        <f t="shared" si="11"/>
        <v>1.0648</v>
      </c>
      <c r="H13" s="24">
        <f t="shared" si="16"/>
        <v>9.1572799999999998E-4</v>
      </c>
      <c r="J13" s="27">
        <f t="shared" si="12"/>
        <v>0.58028652395254365</v>
      </c>
      <c r="K13" s="27">
        <f t="shared" si="7"/>
        <v>5.3138461800601483E-4</v>
      </c>
      <c r="L13" s="27">
        <f t="shared" si="17"/>
        <v>5.7975513933453765E-2</v>
      </c>
      <c r="M13" s="27">
        <f t="shared" si="1"/>
        <v>0.5217796254010838</v>
      </c>
      <c r="O13" s="36">
        <f t="shared" si="2"/>
        <v>6</v>
      </c>
      <c r="P13" s="36">
        <f t="shared" si="3"/>
        <v>45</v>
      </c>
      <c r="Q13" s="40">
        <f t="shared" si="13"/>
        <v>917.17210390710693</v>
      </c>
      <c r="R13" s="40">
        <f>Policy_Fee*J13</f>
        <v>34.817191437152616</v>
      </c>
      <c r="S13" s="40">
        <f t="shared" si="5"/>
        <v>531.38461800601488</v>
      </c>
      <c r="T13" s="40"/>
      <c r="U13" s="40"/>
      <c r="V13" s="40">
        <f t="shared" si="14"/>
        <v>32.034160572583026</v>
      </c>
      <c r="W13" s="40">
        <f t="shared" si="15"/>
        <v>91.717210390710704</v>
      </c>
      <c r="X13" s="40"/>
      <c r="Y13" s="40">
        <f t="shared" si="8"/>
        <v>73.373768312568558</v>
      </c>
      <c r="Z13" s="40">
        <f t="shared" si="0"/>
        <v>1070.1907971106459</v>
      </c>
      <c r="AA13" s="40">
        <f t="shared" si="6"/>
        <v>74.218827230277029</v>
      </c>
      <c r="AB13" s="70">
        <f t="shared" si="9"/>
        <v>321.39567675110857</v>
      </c>
      <c r="AC13" s="28"/>
    </row>
    <row r="14" spans="1:29" ht="14.45" x14ac:dyDescent="0.3">
      <c r="A14" s="24">
        <f t="shared" si="10"/>
        <v>7</v>
      </c>
      <c r="B14" s="24">
        <f t="shared" si="10"/>
        <v>46</v>
      </c>
      <c r="D14" s="97">
        <f>IF(B14&lt;65,'Premium rates'!B36,0)</f>
        <v>1.401369863013699</v>
      </c>
      <c r="F14" s="24">
        <f>Mortality!B52</f>
        <v>9.3000000000000005E-4</v>
      </c>
      <c r="G14" s="29">
        <f t="shared" si="11"/>
        <v>1.0648</v>
      </c>
      <c r="H14" s="24">
        <f t="shared" si="16"/>
        <v>9.9026400000000003E-4</v>
      </c>
      <c r="J14" s="27">
        <f t="shared" si="12"/>
        <v>0.5217796254010838</v>
      </c>
      <c r="K14" s="27">
        <f t="shared" si="7"/>
        <v>5.1669957896817887E-4</v>
      </c>
      <c r="L14" s="27">
        <f t="shared" si="17"/>
        <v>5.2126292582211568E-2</v>
      </c>
      <c r="M14" s="27">
        <f t="shared" si="1"/>
        <v>0.46913663323990407</v>
      </c>
      <c r="O14" s="36">
        <f t="shared" si="2"/>
        <v>7</v>
      </c>
      <c r="P14" s="36">
        <f t="shared" si="3"/>
        <v>46</v>
      </c>
      <c r="Q14" s="40">
        <f t="shared" si="13"/>
        <v>891.8256642588716</v>
      </c>
      <c r="R14" s="40">
        <f t="shared" si="4"/>
        <v>31.306777524065026</v>
      </c>
      <c r="S14" s="40">
        <f t="shared" si="5"/>
        <v>516.69957896817891</v>
      </c>
      <c r="T14" s="40"/>
      <c r="U14" s="40"/>
      <c r="V14" s="40">
        <f t="shared" si="14"/>
        <v>29.380430263217413</v>
      </c>
      <c r="W14" s="40">
        <f t="shared" si="15"/>
        <v>89.18256642588716</v>
      </c>
      <c r="X14" s="40"/>
      <c r="Y14" s="40">
        <f t="shared" si="8"/>
        <v>71.346053140709728</v>
      </c>
      <c r="Z14" s="40">
        <f t="shared" si="0"/>
        <v>1065.6822159308417</v>
      </c>
      <c r="AA14" s="40">
        <f t="shared" si="6"/>
        <v>72.136567562550738</v>
      </c>
      <c r="AB14" s="70">
        <f t="shared" si="9"/>
        <v>319.07610812537661</v>
      </c>
      <c r="AC14" s="28"/>
    </row>
    <row r="15" spans="1:29" ht="14.45" x14ac:dyDescent="0.3">
      <c r="A15" s="24">
        <f t="shared" si="10"/>
        <v>8</v>
      </c>
      <c r="B15" s="24">
        <f t="shared" si="10"/>
        <v>47</v>
      </c>
      <c r="D15" s="97">
        <f>IF(B15&lt;65,'Premium rates'!B37,0)</f>
        <v>1.5520547945205481</v>
      </c>
      <c r="F15" s="24">
        <f>Mortality!B53</f>
        <v>1.0300000000000001E-3</v>
      </c>
      <c r="G15" s="29">
        <f t="shared" si="11"/>
        <v>1.0648</v>
      </c>
      <c r="H15" s="24">
        <f t="shared" si="16"/>
        <v>1.096744E-3</v>
      </c>
      <c r="J15" s="27">
        <f t="shared" si="12"/>
        <v>0.46913663323990407</v>
      </c>
      <c r="K15" s="27">
        <f t="shared" si="7"/>
        <v>5.1452278768606536E-4</v>
      </c>
      <c r="L15" s="27">
        <f>Lapse_Y5*(J15-K15)</f>
        <v>4.6862211045221806E-2</v>
      </c>
      <c r="M15" s="27">
        <f t="shared" si="1"/>
        <v>0.42175989940699621</v>
      </c>
      <c r="O15" s="36">
        <f t="shared" si="2"/>
        <v>8</v>
      </c>
      <c r="P15" s="36">
        <f t="shared" si="3"/>
        <v>47</v>
      </c>
      <c r="Q15" s="40">
        <f t="shared" si="13"/>
        <v>888.06851327570155</v>
      </c>
      <c r="R15" s="40">
        <f t="shared" si="4"/>
        <v>28.148197994394245</v>
      </c>
      <c r="S15" s="40">
        <f t="shared" si="5"/>
        <v>514.52278768606539</v>
      </c>
      <c r="T15" s="40"/>
      <c r="U15" s="40"/>
      <c r="V15" s="40">
        <f t="shared" si="14"/>
        <v>26.944526338595725</v>
      </c>
      <c r="W15" s="40">
        <f t="shared" si="15"/>
        <v>88.806851327570158</v>
      </c>
      <c r="X15" s="40"/>
      <c r="Y15" s="40">
        <f t="shared" si="8"/>
        <v>71.045481062056126</v>
      </c>
      <c r="Z15" s="40">
        <f t="shared" si="0"/>
        <v>1069.6809763029362</v>
      </c>
      <c r="AA15" s="40">
        <f t="shared" si="6"/>
        <v>71.804082738908619</v>
      </c>
      <c r="AB15" s="70">
        <f t="shared" si="9"/>
        <v>291.20972877452107</v>
      </c>
      <c r="AC15" s="28"/>
    </row>
    <row r="16" spans="1:29" ht="14.45" x14ac:dyDescent="0.3">
      <c r="A16" s="24">
        <f t="shared" si="10"/>
        <v>9</v>
      </c>
      <c r="B16" s="24">
        <f t="shared" si="10"/>
        <v>48</v>
      </c>
      <c r="D16" s="97">
        <f>IF(B16&lt;65,'Premium rates'!B38,0)</f>
        <v>1.7328767123287674</v>
      </c>
      <c r="F16" s="24">
        <f>Mortality!B54</f>
        <v>1.15E-3</v>
      </c>
      <c r="G16" s="29">
        <f t="shared" si="11"/>
        <v>1.0648</v>
      </c>
      <c r="H16" s="24">
        <f t="shared" si="16"/>
        <v>1.22452E-3</v>
      </c>
      <c r="J16" s="27">
        <f t="shared" si="12"/>
        <v>0.42175989940699621</v>
      </c>
      <c r="K16" s="27">
        <f t="shared" si="7"/>
        <v>5.1645343202185497E-4</v>
      </c>
      <c r="L16" s="27">
        <f t="shared" si="17"/>
        <v>4.2124344597497441E-2</v>
      </c>
      <c r="M16" s="27">
        <f t="shared" si="1"/>
        <v>0.37911910137747695</v>
      </c>
      <c r="O16" s="36">
        <f t="shared" si="2"/>
        <v>9</v>
      </c>
      <c r="P16" s="36">
        <f t="shared" si="3"/>
        <v>48</v>
      </c>
      <c r="Q16" s="40">
        <f t="shared" si="13"/>
        <v>891.40081358578027</v>
      </c>
      <c r="R16" s="40">
        <f t="shared" si="4"/>
        <v>25.305593964419771</v>
      </c>
      <c r="S16" s="40">
        <f t="shared" si="5"/>
        <v>516.45343202185495</v>
      </c>
      <c r="T16" s="40"/>
      <c r="U16" s="40"/>
      <c r="V16" s="40">
        <f t="shared" si="14"/>
        <v>24.707947133538948</v>
      </c>
      <c r="W16" s="40">
        <f t="shared" si="15"/>
        <v>89.14008135857803</v>
      </c>
      <c r="X16" s="40"/>
      <c r="Y16" s="40">
        <f t="shared" si="8"/>
        <v>71.312065086862418</v>
      </c>
      <c r="Z16" s="40">
        <f t="shared" si="0"/>
        <v>1070.2291673026234</v>
      </c>
      <c r="AA16" s="40">
        <f t="shared" si="6"/>
        <v>72.049091610966286</v>
      </c>
      <c r="AB16" s="70">
        <f t="shared" si="9"/>
        <v>283.14321318823755</v>
      </c>
      <c r="AC16" s="28"/>
    </row>
    <row r="17" spans="1:29" ht="14.45" x14ac:dyDescent="0.3">
      <c r="A17" s="24">
        <f t="shared" si="10"/>
        <v>10</v>
      </c>
      <c r="B17" s="24">
        <f t="shared" si="10"/>
        <v>49</v>
      </c>
      <c r="D17" s="97">
        <f>IF(B17&lt;65,'Premium rates'!B39,0)</f>
        <v>1.9287671232876717</v>
      </c>
      <c r="F17" s="24">
        <f>Mortality!B55</f>
        <v>1.2800000000000001E-3</v>
      </c>
      <c r="G17" s="29">
        <f t="shared" si="11"/>
        <v>1.0648</v>
      </c>
      <c r="H17" s="24">
        <f t="shared" si="16"/>
        <v>1.362944E-3</v>
      </c>
      <c r="J17" s="27">
        <f t="shared" si="12"/>
        <v>0.37911910137747695</v>
      </c>
      <c r="K17" s="27">
        <f t="shared" si="7"/>
        <v>5.1671810450782394E-4</v>
      </c>
      <c r="L17" s="27">
        <f t="shared" si="17"/>
        <v>3.7860238327296916E-2</v>
      </c>
      <c r="M17" s="27">
        <f t="shared" si="1"/>
        <v>0.34074214494567223</v>
      </c>
      <c r="O17" s="36">
        <f t="shared" si="2"/>
        <v>10</v>
      </c>
      <c r="P17" s="36">
        <f t="shared" si="3"/>
        <v>49</v>
      </c>
      <c r="Q17" s="40">
        <f t="shared" si="13"/>
        <v>891.85763941885284</v>
      </c>
      <c r="R17" s="40">
        <f t="shared" si="4"/>
        <v>22.747146082648616</v>
      </c>
      <c r="S17" s="40">
        <f t="shared" si="5"/>
        <v>516.71810450782391</v>
      </c>
      <c r="T17" s="40"/>
      <c r="U17" s="40"/>
      <c r="V17" s="40">
        <f t="shared" si="14"/>
        <v>22.654121033949561</v>
      </c>
      <c r="W17" s="40">
        <f t="shared" si="15"/>
        <v>89.185763941885284</v>
      </c>
      <c r="X17" s="40"/>
      <c r="Y17" s="40">
        <f t="shared" si="8"/>
        <v>71.34861115350823</v>
      </c>
      <c r="Z17" s="40">
        <f t="shared" si="0"/>
        <v>1067.1005509665476</v>
      </c>
      <c r="AA17" s="40">
        <f t="shared" si="6"/>
        <v>72.065818266991272</v>
      </c>
      <c r="AB17" s="70">
        <f t="shared" si="9"/>
        <v>286.21581213163859</v>
      </c>
      <c r="AC17" s="28"/>
    </row>
    <row r="18" spans="1:29" ht="14.45" x14ac:dyDescent="0.3">
      <c r="A18" s="24">
        <f t="shared" si="10"/>
        <v>11</v>
      </c>
      <c r="B18" s="24">
        <f t="shared" si="10"/>
        <v>50</v>
      </c>
      <c r="D18" s="97">
        <f>IF(B18&lt;65,'Premium rates'!B40,0)</f>
        <v>2.1397260273972605</v>
      </c>
      <c r="F18" s="24">
        <f>Mortality!B56</f>
        <v>1.42E-3</v>
      </c>
      <c r="G18" s="29">
        <f t="shared" si="11"/>
        <v>1.0648</v>
      </c>
      <c r="H18" s="24">
        <f t="shared" si="16"/>
        <v>1.5120159999999999E-3</v>
      </c>
      <c r="J18" s="27">
        <f t="shared" si="12"/>
        <v>0.34074214494567223</v>
      </c>
      <c r="K18" s="27">
        <f t="shared" si="7"/>
        <v>5.1520757503217547E-4</v>
      </c>
      <c r="L18" s="27">
        <f t="shared" si="17"/>
        <v>3.4022693737064007E-2</v>
      </c>
      <c r="M18" s="27">
        <f t="shared" si="1"/>
        <v>0.30620424363357607</v>
      </c>
      <c r="O18" s="36">
        <f t="shared" si="2"/>
        <v>11</v>
      </c>
      <c r="P18" s="36">
        <f t="shared" si="3"/>
        <v>50</v>
      </c>
      <c r="Q18" s="40">
        <f t="shared" si="13"/>
        <v>889.25045913878978</v>
      </c>
      <c r="R18" s="40">
        <f t="shared" si="4"/>
        <v>20.444528696740335</v>
      </c>
      <c r="S18" s="40">
        <f t="shared" si="5"/>
        <v>515.20757503217544</v>
      </c>
      <c r="T18" s="40"/>
      <c r="U18" s="40"/>
      <c r="V18" s="40">
        <f t="shared" si="14"/>
        <v>20.768138667290959</v>
      </c>
      <c r="W18" s="40">
        <f t="shared" si="15"/>
        <v>88.925045913878989</v>
      </c>
      <c r="X18" s="40"/>
      <c r="Y18" s="40">
        <f t="shared" si="8"/>
        <v>71.14003673110318</v>
      </c>
      <c r="Z18" s="40">
        <f t="shared" si="0"/>
        <v>1053.4815896586395</v>
      </c>
      <c r="AA18" s="40">
        <f t="shared" si="6"/>
        <v>71.838492699592194</v>
      </c>
      <c r="AB18" s="70">
        <f t="shared" si="9"/>
        <v>288.62130052674945</v>
      </c>
      <c r="AC18" s="28"/>
    </row>
    <row r="19" spans="1:29" ht="14.45" x14ac:dyDescent="0.3">
      <c r="A19" s="24">
        <f t="shared" si="10"/>
        <v>12</v>
      </c>
      <c r="B19" s="24">
        <f t="shared" si="10"/>
        <v>51</v>
      </c>
      <c r="D19" s="97">
        <f>IF(B19&lt;65,'Premium rates'!B41,0)</f>
        <v>2.3506849315068497</v>
      </c>
      <c r="F19" s="24">
        <f>Mortality!B57</f>
        <v>1.56E-3</v>
      </c>
      <c r="G19" s="29">
        <f t="shared" si="11"/>
        <v>1.0648</v>
      </c>
      <c r="H19" s="24">
        <f t="shared" si="16"/>
        <v>1.661088E-3</v>
      </c>
      <c r="J19" s="27">
        <f t="shared" si="12"/>
        <v>0.30620424363357607</v>
      </c>
      <c r="K19" s="27">
        <f t="shared" si="7"/>
        <v>5.0863219464880962E-4</v>
      </c>
      <c r="L19" s="27">
        <f t="shared" si="17"/>
        <v>3.0569561143892726E-2</v>
      </c>
      <c r="M19" s="27">
        <f t="shared" si="1"/>
        <v>0.27512605029503456</v>
      </c>
      <c r="O19" s="36">
        <f t="shared" si="2"/>
        <v>12</v>
      </c>
      <c r="P19" s="36">
        <f t="shared" si="3"/>
        <v>51</v>
      </c>
      <c r="Q19" s="40">
        <f t="shared" si="13"/>
        <v>877.90132471553295</v>
      </c>
      <c r="R19" s="40">
        <f t="shared" si="4"/>
        <v>18.372254618014566</v>
      </c>
      <c r="S19" s="40">
        <f t="shared" si="5"/>
        <v>508.63219464880962</v>
      </c>
      <c r="T19" s="40"/>
      <c r="U19" s="40"/>
      <c r="V19" s="40">
        <f t="shared" si="14"/>
        <v>19.036324482770258</v>
      </c>
      <c r="W19" s="40">
        <f t="shared" si="15"/>
        <v>87.790132471553306</v>
      </c>
      <c r="X19" s="40"/>
      <c r="Y19" s="40">
        <f t="shared" si="8"/>
        <v>70.232105977242639</v>
      </c>
      <c r="Z19" s="40">
        <f t="shared" si="0"/>
        <v>1043.6414204623609</v>
      </c>
      <c r="AA19" s="40">
        <f t="shared" si="6"/>
        <v>70.907864242424836</v>
      </c>
      <c r="AB19" s="70">
        <f t="shared" si="9"/>
        <v>295.10964730350474</v>
      </c>
      <c r="AC19" s="28"/>
    </row>
    <row r="20" spans="1:29" ht="14.45" x14ac:dyDescent="0.3">
      <c r="A20" s="24">
        <f t="shared" si="10"/>
        <v>13</v>
      </c>
      <c r="B20" s="24">
        <f t="shared" si="10"/>
        <v>52</v>
      </c>
      <c r="D20" s="97">
        <f>IF(B20&lt;65,'Premium rates'!B42,0)</f>
        <v>2.5917808219178085</v>
      </c>
      <c r="F20" s="24">
        <f>Mortality!B58</f>
        <v>1.72E-3</v>
      </c>
      <c r="G20" s="29">
        <f t="shared" si="11"/>
        <v>1.0648</v>
      </c>
      <c r="H20" s="24">
        <f t="shared" si="16"/>
        <v>1.831456E-3</v>
      </c>
      <c r="J20" s="27">
        <f t="shared" si="12"/>
        <v>0.27512605029503456</v>
      </c>
      <c r="K20" s="27">
        <f t="shared" si="7"/>
        <v>5.0388125556914286E-4</v>
      </c>
      <c r="L20" s="27">
        <f t="shared" si="17"/>
        <v>2.746221690394654E-2</v>
      </c>
      <c r="M20" s="27">
        <f t="shared" si="1"/>
        <v>0.24715995213551889</v>
      </c>
      <c r="O20" s="36">
        <f t="shared" si="2"/>
        <v>13</v>
      </c>
      <c r="P20" s="36">
        <f t="shared" si="3"/>
        <v>52</v>
      </c>
      <c r="Q20" s="40">
        <f t="shared" si="13"/>
        <v>869.70118371863418</v>
      </c>
      <c r="R20" s="40">
        <f t="shared" si="4"/>
        <v>16.507563017702076</v>
      </c>
      <c r="S20" s="40">
        <f t="shared" si="5"/>
        <v>503.88125556914287</v>
      </c>
      <c r="T20" s="40"/>
      <c r="U20" s="40"/>
      <c r="V20" s="40">
        <f t="shared" si="14"/>
        <v>17.446317787853985</v>
      </c>
      <c r="W20" s="40">
        <f t="shared" si="15"/>
        <v>86.970118371863421</v>
      </c>
      <c r="X20" s="40"/>
      <c r="Y20" s="40">
        <f t="shared" si="8"/>
        <v>69.576094697490731</v>
      </c>
      <c r="Z20" s="40">
        <f t="shared" si="0"/>
        <v>1030.2225541528094</v>
      </c>
      <c r="AA20" s="40">
        <f t="shared" si="6"/>
        <v>70.234305453659559</v>
      </c>
      <c r="AB20" s="70">
        <f t="shared" si="9"/>
        <v>288.40943495992337</v>
      </c>
      <c r="AC20" s="28"/>
    </row>
    <row r="21" spans="1:29" ht="14.45" x14ac:dyDescent="0.3">
      <c r="A21" s="24">
        <f t="shared" si="10"/>
        <v>14</v>
      </c>
      <c r="B21" s="24">
        <f t="shared" si="10"/>
        <v>53</v>
      </c>
      <c r="D21" s="97">
        <f>IF(B21&lt;65,'Premium rates'!B43,0)</f>
        <v>2.8479452054794523</v>
      </c>
      <c r="F21" s="24">
        <f>Mortality!B59</f>
        <v>1.89E-3</v>
      </c>
      <c r="G21" s="29">
        <f t="shared" si="11"/>
        <v>1.0648</v>
      </c>
      <c r="H21" s="24">
        <f t="shared" si="16"/>
        <v>2.012472E-3</v>
      </c>
      <c r="J21" s="27">
        <f t="shared" si="12"/>
        <v>0.24715995213551889</v>
      </c>
      <c r="K21" s="27">
        <f t="shared" si="7"/>
        <v>4.9740248319407197E-4</v>
      </c>
      <c r="L21" s="27">
        <f t="shared" si="17"/>
        <v>2.4666254965232483E-2</v>
      </c>
      <c r="M21" s="27">
        <f t="shared" si="1"/>
        <v>0.22199629468709234</v>
      </c>
      <c r="O21" s="36">
        <f t="shared" si="2"/>
        <v>14</v>
      </c>
      <c r="P21" s="36">
        <f t="shared" si="3"/>
        <v>53</v>
      </c>
      <c r="Q21" s="40">
        <f t="shared" si="13"/>
        <v>858.51879512734126</v>
      </c>
      <c r="R21" s="40">
        <f t="shared" si="4"/>
        <v>14.829597128131134</v>
      </c>
      <c r="S21" s="40">
        <f t="shared" si="5"/>
        <v>497.40248319407198</v>
      </c>
      <c r="T21" s="40"/>
      <c r="U21" s="40"/>
      <c r="V21" s="40">
        <f t="shared" si="14"/>
        <v>15.986387643257505</v>
      </c>
      <c r="W21" s="40">
        <f t="shared" si="15"/>
        <v>85.851879512734129</v>
      </c>
      <c r="X21" s="40"/>
      <c r="Y21" s="40">
        <f t="shared" si="8"/>
        <v>68.681503610187306</v>
      </c>
      <c r="Z21" s="40">
        <f t="shared" si="0"/>
        <v>1018.3573623934864</v>
      </c>
      <c r="AA21" s="40">
        <f t="shared" si="6"/>
        <v>69.322047025684114</v>
      </c>
      <c r="AB21" s="70">
        <f t="shared" si="9"/>
        <v>288.16705163045708</v>
      </c>
      <c r="AC21" s="28"/>
    </row>
    <row r="22" spans="1:29" ht="14.45" x14ac:dyDescent="0.3">
      <c r="A22" s="24">
        <f t="shared" si="10"/>
        <v>15</v>
      </c>
      <c r="B22" s="24">
        <f t="shared" si="10"/>
        <v>54</v>
      </c>
      <c r="D22" s="97">
        <f>IF(B22&lt;65,'Premium rates'!B44,0)</f>
        <v>3.1342465753424658</v>
      </c>
      <c r="F22" s="24">
        <f>Mortality!B60</f>
        <v>2.0799999999999998E-3</v>
      </c>
      <c r="G22" s="29">
        <f t="shared" si="11"/>
        <v>1.0648</v>
      </c>
      <c r="H22" s="24">
        <f t="shared" si="16"/>
        <v>2.2147839999999996E-3</v>
      </c>
      <c r="J22" s="27">
        <f t="shared" si="12"/>
        <v>0.22199629468709234</v>
      </c>
      <c r="K22" s="27">
        <f t="shared" si="7"/>
        <v>4.9167384153225705E-4</v>
      </c>
      <c r="L22" s="27">
        <f t="shared" si="17"/>
        <v>2.2150462084556011E-2</v>
      </c>
      <c r="M22" s="27">
        <f t="shared" si="1"/>
        <v>0.19935415876100407</v>
      </c>
      <c r="O22" s="36">
        <f t="shared" si="2"/>
        <v>15</v>
      </c>
      <c r="P22" s="36">
        <f t="shared" si="3"/>
        <v>54</v>
      </c>
      <c r="Q22" s="40">
        <f t="shared" si="13"/>
        <v>848.63113532790533</v>
      </c>
      <c r="R22" s="40">
        <f t="shared" si="4"/>
        <v>13.31977768122554</v>
      </c>
      <c r="S22" s="40">
        <f t="shared" si="5"/>
        <v>491.67384153225703</v>
      </c>
      <c r="T22" s="40"/>
      <c r="U22" s="40"/>
      <c r="V22" s="40">
        <f t="shared" si="14"/>
        <v>14.645969815913272</v>
      </c>
      <c r="W22" s="40">
        <f t="shared" si="15"/>
        <v>84.863113532790535</v>
      </c>
      <c r="X22" s="40"/>
      <c r="Y22" s="40">
        <f t="shared" si="8"/>
        <v>67.890490826232423</v>
      </c>
      <c r="Z22" s="40">
        <f t="shared" si="0"/>
        <v>1011.2168154125089</v>
      </c>
      <c r="AA22" s="40">
        <f t="shared" si="6"/>
        <v>68.516348049107236</v>
      </c>
      <c r="AB22" s="70">
        <f t="shared" si="9"/>
        <v>283.2590371103679</v>
      </c>
      <c r="AC22" s="28"/>
    </row>
    <row r="23" spans="1:29" ht="14.45" x14ac:dyDescent="0.3">
      <c r="A23" s="24">
        <f t="shared" si="10"/>
        <v>16</v>
      </c>
      <c r="B23" s="24">
        <f t="shared" si="10"/>
        <v>55</v>
      </c>
      <c r="D23" s="97">
        <f>IF(B23&lt;65,'Premium rates'!B45,0)</f>
        <v>3.4657534246575348</v>
      </c>
      <c r="F23" s="24">
        <f>Mortality!B61</f>
        <v>2.3E-3</v>
      </c>
      <c r="G23" s="29">
        <f t="shared" si="11"/>
        <v>1.0648</v>
      </c>
      <c r="H23" s="24">
        <f t="shared" si="16"/>
        <v>2.44904E-3</v>
      </c>
      <c r="J23" s="27">
        <f t="shared" si="12"/>
        <v>0.19935415876100407</v>
      </c>
      <c r="K23" s="27">
        <f t="shared" si="7"/>
        <v>4.8822630897204941E-4</v>
      </c>
      <c r="L23" s="27">
        <f t="shared" si="17"/>
        <v>1.9886593245203203E-2</v>
      </c>
      <c r="M23" s="27">
        <f t="shared" si="1"/>
        <v>0.17897933920682882</v>
      </c>
      <c r="O23" s="36">
        <f t="shared" si="2"/>
        <v>16</v>
      </c>
      <c r="P23" s="36">
        <f t="shared" si="3"/>
        <v>55</v>
      </c>
      <c r="Q23" s="40">
        <f t="shared" si="13"/>
        <v>842.68067951042417</v>
      </c>
      <c r="R23" s="40">
        <f t="shared" si="4"/>
        <v>11.961249525660245</v>
      </c>
      <c r="S23" s="40">
        <f t="shared" si="5"/>
        <v>488.22630897204942</v>
      </c>
      <c r="T23" s="40"/>
      <c r="U23" s="40"/>
      <c r="V23" s="40">
        <f t="shared" si="14"/>
        <v>13.41522251948386</v>
      </c>
      <c r="W23" s="40">
        <f t="shared" si="15"/>
        <v>84.268067951042426</v>
      </c>
      <c r="X23" s="40"/>
      <c r="Y23" s="40">
        <f t="shared" si="8"/>
        <v>67.414454360833929</v>
      </c>
      <c r="Z23" s="40">
        <f t="shared" si="0"/>
        <v>1006.5473912764068</v>
      </c>
      <c r="AA23" s="40">
        <f t="shared" si="6"/>
        <v>68.030439984689323</v>
      </c>
      <c r="AB23" s="70">
        <f t="shared" si="9"/>
        <v>276.48886219834162</v>
      </c>
      <c r="AC23" s="28"/>
    </row>
    <row r="24" spans="1:29" ht="14.45" x14ac:dyDescent="0.3">
      <c r="A24" s="24">
        <f t="shared" si="10"/>
        <v>17</v>
      </c>
      <c r="B24" s="24">
        <f t="shared" si="10"/>
        <v>56</v>
      </c>
      <c r="D24" s="97">
        <f>IF(B24&lt;65,'Premium rates'!B46,0)</f>
        <v>3.8424657534246585</v>
      </c>
      <c r="F24" s="24">
        <f>Mortality!B62</f>
        <v>2.5500000000000002E-3</v>
      </c>
      <c r="G24" s="29">
        <f t="shared" si="11"/>
        <v>1.0648</v>
      </c>
      <c r="H24" s="24">
        <f t="shared" si="16"/>
        <v>2.7152400000000003E-3</v>
      </c>
      <c r="J24" s="27">
        <f t="shared" si="12"/>
        <v>0.17897933920682882</v>
      </c>
      <c r="K24" s="27">
        <f t="shared" si="7"/>
        <v>4.8597186098794991E-4</v>
      </c>
      <c r="L24" s="27">
        <f t="shared" si="17"/>
        <v>1.7849336734584088E-2</v>
      </c>
      <c r="M24" s="27">
        <f t="shared" si="1"/>
        <v>0.16064403061125679</v>
      </c>
      <c r="O24" s="36">
        <f t="shared" si="2"/>
        <v>17</v>
      </c>
      <c r="P24" s="36">
        <f t="shared" si="3"/>
        <v>56</v>
      </c>
      <c r="Q24" s="40">
        <f t="shared" si="13"/>
        <v>838.78949273033902</v>
      </c>
      <c r="R24" s="40">
        <f t="shared" si="4"/>
        <v>10.738760352409729</v>
      </c>
      <c r="S24" s="40">
        <f t="shared" si="5"/>
        <v>485.97186098794992</v>
      </c>
      <c r="T24" s="40"/>
      <c r="U24" s="40"/>
      <c r="V24" s="40">
        <f t="shared" si="14"/>
        <v>12.285013918484916</v>
      </c>
      <c r="W24" s="40">
        <f t="shared" si="15"/>
        <v>83.878949273033911</v>
      </c>
      <c r="X24" s="40"/>
      <c r="Y24" s="40">
        <f t="shared" si="8"/>
        <v>67.103159418427126</v>
      </c>
      <c r="Z24" s="40">
        <f t="shared" si="0"/>
        <v>1013.262038229837</v>
      </c>
      <c r="AA24" s="40">
        <f t="shared" si="6"/>
        <v>67.712340869968372</v>
      </c>
      <c r="AB24" s="70">
        <f t="shared" si="9"/>
        <v>272.67103449092343</v>
      </c>
      <c r="AC24" s="28"/>
    </row>
    <row r="25" spans="1:29" ht="14.45" x14ac:dyDescent="0.3">
      <c r="A25" s="24">
        <f t="shared" si="10"/>
        <v>18</v>
      </c>
      <c r="B25" s="24">
        <f t="shared" si="10"/>
        <v>57</v>
      </c>
      <c r="D25" s="97">
        <f>IF(B25&lt;65,'Premium rates'!B47,0)</f>
        <v>4.309589041095891</v>
      </c>
      <c r="F25" s="24">
        <f>Mortality!B63</f>
        <v>2.8600000000000001E-3</v>
      </c>
      <c r="G25" s="29">
        <f t="shared" si="11"/>
        <v>1.0648</v>
      </c>
      <c r="H25" s="24">
        <f t="shared" si="16"/>
        <v>3.0453279999999999E-3</v>
      </c>
      <c r="J25" s="27">
        <f t="shared" si="12"/>
        <v>0.16064403061125679</v>
      </c>
      <c r="K25" s="27">
        <f t="shared" si="7"/>
        <v>4.8921376445331744E-4</v>
      </c>
      <c r="L25" s="27">
        <f t="shared" si="17"/>
        <v>1.6015481684680349E-2</v>
      </c>
      <c r="M25" s="27">
        <f t="shared" si="1"/>
        <v>0.14413933516212313</v>
      </c>
      <c r="O25" s="36">
        <f t="shared" si="2"/>
        <v>18</v>
      </c>
      <c r="P25" s="36">
        <f t="shared" si="3"/>
        <v>57</v>
      </c>
      <c r="Q25" s="40">
        <f t="shared" si="13"/>
        <v>844.38503185819752</v>
      </c>
      <c r="R25" s="40">
        <f t="shared" si="4"/>
        <v>9.6386418366754079</v>
      </c>
      <c r="S25" s="40">
        <f t="shared" si="5"/>
        <v>489.21376445331742</v>
      </c>
      <c r="T25" s="40"/>
      <c r="U25" s="40"/>
      <c r="V25" s="40">
        <f t="shared" si="14"/>
        <v>11.247021270394873</v>
      </c>
      <c r="W25" s="40">
        <f t="shared" si="15"/>
        <v>84.438503185819755</v>
      </c>
      <c r="X25" s="40"/>
      <c r="Y25" s="40">
        <f t="shared" si="8"/>
        <v>67.55080254865581</v>
      </c>
      <c r="Z25" s="40">
        <f t="shared" si="0"/>
        <v>1017.2404930642024</v>
      </c>
      <c r="AA25" s="40">
        <f t="shared" si="6"/>
        <v>68.161975396793594</v>
      </c>
      <c r="AB25" s="70">
        <f t="shared" si="9"/>
        <v>263.02091068004842</v>
      </c>
      <c r="AC25" s="28"/>
    </row>
    <row r="26" spans="1:29" ht="14.45" x14ac:dyDescent="0.3">
      <c r="A26" s="24">
        <f t="shared" si="10"/>
        <v>19</v>
      </c>
      <c r="B26" s="24">
        <f t="shared" si="10"/>
        <v>58</v>
      </c>
      <c r="D26" s="97">
        <f>IF(B26&lt;65,'Premium rates'!B48,0)</f>
        <v>4.8219178082191796</v>
      </c>
      <c r="F26" s="24">
        <f>Mortality!B64</f>
        <v>3.2000000000000002E-3</v>
      </c>
      <c r="G26" s="29">
        <f t="shared" si="11"/>
        <v>1.0648</v>
      </c>
      <c r="H26" s="24">
        <f t="shared" si="16"/>
        <v>3.4073599999999999E-3</v>
      </c>
      <c r="J26" s="27">
        <f t="shared" si="12"/>
        <v>0.14413933516212313</v>
      </c>
      <c r="K26" s="27">
        <f t="shared" si="7"/>
        <v>4.9113460505801189E-4</v>
      </c>
      <c r="L26" s="27">
        <f t="shared" si="17"/>
        <v>1.4364820055706513E-2</v>
      </c>
      <c r="M26" s="27">
        <f t="shared" si="1"/>
        <v>0.1292833805013586</v>
      </c>
      <c r="O26" s="36">
        <f t="shared" si="2"/>
        <v>19</v>
      </c>
      <c r="P26" s="36">
        <f t="shared" si="3"/>
        <v>58</v>
      </c>
      <c r="Q26" s="40">
        <f t="shared" si="13"/>
        <v>847.70041088683536</v>
      </c>
      <c r="R26" s="40">
        <f t="shared" si="4"/>
        <v>8.6483601097273883</v>
      </c>
      <c r="S26" s="40">
        <f t="shared" si="5"/>
        <v>491.13460505801191</v>
      </c>
      <c r="T26" s="40"/>
      <c r="U26" s="40"/>
      <c r="V26" s="40">
        <f t="shared" si="14"/>
        <v>10.293323228672053</v>
      </c>
      <c r="W26" s="40">
        <f t="shared" si="15"/>
        <v>84.770041088683541</v>
      </c>
      <c r="X26" s="40"/>
      <c r="Y26" s="40">
        <f t="shared" si="8"/>
        <v>67.816032870946827</v>
      </c>
      <c r="Z26" s="40">
        <f t="shared" si="0"/>
        <v>1020.7440874186769</v>
      </c>
      <c r="AA26" s="40">
        <f t="shared" si="6"/>
        <v>68.428394674898513</v>
      </c>
      <c r="AB26" s="70">
        <f t="shared" si="9"/>
        <v>266.78470859078152</v>
      </c>
      <c r="AC26" s="28"/>
    </row>
    <row r="27" spans="1:29" ht="14.45" x14ac:dyDescent="0.3">
      <c r="A27" s="24">
        <f t="shared" si="10"/>
        <v>20</v>
      </c>
      <c r="B27" s="24">
        <f t="shared" si="10"/>
        <v>59</v>
      </c>
      <c r="D27" s="97">
        <f>IF(B27&lt;65,'Premium rates'!B49,0)</f>
        <v>5.3945205479452056</v>
      </c>
      <c r="F27" s="24">
        <f>Mortality!B65</f>
        <v>3.5799999999999998E-3</v>
      </c>
      <c r="G27" s="29">
        <f t="shared" si="11"/>
        <v>1.0648</v>
      </c>
      <c r="H27" s="24">
        <f t="shared" si="16"/>
        <v>3.8119839999999996E-3</v>
      </c>
      <c r="J27" s="27">
        <f t="shared" si="12"/>
        <v>0.1292833805013586</v>
      </c>
      <c r="K27" s="27">
        <f t="shared" si="7"/>
        <v>4.9282617793709087E-4</v>
      </c>
      <c r="L27" s="27">
        <f t="shared" si="17"/>
        <v>1.2879055432342152E-2</v>
      </c>
      <c r="M27" s="27">
        <f t="shared" si="1"/>
        <v>0.11591149889107935</v>
      </c>
      <c r="O27" s="36">
        <f t="shared" si="2"/>
        <v>20</v>
      </c>
      <c r="P27" s="36">
        <f t="shared" si="3"/>
        <v>59</v>
      </c>
      <c r="Q27" s="40">
        <f t="shared" si="13"/>
        <v>850.62007284889751</v>
      </c>
      <c r="R27" s="40">
        <f t="shared" si="4"/>
        <v>7.7570028300815155</v>
      </c>
      <c r="S27" s="40">
        <f t="shared" si="5"/>
        <v>492.82617793709085</v>
      </c>
      <c r="T27" s="40"/>
      <c r="U27" s="40"/>
      <c r="V27" s="40">
        <f t="shared" si="14"/>
        <v>9.4170736568270854</v>
      </c>
      <c r="W27" s="40">
        <f t="shared" si="15"/>
        <v>85.062007284889759</v>
      </c>
      <c r="X27" s="40"/>
      <c r="Y27" s="40">
        <f t="shared" si="8"/>
        <v>68.049605827911805</v>
      </c>
      <c r="Z27" s="40">
        <f t="shared" si="0"/>
        <v>1014.8647671801174</v>
      </c>
      <c r="AA27" s="40">
        <f t="shared" si="6"/>
        <v>68.663699053121093</v>
      </c>
      <c r="AB27" s="70">
        <f t="shared" si="9"/>
        <v>268.18231567090612</v>
      </c>
      <c r="AC27" s="28"/>
    </row>
    <row r="28" spans="1:29" ht="14.45" x14ac:dyDescent="0.3">
      <c r="A28" s="24">
        <f t="shared" si="10"/>
        <v>21</v>
      </c>
      <c r="B28" s="24">
        <f t="shared" si="10"/>
        <v>60</v>
      </c>
      <c r="D28" s="97">
        <f>IF(B28&lt;65,'Premium rates'!B50,0)</f>
        <v>5.9821917808219185</v>
      </c>
      <c r="F28" s="24">
        <f>Mortality!B66</f>
        <v>3.9699999999999996E-3</v>
      </c>
      <c r="G28" s="29">
        <f t="shared" si="11"/>
        <v>1.0648</v>
      </c>
      <c r="H28" s="24">
        <f t="shared" si="16"/>
        <v>4.2272559999999995E-3</v>
      </c>
      <c r="J28" s="27">
        <f t="shared" si="12"/>
        <v>0.11591149889107935</v>
      </c>
      <c r="K28" s="27">
        <f t="shared" si="7"/>
        <v>4.8998757915630852E-4</v>
      </c>
      <c r="L28" s="27">
        <f t="shared" si="17"/>
        <v>1.1542151131192306E-2</v>
      </c>
      <c r="M28" s="27">
        <f t="shared" si="1"/>
        <v>0.10387936018073074</v>
      </c>
      <c r="O28" s="36">
        <f t="shared" si="2"/>
        <v>21</v>
      </c>
      <c r="P28" s="36">
        <f t="shared" si="3"/>
        <v>60</v>
      </c>
      <c r="Q28" s="40">
        <f t="shared" si="13"/>
        <v>845.7206393167645</v>
      </c>
      <c r="R28" s="40">
        <f t="shared" si="4"/>
        <v>6.9546899334647607</v>
      </c>
      <c r="S28" s="40">
        <f t="shared" si="5"/>
        <v>489.98757915630853</v>
      </c>
      <c r="T28" s="40"/>
      <c r="U28" s="40"/>
      <c r="V28" s="40">
        <f t="shared" si="14"/>
        <v>8.6119194970573627</v>
      </c>
      <c r="W28" s="40">
        <f t="shared" si="15"/>
        <v>84.572063931676453</v>
      </c>
      <c r="X28" s="40"/>
      <c r="Y28" s="40">
        <f t="shared" si="8"/>
        <v>67.657651145341163</v>
      </c>
      <c r="Z28" s="40">
        <f t="shared" si="0"/>
        <v>1003.4471951947714</v>
      </c>
      <c r="AA28" s="40">
        <f t="shared" si="6"/>
        <v>68.267938474250869</v>
      </c>
      <c r="AB28" s="70">
        <f t="shared" si="9"/>
        <v>275.99337423265615</v>
      </c>
      <c r="AC28" s="28"/>
    </row>
    <row r="29" spans="1:29" ht="14.45" x14ac:dyDescent="0.3">
      <c r="A29" s="24">
        <f t="shared" si="10"/>
        <v>22</v>
      </c>
      <c r="B29" s="24">
        <f t="shared" si="10"/>
        <v>61</v>
      </c>
      <c r="D29" s="97">
        <f>IF(B29&lt;65,'Premium rates'!B51,0)</f>
        <v>6.6000000000000005</v>
      </c>
      <c r="F29" s="24">
        <f>Mortality!B67</f>
        <v>4.3800000000000002E-3</v>
      </c>
      <c r="G29" s="29">
        <f t="shared" si="11"/>
        <v>1.0648</v>
      </c>
      <c r="H29" s="24">
        <f t="shared" si="16"/>
        <v>4.6638240000000004E-3</v>
      </c>
      <c r="J29" s="27">
        <f t="shared" si="12"/>
        <v>0.10387936018073074</v>
      </c>
      <c r="K29" s="27">
        <f t="shared" si="7"/>
        <v>4.8447505311553638E-4</v>
      </c>
      <c r="L29" s="27">
        <f t="shared" si="17"/>
        <v>1.0339488512761522E-2</v>
      </c>
      <c r="M29" s="27">
        <f t="shared" si="1"/>
        <v>9.305539661485368E-2</v>
      </c>
      <c r="O29" s="36">
        <f t="shared" si="2"/>
        <v>22</v>
      </c>
      <c r="P29" s="36">
        <f t="shared" si="3"/>
        <v>61</v>
      </c>
      <c r="Q29" s="40">
        <f t="shared" si="13"/>
        <v>836.20599599564287</v>
      </c>
      <c r="R29" s="40">
        <f t="shared" si="4"/>
        <v>6.2327616108438448</v>
      </c>
      <c r="S29" s="40">
        <f t="shared" si="5"/>
        <v>484.47505311553635</v>
      </c>
      <c r="T29" s="40"/>
      <c r="U29" s="40"/>
      <c r="V29" s="40">
        <f t="shared" si="14"/>
        <v>7.8723225025791725</v>
      </c>
      <c r="W29" s="40">
        <f t="shared" si="15"/>
        <v>83.620599599564287</v>
      </c>
      <c r="X29" s="40"/>
      <c r="Y29" s="40">
        <f t="shared" si="8"/>
        <v>66.896479679651435</v>
      </c>
      <c r="Z29" s="40">
        <f t="shared" si="0"/>
        <v>983.03328876534169</v>
      </c>
      <c r="AA29" s="40">
        <f t="shared" si="6"/>
        <v>67.499862040778524</v>
      </c>
      <c r="AB29" s="70">
        <f t="shared" si="9"/>
        <v>278.49173673527986</v>
      </c>
      <c r="AC29" s="28"/>
    </row>
    <row r="30" spans="1:29" ht="14.45" x14ac:dyDescent="0.3">
      <c r="A30" s="24">
        <f t="shared" si="10"/>
        <v>23</v>
      </c>
      <c r="B30" s="24">
        <f t="shared" si="10"/>
        <v>62</v>
      </c>
      <c r="D30" s="97">
        <f>IF(B30&lt;65,'Premium rates'!B52,0)</f>
        <v>7.2178082191780826</v>
      </c>
      <c r="F30" s="24">
        <f>Mortality!B68</f>
        <v>4.79E-3</v>
      </c>
      <c r="G30" s="29">
        <f t="shared" si="11"/>
        <v>1.0648</v>
      </c>
      <c r="H30" s="24">
        <f t="shared" si="16"/>
        <v>5.1003919999999996E-3</v>
      </c>
      <c r="J30" s="27">
        <f t="shared" si="12"/>
        <v>9.305539661485368E-2</v>
      </c>
      <c r="K30" s="27">
        <f t="shared" si="7"/>
        <v>4.7461900045122675E-4</v>
      </c>
      <c r="L30" s="27">
        <f t="shared" si="17"/>
        <v>9.2580777614402459E-3</v>
      </c>
      <c r="M30" s="27">
        <f t="shared" si="1"/>
        <v>8.3322699852962201E-2</v>
      </c>
      <c r="O30" s="36">
        <f t="shared" si="2"/>
        <v>23</v>
      </c>
      <c r="P30" s="36">
        <f t="shared" si="3"/>
        <v>62</v>
      </c>
      <c r="Q30" s="40">
        <f t="shared" si="13"/>
        <v>819.19440730445149</v>
      </c>
      <c r="R30" s="40">
        <f t="shared" si="4"/>
        <v>5.5833237968912206</v>
      </c>
      <c r="S30" s="40">
        <f t="shared" si="5"/>
        <v>474.61900045122673</v>
      </c>
      <c r="T30" s="40"/>
      <c r="U30" s="40"/>
      <c r="V30" s="40">
        <f t="shared" si="14"/>
        <v>7.1930875711275197</v>
      </c>
      <c r="W30" s="40">
        <f t="shared" si="15"/>
        <v>81.91944073044516</v>
      </c>
      <c r="X30" s="40"/>
      <c r="Y30" s="40">
        <f t="shared" si="8"/>
        <v>65.535552584356125</v>
      </c>
      <c r="Z30" s="40">
        <f t="shared" si="0"/>
        <v>964.74777118287284</v>
      </c>
      <c r="AA30" s="40">
        <f t="shared" si="6"/>
        <v>66.126517559230223</v>
      </c>
      <c r="AB30" s="70">
        <f t="shared" si="9"/>
        <v>282.05107375284717</v>
      </c>
      <c r="AC30" s="28"/>
    </row>
    <row r="31" spans="1:29" ht="14.45" x14ac:dyDescent="0.3">
      <c r="A31" s="24">
        <f t="shared" si="10"/>
        <v>24</v>
      </c>
      <c r="B31" s="24">
        <f t="shared" si="10"/>
        <v>63</v>
      </c>
      <c r="D31" s="97">
        <f>IF(B31&lt;65,'Premium rates'!B53,0)</f>
        <v>7.9109589041095907</v>
      </c>
      <c r="F31" s="24">
        <f>Mortality!B69</f>
        <v>5.2500000000000003E-3</v>
      </c>
      <c r="G31" s="29">
        <f t="shared" si="11"/>
        <v>1.0648</v>
      </c>
      <c r="H31" s="24">
        <f t="shared" si="16"/>
        <v>5.5902E-3</v>
      </c>
      <c r="J31" s="27">
        <f t="shared" si="12"/>
        <v>8.3322699852962201E-2</v>
      </c>
      <c r="K31" s="27">
        <f t="shared" si="7"/>
        <v>4.6579055671802931E-4</v>
      </c>
      <c r="L31" s="27">
        <f t="shared" si="17"/>
        <v>8.2856909296244174E-3</v>
      </c>
      <c r="M31" s="27">
        <f t="shared" si="1"/>
        <v>7.4571218366619757E-2</v>
      </c>
      <c r="O31" s="36">
        <f t="shared" si="2"/>
        <v>24</v>
      </c>
      <c r="P31" s="36">
        <f t="shared" si="3"/>
        <v>63</v>
      </c>
      <c r="Q31" s="40">
        <f t="shared" si="13"/>
        <v>803.95647598572737</v>
      </c>
      <c r="R31" s="40">
        <f t="shared" si="4"/>
        <v>4.9993619911777323</v>
      </c>
      <c r="S31" s="40">
        <f t="shared" si="5"/>
        <v>465.79055671802934</v>
      </c>
      <c r="T31" s="40"/>
      <c r="U31" s="40"/>
      <c r="V31" s="40">
        <f t="shared" si="14"/>
        <v>6.569575204428836</v>
      </c>
      <c r="W31" s="40">
        <f t="shared" si="15"/>
        <v>80.395647598572737</v>
      </c>
      <c r="X31" s="40"/>
      <c r="Y31" s="40">
        <f t="shared" si="8"/>
        <v>64.316518078858195</v>
      </c>
      <c r="Z31" s="40">
        <f t="shared" si="0"/>
        <v>952.22800373726272</v>
      </c>
      <c r="AA31" s="40">
        <f t="shared" si="6"/>
        <v>64.896874731116725</v>
      </c>
      <c r="AB31" s="70">
        <f t="shared" si="9"/>
        <v>275.06593269060153</v>
      </c>
      <c r="AC31" s="28"/>
    </row>
    <row r="32" spans="1:29" ht="14.45" x14ac:dyDescent="0.3">
      <c r="A32" s="24">
        <f t="shared" si="10"/>
        <v>25</v>
      </c>
      <c r="B32" s="24">
        <f t="shared" si="10"/>
        <v>64</v>
      </c>
      <c r="C32" s="23"/>
      <c r="D32" s="97">
        <f>IF(B32&lt;65,'Premium rates'!B54,0)</f>
        <v>8.7246575342465764</v>
      </c>
      <c r="E32" s="23"/>
      <c r="F32" s="24">
        <f>Mortality!B70</f>
        <v>5.79E-3</v>
      </c>
      <c r="G32" s="29">
        <f t="shared" si="11"/>
        <v>1.0648</v>
      </c>
      <c r="H32" s="24">
        <f t="shared" ref="H32" si="18">F32*G32</f>
        <v>6.1651919999999999E-3</v>
      </c>
      <c r="I32" s="23"/>
      <c r="J32" s="27">
        <f t="shared" ref="J32" si="19">M31</f>
        <v>7.4571218366619757E-2</v>
      </c>
      <c r="K32" s="27">
        <f t="shared" ref="K32" si="20">H32*J32</f>
        <v>4.597458789041372E-4</v>
      </c>
      <c r="L32" s="27">
        <f t="shared" si="17"/>
        <v>7.4111472487715623E-3</v>
      </c>
      <c r="M32" s="27">
        <f t="shared" si="1"/>
        <v>0</v>
      </c>
      <c r="N32" s="23"/>
      <c r="O32" s="36">
        <f t="shared" si="2"/>
        <v>25</v>
      </c>
      <c r="P32" s="36">
        <f t="shared" si="3"/>
        <v>64</v>
      </c>
      <c r="Q32" s="40">
        <f t="shared" si="13"/>
        <v>793.52333644771898</v>
      </c>
      <c r="R32" s="40">
        <f t="shared" si="4"/>
        <v>4.4742731019971851</v>
      </c>
      <c r="S32" s="40">
        <f t="shared" si="5"/>
        <v>459.74587890413721</v>
      </c>
      <c r="T32" s="40"/>
      <c r="U32" s="40"/>
      <c r="V32" s="40">
        <f t="shared" si="14"/>
        <v>5.9971562679811132</v>
      </c>
      <c r="W32" s="40">
        <f t="shared" si="15"/>
        <v>79.352333644771903</v>
      </c>
      <c r="X32" s="40"/>
      <c r="Y32" s="40">
        <f t="shared" si="8"/>
        <v>63.48186691581752</v>
      </c>
      <c r="Z32" s="40">
        <f t="shared" si="0"/>
        <v>0</v>
      </c>
      <c r="AA32" s="40">
        <f t="shared" si="6"/>
        <v>64.055770258336338</v>
      </c>
      <c r="AB32" s="70">
        <f t="shared" si="9"/>
        <v>265.99591152095491</v>
      </c>
      <c r="AC32" s="28"/>
    </row>
    <row r="33" spans="1:28" ht="14.45" x14ac:dyDescent="0.3">
      <c r="A33" s="24">
        <f t="shared" ref="A33:B33" si="21">A32+1</f>
        <v>26</v>
      </c>
      <c r="B33" s="24">
        <f t="shared" si="21"/>
        <v>65</v>
      </c>
      <c r="C33" s="23"/>
      <c r="D33" s="97">
        <f>IF(B33&lt;65,'Premium rates'!B55,0)</f>
        <v>0</v>
      </c>
      <c r="E33" s="23"/>
      <c r="F33" s="24">
        <f>Mortality!B71</f>
        <v>6.4599999999999996E-3</v>
      </c>
      <c r="G33" s="29">
        <f t="shared" si="11"/>
        <v>1.0648</v>
      </c>
      <c r="H33" s="24">
        <f t="shared" ref="H33:H42" si="22">F33*G33</f>
        <v>6.8786079999999996E-3</v>
      </c>
      <c r="I33" s="23"/>
      <c r="J33" s="27">
        <f t="shared" ref="J33:J42" si="23">M32</f>
        <v>0</v>
      </c>
      <c r="K33" s="27">
        <f t="shared" ref="K33:K42" si="24">H33*J33</f>
        <v>0</v>
      </c>
      <c r="L33" s="27">
        <f t="shared" ref="L33:L42" si="25">Lapse_Y5*(J33-K33)</f>
        <v>0</v>
      </c>
      <c r="M33" s="27">
        <f t="shared" ref="M33:M42" si="26">IF(B33=64,0,(J33-L33-K33))</f>
        <v>0</v>
      </c>
      <c r="N33" s="23"/>
      <c r="O33" s="36">
        <f t="shared" ref="O33:O42" si="27">A33</f>
        <v>26</v>
      </c>
      <c r="P33" s="36">
        <f t="shared" ref="P33:P42" si="28">B33</f>
        <v>65</v>
      </c>
      <c r="Q33" s="40">
        <f t="shared" ref="Q33:Q42" si="29">D33*Sum_Insured/1000*J33*(1+Prem_Loading*Loss_ratio)</f>
        <v>0</v>
      </c>
      <c r="R33" s="40">
        <f t="shared" ref="R33:R42" si="30">Policy_Fee*J33</f>
        <v>0</v>
      </c>
      <c r="S33" s="40">
        <f t="shared" si="5"/>
        <v>0</v>
      </c>
      <c r="T33" s="40"/>
      <c r="U33" s="40"/>
      <c r="V33" s="40">
        <f t="shared" ref="V33:V42" si="31">(RenExp_dollar*J33)*(1+Expense_inflation)^(O33-1)</f>
        <v>0</v>
      </c>
      <c r="W33" s="40">
        <f t="shared" ref="W33:W42" si="32">(RenExp_perc*Q33)</f>
        <v>0</v>
      </c>
      <c r="X33" s="40"/>
      <c r="Y33" s="40">
        <f t="shared" ref="Y33:Y42" si="33">(RenComm_percent*Q33)</f>
        <v>0</v>
      </c>
      <c r="Z33" s="40">
        <f t="shared" ref="Z33:Z40" si="34">Q34*Reserves</f>
        <v>0</v>
      </c>
      <c r="AA33" s="40">
        <f t="shared" ref="AA33:AA42" si="35">(SUM(Q33:R33)-SUM(T33:Y33)+Z32)*Interest</f>
        <v>0</v>
      </c>
      <c r="AB33" s="70">
        <f t="shared" ref="AB33:AB42" si="36">SUM(Q33:R33)-SUM(S33:Y33)+AA33-(Z32-Z31)</f>
        <v>952.22800373726272</v>
      </c>
    </row>
    <row r="34" spans="1:28" ht="14.45" x14ac:dyDescent="0.3">
      <c r="A34" s="24">
        <f t="shared" ref="A34:B34" si="37">A33+1</f>
        <v>27</v>
      </c>
      <c r="B34" s="24">
        <f t="shared" si="37"/>
        <v>66</v>
      </c>
      <c r="C34" s="23"/>
      <c r="D34" s="97">
        <f>IF(B34&lt;65,'Premium rates'!B56,0)</f>
        <v>0</v>
      </c>
      <c r="E34" s="23"/>
      <c r="F34" s="24">
        <f>Mortality!B72</f>
        <v>7.3200000000000001E-3</v>
      </c>
      <c r="G34" s="29">
        <f t="shared" si="11"/>
        <v>1.0648</v>
      </c>
      <c r="H34" s="24">
        <f t="shared" si="22"/>
        <v>7.7943359999999998E-3</v>
      </c>
      <c r="I34" s="23"/>
      <c r="J34" s="27">
        <f t="shared" si="23"/>
        <v>0</v>
      </c>
      <c r="K34" s="27">
        <f t="shared" si="24"/>
        <v>0</v>
      </c>
      <c r="L34" s="27">
        <f t="shared" si="25"/>
        <v>0</v>
      </c>
      <c r="M34" s="27">
        <f t="shared" si="26"/>
        <v>0</v>
      </c>
      <c r="N34" s="23"/>
      <c r="O34" s="36">
        <f t="shared" si="27"/>
        <v>27</v>
      </c>
      <c r="P34" s="36">
        <f t="shared" si="28"/>
        <v>66</v>
      </c>
      <c r="Q34" s="40">
        <f t="shared" si="29"/>
        <v>0</v>
      </c>
      <c r="R34" s="40">
        <f t="shared" si="30"/>
        <v>0</v>
      </c>
      <c r="S34" s="40">
        <f t="shared" si="5"/>
        <v>0</v>
      </c>
      <c r="T34" s="40"/>
      <c r="U34" s="40"/>
      <c r="V34" s="40">
        <f t="shared" si="31"/>
        <v>0</v>
      </c>
      <c r="W34" s="40">
        <f t="shared" si="32"/>
        <v>0</v>
      </c>
      <c r="X34" s="40"/>
      <c r="Y34" s="40">
        <f t="shared" si="33"/>
        <v>0</v>
      </c>
      <c r="Z34" s="40">
        <f t="shared" si="34"/>
        <v>0</v>
      </c>
      <c r="AA34" s="40">
        <f t="shared" si="35"/>
        <v>0</v>
      </c>
      <c r="AB34" s="70">
        <f t="shared" si="36"/>
        <v>0</v>
      </c>
    </row>
    <row r="35" spans="1:28" ht="14.45" x14ac:dyDescent="0.3">
      <c r="A35" s="24">
        <f t="shared" ref="A35:B35" si="38">A34+1</f>
        <v>28</v>
      </c>
      <c r="B35" s="24">
        <f t="shared" si="38"/>
        <v>67</v>
      </c>
      <c r="C35" s="23"/>
      <c r="D35" s="97">
        <f>IF(B35&lt;65,'Premium rates'!B57,0)</f>
        <v>0</v>
      </c>
      <c r="E35" s="23"/>
      <c r="F35" s="24">
        <f>Mortality!B73</f>
        <v>8.4200000000000004E-3</v>
      </c>
      <c r="G35" s="29">
        <f t="shared" si="11"/>
        <v>1.0648</v>
      </c>
      <c r="H35" s="24">
        <f t="shared" si="22"/>
        <v>8.9656160000000009E-3</v>
      </c>
      <c r="I35" s="23"/>
      <c r="J35" s="27">
        <f t="shared" si="23"/>
        <v>0</v>
      </c>
      <c r="K35" s="27">
        <f t="shared" si="24"/>
        <v>0</v>
      </c>
      <c r="L35" s="27">
        <f t="shared" si="25"/>
        <v>0</v>
      </c>
      <c r="M35" s="27">
        <f t="shared" si="26"/>
        <v>0</v>
      </c>
      <c r="N35" s="23"/>
      <c r="O35" s="36">
        <f t="shared" si="27"/>
        <v>28</v>
      </c>
      <c r="P35" s="36">
        <f t="shared" si="28"/>
        <v>67</v>
      </c>
      <c r="Q35" s="40">
        <f t="shared" si="29"/>
        <v>0</v>
      </c>
      <c r="R35" s="40">
        <f t="shared" si="30"/>
        <v>0</v>
      </c>
      <c r="S35" s="40">
        <f t="shared" si="5"/>
        <v>0</v>
      </c>
      <c r="T35" s="40"/>
      <c r="U35" s="40"/>
      <c r="V35" s="40">
        <f t="shared" si="31"/>
        <v>0</v>
      </c>
      <c r="W35" s="40">
        <f t="shared" si="32"/>
        <v>0</v>
      </c>
      <c r="X35" s="40"/>
      <c r="Y35" s="40">
        <f t="shared" si="33"/>
        <v>0</v>
      </c>
      <c r="Z35" s="40">
        <f t="shared" si="34"/>
        <v>0</v>
      </c>
      <c r="AA35" s="40">
        <f t="shared" si="35"/>
        <v>0</v>
      </c>
      <c r="AB35" s="70">
        <f t="shared" si="36"/>
        <v>0</v>
      </c>
    </row>
    <row r="36" spans="1:28" x14ac:dyDescent="0.25">
      <c r="A36" s="24">
        <f t="shared" ref="A36:B36" si="39">A35+1</f>
        <v>29</v>
      </c>
      <c r="B36" s="24">
        <f t="shared" si="39"/>
        <v>68</v>
      </c>
      <c r="C36" s="23"/>
      <c r="D36" s="97">
        <f>IF(B36&lt;65,'Premium rates'!B58,0)</f>
        <v>0</v>
      </c>
      <c r="E36" s="23"/>
      <c r="F36" s="24">
        <f>Mortality!B74</f>
        <v>9.7699999999999992E-3</v>
      </c>
      <c r="G36" s="29">
        <f t="shared" si="11"/>
        <v>1.0648</v>
      </c>
      <c r="H36" s="24">
        <f t="shared" si="22"/>
        <v>1.0403095999999999E-2</v>
      </c>
      <c r="I36" s="23"/>
      <c r="J36" s="27">
        <f t="shared" si="23"/>
        <v>0</v>
      </c>
      <c r="K36" s="27">
        <f t="shared" si="24"/>
        <v>0</v>
      </c>
      <c r="L36" s="27">
        <f t="shared" si="25"/>
        <v>0</v>
      </c>
      <c r="M36" s="27">
        <f t="shared" si="26"/>
        <v>0</v>
      </c>
      <c r="N36" s="23"/>
      <c r="O36" s="36">
        <f t="shared" si="27"/>
        <v>29</v>
      </c>
      <c r="P36" s="36">
        <f t="shared" si="28"/>
        <v>68</v>
      </c>
      <c r="Q36" s="40">
        <f t="shared" si="29"/>
        <v>0</v>
      </c>
      <c r="R36" s="40">
        <f t="shared" si="30"/>
        <v>0</v>
      </c>
      <c r="S36" s="40">
        <f t="shared" si="5"/>
        <v>0</v>
      </c>
      <c r="T36" s="40"/>
      <c r="U36" s="40"/>
      <c r="V36" s="40">
        <f t="shared" si="31"/>
        <v>0</v>
      </c>
      <c r="W36" s="40">
        <f t="shared" si="32"/>
        <v>0</v>
      </c>
      <c r="X36" s="40"/>
      <c r="Y36" s="40">
        <f t="shared" si="33"/>
        <v>0</v>
      </c>
      <c r="Z36" s="40">
        <f t="shared" si="34"/>
        <v>0</v>
      </c>
      <c r="AA36" s="40">
        <f t="shared" si="35"/>
        <v>0</v>
      </c>
      <c r="AB36" s="70">
        <f t="shared" si="36"/>
        <v>0</v>
      </c>
    </row>
    <row r="37" spans="1:28" x14ac:dyDescent="0.25">
      <c r="A37" s="24">
        <f t="shared" ref="A37:B37" si="40">A36+1</f>
        <v>30</v>
      </c>
      <c r="B37" s="24">
        <f t="shared" si="40"/>
        <v>69</v>
      </c>
      <c r="C37" s="23"/>
      <c r="D37" s="97">
        <f>IF(B37&lt;65,'Premium rates'!B59,0)</f>
        <v>0</v>
      </c>
      <c r="E37" s="23"/>
      <c r="F37" s="24">
        <f>Mortality!B75</f>
        <v>1.136E-2</v>
      </c>
      <c r="G37" s="29">
        <f t="shared" si="11"/>
        <v>1.0648</v>
      </c>
      <c r="H37" s="24">
        <f t="shared" si="22"/>
        <v>1.2096127999999999E-2</v>
      </c>
      <c r="I37" s="23"/>
      <c r="J37" s="27">
        <f t="shared" si="23"/>
        <v>0</v>
      </c>
      <c r="K37" s="27">
        <f t="shared" si="24"/>
        <v>0</v>
      </c>
      <c r="L37" s="27">
        <f t="shared" si="25"/>
        <v>0</v>
      </c>
      <c r="M37" s="27">
        <f t="shared" si="26"/>
        <v>0</v>
      </c>
      <c r="N37" s="23"/>
      <c r="O37" s="36">
        <f t="shared" si="27"/>
        <v>30</v>
      </c>
      <c r="P37" s="36">
        <f t="shared" si="28"/>
        <v>69</v>
      </c>
      <c r="Q37" s="40">
        <f t="shared" si="29"/>
        <v>0</v>
      </c>
      <c r="R37" s="40">
        <f t="shared" si="30"/>
        <v>0</v>
      </c>
      <c r="S37" s="40">
        <f t="shared" si="5"/>
        <v>0</v>
      </c>
      <c r="T37" s="40"/>
      <c r="U37" s="40"/>
      <c r="V37" s="40">
        <f t="shared" si="31"/>
        <v>0</v>
      </c>
      <c r="W37" s="40">
        <f t="shared" si="32"/>
        <v>0</v>
      </c>
      <c r="X37" s="40"/>
      <c r="Y37" s="40">
        <f t="shared" si="33"/>
        <v>0</v>
      </c>
      <c r="Z37" s="40">
        <f t="shared" si="34"/>
        <v>0</v>
      </c>
      <c r="AA37" s="40">
        <f t="shared" si="35"/>
        <v>0</v>
      </c>
      <c r="AB37" s="70">
        <f t="shared" si="36"/>
        <v>0</v>
      </c>
    </row>
    <row r="38" spans="1:28" x14ac:dyDescent="0.25">
      <c r="A38" s="24">
        <f t="shared" ref="A38:B38" si="41">A37+1</f>
        <v>31</v>
      </c>
      <c r="B38" s="24">
        <f t="shared" si="41"/>
        <v>70</v>
      </c>
      <c r="C38" s="23"/>
      <c r="D38" s="97">
        <f>IF(B38&lt;65,'Premium rates'!B60,0)</f>
        <v>0</v>
      </c>
      <c r="E38" s="23"/>
      <c r="F38" s="24">
        <f>Mortality!B76</f>
        <v>1.321E-2</v>
      </c>
      <c r="G38" s="29">
        <f t="shared" si="11"/>
        <v>1.0648</v>
      </c>
      <c r="H38" s="24">
        <f t="shared" si="22"/>
        <v>1.4066008E-2</v>
      </c>
      <c r="I38" s="23"/>
      <c r="J38" s="27">
        <f t="shared" si="23"/>
        <v>0</v>
      </c>
      <c r="K38" s="27">
        <f t="shared" si="24"/>
        <v>0</v>
      </c>
      <c r="L38" s="27">
        <f t="shared" si="25"/>
        <v>0</v>
      </c>
      <c r="M38" s="27">
        <f t="shared" si="26"/>
        <v>0</v>
      </c>
      <c r="N38" s="23"/>
      <c r="O38" s="36">
        <f t="shared" si="27"/>
        <v>31</v>
      </c>
      <c r="P38" s="36">
        <f t="shared" si="28"/>
        <v>70</v>
      </c>
      <c r="Q38" s="40">
        <f t="shared" si="29"/>
        <v>0</v>
      </c>
      <c r="R38" s="40">
        <f t="shared" si="30"/>
        <v>0</v>
      </c>
      <c r="S38" s="40">
        <f t="shared" si="5"/>
        <v>0</v>
      </c>
      <c r="T38" s="40"/>
      <c r="U38" s="40"/>
      <c r="V38" s="40">
        <f t="shared" si="31"/>
        <v>0</v>
      </c>
      <c r="W38" s="40">
        <f t="shared" si="32"/>
        <v>0</v>
      </c>
      <c r="X38" s="40"/>
      <c r="Y38" s="40">
        <f t="shared" si="33"/>
        <v>0</v>
      </c>
      <c r="Z38" s="40">
        <f t="shared" si="34"/>
        <v>0</v>
      </c>
      <c r="AA38" s="40">
        <f t="shared" si="35"/>
        <v>0</v>
      </c>
      <c r="AB38" s="70">
        <f t="shared" si="36"/>
        <v>0</v>
      </c>
    </row>
    <row r="39" spans="1:28" x14ac:dyDescent="0.25">
      <c r="A39" s="24">
        <f t="shared" ref="A39:B39" si="42">A38+1</f>
        <v>32</v>
      </c>
      <c r="B39" s="24">
        <f t="shared" si="42"/>
        <v>71</v>
      </c>
      <c r="C39" s="23"/>
      <c r="D39" s="97">
        <f>IF(B39&lt;65,'Premium rates'!B61,0)</f>
        <v>0</v>
      </c>
      <c r="E39" s="23"/>
      <c r="F39" s="24">
        <f>Mortality!B77</f>
        <v>1.5350000000000001E-2</v>
      </c>
      <c r="G39" s="29">
        <f t="shared" si="11"/>
        <v>1.0648</v>
      </c>
      <c r="H39" s="24">
        <f t="shared" si="22"/>
        <v>1.634468E-2</v>
      </c>
      <c r="I39" s="23"/>
      <c r="J39" s="27">
        <f t="shared" si="23"/>
        <v>0</v>
      </c>
      <c r="K39" s="27">
        <f t="shared" si="24"/>
        <v>0</v>
      </c>
      <c r="L39" s="27">
        <f t="shared" si="25"/>
        <v>0</v>
      </c>
      <c r="M39" s="27">
        <f t="shared" si="26"/>
        <v>0</v>
      </c>
      <c r="N39" s="23"/>
      <c r="O39" s="36">
        <f t="shared" si="27"/>
        <v>32</v>
      </c>
      <c r="P39" s="36">
        <f t="shared" si="28"/>
        <v>71</v>
      </c>
      <c r="Q39" s="40">
        <f t="shared" si="29"/>
        <v>0</v>
      </c>
      <c r="R39" s="40">
        <f t="shared" si="30"/>
        <v>0</v>
      </c>
      <c r="S39" s="40">
        <f t="shared" si="5"/>
        <v>0</v>
      </c>
      <c r="T39" s="40"/>
      <c r="U39" s="40"/>
      <c r="V39" s="40">
        <f t="shared" si="31"/>
        <v>0</v>
      </c>
      <c r="W39" s="40">
        <f t="shared" si="32"/>
        <v>0</v>
      </c>
      <c r="X39" s="40"/>
      <c r="Y39" s="40">
        <f t="shared" si="33"/>
        <v>0</v>
      </c>
      <c r="Z39" s="40">
        <f t="shared" si="34"/>
        <v>0</v>
      </c>
      <c r="AA39" s="40">
        <f t="shared" si="35"/>
        <v>0</v>
      </c>
      <c r="AB39" s="70">
        <f t="shared" si="36"/>
        <v>0</v>
      </c>
    </row>
    <row r="40" spans="1:28" x14ac:dyDescent="0.25">
      <c r="A40" s="24">
        <f t="shared" ref="A40:B40" si="43">A39+1</f>
        <v>33</v>
      </c>
      <c r="B40" s="24">
        <f t="shared" si="43"/>
        <v>72</v>
      </c>
      <c r="C40" s="23"/>
      <c r="D40" s="97">
        <f>IF(B40&lt;65,'Premium rates'!B62,0)</f>
        <v>0</v>
      </c>
      <c r="E40" s="23"/>
      <c r="F40" s="24">
        <f>Mortality!B78</f>
        <v>1.78E-2</v>
      </c>
      <c r="G40" s="29">
        <f t="shared" si="11"/>
        <v>1.0648</v>
      </c>
      <c r="H40" s="24">
        <f t="shared" si="22"/>
        <v>1.8953439999999998E-2</v>
      </c>
      <c r="I40" s="23"/>
      <c r="J40" s="27">
        <f t="shared" si="23"/>
        <v>0</v>
      </c>
      <c r="K40" s="27">
        <f t="shared" si="24"/>
        <v>0</v>
      </c>
      <c r="L40" s="27">
        <f t="shared" si="25"/>
        <v>0</v>
      </c>
      <c r="M40" s="27">
        <f t="shared" si="26"/>
        <v>0</v>
      </c>
      <c r="N40" s="23"/>
      <c r="O40" s="36">
        <f t="shared" si="27"/>
        <v>33</v>
      </c>
      <c r="P40" s="36">
        <f t="shared" si="28"/>
        <v>72</v>
      </c>
      <c r="Q40" s="40">
        <f t="shared" si="29"/>
        <v>0</v>
      </c>
      <c r="R40" s="40">
        <f t="shared" si="30"/>
        <v>0</v>
      </c>
      <c r="S40" s="40">
        <f t="shared" si="5"/>
        <v>0</v>
      </c>
      <c r="T40" s="40"/>
      <c r="U40" s="40"/>
      <c r="V40" s="40">
        <f t="shared" si="31"/>
        <v>0</v>
      </c>
      <c r="W40" s="40">
        <f t="shared" si="32"/>
        <v>0</v>
      </c>
      <c r="X40" s="40"/>
      <c r="Y40" s="40">
        <f t="shared" si="33"/>
        <v>0</v>
      </c>
      <c r="Z40" s="40">
        <f t="shared" si="34"/>
        <v>0</v>
      </c>
      <c r="AA40" s="40">
        <f t="shared" si="35"/>
        <v>0</v>
      </c>
      <c r="AB40" s="70">
        <f t="shared" si="36"/>
        <v>0</v>
      </c>
    </row>
    <row r="41" spans="1:28" x14ac:dyDescent="0.25">
      <c r="A41" s="24">
        <f t="shared" ref="A41:B41" si="44">A40+1</f>
        <v>34</v>
      </c>
      <c r="B41" s="24">
        <f t="shared" si="44"/>
        <v>73</v>
      </c>
      <c r="C41" s="23"/>
      <c r="D41" s="97">
        <f>IF(B41&lt;65,'Premium rates'!B63,0)</f>
        <v>0</v>
      </c>
      <c r="E41" s="23"/>
      <c r="F41" s="24">
        <f>Mortality!B79</f>
        <v>2.0480000000000002E-2</v>
      </c>
      <c r="G41" s="29">
        <f t="shared" si="11"/>
        <v>1.0648</v>
      </c>
      <c r="H41" s="24">
        <f t="shared" si="22"/>
        <v>2.1807104000000001E-2</v>
      </c>
      <c r="I41" s="23"/>
      <c r="J41" s="27">
        <f t="shared" si="23"/>
        <v>0</v>
      </c>
      <c r="K41" s="27">
        <f t="shared" si="24"/>
        <v>0</v>
      </c>
      <c r="L41" s="27">
        <f t="shared" si="25"/>
        <v>0</v>
      </c>
      <c r="M41" s="27">
        <f t="shared" si="26"/>
        <v>0</v>
      </c>
      <c r="N41" s="23"/>
      <c r="O41" s="36">
        <f t="shared" si="27"/>
        <v>34</v>
      </c>
      <c r="P41" s="36">
        <f t="shared" si="28"/>
        <v>73</v>
      </c>
      <c r="Q41" s="40">
        <f t="shared" si="29"/>
        <v>0</v>
      </c>
      <c r="R41" s="40">
        <f t="shared" si="30"/>
        <v>0</v>
      </c>
      <c r="S41" s="40">
        <f t="shared" si="5"/>
        <v>0</v>
      </c>
      <c r="T41" s="40"/>
      <c r="U41" s="40"/>
      <c r="V41" s="40">
        <f t="shared" si="31"/>
        <v>0</v>
      </c>
      <c r="W41" s="40">
        <f t="shared" si="32"/>
        <v>0</v>
      </c>
      <c r="X41" s="40"/>
      <c r="Y41" s="40">
        <f t="shared" si="33"/>
        <v>0</v>
      </c>
      <c r="Z41" s="40">
        <f>Q42*Reserves</f>
        <v>0</v>
      </c>
      <c r="AA41" s="40">
        <f t="shared" si="35"/>
        <v>0</v>
      </c>
      <c r="AB41" s="70">
        <f t="shared" si="36"/>
        <v>0</v>
      </c>
    </row>
    <row r="42" spans="1:28" x14ac:dyDescent="0.25">
      <c r="A42" s="24">
        <f t="shared" ref="A42:B42" si="45">A41+1</f>
        <v>35</v>
      </c>
      <c r="B42" s="24">
        <f t="shared" si="45"/>
        <v>74</v>
      </c>
      <c r="C42" s="23"/>
      <c r="D42" s="97">
        <f>IF(B42&lt;65,'Premium rates'!B64,0)</f>
        <v>0</v>
      </c>
      <c r="E42" s="23"/>
      <c r="F42" s="24">
        <f>Mortality!B80</f>
        <v>2.341E-2</v>
      </c>
      <c r="G42" s="29">
        <f t="shared" si="11"/>
        <v>1.0648</v>
      </c>
      <c r="H42" s="24">
        <f t="shared" si="22"/>
        <v>2.4926968000000001E-2</v>
      </c>
      <c r="I42" s="23"/>
      <c r="J42" s="27">
        <f t="shared" si="23"/>
        <v>0</v>
      </c>
      <c r="K42" s="27">
        <f t="shared" si="24"/>
        <v>0</v>
      </c>
      <c r="L42" s="27">
        <f t="shared" si="25"/>
        <v>0</v>
      </c>
      <c r="M42" s="27">
        <f t="shared" si="26"/>
        <v>0</v>
      </c>
      <c r="N42" s="23"/>
      <c r="O42" s="36">
        <f t="shared" si="27"/>
        <v>35</v>
      </c>
      <c r="P42" s="36">
        <f t="shared" si="28"/>
        <v>74</v>
      </c>
      <c r="Q42" s="40">
        <f t="shared" si="29"/>
        <v>0</v>
      </c>
      <c r="R42" s="40">
        <f t="shared" si="30"/>
        <v>0</v>
      </c>
      <c r="S42" s="40">
        <f t="shared" si="5"/>
        <v>0</v>
      </c>
      <c r="T42" s="40"/>
      <c r="U42" s="40"/>
      <c r="V42" s="40">
        <f t="shared" si="31"/>
        <v>0</v>
      </c>
      <c r="W42" s="40">
        <f t="shared" si="32"/>
        <v>0</v>
      </c>
      <c r="X42" s="40"/>
      <c r="Y42" s="40">
        <f t="shared" si="33"/>
        <v>0</v>
      </c>
      <c r="Z42" s="40">
        <f>Q43*Reserves</f>
        <v>0</v>
      </c>
      <c r="AA42" s="40">
        <f t="shared" si="35"/>
        <v>0</v>
      </c>
      <c r="AB42" s="70">
        <f t="shared" si="36"/>
        <v>0</v>
      </c>
    </row>
  </sheetData>
  <mergeCells count="3">
    <mergeCell ref="J6:M6"/>
    <mergeCell ref="T5:W5"/>
    <mergeCell ref="X5:Y5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showGridLines="0" zoomScale="70" zoomScaleNormal="70" workbookViewId="0">
      <selection activeCell="V4" sqref="V4:W4"/>
    </sheetView>
  </sheetViews>
  <sheetFormatPr defaultRowHeight="15" x14ac:dyDescent="0.25"/>
  <cols>
    <col min="1" max="2" width="9.42578125" style="23" bestFit="1" customWidth="1"/>
    <col min="3" max="3" width="4" style="23" customWidth="1"/>
    <col min="4" max="4" width="10.140625" style="23" bestFit="1" customWidth="1"/>
    <col min="5" max="5" width="4.7109375" style="23" customWidth="1"/>
    <col min="6" max="7" width="9.5703125" style="23" bestFit="1" customWidth="1"/>
    <col min="8" max="8" width="10.140625" style="23" bestFit="1" customWidth="1"/>
    <col min="9" max="9" width="3.140625" style="23" customWidth="1"/>
    <col min="10" max="13" width="9.42578125" style="23" bestFit="1" customWidth="1"/>
    <col min="14" max="14" width="3.42578125" style="23" customWidth="1"/>
    <col min="15" max="16" width="11.140625" style="23" customWidth="1"/>
    <col min="17" max="28" width="11.28515625" customWidth="1"/>
  </cols>
  <sheetData>
    <row r="1" spans="1:29" thickBot="1" x14ac:dyDescent="0.35"/>
    <row r="2" spans="1:29" thickBot="1" x14ac:dyDescent="0.35">
      <c r="AA2" s="48" t="s">
        <v>50</v>
      </c>
      <c r="AB2" s="49">
        <f>IRR(AB8:AB42)</f>
        <v>5.3241906246221049E-2</v>
      </c>
    </row>
    <row r="3" spans="1:29" thickBot="1" x14ac:dyDescent="0.35">
      <c r="Y3" s="28"/>
      <c r="Z3" s="28"/>
      <c r="AB3" s="28"/>
    </row>
    <row r="4" spans="1:29" thickBot="1" x14ac:dyDescent="0.35">
      <c r="P4" s="30" t="s">
        <v>49</v>
      </c>
      <c r="Q4" s="81">
        <f>NPV(RDR,Q8:Q42)*(1+RDR)</f>
        <v>7716.2294749431358</v>
      </c>
      <c r="R4" s="81">
        <f>NPV(RDR,R8:R42)*(1+RDR)</f>
        <v>303.28637204654791</v>
      </c>
      <c r="S4" s="81">
        <f>NPV(RDR,S8:S42)</f>
        <v>4763.6907717262393</v>
      </c>
      <c r="T4" s="81">
        <f>NPV(RDR,T8:T42)*(1+RDR)</f>
        <v>363.49999999999994</v>
      </c>
      <c r="U4" s="81">
        <f>NPV(RDR,U8:U42)*(1+RDR)</f>
        <v>148.93089041095894</v>
      </c>
      <c r="V4" s="81">
        <f>NPV(RDR,V9:V42)</f>
        <v>224.08794409324011</v>
      </c>
      <c r="W4" s="81">
        <f>NPV(RDR,W9:W42)</f>
        <v>672.33568722034136</v>
      </c>
      <c r="X4" s="81">
        <f>NPV(RDR,X8:X42)*(1+RDR)</f>
        <v>1191.4471232876715</v>
      </c>
      <c r="Y4" s="81">
        <f>NPV(RDR,Y9:Y42)</f>
        <v>537.86854977627263</v>
      </c>
      <c r="Z4" s="81">
        <f>NPV(RDR,Z7:Z42)*(1+RDR)</f>
        <v>9259.4753699317625</v>
      </c>
      <c r="AA4" s="81">
        <f>NPV(RDR,AA8:AA42)</f>
        <v>505.02932221903444</v>
      </c>
      <c r="AB4" s="81">
        <f>NPV(RDR,AB8:AB42)</f>
        <v>-786.10876609399463</v>
      </c>
      <c r="AC4" s="28"/>
    </row>
    <row r="5" spans="1:29" ht="14.45" x14ac:dyDescent="0.3">
      <c r="O5" s="31"/>
      <c r="P5" s="31"/>
      <c r="Q5" s="32"/>
      <c r="R5" s="32"/>
      <c r="S5" s="33"/>
      <c r="T5" s="137" t="s">
        <v>1</v>
      </c>
      <c r="U5" s="137"/>
      <c r="V5" s="137"/>
      <c r="W5" s="137"/>
      <c r="X5" s="137" t="s">
        <v>7</v>
      </c>
      <c r="Y5" s="137"/>
      <c r="Z5" s="34"/>
      <c r="AA5" s="32"/>
      <c r="AB5" s="103"/>
    </row>
    <row r="6" spans="1:29" ht="28.9" x14ac:dyDescent="0.3">
      <c r="J6" s="136" t="s">
        <v>38</v>
      </c>
      <c r="K6" s="136"/>
      <c r="L6" s="136"/>
      <c r="M6" s="136"/>
      <c r="O6" s="37" t="s">
        <v>25</v>
      </c>
      <c r="P6" s="37" t="s">
        <v>21</v>
      </c>
      <c r="Q6" s="41" t="s">
        <v>40</v>
      </c>
      <c r="R6" s="41" t="s">
        <v>47</v>
      </c>
      <c r="S6" s="50" t="s">
        <v>41</v>
      </c>
      <c r="T6" s="50" t="s">
        <v>53</v>
      </c>
      <c r="U6" s="50" t="s">
        <v>54</v>
      </c>
      <c r="V6" s="41" t="s">
        <v>43</v>
      </c>
      <c r="W6" s="41" t="s">
        <v>42</v>
      </c>
      <c r="X6" s="41" t="s">
        <v>44</v>
      </c>
      <c r="Y6" s="41" t="s">
        <v>45</v>
      </c>
      <c r="Z6" s="41" t="s">
        <v>51</v>
      </c>
      <c r="AA6" s="41" t="s">
        <v>48</v>
      </c>
      <c r="AB6" s="41" t="s">
        <v>52</v>
      </c>
    </row>
    <row r="7" spans="1:29" ht="14.45" x14ac:dyDescent="0.3">
      <c r="A7" s="24" t="s">
        <v>25</v>
      </c>
      <c r="B7" s="24" t="s">
        <v>21</v>
      </c>
      <c r="D7" s="24" t="s">
        <v>22</v>
      </c>
      <c r="F7" s="24" t="s">
        <v>32</v>
      </c>
      <c r="G7" s="24" t="s">
        <v>33</v>
      </c>
      <c r="H7" s="24" t="s">
        <v>34</v>
      </c>
      <c r="J7" s="24" t="s">
        <v>36</v>
      </c>
      <c r="K7" s="26" t="s">
        <v>39</v>
      </c>
      <c r="L7" s="25" t="s">
        <v>35</v>
      </c>
      <c r="M7" s="26" t="s">
        <v>37</v>
      </c>
      <c r="O7" s="36"/>
      <c r="P7" s="36"/>
      <c r="Q7" s="36"/>
      <c r="R7" s="36"/>
      <c r="S7" s="38"/>
      <c r="T7" s="39"/>
      <c r="U7" s="39"/>
      <c r="V7" s="36"/>
      <c r="W7" s="36"/>
      <c r="X7" s="36"/>
      <c r="Y7" s="36"/>
      <c r="Z7" s="40">
        <f t="shared" ref="Z7:Z40" si="0">Q8*Reserves</f>
        <v>1191.4471232876715</v>
      </c>
      <c r="AA7" s="36"/>
      <c r="AB7" s="37"/>
    </row>
    <row r="8" spans="1:29" ht="14.45" x14ac:dyDescent="0.3">
      <c r="A8" s="24">
        <v>1</v>
      </c>
      <c r="B8" s="24">
        <f>Start_Age</f>
        <v>40</v>
      </c>
      <c r="D8" s="97">
        <f>IF(B8&lt;65,'Premium rates'!B30,0)</f>
        <v>0.87397260273972621</v>
      </c>
      <c r="F8" s="24">
        <f>Mortality!B46</f>
        <v>5.8E-4</v>
      </c>
      <c r="G8" s="29">
        <f>Mort_Y1*(1+Claims_Loading_prop)</f>
        <v>0.6532</v>
      </c>
      <c r="H8" s="24">
        <f>F8*G8</f>
        <v>3.7885600000000001E-4</v>
      </c>
      <c r="J8" s="27">
        <v>1</v>
      </c>
      <c r="K8" s="27">
        <f>H8*J8</f>
        <v>3.7885600000000001E-4</v>
      </c>
      <c r="L8" s="27">
        <f>Lapse_Y1*(J8-K8)</f>
        <v>4.9981057200000005E-2</v>
      </c>
      <c r="M8" s="27">
        <f t="shared" ref="M8:M42" si="1">IF(B8=64,0,(J8-L8-K8))</f>
        <v>0.94964008680000001</v>
      </c>
      <c r="O8" s="36">
        <f t="shared" ref="O8:P32" si="2">A8</f>
        <v>1</v>
      </c>
      <c r="P8" s="36">
        <f t="shared" si="2"/>
        <v>40</v>
      </c>
      <c r="Q8" s="40">
        <f t="shared" ref="Q8:Q42" si="3">D8*Sum_Insured/1000*J8*(1+Prem_Loading_prop*Loss_ratio)</f>
        <v>992.87260273972629</v>
      </c>
      <c r="R8" s="40">
        <f t="shared" ref="R8:R42" si="4">Policy_Fee*J8</f>
        <v>60</v>
      </c>
      <c r="S8" s="40">
        <f t="shared" ref="S8:S42" si="5">Sum_Insured*K8</f>
        <v>378.85599999999999</v>
      </c>
      <c r="T8" s="40">
        <f>Acq_per_pol_prop</f>
        <v>363.49999999999994</v>
      </c>
      <c r="U8" s="40">
        <f>AcqExp_perc*'1a(iii) Proposed'!Q8</f>
        <v>148.93089041095894</v>
      </c>
      <c r="V8" s="40"/>
      <c r="W8" s="40"/>
      <c r="X8" s="40">
        <f>(UpfrontComm_percent*Q8)</f>
        <v>1191.4471232876715</v>
      </c>
      <c r="Y8" s="40"/>
      <c r="Z8" s="40">
        <f t="shared" si="0"/>
        <v>1228.9843935055244</v>
      </c>
      <c r="AA8" s="40">
        <f t="shared" ref="AA8:AA32" si="6">(SUM(Q8:R8)-SUM(T8:Y8)+Z7)*Interest</f>
        <v>21.617668493150695</v>
      </c>
      <c r="AB8" s="70">
        <f>SUM(Q8:R8)-SUM(S8:Y8)+AA8-Z7</f>
        <v>-2199.690865753425</v>
      </c>
      <c r="AC8" s="28"/>
    </row>
    <row r="9" spans="1:29" ht="14.45" x14ac:dyDescent="0.3">
      <c r="A9" s="24">
        <f>A8+1</f>
        <v>2</v>
      </c>
      <c r="B9" s="24">
        <f>B8+1</f>
        <v>41</v>
      </c>
      <c r="D9" s="97">
        <f>IF(B9&lt;65,'Premium rates'!B31,0)</f>
        <v>0.94931506849315084</v>
      </c>
      <c r="F9" s="24">
        <f>Mortality!B47</f>
        <v>6.3000000000000003E-4</v>
      </c>
      <c r="G9" s="29">
        <f>Mort_Y2*(1+Claims_Loading_prop)</f>
        <v>0.9798</v>
      </c>
      <c r="H9" s="24">
        <f>F9*G9</f>
        <v>6.1727400000000001E-4</v>
      </c>
      <c r="J9" s="27">
        <f>M8</f>
        <v>0.94964008680000001</v>
      </c>
      <c r="K9" s="27">
        <f t="shared" ref="K9:K42" si="7">H9*J9</f>
        <v>5.861881349393832E-4</v>
      </c>
      <c r="L9" s="27">
        <f>Lapse_Y2*(J9-K9)</f>
        <v>0.14235808479975909</v>
      </c>
      <c r="M9" s="27">
        <f t="shared" si="1"/>
        <v>0.80669581386530154</v>
      </c>
      <c r="O9" s="36">
        <f t="shared" si="2"/>
        <v>2</v>
      </c>
      <c r="P9" s="36">
        <f t="shared" si="2"/>
        <v>41</v>
      </c>
      <c r="Q9" s="40">
        <f t="shared" si="3"/>
        <v>1024.1536612546038</v>
      </c>
      <c r="R9" s="40">
        <f t="shared" si="4"/>
        <v>56.978405207999998</v>
      </c>
      <c r="S9" s="40">
        <f t="shared" si="5"/>
        <v>586.18813493938319</v>
      </c>
      <c r="T9" s="40"/>
      <c r="U9" s="40"/>
      <c r="V9" s="40">
        <f>(Ren_Exp_dollar_prop*J9)*(1+Expense_inflation)^(O9-1)</f>
        <v>48.431644426800005</v>
      </c>
      <c r="W9" s="40">
        <f>(RenExp_perc*Q9)</f>
        <v>102.41536612546038</v>
      </c>
      <c r="X9" s="40"/>
      <c r="Y9" s="40">
        <f t="shared" ref="Y9:Y42" si="8">(RenComm_percent*Q9)</f>
        <v>81.93229290036831</v>
      </c>
      <c r="Z9" s="40">
        <f t="shared" si="0"/>
        <v>1126.8484079700929</v>
      </c>
      <c r="AA9" s="40">
        <f t="shared" si="6"/>
        <v>83.093486260619983</v>
      </c>
      <c r="AB9" s="70">
        <f t="shared" ref="AB9:AB32" si="9">SUM(Q9:R9)-SUM(S9:Y9)+AA9-(Z8-Z7)</f>
        <v>307.72084411335891</v>
      </c>
      <c r="AC9" s="28"/>
    </row>
    <row r="10" spans="1:29" ht="14.45" x14ac:dyDescent="0.3">
      <c r="A10" s="24">
        <f t="shared" ref="A10:B25" si="10">A9+1</f>
        <v>3</v>
      </c>
      <c r="B10" s="24">
        <f t="shared" si="10"/>
        <v>42</v>
      </c>
      <c r="D10" s="97">
        <f>IF(B10&lt;65,'Premium rates'!B32,0)</f>
        <v>1.0246575342465756</v>
      </c>
      <c r="F10" s="24">
        <f>Mortality!B48</f>
        <v>6.8000000000000005E-4</v>
      </c>
      <c r="G10" s="29">
        <f t="shared" ref="G10:G42" si="11">Mort_Y3*(1+Claims_Loading_prop)</f>
        <v>1.3064</v>
      </c>
      <c r="H10" s="24">
        <f>F10*G10</f>
        <v>8.8835200000000002E-4</v>
      </c>
      <c r="J10" s="27">
        <f t="shared" ref="J10:J42" si="12">M9</f>
        <v>0.80669581386530154</v>
      </c>
      <c r="K10" s="27">
        <f t="shared" si="7"/>
        <v>7.166298396388684E-4</v>
      </c>
      <c r="L10" s="27">
        <f>Lapse_Y3*(J10-K10)</f>
        <v>8.8657710242822901E-2</v>
      </c>
      <c r="M10" s="27">
        <f t="shared" si="1"/>
        <v>0.71732147378283984</v>
      </c>
      <c r="O10" s="36">
        <f t="shared" si="2"/>
        <v>3</v>
      </c>
      <c r="P10" s="36">
        <f t="shared" si="2"/>
        <v>42</v>
      </c>
      <c r="Q10" s="40">
        <f t="shared" si="3"/>
        <v>939.04033997507747</v>
      </c>
      <c r="R10" s="40">
        <f t="shared" si="4"/>
        <v>48.401748831918091</v>
      </c>
      <c r="S10" s="40">
        <f t="shared" si="5"/>
        <v>716.62983963886836</v>
      </c>
      <c r="T10" s="40"/>
      <c r="U10" s="40"/>
      <c r="V10" s="40">
        <f t="shared" ref="V10:V42" si="13">(RenExp_dollar*J10)*(1+Expense_inflation)^(O10-1)</f>
        <v>41.964316237272989</v>
      </c>
      <c r="W10" s="40">
        <f t="shared" ref="W10:W42" si="14">(RenExp_perc*Q10)</f>
        <v>93.904033997507753</v>
      </c>
      <c r="X10" s="40"/>
      <c r="Y10" s="40">
        <f t="shared" si="8"/>
        <v>75.123227198006205</v>
      </c>
      <c r="Z10" s="40">
        <f t="shared" si="0"/>
        <v>1090.4162909382203</v>
      </c>
      <c r="AA10" s="40">
        <f t="shared" si="6"/>
        <v>76.13195677377206</v>
      </c>
      <c r="AB10" s="70">
        <f t="shared" si="9"/>
        <v>238.0886140445437</v>
      </c>
      <c r="AC10" s="28"/>
    </row>
    <row r="11" spans="1:29" ht="14.45" x14ac:dyDescent="0.3">
      <c r="A11" s="24">
        <f t="shared" si="10"/>
        <v>4</v>
      </c>
      <c r="B11" s="24">
        <f t="shared" si="10"/>
        <v>43</v>
      </c>
      <c r="D11" s="97">
        <f>IF(B11&lt;65,'Premium rates'!B33,0)</f>
        <v>1.1150684931506851</v>
      </c>
      <c r="F11" s="24">
        <f>Mortality!B49</f>
        <v>7.3999999999999999E-4</v>
      </c>
      <c r="G11" s="29">
        <f t="shared" si="11"/>
        <v>1.3064</v>
      </c>
      <c r="H11" s="24">
        <f t="shared" ref="H11:H42" si="15">F11*G11</f>
        <v>9.6673599999999994E-4</v>
      </c>
      <c r="J11" s="27">
        <f t="shared" si="12"/>
        <v>0.71732147378283984</v>
      </c>
      <c r="K11" s="27">
        <f t="shared" si="7"/>
        <v>6.9346049227892738E-4</v>
      </c>
      <c r="L11" s="27">
        <f>Lapse_Y4*(J11-K11)</f>
        <v>7.16628013290561E-2</v>
      </c>
      <c r="M11" s="27">
        <f t="shared" si="1"/>
        <v>0.6449652119615048</v>
      </c>
      <c r="O11" s="36">
        <f t="shared" si="2"/>
        <v>4</v>
      </c>
      <c r="P11" s="36">
        <f t="shared" si="2"/>
        <v>43</v>
      </c>
      <c r="Q11" s="40">
        <f t="shared" si="3"/>
        <v>908.68024244851688</v>
      </c>
      <c r="R11" s="40">
        <f t="shared" si="4"/>
        <v>43.039288426970387</v>
      </c>
      <c r="S11" s="40">
        <f t="shared" si="5"/>
        <v>693.4604922789274</v>
      </c>
      <c r="T11" s="40"/>
      <c r="U11" s="40"/>
      <c r="V11" s="40">
        <f t="shared" si="13"/>
        <v>38.061364327506993</v>
      </c>
      <c r="W11" s="40">
        <f t="shared" si="14"/>
        <v>90.868024244851696</v>
      </c>
      <c r="X11" s="40"/>
      <c r="Y11" s="40">
        <f t="shared" si="8"/>
        <v>72.694419395881354</v>
      </c>
      <c r="Z11" s="40">
        <f t="shared" si="0"/>
        <v>1046.670927009664</v>
      </c>
      <c r="AA11" s="40">
        <f t="shared" si="6"/>
        <v>73.620480553818709</v>
      </c>
      <c r="AB11" s="70">
        <f t="shared" si="9"/>
        <v>166.68782821401118</v>
      </c>
      <c r="AC11" s="28"/>
    </row>
    <row r="12" spans="1:29" ht="14.45" x14ac:dyDescent="0.3">
      <c r="A12" s="24">
        <f t="shared" si="10"/>
        <v>5</v>
      </c>
      <c r="B12" s="24">
        <f t="shared" si="10"/>
        <v>44</v>
      </c>
      <c r="D12" s="97">
        <f>IF(B12&lt;65,'Premium rates'!B34,0)</f>
        <v>1.1904109589041099</v>
      </c>
      <c r="F12" s="24">
        <f>Mortality!B50</f>
        <v>7.9000000000000001E-4</v>
      </c>
      <c r="G12" s="29">
        <f t="shared" si="11"/>
        <v>1.3064</v>
      </c>
      <c r="H12" s="24">
        <f t="shared" si="15"/>
        <v>1.0320559999999999E-3</v>
      </c>
      <c r="J12" s="27">
        <f t="shared" si="12"/>
        <v>0.6449652119615048</v>
      </c>
      <c r="K12" s="27">
        <f t="shared" si="7"/>
        <v>6.6564021679614278E-4</v>
      </c>
      <c r="L12" s="27">
        <f t="shared" ref="L12:L42" si="16">Lapse_Y5*(J12-K12)</f>
        <v>6.4429957174470864E-2</v>
      </c>
      <c r="M12" s="27">
        <f t="shared" si="1"/>
        <v>0.57986961457023778</v>
      </c>
      <c r="O12" s="36">
        <f t="shared" si="2"/>
        <v>5</v>
      </c>
      <c r="P12" s="36">
        <f t="shared" si="2"/>
        <v>44</v>
      </c>
      <c r="Q12" s="40">
        <f t="shared" si="3"/>
        <v>872.2257725080533</v>
      </c>
      <c r="R12" s="40">
        <f t="shared" si="4"/>
        <v>38.697912717690286</v>
      </c>
      <c r="S12" s="40">
        <f t="shared" si="5"/>
        <v>665.64021679614279</v>
      </c>
      <c r="T12" s="40"/>
      <c r="U12" s="40"/>
      <c r="V12" s="40">
        <f t="shared" si="13"/>
        <v>34.906554375417471</v>
      </c>
      <c r="W12" s="40">
        <f t="shared" si="14"/>
        <v>87.22257725080533</v>
      </c>
      <c r="X12" s="40"/>
      <c r="Y12" s="40">
        <f t="shared" si="8"/>
        <v>69.778061800644267</v>
      </c>
      <c r="Z12" s="40">
        <f t="shared" si="0"/>
        <v>1024.4141834120878</v>
      </c>
      <c r="AA12" s="40">
        <f t="shared" si="6"/>
        <v>70.627496752341628</v>
      </c>
      <c r="AB12" s="70">
        <f t="shared" si="9"/>
        <v>167.74913568363166</v>
      </c>
      <c r="AC12" s="28"/>
    </row>
    <row r="13" spans="1:29" ht="14.45" x14ac:dyDescent="0.3">
      <c r="A13" s="24">
        <f t="shared" si="10"/>
        <v>6</v>
      </c>
      <c r="B13" s="24">
        <f t="shared" si="10"/>
        <v>45</v>
      </c>
      <c r="D13" s="97">
        <f>IF(B13&lt;65,'Premium rates'!B35,0)</f>
        <v>1.2958904109589042</v>
      </c>
      <c r="F13" s="24">
        <f>Mortality!B51</f>
        <v>8.5999999999999998E-4</v>
      </c>
      <c r="G13" s="29">
        <f t="shared" si="11"/>
        <v>1.3064</v>
      </c>
      <c r="H13" s="24">
        <f t="shared" si="15"/>
        <v>1.123504E-3</v>
      </c>
      <c r="J13" s="27">
        <f t="shared" si="12"/>
        <v>0.57986961457023778</v>
      </c>
      <c r="K13" s="27">
        <f t="shared" si="7"/>
        <v>6.5148583144812046E-4</v>
      </c>
      <c r="L13" s="27">
        <f t="shared" si="16"/>
        <v>5.7921812873878965E-2</v>
      </c>
      <c r="M13" s="27">
        <f t="shared" si="1"/>
        <v>0.52129631586491065</v>
      </c>
      <c r="O13" s="36">
        <f t="shared" si="2"/>
        <v>6</v>
      </c>
      <c r="P13" s="36">
        <f t="shared" si="2"/>
        <v>45</v>
      </c>
      <c r="Q13" s="40">
        <f t="shared" si="3"/>
        <v>853.67848617673985</v>
      </c>
      <c r="R13" s="40">
        <f>Policy_Fee*J13</f>
        <v>34.792176874214263</v>
      </c>
      <c r="S13" s="40">
        <f t="shared" si="5"/>
        <v>651.48583144812051</v>
      </c>
      <c r="T13" s="40"/>
      <c r="U13" s="40"/>
      <c r="V13" s="40">
        <f t="shared" si="13"/>
        <v>32.011145490299128</v>
      </c>
      <c r="W13" s="40">
        <f t="shared" si="14"/>
        <v>85.367848617673985</v>
      </c>
      <c r="X13" s="40"/>
      <c r="Y13" s="40">
        <f t="shared" si="8"/>
        <v>68.294278894139183</v>
      </c>
      <c r="Z13" s="40">
        <f t="shared" si="0"/>
        <v>995.89690724736124</v>
      </c>
      <c r="AA13" s="40">
        <f t="shared" si="6"/>
        <v>69.088462938437189</v>
      </c>
      <c r="AB13" s="70">
        <f t="shared" si="9"/>
        <v>142.65676513673469</v>
      </c>
      <c r="AC13" s="28"/>
    </row>
    <row r="14" spans="1:29" ht="14.45" x14ac:dyDescent="0.3">
      <c r="A14" s="24">
        <f t="shared" si="10"/>
        <v>7</v>
      </c>
      <c r="B14" s="24">
        <f t="shared" si="10"/>
        <v>46</v>
      </c>
      <c r="D14" s="97">
        <f>IF(B14&lt;65,'Premium rates'!B36,0)</f>
        <v>1.401369863013699</v>
      </c>
      <c r="F14" s="24">
        <f>Mortality!B52</f>
        <v>9.3000000000000005E-4</v>
      </c>
      <c r="G14" s="29">
        <f t="shared" si="11"/>
        <v>1.3064</v>
      </c>
      <c r="H14" s="24">
        <f t="shared" si="15"/>
        <v>1.214952E-3</v>
      </c>
      <c r="J14" s="27">
        <f t="shared" si="12"/>
        <v>0.52129631586491065</v>
      </c>
      <c r="K14" s="27">
        <f t="shared" si="7"/>
        <v>6.3335000155270499E-4</v>
      </c>
      <c r="L14" s="27">
        <f t="shared" si="16"/>
        <v>5.2066296586335797E-2</v>
      </c>
      <c r="M14" s="27">
        <f t="shared" si="1"/>
        <v>0.4685966692770222</v>
      </c>
      <c r="O14" s="36">
        <f t="shared" si="2"/>
        <v>7</v>
      </c>
      <c r="P14" s="36">
        <f t="shared" si="2"/>
        <v>46</v>
      </c>
      <c r="Q14" s="40">
        <f t="shared" si="3"/>
        <v>829.91408937280107</v>
      </c>
      <c r="R14" s="40">
        <f t="shared" si="4"/>
        <v>31.277778951894639</v>
      </c>
      <c r="S14" s="40">
        <f t="shared" si="5"/>
        <v>633.35000155270495</v>
      </c>
      <c r="T14" s="40"/>
      <c r="U14" s="40"/>
      <c r="V14" s="40">
        <f t="shared" si="13"/>
        <v>29.353216011391908</v>
      </c>
      <c r="W14" s="40">
        <f t="shared" si="14"/>
        <v>82.991408937280113</v>
      </c>
      <c r="X14" s="40"/>
      <c r="Y14" s="40">
        <f t="shared" si="8"/>
        <v>66.393127149824082</v>
      </c>
      <c r="Z14" s="40">
        <f t="shared" si="0"/>
        <v>991.47827275872623</v>
      </c>
      <c r="AA14" s="40">
        <f t="shared" si="6"/>
        <v>67.134040938942434</v>
      </c>
      <c r="AB14" s="70">
        <f t="shared" si="9"/>
        <v>144.75543177716381</v>
      </c>
      <c r="AC14" s="28"/>
    </row>
    <row r="15" spans="1:29" ht="14.45" x14ac:dyDescent="0.3">
      <c r="A15" s="24">
        <f t="shared" si="10"/>
        <v>8</v>
      </c>
      <c r="B15" s="24">
        <f t="shared" si="10"/>
        <v>47</v>
      </c>
      <c r="D15" s="97">
        <f>IF(B15&lt;65,'Premium rates'!B37,0)</f>
        <v>1.5520547945205481</v>
      </c>
      <c r="F15" s="24">
        <f>Mortality!B53</f>
        <v>1.0300000000000001E-3</v>
      </c>
      <c r="G15" s="29">
        <f t="shared" si="11"/>
        <v>1.3064</v>
      </c>
      <c r="H15" s="24">
        <f t="shared" si="15"/>
        <v>1.3455920000000001E-3</v>
      </c>
      <c r="J15" s="27">
        <f t="shared" si="12"/>
        <v>0.4685966692770222</v>
      </c>
      <c r="K15" s="27">
        <f t="shared" si="7"/>
        <v>6.3053992940580693E-4</v>
      </c>
      <c r="L15" s="27">
        <f>Lapse_Y5*(J15-K15)</f>
        <v>4.6796612934761644E-2</v>
      </c>
      <c r="M15" s="27">
        <f t="shared" si="1"/>
        <v>0.42116951641285477</v>
      </c>
      <c r="O15" s="36">
        <f t="shared" si="2"/>
        <v>8</v>
      </c>
      <c r="P15" s="36">
        <f t="shared" si="2"/>
        <v>47</v>
      </c>
      <c r="Q15" s="40">
        <f t="shared" si="3"/>
        <v>826.2318939656052</v>
      </c>
      <c r="R15" s="40">
        <f t="shared" si="4"/>
        <v>28.115800156621333</v>
      </c>
      <c r="S15" s="40">
        <f t="shared" si="5"/>
        <v>630.5399294058069</v>
      </c>
      <c r="T15" s="40"/>
      <c r="U15" s="40"/>
      <c r="V15" s="40">
        <f t="shared" si="13"/>
        <v>26.913513895335253</v>
      </c>
      <c r="W15" s="40">
        <f t="shared" si="14"/>
        <v>82.62318939656052</v>
      </c>
      <c r="X15" s="40"/>
      <c r="Y15" s="40">
        <f t="shared" si="8"/>
        <v>66.09855151724841</v>
      </c>
      <c r="Z15" s="40">
        <f t="shared" si="0"/>
        <v>994.9506725147221</v>
      </c>
      <c r="AA15" s="40">
        <f t="shared" si="6"/>
        <v>66.807628482872346</v>
      </c>
      <c r="AB15" s="70">
        <f t="shared" si="9"/>
        <v>119.39877287878288</v>
      </c>
      <c r="AC15" s="28"/>
    </row>
    <row r="16" spans="1:29" ht="14.45" x14ac:dyDescent="0.3">
      <c r="A16" s="24">
        <f t="shared" si="10"/>
        <v>9</v>
      </c>
      <c r="B16" s="24">
        <f t="shared" si="10"/>
        <v>48</v>
      </c>
      <c r="D16" s="97">
        <f>IF(B16&lt;65,'Premium rates'!B38,0)</f>
        <v>1.7328767123287674</v>
      </c>
      <c r="F16" s="24">
        <f>Mortality!B54</f>
        <v>1.15E-3</v>
      </c>
      <c r="G16" s="29">
        <f t="shared" si="11"/>
        <v>1.3064</v>
      </c>
      <c r="H16" s="24">
        <f t="shared" si="15"/>
        <v>1.5023599999999999E-3</v>
      </c>
      <c r="J16" s="27">
        <f t="shared" si="12"/>
        <v>0.42116951641285477</v>
      </c>
      <c r="K16" s="27">
        <f t="shared" si="7"/>
        <v>6.3274823467801642E-4</v>
      </c>
      <c r="L16" s="27">
        <f t="shared" si="16"/>
        <v>4.205367681781768E-2</v>
      </c>
      <c r="M16" s="27">
        <f t="shared" si="1"/>
        <v>0.37848309136035907</v>
      </c>
      <c r="O16" s="36">
        <f t="shared" si="2"/>
        <v>9</v>
      </c>
      <c r="P16" s="36">
        <f t="shared" si="2"/>
        <v>48</v>
      </c>
      <c r="Q16" s="40">
        <f t="shared" si="3"/>
        <v>829.12556042893516</v>
      </c>
      <c r="R16" s="40">
        <f t="shared" si="4"/>
        <v>25.270170984771287</v>
      </c>
      <c r="S16" s="40">
        <f t="shared" si="5"/>
        <v>632.74823467801639</v>
      </c>
      <c r="T16" s="40"/>
      <c r="U16" s="40"/>
      <c r="V16" s="40">
        <f t="shared" si="13"/>
        <v>24.673360744865445</v>
      </c>
      <c r="W16" s="40">
        <f t="shared" si="14"/>
        <v>82.912556042893527</v>
      </c>
      <c r="X16" s="40"/>
      <c r="Y16" s="40">
        <f t="shared" si="8"/>
        <v>66.330044834314819</v>
      </c>
      <c r="Z16" s="40">
        <f t="shared" si="0"/>
        <v>995.1836478109235</v>
      </c>
      <c r="AA16" s="40">
        <f t="shared" si="6"/>
        <v>67.017217692254192</v>
      </c>
      <c r="AB16" s="70">
        <f t="shared" si="9"/>
        <v>111.27635304987457</v>
      </c>
      <c r="AC16" s="28"/>
    </row>
    <row r="17" spans="1:29" ht="14.45" x14ac:dyDescent="0.3">
      <c r="A17" s="24">
        <f t="shared" si="10"/>
        <v>10</v>
      </c>
      <c r="B17" s="24">
        <f t="shared" si="10"/>
        <v>49</v>
      </c>
      <c r="D17" s="97">
        <f>IF(B17&lt;65,'Premium rates'!B39,0)</f>
        <v>1.9287671232876717</v>
      </c>
      <c r="F17" s="24">
        <f>Mortality!B55</f>
        <v>1.2800000000000001E-3</v>
      </c>
      <c r="G17" s="29">
        <f t="shared" si="11"/>
        <v>1.3064</v>
      </c>
      <c r="H17" s="24">
        <f t="shared" si="15"/>
        <v>1.6721920000000001E-3</v>
      </c>
      <c r="J17" s="27">
        <f t="shared" si="12"/>
        <v>0.37848309136035907</v>
      </c>
      <c r="K17" s="27">
        <f t="shared" si="7"/>
        <v>6.328963975080616E-4</v>
      </c>
      <c r="L17" s="27">
        <f t="shared" si="16"/>
        <v>3.7785019496285099E-2</v>
      </c>
      <c r="M17" s="27">
        <f t="shared" si="1"/>
        <v>0.34006517546656589</v>
      </c>
      <c r="O17" s="36">
        <f t="shared" si="2"/>
        <v>10</v>
      </c>
      <c r="P17" s="36">
        <f t="shared" si="2"/>
        <v>49</v>
      </c>
      <c r="Q17" s="40">
        <f t="shared" si="3"/>
        <v>829.31970650910296</v>
      </c>
      <c r="R17" s="40">
        <f t="shared" si="4"/>
        <v>22.708985481621543</v>
      </c>
      <c r="S17" s="40">
        <f t="shared" si="5"/>
        <v>632.89639750806157</v>
      </c>
      <c r="T17" s="40"/>
      <c r="U17" s="40"/>
      <c r="V17" s="40">
        <f t="shared" si="13"/>
        <v>22.616116491698214</v>
      </c>
      <c r="W17" s="40">
        <f t="shared" si="14"/>
        <v>82.931970650910301</v>
      </c>
      <c r="X17" s="40"/>
      <c r="Y17" s="40">
        <f t="shared" si="8"/>
        <v>66.345576520728244</v>
      </c>
      <c r="Z17" s="40">
        <f t="shared" si="0"/>
        <v>991.96713544265367</v>
      </c>
      <c r="AA17" s="40">
        <f t="shared" si="6"/>
        <v>67.01274704553245</v>
      </c>
      <c r="AB17" s="70">
        <f t="shared" si="9"/>
        <v>114.01840256865714</v>
      </c>
      <c r="AC17" s="28"/>
    </row>
    <row r="18" spans="1:29" ht="14.45" x14ac:dyDescent="0.3">
      <c r="A18" s="24">
        <f t="shared" si="10"/>
        <v>11</v>
      </c>
      <c r="B18" s="24">
        <f t="shared" si="10"/>
        <v>50</v>
      </c>
      <c r="D18" s="97">
        <f>IF(B18&lt;65,'Premium rates'!B40,0)</f>
        <v>2.1397260273972605</v>
      </c>
      <c r="F18" s="24">
        <f>Mortality!B56</f>
        <v>1.42E-3</v>
      </c>
      <c r="G18" s="29">
        <f t="shared" si="11"/>
        <v>1.3064</v>
      </c>
      <c r="H18" s="24">
        <f t="shared" si="15"/>
        <v>1.855088E-3</v>
      </c>
      <c r="J18" s="27">
        <f t="shared" si="12"/>
        <v>0.34006517546656589</v>
      </c>
      <c r="K18" s="27">
        <f t="shared" si="7"/>
        <v>6.3085082622592076E-4</v>
      </c>
      <c r="L18" s="27">
        <f t="shared" si="16"/>
        <v>3.3943432464033994E-2</v>
      </c>
      <c r="M18" s="27">
        <f t="shared" si="1"/>
        <v>0.30549089217630598</v>
      </c>
      <c r="O18" s="36">
        <f t="shared" si="2"/>
        <v>11</v>
      </c>
      <c r="P18" s="36">
        <f t="shared" si="2"/>
        <v>50</v>
      </c>
      <c r="Q18" s="40">
        <f t="shared" si="3"/>
        <v>826.6392795355448</v>
      </c>
      <c r="R18" s="40">
        <f t="shared" si="4"/>
        <v>20.403910527993954</v>
      </c>
      <c r="S18" s="40">
        <f t="shared" si="5"/>
        <v>630.85082622592074</v>
      </c>
      <c r="T18" s="40"/>
      <c r="U18" s="40"/>
      <c r="V18" s="40">
        <f t="shared" si="13"/>
        <v>20.726877566414089</v>
      </c>
      <c r="W18" s="40">
        <f t="shared" si="14"/>
        <v>82.663927953554492</v>
      </c>
      <c r="X18" s="40"/>
      <c r="Y18" s="40">
        <f t="shared" si="8"/>
        <v>66.13114236284359</v>
      </c>
      <c r="Z18" s="40">
        <f t="shared" si="0"/>
        <v>978.97058912329078</v>
      </c>
      <c r="AA18" s="40">
        <f t="shared" si="6"/>
        <v>66.779535104935206</v>
      </c>
      <c r="AB18" s="70">
        <f t="shared" si="9"/>
        <v>116.66646342801081</v>
      </c>
      <c r="AC18" s="28"/>
    </row>
    <row r="19" spans="1:29" ht="14.45" x14ac:dyDescent="0.3">
      <c r="A19" s="24">
        <f t="shared" si="10"/>
        <v>12</v>
      </c>
      <c r="B19" s="24">
        <f t="shared" si="10"/>
        <v>51</v>
      </c>
      <c r="D19" s="97">
        <f>IF(B19&lt;65,'Premium rates'!B41,0)</f>
        <v>2.3506849315068497</v>
      </c>
      <c r="F19" s="24">
        <f>Mortality!B57</f>
        <v>1.56E-3</v>
      </c>
      <c r="G19" s="29">
        <f t="shared" si="11"/>
        <v>1.3064</v>
      </c>
      <c r="H19" s="24">
        <f t="shared" si="15"/>
        <v>2.0379840000000001E-3</v>
      </c>
      <c r="J19" s="27">
        <f t="shared" si="12"/>
        <v>0.30549089217630598</v>
      </c>
      <c r="K19" s="27">
        <f t="shared" si="7"/>
        <v>6.2258555040103675E-4</v>
      </c>
      <c r="L19" s="27">
        <f t="shared" si="16"/>
        <v>3.0486830662590499E-2</v>
      </c>
      <c r="M19" s="27">
        <f t="shared" si="1"/>
        <v>0.27438147596331447</v>
      </c>
      <c r="O19" s="36">
        <f t="shared" si="2"/>
        <v>12</v>
      </c>
      <c r="P19" s="36">
        <f t="shared" si="2"/>
        <v>51</v>
      </c>
      <c r="Q19" s="40">
        <f t="shared" si="3"/>
        <v>815.808824269409</v>
      </c>
      <c r="R19" s="40">
        <f t="shared" si="4"/>
        <v>18.329453530578359</v>
      </c>
      <c r="S19" s="40">
        <f t="shared" si="5"/>
        <v>622.5855504010367</v>
      </c>
      <c r="T19" s="40"/>
      <c r="U19" s="40"/>
      <c r="V19" s="40">
        <f t="shared" si="13"/>
        <v>18.991976339028984</v>
      </c>
      <c r="W19" s="40">
        <f t="shared" si="14"/>
        <v>81.580882426940903</v>
      </c>
      <c r="X19" s="40"/>
      <c r="Y19" s="40">
        <f t="shared" si="8"/>
        <v>65.26470594155272</v>
      </c>
      <c r="Z19" s="40">
        <f t="shared" si="0"/>
        <v>969.46026685906247</v>
      </c>
      <c r="AA19" s="40">
        <f t="shared" si="6"/>
        <v>65.890852088630226</v>
      </c>
      <c r="AB19" s="70">
        <f t="shared" si="9"/>
        <v>124.60256109942119</v>
      </c>
      <c r="AC19" s="28"/>
    </row>
    <row r="20" spans="1:29" ht="14.45" x14ac:dyDescent="0.3">
      <c r="A20" s="24">
        <f t="shared" si="10"/>
        <v>13</v>
      </c>
      <c r="B20" s="24">
        <f t="shared" si="10"/>
        <v>52</v>
      </c>
      <c r="D20" s="97">
        <f>IF(B20&lt;65,'Premium rates'!B42,0)</f>
        <v>2.5917808219178085</v>
      </c>
      <c r="F20" s="24">
        <f>Mortality!B58</f>
        <v>1.72E-3</v>
      </c>
      <c r="G20" s="29">
        <f t="shared" si="11"/>
        <v>1.3064</v>
      </c>
      <c r="H20" s="24">
        <f t="shared" si="15"/>
        <v>2.247008E-3</v>
      </c>
      <c r="J20" s="27">
        <f t="shared" si="12"/>
        <v>0.27438147596331447</v>
      </c>
      <c r="K20" s="27">
        <f t="shared" si="7"/>
        <v>6.1653737154137537E-4</v>
      </c>
      <c r="L20" s="27">
        <f t="shared" si="16"/>
        <v>2.7376493859177311E-2</v>
      </c>
      <c r="M20" s="27">
        <f t="shared" si="1"/>
        <v>0.24638844473259577</v>
      </c>
      <c r="O20" s="36">
        <f t="shared" si="2"/>
        <v>13</v>
      </c>
      <c r="P20" s="36">
        <f t="shared" si="2"/>
        <v>52</v>
      </c>
      <c r="Q20" s="40">
        <f t="shared" si="3"/>
        <v>807.88355571588545</v>
      </c>
      <c r="R20" s="40">
        <f t="shared" si="4"/>
        <v>16.46288855779887</v>
      </c>
      <c r="S20" s="40">
        <f t="shared" si="5"/>
        <v>616.53737154137536</v>
      </c>
      <c r="T20" s="40"/>
      <c r="U20" s="40"/>
      <c r="V20" s="40">
        <f t="shared" si="13"/>
        <v>17.39910277352169</v>
      </c>
      <c r="W20" s="40">
        <f t="shared" si="14"/>
        <v>80.788355571588554</v>
      </c>
      <c r="X20" s="40"/>
      <c r="Y20" s="40">
        <f t="shared" si="8"/>
        <v>64.630684457270831</v>
      </c>
      <c r="Z20" s="40">
        <f t="shared" si="0"/>
        <v>956.59679132805536</v>
      </c>
      <c r="AA20" s="40">
        <f t="shared" si="6"/>
        <v>65.239542733214634</v>
      </c>
      <c r="AB20" s="70">
        <f t="shared" si="9"/>
        <v>119.74079492737086</v>
      </c>
      <c r="AC20" s="28"/>
    </row>
    <row r="21" spans="1:29" ht="14.45" x14ac:dyDescent="0.3">
      <c r="A21" s="24">
        <f t="shared" si="10"/>
        <v>14</v>
      </c>
      <c r="B21" s="24">
        <f t="shared" si="10"/>
        <v>53</v>
      </c>
      <c r="D21" s="97">
        <f>IF(B21&lt;65,'Premium rates'!B43,0)</f>
        <v>2.8479452054794523</v>
      </c>
      <c r="F21" s="24">
        <f>Mortality!B59</f>
        <v>1.89E-3</v>
      </c>
      <c r="G21" s="29">
        <f t="shared" si="11"/>
        <v>1.3064</v>
      </c>
      <c r="H21" s="24">
        <f t="shared" si="15"/>
        <v>2.4690960000000001E-3</v>
      </c>
      <c r="J21" s="27">
        <f t="shared" si="12"/>
        <v>0.24638844473259577</v>
      </c>
      <c r="K21" s="27">
        <f t="shared" si="7"/>
        <v>6.0835672333547333E-4</v>
      </c>
      <c r="L21" s="27">
        <f t="shared" si="16"/>
        <v>2.4578008800926032E-2</v>
      </c>
      <c r="M21" s="27">
        <f t="shared" si="1"/>
        <v>0.22120207920833426</v>
      </c>
      <c r="O21" s="36">
        <f t="shared" si="2"/>
        <v>14</v>
      </c>
      <c r="P21" s="36">
        <f t="shared" si="2"/>
        <v>53</v>
      </c>
      <c r="Q21" s="40">
        <f t="shared" si="3"/>
        <v>797.1639927733795</v>
      </c>
      <c r="R21" s="40">
        <f t="shared" si="4"/>
        <v>14.783306683955747</v>
      </c>
      <c r="S21" s="40">
        <f t="shared" si="5"/>
        <v>608.35672333547336</v>
      </c>
      <c r="T21" s="40"/>
      <c r="U21" s="40"/>
      <c r="V21" s="40">
        <f t="shared" si="13"/>
        <v>15.936486288664229</v>
      </c>
      <c r="W21" s="40">
        <f t="shared" si="14"/>
        <v>79.716399277337956</v>
      </c>
      <c r="X21" s="40"/>
      <c r="Y21" s="40">
        <f t="shared" si="8"/>
        <v>63.773119421870362</v>
      </c>
      <c r="Z21" s="40">
        <f t="shared" si="0"/>
        <v>945.14691095014587</v>
      </c>
      <c r="AA21" s="40">
        <f t="shared" si="6"/>
        <v>64.364723431900728</v>
      </c>
      <c r="AB21" s="70">
        <f t="shared" si="9"/>
        <v>121.39277009689724</v>
      </c>
      <c r="AC21" s="28"/>
    </row>
    <row r="22" spans="1:29" ht="14.45" x14ac:dyDescent="0.3">
      <c r="A22" s="24">
        <f t="shared" si="10"/>
        <v>15</v>
      </c>
      <c r="B22" s="24">
        <f t="shared" si="10"/>
        <v>54</v>
      </c>
      <c r="D22" s="97">
        <f>IF(B22&lt;65,'Premium rates'!B44,0)</f>
        <v>3.1342465753424658</v>
      </c>
      <c r="F22" s="24">
        <f>Mortality!B60</f>
        <v>2.0799999999999998E-3</v>
      </c>
      <c r="G22" s="29">
        <f t="shared" si="11"/>
        <v>1.3064</v>
      </c>
      <c r="H22" s="24">
        <f t="shared" si="15"/>
        <v>2.7173119999999999E-3</v>
      </c>
      <c r="J22" s="27">
        <f t="shared" si="12"/>
        <v>0.22120207920833426</v>
      </c>
      <c r="K22" s="27">
        <f t="shared" si="7"/>
        <v>6.0107506425775717E-4</v>
      </c>
      <c r="L22" s="27">
        <f t="shared" si="16"/>
        <v>2.2060100414407653E-2</v>
      </c>
      <c r="M22" s="27">
        <f t="shared" si="1"/>
        <v>0.19854090372966887</v>
      </c>
      <c r="O22" s="36">
        <f t="shared" si="2"/>
        <v>15</v>
      </c>
      <c r="P22" s="36">
        <f t="shared" si="2"/>
        <v>54</v>
      </c>
      <c r="Q22" s="40">
        <f t="shared" si="3"/>
        <v>787.62242579178826</v>
      </c>
      <c r="R22" s="40">
        <f t="shared" si="4"/>
        <v>13.272124752500055</v>
      </c>
      <c r="S22" s="40">
        <f t="shared" si="5"/>
        <v>601.07506425775716</v>
      </c>
      <c r="T22" s="40"/>
      <c r="U22" s="40"/>
      <c r="V22" s="40">
        <f t="shared" si="13"/>
        <v>14.593572293037418</v>
      </c>
      <c r="W22" s="40">
        <f t="shared" si="14"/>
        <v>78.762242579178832</v>
      </c>
      <c r="X22" s="40"/>
      <c r="Y22" s="40">
        <f t="shared" si="8"/>
        <v>63.009794063343065</v>
      </c>
      <c r="Z22" s="40">
        <f t="shared" si="0"/>
        <v>938.04702377308877</v>
      </c>
      <c r="AA22" s="40">
        <f t="shared" si="6"/>
        <v>63.587034102354991</v>
      </c>
      <c r="AB22" s="70">
        <f t="shared" si="9"/>
        <v>118.49079183123636</v>
      </c>
      <c r="AC22" s="28"/>
    </row>
    <row r="23" spans="1:29" ht="14.45" x14ac:dyDescent="0.3">
      <c r="A23" s="24">
        <f t="shared" si="10"/>
        <v>16</v>
      </c>
      <c r="B23" s="24">
        <f t="shared" si="10"/>
        <v>55</v>
      </c>
      <c r="D23" s="97">
        <f>IF(B23&lt;65,'Premium rates'!B45,0)</f>
        <v>3.4657534246575348</v>
      </c>
      <c r="F23" s="24">
        <f>Mortality!B61</f>
        <v>2.3E-3</v>
      </c>
      <c r="G23" s="29">
        <f t="shared" si="11"/>
        <v>1.3064</v>
      </c>
      <c r="H23" s="24">
        <f t="shared" si="15"/>
        <v>3.0047199999999998E-3</v>
      </c>
      <c r="J23" s="27">
        <f t="shared" si="12"/>
        <v>0.19854090372966887</v>
      </c>
      <c r="K23" s="27">
        <f t="shared" si="7"/>
        <v>5.9655982425461062E-4</v>
      </c>
      <c r="L23" s="27">
        <f t="shared" si="16"/>
        <v>1.9794434390541429E-2</v>
      </c>
      <c r="M23" s="27">
        <f t="shared" si="1"/>
        <v>0.17814990951487283</v>
      </c>
      <c r="O23" s="36">
        <f t="shared" si="2"/>
        <v>16</v>
      </c>
      <c r="P23" s="36">
        <f t="shared" si="2"/>
        <v>55</v>
      </c>
      <c r="Q23" s="40">
        <f t="shared" si="3"/>
        <v>781.70585314424068</v>
      </c>
      <c r="R23" s="40">
        <f t="shared" si="4"/>
        <v>11.912454223780133</v>
      </c>
      <c r="S23" s="40">
        <f t="shared" si="5"/>
        <v>596.55982425461059</v>
      </c>
      <c r="T23" s="40"/>
      <c r="U23" s="40"/>
      <c r="V23" s="40">
        <f t="shared" si="13"/>
        <v>13.360495809601018</v>
      </c>
      <c r="W23" s="40">
        <f t="shared" si="14"/>
        <v>78.170585314424073</v>
      </c>
      <c r="X23" s="40"/>
      <c r="Y23" s="40">
        <f t="shared" si="8"/>
        <v>62.536468251539254</v>
      </c>
      <c r="Z23" s="40">
        <f t="shared" si="0"/>
        <v>933.19534978260049</v>
      </c>
      <c r="AA23" s="40">
        <f t="shared" si="6"/>
        <v>63.103911270621815</v>
      </c>
      <c r="AB23" s="70">
        <f t="shared" si="9"/>
        <v>113.19473218552471</v>
      </c>
      <c r="AC23" s="28"/>
    </row>
    <row r="24" spans="1:29" ht="14.45" x14ac:dyDescent="0.3">
      <c r="A24" s="24">
        <f t="shared" si="10"/>
        <v>17</v>
      </c>
      <c r="B24" s="24">
        <f t="shared" si="10"/>
        <v>56</v>
      </c>
      <c r="D24" s="97">
        <f>IF(B24&lt;65,'Premium rates'!B46,0)</f>
        <v>3.8424657534246585</v>
      </c>
      <c r="F24" s="24">
        <f>Mortality!B62</f>
        <v>2.5500000000000002E-3</v>
      </c>
      <c r="G24" s="29">
        <f t="shared" si="11"/>
        <v>1.3064</v>
      </c>
      <c r="H24" s="24">
        <f t="shared" si="15"/>
        <v>3.3313200000000005E-3</v>
      </c>
      <c r="J24" s="27">
        <f t="shared" si="12"/>
        <v>0.17814990951487283</v>
      </c>
      <c r="K24" s="27">
        <f t="shared" si="7"/>
        <v>5.9347435656508624E-4</v>
      </c>
      <c r="L24" s="27">
        <f t="shared" si="16"/>
        <v>1.7755643515830775E-2</v>
      </c>
      <c r="M24" s="27">
        <f t="shared" si="1"/>
        <v>0.15980079164247696</v>
      </c>
      <c r="O24" s="36">
        <f t="shared" si="2"/>
        <v>17</v>
      </c>
      <c r="P24" s="36">
        <f t="shared" si="2"/>
        <v>56</v>
      </c>
      <c r="Q24" s="40">
        <f t="shared" si="3"/>
        <v>777.66279148550041</v>
      </c>
      <c r="R24" s="40">
        <f t="shared" si="4"/>
        <v>10.688994570892371</v>
      </c>
      <c r="S24" s="40">
        <f t="shared" si="5"/>
        <v>593.47435656508628</v>
      </c>
      <c r="T24" s="40"/>
      <c r="U24" s="40"/>
      <c r="V24" s="40">
        <f t="shared" si="13"/>
        <v>12.228082457260172</v>
      </c>
      <c r="W24" s="40">
        <f t="shared" si="14"/>
        <v>77.766279148550041</v>
      </c>
      <c r="X24" s="40"/>
      <c r="Y24" s="40">
        <f t="shared" si="8"/>
        <v>62.213023318840037</v>
      </c>
      <c r="Z24" s="40">
        <f t="shared" si="0"/>
        <v>938.84033347302091</v>
      </c>
      <c r="AA24" s="40">
        <f t="shared" si="6"/>
        <v>62.773590036573722</v>
      </c>
      <c r="AB24" s="70">
        <f t="shared" si="9"/>
        <v>110.29530859371843</v>
      </c>
      <c r="AC24" s="28"/>
    </row>
    <row r="25" spans="1:29" ht="14.45" x14ac:dyDescent="0.3">
      <c r="A25" s="24">
        <f t="shared" si="10"/>
        <v>18</v>
      </c>
      <c r="B25" s="24">
        <f t="shared" si="10"/>
        <v>57</v>
      </c>
      <c r="D25" s="97">
        <f>IF(B25&lt;65,'Premium rates'!B47,0)</f>
        <v>4.309589041095891</v>
      </c>
      <c r="F25" s="24">
        <f>Mortality!B63</f>
        <v>2.8600000000000001E-3</v>
      </c>
      <c r="G25" s="29">
        <f t="shared" si="11"/>
        <v>1.3064</v>
      </c>
      <c r="H25" s="24">
        <f t="shared" si="15"/>
        <v>3.7363040000000002E-3</v>
      </c>
      <c r="J25" s="27">
        <f t="shared" si="12"/>
        <v>0.15980079164247696</v>
      </c>
      <c r="K25" s="27">
        <f t="shared" si="7"/>
        <v>5.970643370169532E-4</v>
      </c>
      <c r="L25" s="27">
        <f t="shared" si="16"/>
        <v>1.5920372730546001E-2</v>
      </c>
      <c r="M25" s="27">
        <f t="shared" si="1"/>
        <v>0.14328335457491401</v>
      </c>
      <c r="O25" s="36">
        <f t="shared" si="2"/>
        <v>18</v>
      </c>
      <c r="P25" s="36">
        <f t="shared" si="2"/>
        <v>57</v>
      </c>
      <c r="Q25" s="40">
        <f t="shared" si="3"/>
        <v>782.36694456085081</v>
      </c>
      <c r="R25" s="40">
        <f t="shared" si="4"/>
        <v>9.588047498548617</v>
      </c>
      <c r="S25" s="40">
        <f t="shared" si="5"/>
        <v>597.06433701695323</v>
      </c>
      <c r="T25" s="40"/>
      <c r="U25" s="40"/>
      <c r="V25" s="40">
        <f t="shared" si="13"/>
        <v>11.187984363876742</v>
      </c>
      <c r="W25" s="40">
        <f t="shared" si="14"/>
        <v>78.23669445608509</v>
      </c>
      <c r="X25" s="40"/>
      <c r="Y25" s="40">
        <f t="shared" si="8"/>
        <v>62.589355564868065</v>
      </c>
      <c r="Z25" s="40">
        <f t="shared" si="0"/>
        <v>941.87332757676529</v>
      </c>
      <c r="AA25" s="40">
        <f t="shared" si="6"/>
        <v>63.151251645903614</v>
      </c>
      <c r="AB25" s="70">
        <f t="shared" si="9"/>
        <v>100.3828886130996</v>
      </c>
      <c r="AC25" s="28"/>
    </row>
    <row r="26" spans="1:29" ht="14.45" x14ac:dyDescent="0.3">
      <c r="A26" s="24">
        <f t="shared" ref="A26:B41" si="17">A25+1</f>
        <v>19</v>
      </c>
      <c r="B26" s="24">
        <f t="shared" si="17"/>
        <v>58</v>
      </c>
      <c r="D26" s="97">
        <f>IF(B26&lt;65,'Premium rates'!B48,0)</f>
        <v>4.8219178082191796</v>
      </c>
      <c r="F26" s="24">
        <f>Mortality!B64</f>
        <v>3.2000000000000002E-3</v>
      </c>
      <c r="G26" s="29">
        <f t="shared" si="11"/>
        <v>1.3064</v>
      </c>
      <c r="H26" s="24">
        <f t="shared" si="15"/>
        <v>4.1804800000000003E-3</v>
      </c>
      <c r="J26" s="27">
        <f t="shared" si="12"/>
        <v>0.14328335457491401</v>
      </c>
      <c r="K26" s="27">
        <f t="shared" si="7"/>
        <v>5.9899319813333659E-4</v>
      </c>
      <c r="L26" s="27">
        <f t="shared" si="16"/>
        <v>1.4268436137678068E-2</v>
      </c>
      <c r="M26" s="27">
        <f t="shared" si="1"/>
        <v>0.12841592523910261</v>
      </c>
      <c r="O26" s="36">
        <f t="shared" si="2"/>
        <v>19</v>
      </c>
      <c r="P26" s="36">
        <f t="shared" si="2"/>
        <v>58</v>
      </c>
      <c r="Q26" s="40">
        <f t="shared" si="3"/>
        <v>784.89443964730447</v>
      </c>
      <c r="R26" s="40">
        <f t="shared" si="4"/>
        <v>8.5970012744948399</v>
      </c>
      <c r="S26" s="40">
        <f t="shared" si="5"/>
        <v>598.99319813333659</v>
      </c>
      <c r="T26" s="40"/>
      <c r="U26" s="40"/>
      <c r="V26" s="40">
        <f t="shared" si="13"/>
        <v>10.232195675588075</v>
      </c>
      <c r="W26" s="40">
        <f t="shared" si="14"/>
        <v>78.489443964730455</v>
      </c>
      <c r="X26" s="40"/>
      <c r="Y26" s="40">
        <f t="shared" si="8"/>
        <v>62.79155517178436</v>
      </c>
      <c r="Z26" s="40">
        <f t="shared" si="0"/>
        <v>944.38415390245427</v>
      </c>
      <c r="AA26" s="40">
        <f t="shared" si="6"/>
        <v>63.354062947458459</v>
      </c>
      <c r="AB26" s="70">
        <f t="shared" si="9"/>
        <v>103.30611682007392</v>
      </c>
      <c r="AC26" s="28"/>
    </row>
    <row r="27" spans="1:29" ht="14.45" x14ac:dyDescent="0.3">
      <c r="A27" s="24">
        <f t="shared" si="17"/>
        <v>20</v>
      </c>
      <c r="B27" s="24">
        <f t="shared" si="17"/>
        <v>59</v>
      </c>
      <c r="D27" s="97">
        <f>IF(B27&lt;65,'Premium rates'!B49,0)</f>
        <v>5.3945205479452056</v>
      </c>
      <c r="F27" s="24">
        <f>Mortality!B65</f>
        <v>3.5799999999999998E-3</v>
      </c>
      <c r="G27" s="29">
        <f t="shared" si="11"/>
        <v>1.3064</v>
      </c>
      <c r="H27" s="24">
        <f t="shared" si="15"/>
        <v>4.6769120000000001E-3</v>
      </c>
      <c r="J27" s="27">
        <f t="shared" si="12"/>
        <v>0.12841592523910261</v>
      </c>
      <c r="K27" s="27">
        <f t="shared" si="7"/>
        <v>6.0058998174186186E-4</v>
      </c>
      <c r="L27" s="27">
        <f t="shared" si="16"/>
        <v>1.2781533525736076E-2</v>
      </c>
      <c r="M27" s="27">
        <f t="shared" si="1"/>
        <v>0.11503380173162467</v>
      </c>
      <c r="O27" s="36">
        <f t="shared" si="2"/>
        <v>20</v>
      </c>
      <c r="P27" s="36">
        <f t="shared" si="2"/>
        <v>59</v>
      </c>
      <c r="Q27" s="40">
        <f t="shared" si="3"/>
        <v>786.98679491871189</v>
      </c>
      <c r="R27" s="40">
        <f t="shared" si="4"/>
        <v>7.7049555143461568</v>
      </c>
      <c r="S27" s="40">
        <f t="shared" si="5"/>
        <v>600.58998174186183</v>
      </c>
      <c r="T27" s="40"/>
      <c r="U27" s="40"/>
      <c r="V27" s="40">
        <f t="shared" si="13"/>
        <v>9.3538877309409578</v>
      </c>
      <c r="W27" s="40">
        <f t="shared" si="14"/>
        <v>78.698679491871189</v>
      </c>
      <c r="X27" s="40"/>
      <c r="Y27" s="40">
        <f t="shared" si="8"/>
        <v>62.958943593496954</v>
      </c>
      <c r="Z27" s="40">
        <f t="shared" si="0"/>
        <v>938.12942732988722</v>
      </c>
      <c r="AA27" s="40">
        <f t="shared" si="6"/>
        <v>63.522575740768126</v>
      </c>
      <c r="AB27" s="70">
        <f t="shared" si="9"/>
        <v>104.10200728996617</v>
      </c>
      <c r="AC27" s="28"/>
    </row>
    <row r="28" spans="1:29" ht="14.45" x14ac:dyDescent="0.3">
      <c r="A28" s="24">
        <f t="shared" si="17"/>
        <v>21</v>
      </c>
      <c r="B28" s="24">
        <f t="shared" si="17"/>
        <v>60</v>
      </c>
      <c r="D28" s="97">
        <f>IF(B28&lt;65,'Premium rates'!B50,0)</f>
        <v>5.9821917808219185</v>
      </c>
      <c r="F28" s="24">
        <f>Mortality!B66</f>
        <v>3.9699999999999996E-3</v>
      </c>
      <c r="G28" s="29">
        <f t="shared" si="11"/>
        <v>1.3064</v>
      </c>
      <c r="H28" s="24">
        <f t="shared" si="15"/>
        <v>5.1864079999999991E-3</v>
      </c>
      <c r="J28" s="27">
        <f t="shared" si="12"/>
        <v>0.11503380173162467</v>
      </c>
      <c r="K28" s="27">
        <f t="shared" si="7"/>
        <v>5.9661222957131188E-4</v>
      </c>
      <c r="L28" s="27">
        <f t="shared" si="16"/>
        <v>1.1443718950205337E-2</v>
      </c>
      <c r="M28" s="27">
        <f t="shared" si="1"/>
        <v>0.10299347055184802</v>
      </c>
      <c r="O28" s="36">
        <f t="shared" si="2"/>
        <v>21</v>
      </c>
      <c r="P28" s="36">
        <f t="shared" si="2"/>
        <v>60</v>
      </c>
      <c r="Q28" s="40">
        <f t="shared" si="3"/>
        <v>781.77452277490602</v>
      </c>
      <c r="R28" s="40">
        <f t="shared" si="4"/>
        <v>6.9020281038974804</v>
      </c>
      <c r="S28" s="40">
        <f t="shared" si="5"/>
        <v>596.6122295713119</v>
      </c>
      <c r="T28" s="40"/>
      <c r="U28" s="40"/>
      <c r="V28" s="40">
        <f t="shared" si="13"/>
        <v>8.5467089066298989</v>
      </c>
      <c r="W28" s="40">
        <f t="shared" si="14"/>
        <v>78.177452277490602</v>
      </c>
      <c r="X28" s="40"/>
      <c r="Y28" s="40">
        <f t="shared" si="8"/>
        <v>62.54196182199248</v>
      </c>
      <c r="Z28" s="40">
        <f t="shared" si="0"/>
        <v>926.68169142084162</v>
      </c>
      <c r="AA28" s="40">
        <f t="shared" si="6"/>
        <v>63.101594208103108</v>
      </c>
      <c r="AB28" s="70">
        <f t="shared" si="9"/>
        <v>112.15451908204881</v>
      </c>
      <c r="AC28" s="28"/>
    </row>
    <row r="29" spans="1:29" ht="14.45" x14ac:dyDescent="0.3">
      <c r="A29" s="24">
        <f t="shared" si="17"/>
        <v>22</v>
      </c>
      <c r="B29" s="24">
        <f t="shared" si="17"/>
        <v>61</v>
      </c>
      <c r="D29" s="97">
        <f>IF(B29&lt;65,'Premium rates'!B51,0)</f>
        <v>6.6000000000000005</v>
      </c>
      <c r="F29" s="24">
        <f>Mortality!B67</f>
        <v>4.3800000000000002E-3</v>
      </c>
      <c r="G29" s="29">
        <f t="shared" si="11"/>
        <v>1.3064</v>
      </c>
      <c r="H29" s="24">
        <f t="shared" si="15"/>
        <v>5.7220320000000002E-3</v>
      </c>
      <c r="J29" s="27">
        <f t="shared" si="12"/>
        <v>0.10299347055184802</v>
      </c>
      <c r="K29" s="27">
        <f t="shared" si="7"/>
        <v>5.89331934288732E-4</v>
      </c>
      <c r="L29" s="27">
        <f t="shared" si="16"/>
        <v>1.0240413861755929E-2</v>
      </c>
      <c r="M29" s="27">
        <f t="shared" si="1"/>
        <v>9.2163724755803353E-2</v>
      </c>
      <c r="O29" s="36">
        <f t="shared" si="2"/>
        <v>22</v>
      </c>
      <c r="P29" s="36">
        <f t="shared" si="2"/>
        <v>61</v>
      </c>
      <c r="Q29" s="40">
        <f t="shared" si="3"/>
        <v>772.23474285070142</v>
      </c>
      <c r="R29" s="40">
        <f t="shared" si="4"/>
        <v>6.1796082331108808</v>
      </c>
      <c r="S29" s="40">
        <f t="shared" si="5"/>
        <v>589.33193428873199</v>
      </c>
      <c r="T29" s="40"/>
      <c r="U29" s="40"/>
      <c r="V29" s="40">
        <f t="shared" si="13"/>
        <v>7.8051868478338848</v>
      </c>
      <c r="W29" s="40">
        <f t="shared" si="14"/>
        <v>77.223474285070154</v>
      </c>
      <c r="X29" s="40"/>
      <c r="Y29" s="40">
        <f t="shared" si="8"/>
        <v>61.778779428056119</v>
      </c>
      <c r="Z29" s="40">
        <f t="shared" si="0"/>
        <v>906.86431149175803</v>
      </c>
      <c r="AA29" s="40">
        <f t="shared" si="6"/>
        <v>62.331544077747751</v>
      </c>
      <c r="AB29" s="70">
        <f t="shared" si="9"/>
        <v>116.05425622091359</v>
      </c>
      <c r="AC29" s="28"/>
    </row>
    <row r="30" spans="1:29" ht="14.45" x14ac:dyDescent="0.3">
      <c r="A30" s="24">
        <f t="shared" si="17"/>
        <v>23</v>
      </c>
      <c r="B30" s="24">
        <f t="shared" si="17"/>
        <v>62</v>
      </c>
      <c r="D30" s="97">
        <f>IF(B30&lt;65,'Premium rates'!B52,0)</f>
        <v>7.2178082191780826</v>
      </c>
      <c r="F30" s="24">
        <f>Mortality!B68</f>
        <v>4.79E-3</v>
      </c>
      <c r="G30" s="29">
        <f t="shared" si="11"/>
        <v>1.3064</v>
      </c>
      <c r="H30" s="24">
        <f t="shared" si="15"/>
        <v>6.2576560000000003E-3</v>
      </c>
      <c r="J30" s="27">
        <f t="shared" si="12"/>
        <v>9.2163724755803353E-2</v>
      </c>
      <c r="K30" s="27">
        <f t="shared" si="7"/>
        <v>5.7672888520050143E-4</v>
      </c>
      <c r="L30" s="27">
        <f t="shared" si="16"/>
        <v>9.1586995870602868E-3</v>
      </c>
      <c r="M30" s="27">
        <f t="shared" si="1"/>
        <v>8.2428296283542576E-2</v>
      </c>
      <c r="O30" s="36">
        <f t="shared" si="2"/>
        <v>23</v>
      </c>
      <c r="P30" s="36">
        <f t="shared" si="2"/>
        <v>62</v>
      </c>
      <c r="Q30" s="40">
        <f t="shared" si="3"/>
        <v>755.72025957646508</v>
      </c>
      <c r="R30" s="40">
        <f t="shared" si="4"/>
        <v>5.5298234853482011</v>
      </c>
      <c r="S30" s="40">
        <f t="shared" si="5"/>
        <v>576.7288852005014</v>
      </c>
      <c r="T30" s="40"/>
      <c r="U30" s="40"/>
      <c r="V30" s="40">
        <f t="shared" si="13"/>
        <v>7.1241622427727833</v>
      </c>
      <c r="W30" s="40">
        <f t="shared" si="14"/>
        <v>75.572025957646517</v>
      </c>
      <c r="X30" s="40"/>
      <c r="Y30" s="40">
        <f t="shared" si="8"/>
        <v>60.457620766117209</v>
      </c>
      <c r="Z30" s="40">
        <f t="shared" si="0"/>
        <v>888.96038197204484</v>
      </c>
      <c r="AA30" s="40">
        <f t="shared" si="6"/>
        <v>60.998423423481391</v>
      </c>
      <c r="AB30" s="70">
        <f t="shared" si="9"/>
        <v>122.18319224734043</v>
      </c>
      <c r="AC30" s="28"/>
    </row>
    <row r="31" spans="1:29" ht="14.45" x14ac:dyDescent="0.3">
      <c r="A31" s="24">
        <f t="shared" si="17"/>
        <v>24</v>
      </c>
      <c r="B31" s="24">
        <f t="shared" si="17"/>
        <v>63</v>
      </c>
      <c r="D31" s="97">
        <f>IF(B31&lt;65,'Premium rates'!B53,0)</f>
        <v>7.9109589041095907</v>
      </c>
      <c r="F31" s="24">
        <f>Mortality!B69</f>
        <v>5.2500000000000003E-3</v>
      </c>
      <c r="G31" s="29">
        <f t="shared" si="11"/>
        <v>1.3064</v>
      </c>
      <c r="H31" s="24">
        <f t="shared" si="15"/>
        <v>6.8586000000000003E-3</v>
      </c>
      <c r="J31" s="27">
        <f t="shared" si="12"/>
        <v>8.2428296283542576E-2</v>
      </c>
      <c r="K31" s="27">
        <f t="shared" si="7"/>
        <v>5.6534271289030509E-4</v>
      </c>
      <c r="L31" s="27">
        <f t="shared" si="16"/>
        <v>8.1862953570652278E-3</v>
      </c>
      <c r="M31" s="27">
        <f t="shared" si="1"/>
        <v>7.3676658213587043E-2</v>
      </c>
      <c r="O31" s="36">
        <f t="shared" si="2"/>
        <v>24</v>
      </c>
      <c r="P31" s="36">
        <f t="shared" si="2"/>
        <v>63</v>
      </c>
      <c r="Q31" s="40">
        <f t="shared" si="3"/>
        <v>740.80031831003737</v>
      </c>
      <c r="R31" s="40">
        <f t="shared" si="4"/>
        <v>4.9456977770125548</v>
      </c>
      <c r="S31" s="40">
        <f t="shared" si="5"/>
        <v>565.34271289030505</v>
      </c>
      <c r="T31" s="40"/>
      <c r="U31" s="40"/>
      <c r="V31" s="40">
        <f t="shared" si="13"/>
        <v>6.4990559879034384</v>
      </c>
      <c r="W31" s="40">
        <f t="shared" si="14"/>
        <v>74.080031831003737</v>
      </c>
      <c r="X31" s="40"/>
      <c r="Y31" s="40">
        <f t="shared" si="8"/>
        <v>59.264025464802991</v>
      </c>
      <c r="Z31" s="40">
        <f t="shared" si="0"/>
        <v>876.30494477747914</v>
      </c>
      <c r="AA31" s="40">
        <f t="shared" si="6"/>
        <v>59.79453139101539</v>
      </c>
      <c r="AB31" s="70">
        <f t="shared" si="9"/>
        <v>118.2586508237633</v>
      </c>
      <c r="AC31" s="28"/>
    </row>
    <row r="32" spans="1:29" ht="14.45" x14ac:dyDescent="0.3">
      <c r="A32" s="24">
        <f t="shared" si="17"/>
        <v>25</v>
      </c>
      <c r="B32" s="24">
        <f t="shared" si="17"/>
        <v>64</v>
      </c>
      <c r="D32" s="97">
        <f>IF(B32&lt;65,'Premium rates'!B54,0)</f>
        <v>8.7246575342465764</v>
      </c>
      <c r="F32" s="24">
        <f>Mortality!B70</f>
        <v>5.79E-3</v>
      </c>
      <c r="G32" s="29">
        <f t="shared" si="11"/>
        <v>1.3064</v>
      </c>
      <c r="H32" s="24">
        <f t="shared" si="15"/>
        <v>7.5640560000000004E-3</v>
      </c>
      <c r="J32" s="27">
        <f t="shared" si="12"/>
        <v>7.3676658213587043E-2</v>
      </c>
      <c r="K32" s="27">
        <f t="shared" si="7"/>
        <v>5.5729436862043242E-4</v>
      </c>
      <c r="L32" s="27">
        <f t="shared" si="16"/>
        <v>7.3119363844966617E-3</v>
      </c>
      <c r="M32" s="27">
        <f t="shared" si="1"/>
        <v>0</v>
      </c>
      <c r="O32" s="36">
        <f t="shared" si="2"/>
        <v>25</v>
      </c>
      <c r="P32" s="36">
        <f t="shared" si="2"/>
        <v>64</v>
      </c>
      <c r="Q32" s="40">
        <f t="shared" si="3"/>
        <v>730.2541206478993</v>
      </c>
      <c r="R32" s="40">
        <f t="shared" si="4"/>
        <v>4.4205994928152226</v>
      </c>
      <c r="S32" s="40">
        <f t="shared" si="5"/>
        <v>557.29436862043246</v>
      </c>
      <c r="T32" s="40"/>
      <c r="U32" s="40"/>
      <c r="V32" s="40">
        <f t="shared" si="13"/>
        <v>5.9252140743794097</v>
      </c>
      <c r="W32" s="40">
        <f t="shared" si="14"/>
        <v>73.025412064789933</v>
      </c>
      <c r="X32" s="40"/>
      <c r="Y32" s="40">
        <f t="shared" si="8"/>
        <v>58.420329651831942</v>
      </c>
      <c r="Z32" s="40">
        <f t="shared" si="0"/>
        <v>0</v>
      </c>
      <c r="AA32" s="40">
        <f t="shared" si="6"/>
        <v>58.944348365087698</v>
      </c>
      <c r="AB32" s="70">
        <f t="shared" si="9"/>
        <v>111.60918128893417</v>
      </c>
      <c r="AC32" s="28"/>
    </row>
    <row r="33" spans="1:28" ht="14.45" x14ac:dyDescent="0.3">
      <c r="A33" s="24">
        <f t="shared" si="17"/>
        <v>26</v>
      </c>
      <c r="B33" s="24">
        <f t="shared" si="17"/>
        <v>65</v>
      </c>
      <c r="D33" s="97">
        <f>IF(B33&lt;65,'Premium rates'!B55,0)</f>
        <v>0</v>
      </c>
      <c r="F33" s="24">
        <f>Mortality!B71</f>
        <v>6.4599999999999996E-3</v>
      </c>
      <c r="G33" s="29">
        <f t="shared" si="11"/>
        <v>1.3064</v>
      </c>
      <c r="H33" s="24">
        <f t="shared" si="15"/>
        <v>8.4393439999999997E-3</v>
      </c>
      <c r="J33" s="27">
        <f t="shared" si="12"/>
        <v>0</v>
      </c>
      <c r="K33" s="27">
        <f t="shared" si="7"/>
        <v>0</v>
      </c>
      <c r="L33" s="27">
        <f t="shared" si="16"/>
        <v>0</v>
      </c>
      <c r="M33" s="27">
        <f t="shared" si="1"/>
        <v>0</v>
      </c>
      <c r="O33" s="36">
        <f t="shared" ref="O33:P42" si="18">A33</f>
        <v>26</v>
      </c>
      <c r="P33" s="36">
        <f t="shared" si="18"/>
        <v>65</v>
      </c>
      <c r="Q33" s="40">
        <f t="shared" si="3"/>
        <v>0</v>
      </c>
      <c r="R33" s="40">
        <f t="shared" si="4"/>
        <v>0</v>
      </c>
      <c r="S33" s="40">
        <f t="shared" si="5"/>
        <v>0</v>
      </c>
      <c r="T33" s="40"/>
      <c r="U33" s="40"/>
      <c r="V33" s="40">
        <f t="shared" si="13"/>
        <v>0</v>
      </c>
      <c r="W33" s="40">
        <f t="shared" si="14"/>
        <v>0</v>
      </c>
      <c r="X33" s="40"/>
      <c r="Y33" s="40">
        <f t="shared" si="8"/>
        <v>0</v>
      </c>
      <c r="Z33" s="40">
        <f t="shared" si="0"/>
        <v>0</v>
      </c>
      <c r="AA33" s="40">
        <f t="shared" ref="AA33:AA42" si="19">(SUM(Q33:R33)-SUM(T33:Y33)+Z32)*Interest</f>
        <v>0</v>
      </c>
      <c r="AB33" s="70">
        <f t="shared" ref="AB33:AB42" si="20">SUM(Q33:R33)-SUM(S33:Y33)+AA33-(Z32-Z31)</f>
        <v>876.30494477747914</v>
      </c>
    </row>
    <row r="34" spans="1:28" ht="14.45" x14ac:dyDescent="0.3">
      <c r="A34" s="24">
        <f t="shared" si="17"/>
        <v>27</v>
      </c>
      <c r="B34" s="24">
        <f t="shared" si="17"/>
        <v>66</v>
      </c>
      <c r="D34" s="97">
        <f>IF(B34&lt;65,'Premium rates'!B56,0)</f>
        <v>0</v>
      </c>
      <c r="F34" s="24">
        <f>Mortality!B72</f>
        <v>7.3200000000000001E-3</v>
      </c>
      <c r="G34" s="29">
        <f t="shared" si="11"/>
        <v>1.3064</v>
      </c>
      <c r="H34" s="24">
        <f t="shared" si="15"/>
        <v>9.5628480000000005E-3</v>
      </c>
      <c r="J34" s="27">
        <f t="shared" si="12"/>
        <v>0</v>
      </c>
      <c r="K34" s="27">
        <f t="shared" si="7"/>
        <v>0</v>
      </c>
      <c r="L34" s="27">
        <f t="shared" si="16"/>
        <v>0</v>
      </c>
      <c r="M34" s="27">
        <f t="shared" si="1"/>
        <v>0</v>
      </c>
      <c r="O34" s="36">
        <f t="shared" si="18"/>
        <v>27</v>
      </c>
      <c r="P34" s="36">
        <f t="shared" si="18"/>
        <v>66</v>
      </c>
      <c r="Q34" s="40">
        <f t="shared" si="3"/>
        <v>0</v>
      </c>
      <c r="R34" s="40">
        <f t="shared" si="4"/>
        <v>0</v>
      </c>
      <c r="S34" s="40">
        <f t="shared" si="5"/>
        <v>0</v>
      </c>
      <c r="T34" s="40"/>
      <c r="U34" s="40"/>
      <c r="V34" s="40">
        <f t="shared" si="13"/>
        <v>0</v>
      </c>
      <c r="W34" s="40">
        <f t="shared" si="14"/>
        <v>0</v>
      </c>
      <c r="X34" s="40"/>
      <c r="Y34" s="40">
        <f t="shared" si="8"/>
        <v>0</v>
      </c>
      <c r="Z34" s="40">
        <f t="shared" si="0"/>
        <v>0</v>
      </c>
      <c r="AA34" s="40">
        <f t="shared" si="19"/>
        <v>0</v>
      </c>
      <c r="AB34" s="70">
        <f t="shared" si="20"/>
        <v>0</v>
      </c>
    </row>
    <row r="35" spans="1:28" ht="14.45" x14ac:dyDescent="0.3">
      <c r="A35" s="24">
        <f t="shared" si="17"/>
        <v>28</v>
      </c>
      <c r="B35" s="24">
        <f t="shared" si="17"/>
        <v>67</v>
      </c>
      <c r="D35" s="97">
        <f>IF(B35&lt;65,'Premium rates'!B57,0)</f>
        <v>0</v>
      </c>
      <c r="F35" s="24">
        <f>Mortality!B73</f>
        <v>8.4200000000000004E-3</v>
      </c>
      <c r="G35" s="29">
        <f t="shared" si="11"/>
        <v>1.3064</v>
      </c>
      <c r="H35" s="24">
        <f t="shared" si="15"/>
        <v>1.0999888000000001E-2</v>
      </c>
      <c r="J35" s="27">
        <f t="shared" si="12"/>
        <v>0</v>
      </c>
      <c r="K35" s="27">
        <f t="shared" si="7"/>
        <v>0</v>
      </c>
      <c r="L35" s="27">
        <f t="shared" si="16"/>
        <v>0</v>
      </c>
      <c r="M35" s="27">
        <f t="shared" si="1"/>
        <v>0</v>
      </c>
      <c r="O35" s="36">
        <f t="shared" si="18"/>
        <v>28</v>
      </c>
      <c r="P35" s="36">
        <f t="shared" si="18"/>
        <v>67</v>
      </c>
      <c r="Q35" s="40">
        <f t="shared" si="3"/>
        <v>0</v>
      </c>
      <c r="R35" s="40">
        <f t="shared" si="4"/>
        <v>0</v>
      </c>
      <c r="S35" s="40">
        <f t="shared" si="5"/>
        <v>0</v>
      </c>
      <c r="T35" s="40"/>
      <c r="U35" s="40"/>
      <c r="V35" s="40">
        <f t="shared" si="13"/>
        <v>0</v>
      </c>
      <c r="W35" s="40">
        <f t="shared" si="14"/>
        <v>0</v>
      </c>
      <c r="X35" s="40"/>
      <c r="Y35" s="40">
        <f t="shared" si="8"/>
        <v>0</v>
      </c>
      <c r="Z35" s="40">
        <f t="shared" si="0"/>
        <v>0</v>
      </c>
      <c r="AA35" s="40">
        <f t="shared" si="19"/>
        <v>0</v>
      </c>
      <c r="AB35" s="70">
        <f t="shared" si="20"/>
        <v>0</v>
      </c>
    </row>
    <row r="36" spans="1:28" x14ac:dyDescent="0.25">
      <c r="A36" s="24">
        <f t="shared" si="17"/>
        <v>29</v>
      </c>
      <c r="B36" s="24">
        <f t="shared" si="17"/>
        <v>68</v>
      </c>
      <c r="D36" s="97">
        <f>IF(B36&lt;65,'Premium rates'!B58,0)</f>
        <v>0</v>
      </c>
      <c r="F36" s="24">
        <f>Mortality!B74</f>
        <v>9.7699999999999992E-3</v>
      </c>
      <c r="G36" s="29">
        <f t="shared" si="11"/>
        <v>1.3064</v>
      </c>
      <c r="H36" s="24">
        <f t="shared" si="15"/>
        <v>1.2763528E-2</v>
      </c>
      <c r="J36" s="27">
        <f t="shared" si="12"/>
        <v>0</v>
      </c>
      <c r="K36" s="27">
        <f t="shared" si="7"/>
        <v>0</v>
      </c>
      <c r="L36" s="27">
        <f t="shared" si="16"/>
        <v>0</v>
      </c>
      <c r="M36" s="27">
        <f t="shared" si="1"/>
        <v>0</v>
      </c>
      <c r="O36" s="36">
        <f t="shared" si="18"/>
        <v>29</v>
      </c>
      <c r="P36" s="36">
        <f t="shared" si="18"/>
        <v>68</v>
      </c>
      <c r="Q36" s="40">
        <f t="shared" si="3"/>
        <v>0</v>
      </c>
      <c r="R36" s="40">
        <f t="shared" si="4"/>
        <v>0</v>
      </c>
      <c r="S36" s="40">
        <f t="shared" si="5"/>
        <v>0</v>
      </c>
      <c r="T36" s="40"/>
      <c r="U36" s="40"/>
      <c r="V36" s="40">
        <f t="shared" si="13"/>
        <v>0</v>
      </c>
      <c r="W36" s="40">
        <f t="shared" si="14"/>
        <v>0</v>
      </c>
      <c r="X36" s="40"/>
      <c r="Y36" s="40">
        <f t="shared" si="8"/>
        <v>0</v>
      </c>
      <c r="Z36" s="40">
        <f t="shared" si="0"/>
        <v>0</v>
      </c>
      <c r="AA36" s="40">
        <f t="shared" si="19"/>
        <v>0</v>
      </c>
      <c r="AB36" s="70">
        <f t="shared" si="20"/>
        <v>0</v>
      </c>
    </row>
    <row r="37" spans="1:28" x14ac:dyDescent="0.25">
      <c r="A37" s="24">
        <f t="shared" si="17"/>
        <v>30</v>
      </c>
      <c r="B37" s="24">
        <f t="shared" si="17"/>
        <v>69</v>
      </c>
      <c r="D37" s="97">
        <f>IF(B37&lt;65,'Premium rates'!B59,0)</f>
        <v>0</v>
      </c>
      <c r="F37" s="24">
        <f>Mortality!B75</f>
        <v>1.136E-2</v>
      </c>
      <c r="G37" s="29">
        <f t="shared" si="11"/>
        <v>1.3064</v>
      </c>
      <c r="H37" s="24">
        <f t="shared" si="15"/>
        <v>1.4840704E-2</v>
      </c>
      <c r="J37" s="27">
        <f t="shared" si="12"/>
        <v>0</v>
      </c>
      <c r="K37" s="27">
        <f t="shared" si="7"/>
        <v>0</v>
      </c>
      <c r="L37" s="27">
        <f t="shared" si="16"/>
        <v>0</v>
      </c>
      <c r="M37" s="27">
        <f t="shared" si="1"/>
        <v>0</v>
      </c>
      <c r="O37" s="36">
        <f t="shared" si="18"/>
        <v>30</v>
      </c>
      <c r="P37" s="36">
        <f t="shared" si="18"/>
        <v>69</v>
      </c>
      <c r="Q37" s="40">
        <f t="shared" si="3"/>
        <v>0</v>
      </c>
      <c r="R37" s="40">
        <f t="shared" si="4"/>
        <v>0</v>
      </c>
      <c r="S37" s="40">
        <f t="shared" si="5"/>
        <v>0</v>
      </c>
      <c r="T37" s="40"/>
      <c r="U37" s="40"/>
      <c r="V37" s="40">
        <f t="shared" si="13"/>
        <v>0</v>
      </c>
      <c r="W37" s="40">
        <f t="shared" si="14"/>
        <v>0</v>
      </c>
      <c r="X37" s="40"/>
      <c r="Y37" s="40">
        <f t="shared" si="8"/>
        <v>0</v>
      </c>
      <c r="Z37" s="40">
        <f t="shared" si="0"/>
        <v>0</v>
      </c>
      <c r="AA37" s="40">
        <f t="shared" si="19"/>
        <v>0</v>
      </c>
      <c r="AB37" s="70">
        <f t="shared" si="20"/>
        <v>0</v>
      </c>
    </row>
    <row r="38" spans="1:28" x14ac:dyDescent="0.25">
      <c r="A38" s="24">
        <f t="shared" si="17"/>
        <v>31</v>
      </c>
      <c r="B38" s="24">
        <f t="shared" si="17"/>
        <v>70</v>
      </c>
      <c r="D38" s="97">
        <f>IF(B38&lt;65,'Premium rates'!B60,0)</f>
        <v>0</v>
      </c>
      <c r="F38" s="24">
        <f>Mortality!B76</f>
        <v>1.321E-2</v>
      </c>
      <c r="G38" s="29">
        <f t="shared" si="11"/>
        <v>1.3064</v>
      </c>
      <c r="H38" s="24">
        <f t="shared" si="15"/>
        <v>1.7257544E-2</v>
      </c>
      <c r="J38" s="27">
        <f t="shared" si="12"/>
        <v>0</v>
      </c>
      <c r="K38" s="27">
        <f t="shared" si="7"/>
        <v>0</v>
      </c>
      <c r="L38" s="27">
        <f t="shared" si="16"/>
        <v>0</v>
      </c>
      <c r="M38" s="27">
        <f t="shared" si="1"/>
        <v>0</v>
      </c>
      <c r="O38" s="36">
        <f t="shared" si="18"/>
        <v>31</v>
      </c>
      <c r="P38" s="36">
        <f t="shared" si="18"/>
        <v>70</v>
      </c>
      <c r="Q38" s="40">
        <f t="shared" si="3"/>
        <v>0</v>
      </c>
      <c r="R38" s="40">
        <f t="shared" si="4"/>
        <v>0</v>
      </c>
      <c r="S38" s="40">
        <f t="shared" si="5"/>
        <v>0</v>
      </c>
      <c r="T38" s="40"/>
      <c r="U38" s="40"/>
      <c r="V38" s="40">
        <f t="shared" si="13"/>
        <v>0</v>
      </c>
      <c r="W38" s="40">
        <f t="shared" si="14"/>
        <v>0</v>
      </c>
      <c r="X38" s="40"/>
      <c r="Y38" s="40">
        <f t="shared" si="8"/>
        <v>0</v>
      </c>
      <c r="Z38" s="40">
        <f t="shared" si="0"/>
        <v>0</v>
      </c>
      <c r="AA38" s="40">
        <f t="shared" si="19"/>
        <v>0</v>
      </c>
      <c r="AB38" s="70">
        <f t="shared" si="20"/>
        <v>0</v>
      </c>
    </row>
    <row r="39" spans="1:28" x14ac:dyDescent="0.25">
      <c r="A39" s="24">
        <f t="shared" si="17"/>
        <v>32</v>
      </c>
      <c r="B39" s="24">
        <f t="shared" si="17"/>
        <v>71</v>
      </c>
      <c r="D39" s="97">
        <f>IF(B39&lt;65,'Premium rates'!B61,0)</f>
        <v>0</v>
      </c>
      <c r="F39" s="24">
        <f>Mortality!B77</f>
        <v>1.5350000000000001E-2</v>
      </c>
      <c r="G39" s="29">
        <f t="shared" si="11"/>
        <v>1.3064</v>
      </c>
      <c r="H39" s="24">
        <f t="shared" si="15"/>
        <v>2.005324E-2</v>
      </c>
      <c r="J39" s="27">
        <f t="shared" si="12"/>
        <v>0</v>
      </c>
      <c r="K39" s="27">
        <f t="shared" si="7"/>
        <v>0</v>
      </c>
      <c r="L39" s="27">
        <f t="shared" si="16"/>
        <v>0</v>
      </c>
      <c r="M39" s="27">
        <f t="shared" si="1"/>
        <v>0</v>
      </c>
      <c r="O39" s="36">
        <f t="shared" si="18"/>
        <v>32</v>
      </c>
      <c r="P39" s="36">
        <f t="shared" si="18"/>
        <v>71</v>
      </c>
      <c r="Q39" s="40">
        <f t="shared" si="3"/>
        <v>0</v>
      </c>
      <c r="R39" s="40">
        <f t="shared" si="4"/>
        <v>0</v>
      </c>
      <c r="S39" s="40">
        <f t="shared" si="5"/>
        <v>0</v>
      </c>
      <c r="T39" s="40"/>
      <c r="U39" s="40"/>
      <c r="V39" s="40">
        <f t="shared" si="13"/>
        <v>0</v>
      </c>
      <c r="W39" s="40">
        <f t="shared" si="14"/>
        <v>0</v>
      </c>
      <c r="X39" s="40"/>
      <c r="Y39" s="40">
        <f t="shared" si="8"/>
        <v>0</v>
      </c>
      <c r="Z39" s="40">
        <f t="shared" si="0"/>
        <v>0</v>
      </c>
      <c r="AA39" s="40">
        <f t="shared" si="19"/>
        <v>0</v>
      </c>
      <c r="AB39" s="70">
        <f t="shared" si="20"/>
        <v>0</v>
      </c>
    </row>
    <row r="40" spans="1:28" x14ac:dyDescent="0.25">
      <c r="A40" s="24">
        <f t="shared" si="17"/>
        <v>33</v>
      </c>
      <c r="B40" s="24">
        <f t="shared" si="17"/>
        <v>72</v>
      </c>
      <c r="D40" s="97">
        <f>IF(B40&lt;65,'Premium rates'!B62,0)</f>
        <v>0</v>
      </c>
      <c r="F40" s="24">
        <f>Mortality!B78</f>
        <v>1.78E-2</v>
      </c>
      <c r="G40" s="29">
        <f t="shared" si="11"/>
        <v>1.3064</v>
      </c>
      <c r="H40" s="24">
        <f t="shared" si="15"/>
        <v>2.3253920000000001E-2</v>
      </c>
      <c r="J40" s="27">
        <f t="shared" si="12"/>
        <v>0</v>
      </c>
      <c r="K40" s="27">
        <f t="shared" si="7"/>
        <v>0</v>
      </c>
      <c r="L40" s="27">
        <f t="shared" si="16"/>
        <v>0</v>
      </c>
      <c r="M40" s="27">
        <f t="shared" si="1"/>
        <v>0</v>
      </c>
      <c r="O40" s="36">
        <f t="shared" si="18"/>
        <v>33</v>
      </c>
      <c r="P40" s="36">
        <f t="shared" si="18"/>
        <v>72</v>
      </c>
      <c r="Q40" s="40">
        <f t="shared" si="3"/>
        <v>0</v>
      </c>
      <c r="R40" s="40">
        <f t="shared" si="4"/>
        <v>0</v>
      </c>
      <c r="S40" s="40">
        <f t="shared" si="5"/>
        <v>0</v>
      </c>
      <c r="T40" s="40"/>
      <c r="U40" s="40"/>
      <c r="V40" s="40">
        <f t="shared" si="13"/>
        <v>0</v>
      </c>
      <c r="W40" s="40">
        <f t="shared" si="14"/>
        <v>0</v>
      </c>
      <c r="X40" s="40"/>
      <c r="Y40" s="40">
        <f t="shared" si="8"/>
        <v>0</v>
      </c>
      <c r="Z40" s="40">
        <f t="shared" si="0"/>
        <v>0</v>
      </c>
      <c r="AA40" s="40">
        <f t="shared" si="19"/>
        <v>0</v>
      </c>
      <c r="AB40" s="70">
        <f t="shared" si="20"/>
        <v>0</v>
      </c>
    </row>
    <row r="41" spans="1:28" x14ac:dyDescent="0.25">
      <c r="A41" s="24">
        <f t="shared" si="17"/>
        <v>34</v>
      </c>
      <c r="B41" s="24">
        <f t="shared" si="17"/>
        <v>73</v>
      </c>
      <c r="D41" s="97">
        <f>IF(B41&lt;65,'Premium rates'!B63,0)</f>
        <v>0</v>
      </c>
      <c r="F41" s="24">
        <f>Mortality!B79</f>
        <v>2.0480000000000002E-2</v>
      </c>
      <c r="G41" s="29">
        <f t="shared" si="11"/>
        <v>1.3064</v>
      </c>
      <c r="H41" s="24">
        <f t="shared" si="15"/>
        <v>2.6755072000000001E-2</v>
      </c>
      <c r="J41" s="27">
        <f t="shared" si="12"/>
        <v>0</v>
      </c>
      <c r="K41" s="27">
        <f t="shared" si="7"/>
        <v>0</v>
      </c>
      <c r="L41" s="27">
        <f t="shared" si="16"/>
        <v>0</v>
      </c>
      <c r="M41" s="27">
        <f t="shared" si="1"/>
        <v>0</v>
      </c>
      <c r="O41" s="36">
        <f t="shared" si="18"/>
        <v>34</v>
      </c>
      <c r="P41" s="36">
        <f t="shared" si="18"/>
        <v>73</v>
      </c>
      <c r="Q41" s="40">
        <f t="shared" si="3"/>
        <v>0</v>
      </c>
      <c r="R41" s="40">
        <f t="shared" si="4"/>
        <v>0</v>
      </c>
      <c r="S41" s="40">
        <f t="shared" si="5"/>
        <v>0</v>
      </c>
      <c r="T41" s="40"/>
      <c r="U41" s="40"/>
      <c r="V41" s="40">
        <f t="shared" si="13"/>
        <v>0</v>
      </c>
      <c r="W41" s="40">
        <f t="shared" si="14"/>
        <v>0</v>
      </c>
      <c r="X41" s="40"/>
      <c r="Y41" s="40">
        <f t="shared" si="8"/>
        <v>0</v>
      </c>
      <c r="Z41" s="40">
        <f>Q42*Reserves</f>
        <v>0</v>
      </c>
      <c r="AA41" s="40">
        <f t="shared" si="19"/>
        <v>0</v>
      </c>
      <c r="AB41" s="70">
        <f t="shared" si="20"/>
        <v>0</v>
      </c>
    </row>
    <row r="42" spans="1:28" x14ac:dyDescent="0.25">
      <c r="A42" s="24">
        <f t="shared" ref="A42:B42" si="21">A41+1</f>
        <v>35</v>
      </c>
      <c r="B42" s="24">
        <f t="shared" si="21"/>
        <v>74</v>
      </c>
      <c r="D42" s="97">
        <f>IF(B42&lt;65,'Premium rates'!B64,0)</f>
        <v>0</v>
      </c>
      <c r="F42" s="24">
        <f>Mortality!B80</f>
        <v>2.341E-2</v>
      </c>
      <c r="G42" s="29">
        <f t="shared" si="11"/>
        <v>1.3064</v>
      </c>
      <c r="H42" s="24">
        <f t="shared" si="15"/>
        <v>3.0582824000000002E-2</v>
      </c>
      <c r="J42" s="27">
        <f t="shared" si="12"/>
        <v>0</v>
      </c>
      <c r="K42" s="27">
        <f t="shared" si="7"/>
        <v>0</v>
      </c>
      <c r="L42" s="27">
        <f t="shared" si="16"/>
        <v>0</v>
      </c>
      <c r="M42" s="27">
        <f t="shared" si="1"/>
        <v>0</v>
      </c>
      <c r="O42" s="36">
        <f t="shared" si="18"/>
        <v>35</v>
      </c>
      <c r="P42" s="36">
        <f t="shared" si="18"/>
        <v>74</v>
      </c>
      <c r="Q42" s="40">
        <f t="shared" si="3"/>
        <v>0</v>
      </c>
      <c r="R42" s="40">
        <f t="shared" si="4"/>
        <v>0</v>
      </c>
      <c r="S42" s="40">
        <f t="shared" si="5"/>
        <v>0</v>
      </c>
      <c r="T42" s="40"/>
      <c r="U42" s="40"/>
      <c r="V42" s="40">
        <f t="shared" si="13"/>
        <v>0</v>
      </c>
      <c r="W42" s="40">
        <f t="shared" si="14"/>
        <v>0</v>
      </c>
      <c r="X42" s="40"/>
      <c r="Y42" s="40">
        <f t="shared" si="8"/>
        <v>0</v>
      </c>
      <c r="Z42" s="40">
        <f>Q43*Reserves</f>
        <v>0</v>
      </c>
      <c r="AA42" s="40">
        <f t="shared" si="19"/>
        <v>0</v>
      </c>
      <c r="AB42" s="70">
        <f t="shared" si="20"/>
        <v>0</v>
      </c>
    </row>
  </sheetData>
  <mergeCells count="3">
    <mergeCell ref="T5:W5"/>
    <mergeCell ref="X5:Y5"/>
    <mergeCell ref="J6:M6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workbookViewId="0">
      <selection activeCell="B4" sqref="B4"/>
    </sheetView>
  </sheetViews>
  <sheetFormatPr defaultColWidth="9.140625" defaultRowHeight="12" x14ac:dyDescent="0.2"/>
  <cols>
    <col min="1" max="1" width="12.85546875" style="43" customWidth="1"/>
    <col min="2" max="2" width="11" style="43" bestFit="1" customWidth="1"/>
    <col min="3" max="3" width="0" style="43" hidden="1" customWidth="1"/>
    <col min="4" max="4" width="11" style="43" bestFit="1" customWidth="1"/>
    <col min="5" max="6" width="9.28515625" style="43" bestFit="1" customWidth="1"/>
    <col min="7" max="11" width="0" style="43" hidden="1" customWidth="1"/>
    <col min="12" max="12" width="9.140625" style="43"/>
    <col min="13" max="13" width="15.7109375" style="43" bestFit="1" customWidth="1"/>
    <col min="14" max="16384" width="9.140625" style="43"/>
  </cols>
  <sheetData>
    <row r="1" spans="1:12" x14ac:dyDescent="0.25">
      <c r="B1" s="53" t="s">
        <v>57</v>
      </c>
    </row>
    <row r="2" spans="1:12" x14ac:dyDescent="0.25">
      <c r="D2" s="52"/>
    </row>
    <row r="3" spans="1:12" ht="36" x14ac:dyDescent="0.25">
      <c r="A3" s="80" t="s">
        <v>91</v>
      </c>
      <c r="B3" s="44" t="s">
        <v>131</v>
      </c>
      <c r="C3" s="44" t="s">
        <v>58</v>
      </c>
      <c r="D3" s="47" t="s">
        <v>56</v>
      </c>
      <c r="E3" s="47" t="s">
        <v>129</v>
      </c>
      <c r="F3" s="47" t="s">
        <v>130</v>
      </c>
      <c r="G3" s="44" t="s">
        <v>62</v>
      </c>
      <c r="H3" s="44" t="s">
        <v>63</v>
      </c>
      <c r="I3" s="44" t="s">
        <v>16</v>
      </c>
      <c r="J3" s="44" t="s">
        <v>14</v>
      </c>
      <c r="K3" s="44" t="s">
        <v>59</v>
      </c>
      <c r="L3" s="45" t="s">
        <v>50</v>
      </c>
    </row>
    <row r="4" spans="1:12" x14ac:dyDescent="0.25">
      <c r="A4" s="54" t="s">
        <v>84</v>
      </c>
      <c r="B4" s="56">
        <f>'1a(iii) Current'!Q4+'1a(iii) Current'!R4</f>
        <v>8600.2178648106237</v>
      </c>
      <c r="C4" s="56">
        <f>'1a(iii) Current'!R4</f>
        <v>303.50895202981667</v>
      </c>
      <c r="D4" s="56">
        <f>'1a(iii) Current'!S4</f>
        <v>3889.1867941064356</v>
      </c>
      <c r="E4" s="56">
        <f>'1a(iii) Current'!T4+'1a(iii) Current'!U4</f>
        <v>715.8928904109589</v>
      </c>
      <c r="F4" s="56">
        <f>'1a(iii) Current'!V4+'1a(iii) Current'!W4</f>
        <v>947.39457236784176</v>
      </c>
      <c r="G4" s="56">
        <f>'1a(iii) Current'!X4</f>
        <v>1279.1431232876714</v>
      </c>
      <c r="H4" s="56">
        <f>'1a(iii) Current'!Y4</f>
        <v>578.4605048032862</v>
      </c>
      <c r="I4" s="56">
        <f>'1a(iii) Current'!Z4</f>
        <v>9956.0506953369659</v>
      </c>
      <c r="J4" s="56">
        <f>'1a(iii) Current'!AA4</f>
        <v>536.97776675992247</v>
      </c>
      <c r="K4" s="56">
        <f>'1a(iii) Current'!AB4</f>
        <v>230.47584460289127</v>
      </c>
      <c r="L4" s="46">
        <f>'1a(iii) Current'!AB2</f>
        <v>0.13666538551742757</v>
      </c>
    </row>
    <row r="5" spans="1:12" x14ac:dyDescent="0.25">
      <c r="A5" s="54" t="s">
        <v>85</v>
      </c>
      <c r="B5" s="56">
        <f>'1a(iii) Proposed'!Q4+'1a(iii) Proposed'!R4</f>
        <v>8019.5158469896833</v>
      </c>
      <c r="C5" s="56">
        <f>'1a(iii) Proposed'!R4</f>
        <v>303.28637204654791</v>
      </c>
      <c r="D5" s="56">
        <f>'1a(iii) Proposed'!S4</f>
        <v>4763.6907717262393</v>
      </c>
      <c r="E5" s="56">
        <f>'1a(iii) Proposed'!T4+'1a(iii) Proposed'!U4</f>
        <v>512.43089041095891</v>
      </c>
      <c r="F5" s="56">
        <f>'1a(iii) Proposed'!V4+'1a(iii) Proposed'!W4</f>
        <v>896.4236313135815</v>
      </c>
      <c r="G5" s="56">
        <f>'1a(iii) Proposed'!X4</f>
        <v>1191.4471232876715</v>
      </c>
      <c r="H5" s="56">
        <f>'1a(iii) Proposed'!Y4</f>
        <v>537.86854977627263</v>
      </c>
      <c r="I5" s="56">
        <f>'1a(iii) Proposed'!Z4</f>
        <v>9259.4753699317625</v>
      </c>
      <c r="J5" s="56">
        <f>'1a(iii) Proposed'!AA4</f>
        <v>505.02932221903444</v>
      </c>
      <c r="K5" s="56">
        <f>'1a(iii) Proposed'!AB4</f>
        <v>-786.10876609399463</v>
      </c>
      <c r="L5" s="46">
        <f>'1a(iii) Proposed'!AB2</f>
        <v>5.3241906246221049E-2</v>
      </c>
    </row>
    <row r="6" spans="1:12" x14ac:dyDescent="0.25">
      <c r="A6" s="54" t="s">
        <v>124</v>
      </c>
      <c r="B6" s="56">
        <f>B5-B4</f>
        <v>-580.70201782094045</v>
      </c>
      <c r="C6" s="56">
        <f t="shared" ref="C6" si="0">C5-C4</f>
        <v>-0.2225799832687585</v>
      </c>
      <c r="D6" s="56">
        <f t="shared" ref="D6" si="1">D5-D4</f>
        <v>874.50397761980366</v>
      </c>
      <c r="E6" s="56">
        <f t="shared" ref="E6" si="2">E5-E4</f>
        <v>-203.46199999999999</v>
      </c>
      <c r="F6" s="56">
        <f t="shared" ref="F6" si="3">F5-F4</f>
        <v>-50.970941054260265</v>
      </c>
      <c r="G6" s="129"/>
      <c r="H6" s="129"/>
      <c r="I6" s="129"/>
      <c r="J6" s="129"/>
      <c r="K6" s="129"/>
      <c r="L6" s="46">
        <f t="shared" ref="L6" si="4">L5-L4</f>
        <v>-8.3423479271206524E-2</v>
      </c>
    </row>
    <row r="7" spans="1:12" x14ac:dyDescent="0.25">
      <c r="A7" s="52"/>
    </row>
    <row r="9" spans="1:12" x14ac:dyDescent="0.25">
      <c r="A9" s="43" t="s">
        <v>126</v>
      </c>
      <c r="B9" s="43">
        <v>2000</v>
      </c>
    </row>
    <row r="10" spans="1:12" x14ac:dyDescent="0.25">
      <c r="A10" s="43" t="s">
        <v>127</v>
      </c>
      <c r="B10" s="43">
        <f>B9*1.2</f>
        <v>2400</v>
      </c>
    </row>
    <row r="11" spans="1:12" x14ac:dyDescent="0.25">
      <c r="A11" s="43" t="s">
        <v>92</v>
      </c>
      <c r="B11" s="127">
        <v>0.8</v>
      </c>
    </row>
    <row r="12" spans="1:12" x14ac:dyDescent="0.25">
      <c r="A12" s="80" t="s">
        <v>125</v>
      </c>
      <c r="B12" s="44" t="s">
        <v>22</v>
      </c>
      <c r="C12" s="44" t="s">
        <v>58</v>
      </c>
    </row>
    <row r="13" spans="1:12" x14ac:dyDescent="0.25">
      <c r="A13" s="54" t="s">
        <v>84</v>
      </c>
      <c r="B13" s="128">
        <f>B4*$B$9*$B$11</f>
        <v>13760348.583696999</v>
      </c>
      <c r="C13" s="128">
        <f t="shared" ref="C13" si="5">C4*$B$9*$B$11</f>
        <v>485614.32324770675</v>
      </c>
    </row>
    <row r="14" spans="1:12" x14ac:dyDescent="0.25">
      <c r="A14" s="54" t="s">
        <v>85</v>
      </c>
      <c r="B14" s="128">
        <f>B5*$B$10*$B$11</f>
        <v>15397470.426220192</v>
      </c>
      <c r="C14" s="128">
        <f t="shared" ref="C14" si="6">C5*$B$10*$B$11</f>
        <v>582309.83432937204</v>
      </c>
      <c r="D14" s="130"/>
    </row>
    <row r="15" spans="1:12" x14ac:dyDescent="0.25">
      <c r="A15" s="54" t="s">
        <v>124</v>
      </c>
      <c r="B15" s="128">
        <f>B14-B13</f>
        <v>1637121.842523193</v>
      </c>
      <c r="C15" s="128">
        <f t="shared" ref="C15" si="7">C14-C13</f>
        <v>96695.511081665289</v>
      </c>
      <c r="D15" s="43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30</vt:i4>
      </vt:variant>
    </vt:vector>
  </HeadingPairs>
  <TitlesOfParts>
    <vt:vector size="39" baseType="lpstr">
      <vt:lpstr>Business Mix</vt:lpstr>
      <vt:lpstr>Mortality</vt:lpstr>
      <vt:lpstr>Premium rates</vt:lpstr>
      <vt:lpstr>1a(i) Unit Costs</vt:lpstr>
      <vt:lpstr>1a(ii) Health Loading</vt:lpstr>
      <vt:lpstr>1a(iii) Assumptions</vt:lpstr>
      <vt:lpstr>1a(iii) Current</vt:lpstr>
      <vt:lpstr>1a(iii) Proposed</vt:lpstr>
      <vt:lpstr>1a(iii) Table</vt:lpstr>
      <vt:lpstr>Acq_per_pol_prop</vt:lpstr>
      <vt:lpstr>AcqExp_dollar</vt:lpstr>
      <vt:lpstr>AcqExp_perc</vt:lpstr>
      <vt:lpstr>Claims_Loading</vt:lpstr>
      <vt:lpstr>Claims_Loading_prop</vt:lpstr>
      <vt:lpstr>Expense_inflation</vt:lpstr>
      <vt:lpstr>Interest</vt:lpstr>
      <vt:lpstr>Lapse_Y1</vt:lpstr>
      <vt:lpstr>Lapse_Y2</vt:lpstr>
      <vt:lpstr>Lapse_Y3</vt:lpstr>
      <vt:lpstr>Lapse_Y4</vt:lpstr>
      <vt:lpstr>Lapse_Y5</vt:lpstr>
      <vt:lpstr>Loss_ratio</vt:lpstr>
      <vt:lpstr>Mort_Table</vt:lpstr>
      <vt:lpstr>Mort_Y1</vt:lpstr>
      <vt:lpstr>Mort_Y2</vt:lpstr>
      <vt:lpstr>Mort_Y3</vt:lpstr>
      <vt:lpstr>Policy_Fee</vt:lpstr>
      <vt:lpstr>Prem_Loading</vt:lpstr>
      <vt:lpstr>Prem_Loading_prop</vt:lpstr>
      <vt:lpstr>Premium_factor</vt:lpstr>
      <vt:lpstr>RDR</vt:lpstr>
      <vt:lpstr>Ren_Exp_dollar_prop</vt:lpstr>
      <vt:lpstr>RenComm_percent</vt:lpstr>
      <vt:lpstr>RenExp_dollar</vt:lpstr>
      <vt:lpstr>RenExp_perc</vt:lpstr>
      <vt:lpstr>Reserves</vt:lpstr>
      <vt:lpstr>Start_Age</vt:lpstr>
      <vt:lpstr>Sum_Insured</vt:lpstr>
      <vt:lpstr>UpfrontComm_percent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Carolina Vilches</cp:lastModifiedBy>
  <dcterms:created xsi:type="dcterms:W3CDTF">2016-01-23T05:41:18Z</dcterms:created>
  <dcterms:modified xsi:type="dcterms:W3CDTF">2016-10-14T06:00:00Z</dcterms:modified>
</cp:coreProperties>
</file>