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DUCATION\2019\Part III\Semester 1\Exams\Exam Questions and Solutions\LIRV\FINAL\Marking Guide\"/>
    </mc:Choice>
  </mc:AlternateContent>
  <xr:revisionPtr revIDLastSave="0" documentId="13_ncr:8001_{4F676859-F891-462D-AA72-80CA98790C27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30 year old valuation" sheetId="6" r:id="rId1"/>
  </sheets>
  <definedNames>
    <definedName name="Age">'30 year old valuation'!$E$21</definedName>
    <definedName name="Discount_rate">'30 year old valuation'!$E$15</definedName>
    <definedName name="Expense_Inflation">'30 year old valuation'!$E$7</definedName>
    <definedName name="Investment_rate">'30 year old valuation'!$E$13</definedName>
    <definedName name="Lapse">'30 year old valuation'!$E$23</definedName>
    <definedName name="Mortality_table">'30 year old valuation'!$A$5:$B$105</definedName>
    <definedName name="Premium">'30 year old valuation'!$E$19</definedName>
    <definedName name="Renewal_commission">'30 year old valuation'!$E$10</definedName>
    <definedName name="Renewal_expense">'30 year old valuation'!$E$5</definedName>
    <definedName name="Termination_expense">'30 year old valuation'!$E$6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6" l="1"/>
  <c r="AH5" i="6" s="1"/>
  <c r="AH6" i="6" s="1"/>
  <c r="AH7" i="6" s="1"/>
  <c r="AH8" i="6" s="1"/>
  <c r="AH9" i="6" s="1"/>
  <c r="AH10" i="6" s="1"/>
  <c r="AH11" i="6" s="1"/>
  <c r="AH12" i="6" s="1"/>
  <c r="AH13" i="6" s="1"/>
  <c r="W4" i="6"/>
  <c r="E28" i="6"/>
  <c r="E27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Y4" i="6" s="1"/>
  <c r="S4" i="6"/>
  <c r="R5" i="6"/>
  <c r="R6" i="6" s="1"/>
  <c r="R7" i="6" l="1"/>
  <c r="S5" i="6"/>
  <c r="S6" i="6" s="1"/>
  <c r="AB4" i="6"/>
  <c r="L4" i="6"/>
  <c r="M4" i="6" s="1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Z4" i="6" l="1"/>
  <c r="AA4" i="6" s="1"/>
  <c r="R8" i="6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S7" i="6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N4" i="6"/>
  <c r="H5" i="6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K5" i="6" l="1"/>
  <c r="Y5" i="6" l="1"/>
  <c r="X5" i="6"/>
  <c r="W5" i="6"/>
  <c r="L5" i="6"/>
  <c r="M5" i="6" s="1"/>
  <c r="Z5" i="6" l="1"/>
  <c r="AA5" i="6" s="1"/>
  <c r="AB5" i="6"/>
  <c r="N5" i="6"/>
  <c r="K6" i="6" s="1"/>
  <c r="L6" i="6" l="1"/>
  <c r="M6" i="6" s="1"/>
  <c r="Y6" i="6"/>
  <c r="X6" i="6"/>
  <c r="W6" i="6"/>
  <c r="AB6" i="6" l="1"/>
  <c r="N6" i="6"/>
  <c r="K7" i="6" s="1"/>
  <c r="Z6" i="6"/>
  <c r="AA6" i="6" s="1"/>
  <c r="M7" i="6" l="1"/>
  <c r="L7" i="6"/>
  <c r="Y7" i="6"/>
  <c r="X7" i="6"/>
  <c r="W7" i="6"/>
  <c r="AB7" i="6" l="1"/>
  <c r="N7" i="6"/>
  <c r="K8" i="6" s="1"/>
  <c r="Z7" i="6"/>
  <c r="AA7" i="6" s="1"/>
  <c r="Y8" i="6" l="1"/>
  <c r="X8" i="6"/>
  <c r="W8" i="6"/>
  <c r="L8" i="6"/>
  <c r="M8" i="6" s="1"/>
  <c r="N8" i="6" l="1"/>
  <c r="K9" i="6" s="1"/>
  <c r="Z8" i="6"/>
  <c r="AA8" i="6"/>
  <c r="AB8" i="6"/>
  <c r="Y9" i="6" l="1"/>
  <c r="X9" i="6"/>
  <c r="W9" i="6"/>
  <c r="L9" i="6"/>
  <c r="M9" i="6" s="1"/>
  <c r="N9" i="6" l="1"/>
  <c r="K10" i="6" s="1"/>
  <c r="Z9" i="6"/>
  <c r="AB9" i="6"/>
  <c r="AA9" i="6"/>
  <c r="Y10" i="6" l="1"/>
  <c r="W10" i="6"/>
  <c r="X10" i="6"/>
  <c r="L10" i="6"/>
  <c r="M10" i="6" s="1"/>
  <c r="N10" i="6" l="1"/>
  <c r="K11" i="6" s="1"/>
  <c r="Z10" i="6"/>
  <c r="AA10" i="6" s="1"/>
  <c r="AB10" i="6"/>
  <c r="Y11" i="6" l="1"/>
  <c r="X11" i="6"/>
  <c r="W11" i="6"/>
  <c r="L11" i="6"/>
  <c r="M11" i="6" s="1"/>
  <c r="Z11" i="6" l="1"/>
  <c r="AA11" i="6" s="1"/>
  <c r="AB11" i="6"/>
  <c r="N11" i="6"/>
  <c r="K12" i="6" s="1"/>
  <c r="Y12" i="6" l="1"/>
  <c r="X12" i="6"/>
  <c r="W12" i="6"/>
  <c r="L12" i="6"/>
  <c r="M12" i="6" s="1"/>
  <c r="AB12" i="6" l="1"/>
  <c r="N12" i="6"/>
  <c r="K13" i="6" s="1"/>
  <c r="Z12" i="6"/>
  <c r="AA12" i="6" s="1"/>
  <c r="Y13" i="6" l="1"/>
  <c r="X13" i="6"/>
  <c r="W13" i="6"/>
  <c r="L13" i="6"/>
  <c r="M13" i="6" s="1"/>
  <c r="AB13" i="6" l="1"/>
  <c r="N13" i="6"/>
  <c r="K14" i="6" s="1"/>
  <c r="Z13" i="6"/>
  <c r="AA13" i="6" s="1"/>
  <c r="Y14" i="6" l="1"/>
  <c r="W14" i="6"/>
  <c r="X14" i="6"/>
  <c r="L14" i="6"/>
  <c r="M14" i="6" s="1"/>
  <c r="N14" i="6" l="1"/>
  <c r="K15" i="6" s="1"/>
  <c r="Z14" i="6"/>
  <c r="AA14" i="6"/>
  <c r="AB14" i="6"/>
  <c r="Y15" i="6" l="1"/>
  <c r="X15" i="6"/>
  <c r="W15" i="6"/>
  <c r="L15" i="6"/>
  <c r="M15" i="6" s="1"/>
  <c r="Z15" i="6" l="1"/>
  <c r="AB15" i="6"/>
  <c r="AA15" i="6"/>
  <c r="N15" i="6"/>
  <c r="K16" i="6" s="1"/>
  <c r="Y16" i="6" l="1"/>
  <c r="W16" i="6"/>
  <c r="X16" i="6"/>
  <c r="L16" i="6"/>
  <c r="M16" i="6" s="1"/>
  <c r="N16" i="6" l="1"/>
  <c r="K17" i="6" s="1"/>
  <c r="Z16" i="6"/>
  <c r="AA16" i="6" s="1"/>
  <c r="AB16" i="6"/>
  <c r="Y17" i="6" l="1"/>
  <c r="X17" i="6"/>
  <c r="W17" i="6"/>
  <c r="L17" i="6"/>
  <c r="M17" i="6" s="1"/>
  <c r="N17" i="6" l="1"/>
  <c r="K18" i="6" s="1"/>
  <c r="Z17" i="6"/>
  <c r="AB17" i="6"/>
  <c r="AA17" i="6"/>
  <c r="Y18" i="6" l="1"/>
  <c r="W18" i="6"/>
  <c r="X18" i="6"/>
  <c r="L18" i="6"/>
  <c r="M18" i="6" s="1"/>
  <c r="N18" i="6" l="1"/>
  <c r="K19" i="6" s="1"/>
  <c r="Z18" i="6"/>
  <c r="AA18" i="6"/>
  <c r="AB18" i="6"/>
  <c r="Y19" i="6" l="1"/>
  <c r="X19" i="6"/>
  <c r="W19" i="6"/>
  <c r="L19" i="6"/>
  <c r="M19" i="6" s="1"/>
  <c r="AB19" i="6" l="1"/>
  <c r="N19" i="6"/>
  <c r="K20" i="6" s="1"/>
  <c r="Z19" i="6"/>
  <c r="AA19" i="6" s="1"/>
  <c r="Y20" i="6" l="1"/>
  <c r="W20" i="6"/>
  <c r="X20" i="6"/>
  <c r="L20" i="6"/>
  <c r="M20" i="6" s="1"/>
  <c r="Z20" i="6" l="1"/>
  <c r="AA20" i="6" s="1"/>
  <c r="AB20" i="6"/>
  <c r="N20" i="6"/>
  <c r="K21" i="6" s="1"/>
  <c r="Y21" i="6" l="1"/>
  <c r="X21" i="6"/>
  <c r="W21" i="6"/>
  <c r="L21" i="6"/>
  <c r="Z21" i="6" s="1"/>
  <c r="M21" i="6" l="1"/>
  <c r="N21" i="6" s="1"/>
  <c r="K22" i="6" s="1"/>
  <c r="AB21" i="6"/>
  <c r="AA21" i="6"/>
  <c r="Y22" i="6" l="1"/>
  <c r="L22" i="6"/>
  <c r="M22" i="6" s="1"/>
  <c r="W22" i="6"/>
  <c r="X22" i="6"/>
  <c r="Z22" i="6"/>
  <c r="AA22" i="6" l="1"/>
  <c r="AB22" i="6"/>
  <c r="N22" i="6"/>
  <c r="K23" i="6" s="1"/>
  <c r="X23" i="6"/>
  <c r="L23" i="6"/>
  <c r="Z23" i="6" s="1"/>
  <c r="M23" i="6" l="1"/>
  <c r="N23" i="6" s="1"/>
  <c r="K24" i="6" s="1"/>
  <c r="W23" i="6"/>
  <c r="Y23" i="6"/>
  <c r="AA23" i="6" s="1"/>
  <c r="AB23" i="6"/>
  <c r="W24" i="6" l="1"/>
  <c r="L24" i="6"/>
  <c r="M24" i="6"/>
  <c r="N24" i="6" s="1"/>
  <c r="K25" i="6" s="1"/>
  <c r="X24" i="6"/>
  <c r="AB24" i="6" s="1"/>
  <c r="Y24" i="6"/>
  <c r="Z24" i="6"/>
  <c r="AA24" i="6" l="1"/>
  <c r="Y25" i="6"/>
  <c r="X25" i="6"/>
  <c r="W25" i="6"/>
  <c r="L25" i="6"/>
  <c r="Z25" i="6" s="1"/>
  <c r="M25" i="6" l="1"/>
  <c r="AB25" i="6"/>
  <c r="AA25" i="6"/>
  <c r="N25" i="6"/>
  <c r="K26" i="6" s="1"/>
  <c r="Y26" i="6" l="1"/>
  <c r="W26" i="6"/>
  <c r="X26" i="6"/>
  <c r="L26" i="6"/>
  <c r="Z26" i="6" s="1"/>
  <c r="M26" i="6" l="1"/>
  <c r="N26" i="6"/>
  <c r="K27" i="6" s="1"/>
  <c r="L27" i="6"/>
  <c r="AA26" i="6"/>
  <c r="AB26" i="6"/>
  <c r="Y27" i="6" l="1"/>
  <c r="M27" i="6"/>
  <c r="X27" i="6"/>
  <c r="W27" i="6"/>
  <c r="N27" i="6"/>
  <c r="K28" i="6" s="1"/>
  <c r="Z27" i="6"/>
  <c r="AB27" i="6" l="1"/>
  <c r="AA27" i="6"/>
  <c r="Y28" i="6"/>
  <c r="W28" i="6"/>
  <c r="X28" i="6"/>
  <c r="L28" i="6"/>
  <c r="Z28" i="6" s="1"/>
  <c r="M28" i="6" l="1"/>
  <c r="N28" i="6" s="1"/>
  <c r="K29" i="6" s="1"/>
  <c r="AA28" i="6"/>
  <c r="AB28" i="6"/>
  <c r="Y29" i="6" l="1"/>
  <c r="X29" i="6"/>
  <c r="W29" i="6"/>
  <c r="L29" i="6"/>
  <c r="M29" i="6" s="1"/>
  <c r="AB29" i="6" l="1"/>
  <c r="N29" i="6"/>
  <c r="K30" i="6" s="1"/>
  <c r="Z29" i="6"/>
  <c r="AA29" i="6" s="1"/>
  <c r="Y30" i="6" l="1"/>
  <c r="W30" i="6"/>
  <c r="X30" i="6"/>
  <c r="L30" i="6"/>
  <c r="Z30" i="6" s="1"/>
  <c r="M30" i="6" l="1"/>
  <c r="N30" i="6" s="1"/>
  <c r="K31" i="6" s="1"/>
  <c r="Y31" i="6" s="1"/>
  <c r="AA30" i="6"/>
  <c r="AB30" i="6"/>
  <c r="L31" i="6" l="1"/>
  <c r="W31" i="6"/>
  <c r="X31" i="6"/>
  <c r="AB31" i="6" s="1"/>
  <c r="M31" i="6"/>
  <c r="N31" i="6"/>
  <c r="K32" i="6" s="1"/>
  <c r="Z31" i="6"/>
  <c r="AA31" i="6" l="1"/>
  <c r="Y32" i="6"/>
  <c r="W32" i="6"/>
  <c r="X32" i="6"/>
  <c r="L32" i="6"/>
  <c r="Z32" i="6" s="1"/>
  <c r="M32" i="6" l="1"/>
  <c r="N32" i="6" s="1"/>
  <c r="K33" i="6" s="1"/>
  <c r="AA32" i="6"/>
  <c r="AB32" i="6"/>
  <c r="Y33" i="6" l="1"/>
  <c r="L33" i="6"/>
  <c r="M33" i="6" s="1"/>
  <c r="X33" i="6"/>
  <c r="W33" i="6"/>
  <c r="Z33" i="6"/>
  <c r="AB33" i="6" l="1"/>
  <c r="N33" i="6"/>
  <c r="K34" i="6" s="1"/>
  <c r="AA33" i="6"/>
  <c r="Y34" i="6"/>
  <c r="X34" i="6"/>
  <c r="L34" i="6" l="1"/>
  <c r="Z34" i="6" s="1"/>
  <c r="AA34" i="6" s="1"/>
  <c r="W34" i="6"/>
  <c r="AB34" i="6"/>
  <c r="M34" i="6" l="1"/>
  <c r="N34" i="6" s="1"/>
  <c r="K35" i="6" s="1"/>
  <c r="Y35" i="6" s="1"/>
  <c r="L35" i="6" l="1"/>
  <c r="W35" i="6"/>
  <c r="X35" i="6"/>
  <c r="M35" i="6"/>
  <c r="AB35" i="6"/>
  <c r="N35" i="6"/>
  <c r="K36" i="6" s="1"/>
  <c r="Z35" i="6"/>
  <c r="AA35" i="6" s="1"/>
  <c r="Y36" i="6" l="1"/>
  <c r="X36" i="6"/>
  <c r="L36" i="6"/>
  <c r="Z36" i="6" s="1"/>
  <c r="M36" i="6" l="1"/>
  <c r="N36" i="6" s="1"/>
  <c r="K37" i="6" s="1"/>
  <c r="AA36" i="6"/>
  <c r="AB36" i="6"/>
  <c r="Y37" i="6" l="1"/>
  <c r="X37" i="6"/>
  <c r="AB37" i="6" s="1"/>
  <c r="L37" i="6"/>
  <c r="M37" i="6" s="1"/>
  <c r="N37" i="6" s="1"/>
  <c r="K38" i="6" s="1"/>
  <c r="Z37" i="6"/>
  <c r="M38" i="6" l="1"/>
  <c r="AA37" i="6"/>
  <c r="Y38" i="6"/>
  <c r="X38" i="6"/>
  <c r="L38" i="6"/>
  <c r="Z38" i="6" s="1"/>
  <c r="N38" i="6" l="1"/>
  <c r="K39" i="6" s="1"/>
  <c r="Y39" i="6" s="1"/>
  <c r="AA38" i="6"/>
  <c r="AB38" i="6"/>
  <c r="L39" i="6" l="1"/>
  <c r="M39" i="6" s="1"/>
  <c r="X39" i="6"/>
  <c r="AB39" i="6" s="1"/>
  <c r="Z39" i="6" l="1"/>
  <c r="AA39" i="6" s="1"/>
  <c r="N39" i="6"/>
  <c r="K40" i="6" s="1"/>
  <c r="Y40" i="6"/>
  <c r="X40" i="6"/>
  <c r="L40" i="6"/>
  <c r="Z40" i="6" s="1"/>
  <c r="M40" i="6" l="1"/>
  <c r="N40" i="6" s="1"/>
  <c r="AC39" i="6"/>
  <c r="AA40" i="6"/>
  <c r="AB40" i="6"/>
  <c r="AD40" i="6"/>
  <c r="AC38" i="6"/>
  <c r="AI40" i="6"/>
  <c r="AJ40" i="6" s="1"/>
  <c r="AI39" i="6" l="1"/>
  <c r="AC37" i="6"/>
  <c r="AD39" i="6"/>
  <c r="AE39" i="6" s="1"/>
  <c r="AK40" i="6"/>
  <c r="AE40" i="6"/>
  <c r="AC36" i="6" l="1"/>
  <c r="AD38" i="6"/>
  <c r="AE38" i="6" s="1"/>
  <c r="AI38" i="6"/>
  <c r="AJ38" i="6" s="1"/>
  <c r="AJ39" i="6"/>
  <c r="AK39" i="6" s="1"/>
  <c r="AK38" i="6" l="1"/>
  <c r="AC35" i="6"/>
  <c r="AD37" i="6"/>
  <c r="AE37" i="6" s="1"/>
  <c r="AI37" i="6"/>
  <c r="AJ37" i="6" s="1"/>
  <c r="AK37" i="6" s="1"/>
  <c r="AC34" i="6" l="1"/>
  <c r="AD36" i="6"/>
  <c r="AE36" i="6" s="1"/>
  <c r="AI36" i="6"/>
  <c r="AJ36" i="6" l="1"/>
  <c r="AK36" i="6" s="1"/>
  <c r="AC33" i="6"/>
  <c r="AD35" i="6"/>
  <c r="AE35" i="6" s="1"/>
  <c r="AI35" i="6"/>
  <c r="AJ35" i="6" s="1"/>
  <c r="AI34" i="6" l="1"/>
  <c r="AC32" i="6"/>
  <c r="AD34" i="6"/>
  <c r="AE34" i="6" s="1"/>
  <c r="AK35" i="6"/>
  <c r="AC31" i="6" l="1"/>
  <c r="AD33" i="6"/>
  <c r="AE33" i="6" s="1"/>
  <c r="AI33" i="6"/>
  <c r="AJ34" i="6"/>
  <c r="AK34" i="6" s="1"/>
  <c r="AJ33" i="6" l="1"/>
  <c r="AK33" i="6" s="1"/>
  <c r="AC30" i="6"/>
  <c r="AD32" i="6"/>
  <c r="AE32" i="6" s="1"/>
  <c r="AI32" i="6"/>
  <c r="AJ32" i="6" l="1"/>
  <c r="AD31" i="6"/>
  <c r="AE31" i="6" s="1"/>
  <c r="AI31" i="6"/>
  <c r="AJ31" i="6" s="1"/>
  <c r="AC29" i="6"/>
  <c r="AK32" i="6"/>
  <c r="AK31" i="6" l="1"/>
  <c r="AC28" i="6"/>
  <c r="AI30" i="6"/>
  <c r="AD30" i="6"/>
  <c r="AE30" i="6" s="1"/>
  <c r="AJ30" i="6" l="1"/>
  <c r="AK30" i="6" s="1"/>
  <c r="AC27" i="6"/>
  <c r="AD29" i="6"/>
  <c r="AE29" i="6" s="1"/>
  <c r="AI29" i="6"/>
  <c r="AJ29" i="6" l="1"/>
  <c r="AK29" i="6" s="1"/>
  <c r="AD28" i="6"/>
  <c r="AE28" i="6" s="1"/>
  <c r="AC26" i="6"/>
  <c r="AI28" i="6"/>
  <c r="AC25" i="6" l="1"/>
  <c r="AI27" i="6"/>
  <c r="AJ27" i="6" s="1"/>
  <c r="AD27" i="6"/>
  <c r="AE27" i="6" s="1"/>
  <c r="AJ28" i="6"/>
  <c r="AK28" i="6" s="1"/>
  <c r="AK27" i="6" l="1"/>
  <c r="AI26" i="6"/>
  <c r="AC24" i="6"/>
  <c r="AD26" i="6"/>
  <c r="AE26" i="6" s="1"/>
  <c r="AC23" i="6" l="1"/>
  <c r="AD25" i="6"/>
  <c r="AE25" i="6" s="1"/>
  <c r="AI25" i="6"/>
  <c r="AJ26" i="6"/>
  <c r="AK26" i="6" s="1"/>
  <c r="AJ25" i="6" l="1"/>
  <c r="AK25" i="6" s="1"/>
  <c r="AD24" i="6"/>
  <c r="AE24" i="6" s="1"/>
  <c r="AC22" i="6"/>
  <c r="AI24" i="6"/>
  <c r="AJ24" i="6" l="1"/>
  <c r="AK24" i="6" s="1"/>
  <c r="AC21" i="6"/>
  <c r="AD23" i="6"/>
  <c r="AE23" i="6" s="1"/>
  <c r="AI23" i="6"/>
  <c r="AJ23" i="6" s="1"/>
  <c r="AC20" i="6" l="1"/>
  <c r="AD22" i="6"/>
  <c r="AE22" i="6" s="1"/>
  <c r="AI22" i="6"/>
  <c r="AK23" i="6"/>
  <c r="AC19" i="6" l="1"/>
  <c r="AD21" i="6"/>
  <c r="AI21" i="6"/>
  <c r="AE21" i="6"/>
  <c r="AJ22" i="6"/>
  <c r="AK22" i="6" s="1"/>
  <c r="AJ21" i="6" l="1"/>
  <c r="AK21" i="6" s="1"/>
  <c r="AD20" i="6"/>
  <c r="AE20" i="6" s="1"/>
  <c r="AC18" i="6"/>
  <c r="AI20" i="6"/>
  <c r="AD19" i="6" l="1"/>
  <c r="AE19" i="6" s="1"/>
  <c r="AI19" i="6"/>
  <c r="AJ19" i="6" s="1"/>
  <c r="AC17" i="6"/>
  <c r="AJ20" i="6"/>
  <c r="AK19" i="6"/>
  <c r="AK20" i="6"/>
  <c r="AC16" i="6" l="1"/>
  <c r="AI18" i="6"/>
  <c r="AD18" i="6"/>
  <c r="AE18" i="6" s="1"/>
  <c r="AC15" i="6" l="1"/>
  <c r="AD17" i="6"/>
  <c r="AI17" i="6"/>
  <c r="AE17" i="6"/>
  <c r="AJ18" i="6"/>
  <c r="AK18" i="6" s="1"/>
  <c r="AJ17" i="6" l="1"/>
  <c r="AK17" i="6" s="1"/>
  <c r="AC14" i="6"/>
  <c r="AI16" i="6"/>
  <c r="AD16" i="6"/>
  <c r="AE16" i="6" s="1"/>
  <c r="AJ16" i="6" l="1"/>
  <c r="AK16" i="6" s="1"/>
  <c r="AC13" i="6"/>
  <c r="AD15" i="6"/>
  <c r="AE15" i="6" s="1"/>
  <c r="AI15" i="6"/>
  <c r="AJ15" i="6" s="1"/>
  <c r="AI14" i="6" l="1"/>
  <c r="AC12" i="6"/>
  <c r="AD14" i="6"/>
  <c r="AE14" i="6" s="1"/>
  <c r="AK15" i="6"/>
  <c r="AJ14" i="6" l="1"/>
  <c r="AK14" i="6" s="1"/>
  <c r="AC11" i="6"/>
  <c r="AD13" i="6"/>
  <c r="AE13" i="6" s="1"/>
  <c r="AI13" i="6"/>
  <c r="AJ13" i="6" l="1"/>
  <c r="AK13" i="6" s="1"/>
  <c r="AC10" i="6"/>
  <c r="AI12" i="6"/>
  <c r="AD12" i="6"/>
  <c r="AE12" i="6" s="1"/>
  <c r="AC9" i="6" l="1"/>
  <c r="AD11" i="6"/>
  <c r="AI11" i="6"/>
  <c r="AE11" i="6"/>
  <c r="AJ12" i="6"/>
  <c r="AK12" i="6" s="1"/>
  <c r="AC8" i="6" l="1"/>
  <c r="AD10" i="6"/>
  <c r="AE10" i="6" s="1"/>
  <c r="AI10" i="6"/>
  <c r="AJ10" i="6" s="1"/>
  <c r="AJ11" i="6"/>
  <c r="AK11" i="6" s="1"/>
  <c r="AK10" i="6" l="1"/>
  <c r="AC7" i="6"/>
  <c r="AD9" i="6"/>
  <c r="AE9" i="6" s="1"/>
  <c r="AI9" i="6"/>
  <c r="AJ9" i="6" s="1"/>
  <c r="AK9" i="6" s="1"/>
  <c r="AI8" i="6" l="1"/>
  <c r="AD8" i="6"/>
  <c r="AE8" i="6" s="1"/>
  <c r="AC6" i="6"/>
  <c r="AJ8" i="6" l="1"/>
  <c r="AK8" i="6" s="1"/>
  <c r="AC5" i="6"/>
  <c r="AI7" i="6"/>
  <c r="AD7" i="6"/>
  <c r="AE7" i="6" s="1"/>
  <c r="AI6" i="6" l="1"/>
  <c r="AJ6" i="6" s="1"/>
  <c r="AC4" i="6"/>
  <c r="AD6" i="6"/>
  <c r="AE6" i="6" s="1"/>
  <c r="AJ7" i="6"/>
  <c r="AK7" i="6" s="1"/>
  <c r="AK6" i="6" l="1"/>
  <c r="AC3" i="6"/>
  <c r="AE3" i="6" s="1"/>
  <c r="AI5" i="6"/>
  <c r="AD5" i="6"/>
  <c r="AE5" i="6" s="1"/>
  <c r="AJ5" i="6" l="1"/>
  <c r="AK5" i="6" s="1"/>
  <c r="AG3" i="6"/>
  <c r="AD4" i="6"/>
  <c r="AE4" i="6" s="1"/>
  <c r="AI4" i="6"/>
  <c r="AJ4" i="6" s="1"/>
  <c r="AK4" i="6" l="1"/>
  <c r="AL4" i="6" s="1"/>
</calcChain>
</file>

<file path=xl/sharedStrings.xml><?xml version="1.0" encoding="utf-8"?>
<sst xmlns="http://schemas.openxmlformats.org/spreadsheetml/2006/main" count="48" uniqueCount="45">
  <si>
    <t>Expenses</t>
  </si>
  <si>
    <t>Commission</t>
  </si>
  <si>
    <t>Age</t>
  </si>
  <si>
    <t>lapse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</si>
  <si>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</si>
  <si>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</si>
  <si>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</si>
  <si>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</si>
  <si>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</si>
  <si>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</si>
  <si>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t>Best estimate basis</t>
  </si>
  <si>
    <t>Premiums (boy)</t>
  </si>
  <si>
    <t>Claims (eoy)</t>
  </si>
  <si>
    <t>Cash flow ex. Interest (eoy)</t>
  </si>
  <si>
    <r>
      <rPr>
        <sz val="10"/>
        <rFont val="Century Gothic"/>
        <family val="2"/>
      </rPr>
      <t xml:space="preserve">Attained Age ( </t>
    </r>
    <r>
      <rPr>
        <i/>
        <sz val="10"/>
        <rFont val="Century Gothic"/>
        <family val="2"/>
      </rPr>
      <t xml:space="preserve">x </t>
    </r>
    <r>
      <rPr>
        <sz val="10"/>
        <rFont val="Century Gothic"/>
        <family val="2"/>
      </rPr>
      <t>)</t>
    </r>
  </si>
  <si>
    <r>
      <rPr>
        <i/>
        <sz val="10"/>
        <rFont val="Century Gothic"/>
        <family val="2"/>
      </rPr>
      <t>qx</t>
    </r>
  </si>
  <si>
    <t>Policy Year</t>
  </si>
  <si>
    <t>Termination expenses (eoy)</t>
  </si>
  <si>
    <t>Interest on liability</t>
  </si>
  <si>
    <t>Liability (soy)</t>
  </si>
  <si>
    <t xml:space="preserve">INSTRUCTIONS: Input formulae/data in the yellow cells. </t>
  </si>
  <si>
    <t>Renewal_expense</t>
  </si>
  <si>
    <t>Termination_expense</t>
  </si>
  <si>
    <t>Expense_Inflation</t>
  </si>
  <si>
    <t>Renewal_commission</t>
  </si>
  <si>
    <t xml:space="preserve">Investment_rate </t>
  </si>
  <si>
    <t>Discount_rate</t>
  </si>
  <si>
    <t>Sum_Insured</t>
  </si>
  <si>
    <t>Premium</t>
  </si>
  <si>
    <t>Mortality_table</t>
  </si>
  <si>
    <t xml:space="preserve">Sum_Insured_Table </t>
  </si>
  <si>
    <t>Sum insured</t>
  </si>
  <si>
    <t>Policy year</t>
  </si>
  <si>
    <t>Lapse</t>
  </si>
  <si>
    <t>Renewal costs (boy)</t>
  </si>
  <si>
    <t>Interest on cash flow (eoy)</t>
  </si>
  <si>
    <t>Mortality_adjustment</t>
  </si>
  <si>
    <t>SI Up</t>
  </si>
  <si>
    <t>SI Down</t>
  </si>
  <si>
    <r>
      <t>Profit (EOY)</t>
    </r>
    <r>
      <rPr>
        <vertAlign val="superscript"/>
        <sz val="10"/>
        <color theme="0"/>
        <rFont val="Century Gothic"/>
        <family val="2"/>
      </rPr>
      <t>1</t>
    </r>
  </si>
  <si>
    <t>Include initial costs</t>
  </si>
  <si>
    <t>Reporting liabilty</t>
  </si>
  <si>
    <t>interest on liability</t>
  </si>
  <si>
    <t>reported profit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</si>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</sst>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&quot;$&quot;#,##0.00_);[Red]\(&quot;$&quot;#,##0.00\)"/>
    <numFmt numFmtId="166" formatCode="###0;###0"/>
    <numFmt numFmtId="167" formatCode="###0.00000;###0.00000"/>
    <numFmt numFmtId="168" formatCode="0.00000"/>
    <numFmt numFmtId="169" formatCode="&quot;$&quot;#,##0"/>
    <numFmt numFmtId="170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i/>
      <sz val="10"/>
      <name val="Century Gothic"/>
      <family val="2"/>
    </font>
    <font>
      <sz val="10"/>
      <color rgb="FF000000"/>
      <name val="Century Gothic"/>
      <family val="2"/>
    </font>
    <font>
      <sz val="10"/>
      <color rgb="FF0070C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rgb="FF00B0F0"/>
      <name val="Century Gothic"/>
      <family val="2"/>
    </font>
    <font>
      <vertAlign val="superscript"/>
      <sz val="10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5" xfId="0" applyFont="1" applyFill="1" applyBorder="1" applyAlignment="1">
      <alignment horizontal="center"/>
    </xf>
    <xf numFmtId="0" fontId="2" fillId="0" borderId="15" xfId="0" applyFont="1" applyBorder="1"/>
    <xf numFmtId="168" fontId="2" fillId="0" borderId="15" xfId="0" applyNumberFormat="1" applyFont="1" applyBorder="1"/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166" fontId="8" fillId="0" borderId="3" xfId="0" applyNumberFormat="1" applyFont="1" applyFill="1" applyBorder="1" applyAlignment="1">
      <alignment horizontal="center" vertical="top" wrapText="1"/>
    </xf>
    <xf numFmtId="166" fontId="8" fillId="0" borderId="5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vertical="top" wrapText="1"/>
    </xf>
    <xf numFmtId="166" fontId="8" fillId="0" borderId="7" xfId="0" applyNumberFormat="1" applyFont="1" applyFill="1" applyBorder="1" applyAlignment="1">
      <alignment horizontal="center" vertical="top" wrapText="1"/>
    </xf>
    <xf numFmtId="166" fontId="8" fillId="0" borderId="9" xfId="0" applyNumberFormat="1" applyFont="1" applyFill="1" applyBorder="1" applyAlignment="1">
      <alignment horizontal="center" vertical="top" wrapText="1"/>
    </xf>
    <xf numFmtId="166" fontId="8" fillId="0" borderId="11" xfId="0" applyNumberFormat="1" applyFont="1" applyFill="1" applyBorder="1" applyAlignment="1">
      <alignment horizontal="center" vertical="top" wrapText="1"/>
    </xf>
    <xf numFmtId="166" fontId="8" fillId="0" borderId="13" xfId="0" applyNumberFormat="1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 wrapText="1"/>
    </xf>
    <xf numFmtId="0" fontId="9" fillId="0" borderId="0" xfId="0" applyFont="1"/>
    <xf numFmtId="0" fontId="5" fillId="3" borderId="15" xfId="0" applyFont="1" applyFill="1" applyBorder="1" applyAlignment="1">
      <alignment horizontal="center" wrapText="1"/>
    </xf>
    <xf numFmtId="0" fontId="2" fillId="4" borderId="15" xfId="0" applyFont="1" applyFill="1" applyBorder="1"/>
    <xf numFmtId="168" fontId="2" fillId="4" borderId="15" xfId="0" applyNumberFormat="1" applyFont="1" applyFill="1" applyBorder="1"/>
    <xf numFmtId="169" fontId="2" fillId="4" borderId="15" xfId="0" applyNumberFormat="1" applyFont="1" applyFill="1" applyBorder="1" applyAlignment="1">
      <alignment horizontal="center"/>
    </xf>
    <xf numFmtId="164" fontId="9" fillId="4" borderId="0" xfId="0" applyNumberFormat="1" applyFont="1" applyFill="1"/>
    <xf numFmtId="9" fontId="9" fillId="4" borderId="0" xfId="0" applyNumberFormat="1" applyFont="1" applyFill="1"/>
    <xf numFmtId="0" fontId="2" fillId="0" borderId="0" xfId="0" applyFont="1" applyFill="1"/>
    <xf numFmtId="0" fontId="9" fillId="0" borderId="0" xfId="0" applyFont="1" applyFill="1"/>
    <xf numFmtId="9" fontId="9" fillId="0" borderId="0" xfId="0" applyNumberFormat="1" applyFont="1" applyFill="1"/>
    <xf numFmtId="167" fontId="11" fillId="0" borderId="6" xfId="0" applyNumberFormat="1" applyFont="1" applyFill="1" applyBorder="1" applyAlignment="1">
      <alignment vertical="top" wrapText="1"/>
    </xf>
    <xf numFmtId="167" fontId="11" fillId="0" borderId="8" xfId="0" applyNumberFormat="1" applyFont="1" applyFill="1" applyBorder="1" applyAlignment="1">
      <alignment vertical="top" wrapText="1"/>
    </xf>
    <xf numFmtId="167" fontId="11" fillId="0" borderId="10" xfId="0" applyNumberFormat="1" applyFont="1" applyFill="1" applyBorder="1" applyAlignment="1">
      <alignment horizontal="right" vertical="top" wrapText="1"/>
    </xf>
    <xf numFmtId="167" fontId="11" fillId="0" borderId="12" xfId="0" applyNumberFormat="1" applyFont="1" applyFill="1" applyBorder="1" applyAlignment="1">
      <alignment horizontal="right" vertical="top" wrapText="1"/>
    </xf>
    <xf numFmtId="167" fontId="11" fillId="0" borderId="14" xfId="0" applyNumberFormat="1" applyFont="1" applyFill="1" applyBorder="1" applyAlignment="1">
      <alignment horizontal="right" vertical="top" wrapText="1"/>
    </xf>
    <xf numFmtId="0" fontId="10" fillId="0" borderId="0" xfId="0" applyFont="1"/>
    <xf numFmtId="169" fontId="0" fillId="4" borderId="0" xfId="0" applyNumberFormat="1" applyFill="1"/>
    <xf numFmtId="0" fontId="2" fillId="4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3" fontId="2" fillId="4" borderId="15" xfId="0" applyNumberFormat="1" applyFont="1" applyFill="1" applyBorder="1"/>
    <xf numFmtId="169" fontId="2" fillId="4" borderId="0" xfId="0" applyNumberFormat="1" applyFont="1" applyFill="1"/>
    <xf numFmtId="0" fontId="1" fillId="0" borderId="0" xfId="0" applyFont="1" applyAlignment="1">
      <alignment horizontal="center" vertical="center"/>
    </xf>
    <xf numFmtId="9" fontId="2" fillId="4" borderId="0" xfId="0" applyNumberFormat="1" applyFont="1" applyFill="1"/>
    <xf numFmtId="9" fontId="2" fillId="0" borderId="0" xfId="0" applyNumberFormat="1" applyFont="1"/>
    <xf numFmtId="167" fontId="2" fillId="4" borderId="15" xfId="0" applyNumberFormat="1" applyFont="1" applyFill="1" applyBorder="1"/>
    <xf numFmtId="170" fontId="2" fillId="0" borderId="0" xfId="0" applyNumberFormat="1" applyFont="1"/>
    <xf numFmtId="170" fontId="2" fillId="4" borderId="15" xfId="0" applyNumberFormat="1" applyFont="1" applyFill="1" applyBorder="1" applyAlignment="1">
      <alignment horizontal="center"/>
    </xf>
    <xf numFmtId="169" fontId="2" fillId="0" borderId="0" xfId="0" applyNumberFormat="1" applyFont="1"/>
    <xf numFmtId="165" fontId="2" fillId="0" borderId="0" xfId="0" applyNumberFormat="1" applyFont="1"/>
    <xf numFmtId="0" fontId="5" fillId="3" borderId="17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 wrapText="1"/>
    </xf>
    <xf numFmtId="169" fontId="2" fillId="0" borderId="0" xfId="0" applyNumberFormat="1" applyFont="1" applyBorder="1"/>
    <xf numFmtId="0" fontId="2" fillId="0" borderId="18" xfId="0" applyFont="1" applyBorder="1"/>
    <xf numFmtId="169" fontId="2" fillId="0" borderId="19" xfId="0" applyNumberFormat="1" applyFont="1" applyBorder="1"/>
    <xf numFmtId="165" fontId="2" fillId="0" borderId="20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9" fontId="2" fillId="0" borderId="21" xfId="0" applyNumberFormat="1" applyFont="1" applyBorder="1"/>
    <xf numFmtId="0" fontId="2" fillId="0" borderId="8" xfId="0" applyFont="1" applyBorder="1"/>
    <xf numFmtId="0" fontId="0" fillId="0" borderId="15" xfId="0" applyBorder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5"/>
  <sheetViews>
    <sheetView tabSelected="1" topLeftCell="A3" workbookViewId="0">
      <selection activeCell="M10" sqref="M10:M40"/>
    </sheetView>
  </sheetViews>
  <sheetFormatPr defaultRowHeight="15" x14ac:dyDescent="0.25"/>
  <cols>
    <col min="1" max="1" width="20.140625" style="2" customWidth="1"/>
    <col min="2" max="2" width="9.140625" style="2"/>
    <col min="3" max="3" width="9.140625" style="2" customWidth="1"/>
    <col min="4" max="4" width="20.42578125" style="2" bestFit="1" customWidth="1"/>
    <col min="5" max="5" width="10.140625" style="2" bestFit="1" customWidth="1"/>
    <col min="6" max="7" width="9.140625" style="2"/>
    <col min="15" max="16" width="9.140625" style="2"/>
    <col min="20" max="22" width="9.140625" style="2"/>
    <col min="23" max="23" width="10.42578125" style="2" customWidth="1"/>
    <col min="24" max="24" width="9.140625" style="2"/>
    <col min="25" max="25" width="12.7109375" style="2" customWidth="1"/>
    <col min="26" max="28" width="9.140625" style="2"/>
    <col min="29" max="29" width="10.7109375" style="2" bestFit="1" customWidth="1"/>
    <col min="30" max="32" width="9.140625" style="2"/>
    <col min="33" max="34" width="9.7109375" style="2" bestFit="1" customWidth="1"/>
    <col min="35" max="35" width="9.7109375" style="2" customWidth="1"/>
    <col min="36" max="36" width="9.140625" style="2"/>
    <col min="37" max="38" width="9.7109375" style="2" bestFit="1" customWidth="1"/>
    <col min="39" max="16384" width="9.140625" style="2"/>
  </cols>
  <sheetData>
    <row r="1" spans="1:38" x14ac:dyDescent="0.25">
      <c r="A1" s="63" t="s">
        <v>20</v>
      </c>
      <c r="B1" s="63"/>
      <c r="C1" s="63"/>
      <c r="D1" s="63"/>
      <c r="E1" s="63"/>
      <c r="H1" s="1" t="s">
        <v>4</v>
      </c>
      <c r="I1" s="1"/>
      <c r="J1" s="2"/>
      <c r="K1" s="2"/>
      <c r="L1" s="2"/>
      <c r="M1" s="2"/>
      <c r="N1" s="2"/>
      <c r="Q1" t="s">
        <v>30</v>
      </c>
      <c r="V1" s="61" t="s">
        <v>10</v>
      </c>
      <c r="W1" s="62"/>
      <c r="X1" s="62"/>
      <c r="Y1" s="62"/>
      <c r="Z1" s="62"/>
      <c r="AA1" s="62"/>
      <c r="AB1" s="62"/>
      <c r="AC1" s="62"/>
      <c r="AD1" s="62"/>
      <c r="AE1" s="62"/>
    </row>
    <row r="2" spans="1:38" ht="54.75" x14ac:dyDescent="0.3">
      <c r="A2" s="63"/>
      <c r="B2" s="63"/>
      <c r="C2" s="63"/>
      <c r="D2" s="63"/>
      <c r="E2" s="63"/>
      <c r="H2" s="20" t="s">
        <v>16</v>
      </c>
      <c r="I2" s="5" t="s">
        <v>5</v>
      </c>
      <c r="J2" s="5" t="s">
        <v>3</v>
      </c>
      <c r="K2" s="5" t="s">
        <v>6</v>
      </c>
      <c r="L2" s="5" t="s">
        <v>7</v>
      </c>
      <c r="M2" s="5" t="s">
        <v>8</v>
      </c>
      <c r="N2" s="5" t="s">
        <v>9</v>
      </c>
      <c r="Q2" s="38" t="s">
        <v>32</v>
      </c>
      <c r="R2" s="37" t="s">
        <v>2</v>
      </c>
      <c r="S2" s="38" t="s">
        <v>31</v>
      </c>
      <c r="V2" s="17" t="s">
        <v>32</v>
      </c>
      <c r="W2" s="18" t="s">
        <v>11</v>
      </c>
      <c r="X2" s="18" t="s">
        <v>34</v>
      </c>
      <c r="Y2" s="18" t="s">
        <v>17</v>
      </c>
      <c r="Z2" s="18" t="s">
        <v>12</v>
      </c>
      <c r="AA2" s="18" t="s">
        <v>13</v>
      </c>
      <c r="AB2" s="18" t="s">
        <v>35</v>
      </c>
      <c r="AC2" s="18" t="s">
        <v>19</v>
      </c>
      <c r="AD2" s="18" t="s">
        <v>18</v>
      </c>
      <c r="AE2" s="18" t="s">
        <v>39</v>
      </c>
      <c r="AG2" s="18" t="s">
        <v>40</v>
      </c>
      <c r="AH2" s="50" t="s">
        <v>32</v>
      </c>
      <c r="AI2" s="50" t="s">
        <v>41</v>
      </c>
      <c r="AJ2" s="50" t="s">
        <v>42</v>
      </c>
      <c r="AK2" s="50" t="s">
        <v>43</v>
      </c>
      <c r="AL2" s="49" t="s">
        <v>44</v>
      </c>
    </row>
    <row r="3" spans="1:38" x14ac:dyDescent="0.25">
      <c r="A3" s="41"/>
      <c r="B3" s="41"/>
      <c r="C3" s="41"/>
      <c r="D3" s="41"/>
      <c r="E3" s="41"/>
      <c r="H3" s="60">
        <v>0</v>
      </c>
      <c r="I3" s="60"/>
      <c r="J3" s="60"/>
      <c r="K3" s="60"/>
      <c r="L3" s="60"/>
      <c r="M3" s="60"/>
      <c r="N3" s="60"/>
      <c r="O3"/>
      <c r="P3"/>
      <c r="Q3" s="60"/>
      <c r="R3" s="60"/>
      <c r="S3" s="60"/>
      <c r="T3"/>
      <c r="U3"/>
      <c r="V3" s="60"/>
      <c r="W3" s="60"/>
      <c r="X3" s="60"/>
      <c r="Y3" s="60"/>
      <c r="Z3" s="60"/>
      <c r="AA3" s="60"/>
      <c r="AB3" s="60"/>
      <c r="AC3" s="23">
        <f t="shared" ref="AC3:AC38" si="0">(AC4+Z4+Y4)/(1+Discount_rate)+X4-W4</f>
        <v>-3201.8025383984241</v>
      </c>
      <c r="AD3" s="60"/>
      <c r="AE3" s="23">
        <f>-AC3</f>
        <v>3201.8025383984241</v>
      </c>
      <c r="AF3"/>
      <c r="AG3" s="45">
        <f>-AC3-0.9*W4-300</f>
        <v>1911.8025383984241</v>
      </c>
      <c r="AH3"/>
      <c r="AI3"/>
      <c r="AJ3"/>
      <c r="AK3"/>
      <c r="AL3"/>
    </row>
    <row r="4" spans="1:38" ht="13.5" x14ac:dyDescent="0.25">
      <c r="A4" s="3" t="s">
        <v>29</v>
      </c>
      <c r="D4" s="3" t="s">
        <v>0</v>
      </c>
      <c r="E4" s="19"/>
      <c r="H4" s="6">
        <v>1</v>
      </c>
      <c r="I4" s="44">
        <f>B36*(1+$E$25)</f>
        <v>8.4000000000000003E-4</v>
      </c>
      <c r="J4" s="21">
        <f t="shared" ref="J4:J40" si="1">Lapse</f>
        <v>0.1</v>
      </c>
      <c r="K4" s="7">
        <v>1</v>
      </c>
      <c r="L4" s="22">
        <f>K4*I4</f>
        <v>8.4000000000000003E-4</v>
      </c>
      <c r="M4" s="22">
        <f>(K4-L4)*J4</f>
        <v>9.9916000000000005E-2</v>
      </c>
      <c r="N4" s="7">
        <f t="shared" ref="N4:N40" si="2">K4-L4-M4</f>
        <v>0.89924400000000004</v>
      </c>
      <c r="Q4" s="6">
        <f>1</f>
        <v>1</v>
      </c>
      <c r="R4" s="39">
        <v>30</v>
      </c>
      <c r="S4" s="39">
        <f>E17</f>
        <v>500000</v>
      </c>
      <c r="V4" s="6">
        <f>1</f>
        <v>1</v>
      </c>
      <c r="W4" s="23">
        <f t="shared" ref="W4:W35" si="3">Premium*K4</f>
        <v>1100</v>
      </c>
      <c r="X4" s="23"/>
      <c r="Y4" s="23">
        <f t="shared" ref="Y4" si="4">K4*Termination_expense*I4</f>
        <v>0.84000000000000008</v>
      </c>
      <c r="Z4" s="23">
        <f>S4*L4</f>
        <v>420</v>
      </c>
      <c r="AA4" s="23">
        <f>W4-X4-Y4-Z4</f>
        <v>679.16000000000008</v>
      </c>
      <c r="AB4" s="23">
        <f t="shared" ref="AB4:AB40" si="5">(W4-X4)*Investment_rate</f>
        <v>44</v>
      </c>
      <c r="AC4" s="23">
        <f t="shared" si="0"/>
        <v>-2606.7146399343615</v>
      </c>
      <c r="AD4" s="46">
        <f t="shared" ref="AD4:AD40" si="6">AC3*Investment_rate</f>
        <v>-128.07210153593695</v>
      </c>
      <c r="AE4" s="23">
        <f t="shared" ref="AE4:AE39" si="7">AA4-(AC4-AC3)+AD4+AB4</f>
        <v>5.1159076974727213E-13</v>
      </c>
      <c r="AH4" s="52">
        <f>1</f>
        <v>1</v>
      </c>
      <c r="AI4" s="53">
        <f t="shared" ref="AI4:AI40" si="8">MAX(0,AC3)</f>
        <v>0</v>
      </c>
      <c r="AJ4" s="53">
        <f t="shared" ref="AJ4:AJ40" si="9">Investment_rate*AI4</f>
        <v>0</v>
      </c>
      <c r="AK4" s="53">
        <f>AA4+AB4-(AI5-AI4)+AJ4</f>
        <v>723.16000000000008</v>
      </c>
      <c r="AL4" s="54">
        <f>NPV(0.04,AK4:AK40)</f>
        <v>3201.8025383984241</v>
      </c>
    </row>
    <row r="5" spans="1:38" ht="13.5" x14ac:dyDescent="0.25">
      <c r="A5" s="8" t="s">
        <v>14</v>
      </c>
      <c r="B5" s="9" t="s">
        <v>15</v>
      </c>
      <c r="D5" s="2" t="s">
        <v>21</v>
      </c>
      <c r="E5" s="24">
        <v>50</v>
      </c>
      <c r="H5" s="6">
        <f t="shared" ref="H5:H40" si="10">1+H4</f>
        <v>2</v>
      </c>
      <c r="I5" s="44">
        <f t="shared" ref="I5:I40" si="11">B37*(1+$E$25)</f>
        <v>8.0849999999999997E-4</v>
      </c>
      <c r="J5" s="21">
        <f t="shared" si="1"/>
        <v>0.1</v>
      </c>
      <c r="K5" s="7">
        <f t="shared" ref="K5:K40" si="12">N4</f>
        <v>0.89924400000000004</v>
      </c>
      <c r="L5" s="22">
        <f t="shared" ref="L5:L40" si="13">K5*I5</f>
        <v>7.27038774E-4</v>
      </c>
      <c r="M5" s="22">
        <f t="shared" ref="M5:M40" si="14">(K5-L5)*J5</f>
        <v>8.9851696122600008E-2</v>
      </c>
      <c r="N5" s="7">
        <f t="shared" si="2"/>
        <v>0.80866526510339998</v>
      </c>
      <c r="Q5" s="6">
        <f>1+Q4</f>
        <v>2</v>
      </c>
      <c r="R5" s="39">
        <f>1+R4</f>
        <v>31</v>
      </c>
      <c r="S5" s="39">
        <f>IF(R5&lt;46,S4+E$27,IF(R5&gt;50,S4-E$28,S4))</f>
        <v>515000</v>
      </c>
      <c r="V5" s="6">
        <f>1+V4</f>
        <v>2</v>
      </c>
      <c r="W5" s="23">
        <f t="shared" si="3"/>
        <v>989.16840000000002</v>
      </c>
      <c r="X5" s="46">
        <f t="shared" ref="X5:X40" si="15">K5*Renewal_expense*(1+Expense_Inflation)^V4+Renewal_commission*W4</f>
        <v>100.86144400000001</v>
      </c>
      <c r="Y5" s="23">
        <f t="shared" ref="Y5:Y40" si="16">K5*Termination_expense*I5*(1+Expense_Inflation)^V4</f>
        <v>0.74157954948000004</v>
      </c>
      <c r="Z5" s="23">
        <f t="shared" ref="Z5:Z40" si="17">S5*L5</f>
        <v>374.42496861000001</v>
      </c>
      <c r="AA5" s="23">
        <f t="shared" ref="AA5:AA40" si="18">W5-X5-Y5-Z5</f>
        <v>513.14040784052008</v>
      </c>
      <c r="AB5" s="23">
        <f t="shared" si="5"/>
        <v>35.532278240000004</v>
      </c>
      <c r="AC5" s="23">
        <f t="shared" si="0"/>
        <v>-2162.3105394512158</v>
      </c>
      <c r="AD5" s="46">
        <f t="shared" si="6"/>
        <v>-104.26858559737445</v>
      </c>
      <c r="AE5" s="23">
        <f t="shared" si="7"/>
        <v>0</v>
      </c>
      <c r="AH5" s="55">
        <f>1+AH4</f>
        <v>2</v>
      </c>
      <c r="AI5" s="51">
        <f t="shared" si="8"/>
        <v>0</v>
      </c>
      <c r="AJ5" s="51">
        <f t="shared" si="9"/>
        <v>0</v>
      </c>
      <c r="AK5" s="51">
        <f t="shared" ref="AK5:AK40" si="19">AA5+AB5-(AI6-AI5)+AJ5</f>
        <v>548.67268608052007</v>
      </c>
      <c r="AL5" s="56"/>
    </row>
    <row r="6" spans="1:38" ht="13.5" x14ac:dyDescent="0.25">
      <c r="A6" s="10">
        <v>0</v>
      </c>
      <c r="B6" s="4"/>
      <c r="D6" s="2" t="s">
        <v>22</v>
      </c>
      <c r="E6" s="24">
        <v>1000</v>
      </c>
      <c r="H6" s="6">
        <f t="shared" si="10"/>
        <v>3</v>
      </c>
      <c r="I6" s="44">
        <f t="shared" si="11"/>
        <v>7.8750000000000001E-4</v>
      </c>
      <c r="J6" s="21">
        <f t="shared" si="1"/>
        <v>0.1</v>
      </c>
      <c r="K6" s="7">
        <f t="shared" si="12"/>
        <v>0.80866526510339998</v>
      </c>
      <c r="L6" s="22">
        <f t="shared" si="13"/>
        <v>6.3682389626892747E-4</v>
      </c>
      <c r="M6" s="22">
        <f t="shared" si="14"/>
        <v>8.0802844120713105E-2</v>
      </c>
      <c r="N6" s="7">
        <f t="shared" si="2"/>
        <v>0.72722559708641787</v>
      </c>
      <c r="Q6" s="6">
        <f t="shared" ref="Q6:R40" si="20">1+Q5</f>
        <v>3</v>
      </c>
      <c r="R6" s="39">
        <f t="shared" si="20"/>
        <v>32</v>
      </c>
      <c r="S6" s="39">
        <f t="shared" ref="S6:S40" si="21">IF(R6&lt;46,S5+E$27,IF(R6&gt;50,S5-E$28,S5))</f>
        <v>530000</v>
      </c>
      <c r="V6" s="6">
        <f t="shared" ref="V6:V40" si="22">1+V5</f>
        <v>3</v>
      </c>
      <c r="W6" s="23">
        <f t="shared" si="3"/>
        <v>889.53179161373998</v>
      </c>
      <c r="X6" s="46">
        <f t="shared" si="15"/>
        <v>91.52518709067887</v>
      </c>
      <c r="Y6" s="23">
        <f t="shared" si="16"/>
        <v>0.66255158167819206</v>
      </c>
      <c r="Z6" s="23">
        <f t="shared" si="17"/>
        <v>337.51666502253158</v>
      </c>
      <c r="AA6" s="23">
        <f t="shared" si="18"/>
        <v>459.8273879188514</v>
      </c>
      <c r="AB6" s="23">
        <f t="shared" si="5"/>
        <v>31.920264180922445</v>
      </c>
      <c r="AC6" s="23">
        <f t="shared" si="0"/>
        <v>-1757.0553089294906</v>
      </c>
      <c r="AD6" s="46">
        <f t="shared" si="6"/>
        <v>-86.492421578048635</v>
      </c>
      <c r="AE6" s="23">
        <f t="shared" si="7"/>
        <v>-4.2632564145606011E-14</v>
      </c>
      <c r="AH6" s="55">
        <f t="shared" ref="AH6:AH13" si="23">1+AH5</f>
        <v>3</v>
      </c>
      <c r="AI6" s="51">
        <f t="shared" si="8"/>
        <v>0</v>
      </c>
      <c r="AJ6" s="51">
        <f t="shared" si="9"/>
        <v>0</v>
      </c>
      <c r="AK6" s="51">
        <f t="shared" si="19"/>
        <v>491.74765209977386</v>
      </c>
      <c r="AL6" s="56"/>
    </row>
    <row r="7" spans="1:38" ht="13.5" x14ac:dyDescent="0.25">
      <c r="A7" s="11">
        <v>1</v>
      </c>
      <c r="B7" s="12"/>
      <c r="D7" s="2" t="s">
        <v>23</v>
      </c>
      <c r="E7" s="25">
        <v>0.02</v>
      </c>
      <c r="H7" s="6">
        <f t="shared" si="10"/>
        <v>4</v>
      </c>
      <c r="I7" s="44">
        <f t="shared" si="11"/>
        <v>7.7700000000000002E-4</v>
      </c>
      <c r="J7" s="21">
        <f t="shared" si="1"/>
        <v>0.1</v>
      </c>
      <c r="K7" s="7">
        <f t="shared" si="12"/>
        <v>0.72722559708641787</v>
      </c>
      <c r="L7" s="22">
        <f t="shared" si="13"/>
        <v>5.6505428893614666E-4</v>
      </c>
      <c r="M7" s="22">
        <f t="shared" si="14"/>
        <v>7.2666054279748177E-2</v>
      </c>
      <c r="N7" s="7">
        <f t="shared" si="2"/>
        <v>0.65399448851773356</v>
      </c>
      <c r="Q7" s="6">
        <f t="shared" si="20"/>
        <v>4</v>
      </c>
      <c r="R7" s="39">
        <f t="shared" si="20"/>
        <v>33</v>
      </c>
      <c r="S7" s="39">
        <f t="shared" si="21"/>
        <v>545000</v>
      </c>
      <c r="V7" s="6">
        <f t="shared" si="22"/>
        <v>4</v>
      </c>
      <c r="W7" s="23">
        <f t="shared" si="3"/>
        <v>799.94815679505962</v>
      </c>
      <c r="X7" s="46">
        <f t="shared" si="15"/>
        <v>83.063470652331176</v>
      </c>
      <c r="Y7" s="23">
        <f t="shared" si="16"/>
        <v>0.59964013185335041</v>
      </c>
      <c r="Z7" s="23">
        <f t="shared" si="17"/>
        <v>307.95458747019995</v>
      </c>
      <c r="AA7" s="23">
        <f t="shared" si="18"/>
        <v>408.33045854067518</v>
      </c>
      <c r="AB7" s="23">
        <f t="shared" si="5"/>
        <v>28.675387445709138</v>
      </c>
      <c r="AC7" s="23">
        <f t="shared" si="0"/>
        <v>-1390.331675300286</v>
      </c>
      <c r="AD7" s="46">
        <f t="shared" si="6"/>
        <v>-70.282212357179631</v>
      </c>
      <c r="AE7" s="23">
        <f t="shared" si="7"/>
        <v>4.6185277824406512E-14</v>
      </c>
      <c r="AH7" s="55">
        <f t="shared" si="23"/>
        <v>4</v>
      </c>
      <c r="AI7" s="51">
        <f t="shared" si="8"/>
        <v>0</v>
      </c>
      <c r="AJ7" s="51">
        <f t="shared" si="9"/>
        <v>0</v>
      </c>
      <c r="AK7" s="51">
        <f t="shared" si="19"/>
        <v>437.00584598638432</v>
      </c>
      <c r="AL7" s="56"/>
    </row>
    <row r="8" spans="1:38" ht="13.5" x14ac:dyDescent="0.25">
      <c r="A8" s="11">
        <v>2</v>
      </c>
      <c r="B8" s="12"/>
      <c r="D8" s="26"/>
      <c r="E8" s="27"/>
      <c r="H8" s="6">
        <f t="shared" si="10"/>
        <v>5</v>
      </c>
      <c r="I8" s="44">
        <f t="shared" si="11"/>
        <v>7.7700000000000002E-4</v>
      </c>
      <c r="J8" s="21">
        <f t="shared" si="1"/>
        <v>0.1</v>
      </c>
      <c r="K8" s="7">
        <f t="shared" si="12"/>
        <v>0.65399448851773356</v>
      </c>
      <c r="L8" s="22">
        <f t="shared" si="13"/>
        <v>5.0815371757827904E-4</v>
      </c>
      <c r="M8" s="22">
        <f t="shared" si="14"/>
        <v>6.5348633480015531E-2</v>
      </c>
      <c r="N8" s="7">
        <f t="shared" si="2"/>
        <v>0.58813770132013976</v>
      </c>
      <c r="Q8" s="6">
        <f t="shared" si="20"/>
        <v>5</v>
      </c>
      <c r="R8" s="39">
        <f t="shared" si="20"/>
        <v>34</v>
      </c>
      <c r="S8" s="39">
        <f t="shared" si="21"/>
        <v>560000</v>
      </c>
      <c r="V8" s="6">
        <f t="shared" si="22"/>
        <v>5</v>
      </c>
      <c r="W8" s="23">
        <f t="shared" si="3"/>
        <v>719.39393736950694</v>
      </c>
      <c r="X8" s="46">
        <f t="shared" si="15"/>
        <v>75.392641181470253</v>
      </c>
      <c r="Y8" s="23">
        <f t="shared" si="16"/>
        <v>0.55004192613028646</v>
      </c>
      <c r="Z8" s="23">
        <f t="shared" si="17"/>
        <v>284.56608184383629</v>
      </c>
      <c r="AA8" s="23">
        <f t="shared" si="18"/>
        <v>358.88517241807017</v>
      </c>
      <c r="AB8" s="23">
        <f t="shared" si="5"/>
        <v>25.760051847521467</v>
      </c>
      <c r="AC8" s="23">
        <f t="shared" si="0"/>
        <v>-1061.2997180467059</v>
      </c>
      <c r="AD8" s="46">
        <f t="shared" si="6"/>
        <v>-55.613267012011441</v>
      </c>
      <c r="AE8" s="23">
        <f t="shared" si="7"/>
        <v>1.9184653865522705E-13</v>
      </c>
      <c r="AG8" s="48"/>
      <c r="AH8" s="55">
        <f t="shared" si="23"/>
        <v>5</v>
      </c>
      <c r="AI8" s="51">
        <f t="shared" si="8"/>
        <v>0</v>
      </c>
      <c r="AJ8" s="51">
        <f t="shared" si="9"/>
        <v>0</v>
      </c>
      <c r="AK8" s="51">
        <f t="shared" si="19"/>
        <v>384.64522426559165</v>
      </c>
      <c r="AL8" s="56"/>
    </row>
    <row r="9" spans="1:38" ht="13.5" x14ac:dyDescent="0.25">
      <c r="A9" s="11">
        <v>3</v>
      </c>
      <c r="B9" s="12"/>
      <c r="D9" s="3" t="s">
        <v>1</v>
      </c>
      <c r="E9" s="27"/>
      <c r="H9" s="6">
        <f t="shared" si="10"/>
        <v>6</v>
      </c>
      <c r="I9" s="44">
        <f t="shared" si="11"/>
        <v>7.8750000000000001E-4</v>
      </c>
      <c r="J9" s="21">
        <f t="shared" si="1"/>
        <v>0.1</v>
      </c>
      <c r="K9" s="7">
        <f t="shared" si="12"/>
        <v>0.58813770132013976</v>
      </c>
      <c r="L9" s="22">
        <f t="shared" si="13"/>
        <v>4.6315843978961008E-4</v>
      </c>
      <c r="M9" s="22">
        <f t="shared" si="14"/>
        <v>5.8767454288035016E-2</v>
      </c>
      <c r="N9" s="7">
        <f t="shared" si="2"/>
        <v>0.52890708859231517</v>
      </c>
      <c r="Q9" s="6">
        <f t="shared" si="20"/>
        <v>6</v>
      </c>
      <c r="R9" s="39">
        <f t="shared" si="20"/>
        <v>35</v>
      </c>
      <c r="S9" s="39">
        <f t="shared" si="21"/>
        <v>575000</v>
      </c>
      <c r="V9" s="6">
        <f t="shared" si="22"/>
        <v>6</v>
      </c>
      <c r="W9" s="23">
        <f t="shared" si="3"/>
        <v>646.95147145215378</v>
      </c>
      <c r="X9" s="46">
        <f t="shared" si="15"/>
        <v>68.437274151762438</v>
      </c>
      <c r="Y9" s="23">
        <f t="shared" si="16"/>
        <v>0.51136434221177152</v>
      </c>
      <c r="Z9" s="23">
        <f t="shared" si="17"/>
        <v>266.31610287902578</v>
      </c>
      <c r="AA9" s="23">
        <f t="shared" si="18"/>
        <v>311.68673007915373</v>
      </c>
      <c r="AB9" s="23">
        <f t="shared" si="5"/>
        <v>23.140567892015653</v>
      </c>
      <c r="AC9" s="46">
        <f t="shared" si="0"/>
        <v>-768.92440879740468</v>
      </c>
      <c r="AD9" s="46">
        <f t="shared" si="6"/>
        <v>-42.45198872186824</v>
      </c>
      <c r="AE9" s="23">
        <f t="shared" si="7"/>
        <v>-1.2079226507921703E-13</v>
      </c>
      <c r="AH9" s="55">
        <f t="shared" si="23"/>
        <v>6</v>
      </c>
      <c r="AI9" s="51">
        <f t="shared" si="8"/>
        <v>0</v>
      </c>
      <c r="AJ9" s="51">
        <f t="shared" si="9"/>
        <v>0</v>
      </c>
      <c r="AK9" s="51">
        <f t="shared" si="19"/>
        <v>334.8272979711694</v>
      </c>
      <c r="AL9" s="56"/>
    </row>
    <row r="10" spans="1:38" ht="13.5" x14ac:dyDescent="0.25">
      <c r="A10" s="11">
        <v>4</v>
      </c>
      <c r="B10" s="12"/>
      <c r="D10" s="2" t="s">
        <v>24</v>
      </c>
      <c r="E10" s="25">
        <v>0.05</v>
      </c>
      <c r="H10" s="6">
        <f t="shared" si="10"/>
        <v>7</v>
      </c>
      <c r="I10" s="44">
        <f t="shared" si="11"/>
        <v>7.980000000000001E-4</v>
      </c>
      <c r="J10" s="21">
        <f t="shared" si="1"/>
        <v>0.1</v>
      </c>
      <c r="K10" s="7">
        <f t="shared" si="12"/>
        <v>0.52890708859231517</v>
      </c>
      <c r="L10" s="22">
        <f t="shared" si="13"/>
        <v>4.2206785669666758E-4</v>
      </c>
      <c r="M10" s="22">
        <f t="shared" si="14"/>
        <v>5.2848502073561857E-2</v>
      </c>
      <c r="N10" s="7">
        <f t="shared" si="2"/>
        <v>0.4756365186620567</v>
      </c>
      <c r="Q10" s="6">
        <f t="shared" si="20"/>
        <v>7</v>
      </c>
      <c r="R10" s="39">
        <f t="shared" si="20"/>
        <v>36</v>
      </c>
      <c r="S10" s="39">
        <f t="shared" si="21"/>
        <v>590000</v>
      </c>
      <c r="V10" s="6">
        <f t="shared" si="22"/>
        <v>7</v>
      </c>
      <c r="W10" s="23">
        <f t="shared" si="3"/>
        <v>581.79779745154667</v>
      </c>
      <c r="X10" s="46">
        <f t="shared" si="15"/>
        <v>62.129337895357715</v>
      </c>
      <c r="Y10" s="23">
        <f t="shared" si="16"/>
        <v>0.47531695859109047</v>
      </c>
      <c r="Z10" s="23">
        <f t="shared" si="17"/>
        <v>249.02003545103386</v>
      </c>
      <c r="AA10" s="23">
        <f t="shared" si="18"/>
        <v>270.17310714656401</v>
      </c>
      <c r="AB10" s="23">
        <f t="shared" si="5"/>
        <v>20.78673838224756</v>
      </c>
      <c r="AC10" s="46">
        <f t="shared" si="0"/>
        <v>-508.7215396204893</v>
      </c>
      <c r="AD10" s="46">
        <f t="shared" si="6"/>
        <v>-30.756976351896189</v>
      </c>
      <c r="AE10" s="23">
        <f t="shared" si="7"/>
        <v>0</v>
      </c>
      <c r="AH10" s="55">
        <f t="shared" si="23"/>
        <v>7</v>
      </c>
      <c r="AI10" s="51">
        <f t="shared" si="8"/>
        <v>0</v>
      </c>
      <c r="AJ10" s="51">
        <f t="shared" si="9"/>
        <v>0</v>
      </c>
      <c r="AK10" s="51">
        <f t="shared" si="19"/>
        <v>290.95984552881157</v>
      </c>
      <c r="AL10" s="56"/>
    </row>
    <row r="11" spans="1:38" ht="13.5" x14ac:dyDescent="0.25">
      <c r="A11" s="11">
        <v>5</v>
      </c>
      <c r="B11" s="12"/>
      <c r="D11" s="26"/>
      <c r="E11" s="28"/>
      <c r="F11" s="26"/>
      <c r="H11" s="6">
        <f t="shared" si="10"/>
        <v>8</v>
      </c>
      <c r="I11" s="44">
        <f t="shared" si="11"/>
        <v>8.1900000000000007E-4</v>
      </c>
      <c r="J11" s="21">
        <f t="shared" si="1"/>
        <v>0.1</v>
      </c>
      <c r="K11" s="7">
        <f t="shared" si="12"/>
        <v>0.4756365186620567</v>
      </c>
      <c r="L11" s="22">
        <f t="shared" si="13"/>
        <v>3.8954630878422448E-4</v>
      </c>
      <c r="M11" s="22">
        <f t="shared" si="14"/>
        <v>4.7524697235327248E-2</v>
      </c>
      <c r="N11" s="7">
        <f t="shared" si="2"/>
        <v>0.42772227511794519</v>
      </c>
      <c r="Q11" s="6">
        <f t="shared" si="20"/>
        <v>8</v>
      </c>
      <c r="R11" s="39">
        <f t="shared" si="20"/>
        <v>37</v>
      </c>
      <c r="S11" s="39">
        <f t="shared" si="21"/>
        <v>605000</v>
      </c>
      <c r="V11" s="6">
        <f t="shared" si="22"/>
        <v>8</v>
      </c>
      <c r="W11" s="23">
        <f t="shared" si="3"/>
        <v>523.20017052826233</v>
      </c>
      <c r="X11" s="46">
        <f t="shared" si="15"/>
        <v>56.40773247246252</v>
      </c>
      <c r="Y11" s="23">
        <f t="shared" si="16"/>
        <v>0.44746626178611942</v>
      </c>
      <c r="Z11" s="23">
        <f t="shared" si="17"/>
        <v>235.67551681445582</v>
      </c>
      <c r="AA11" s="23">
        <f t="shared" si="18"/>
        <v>230.66945497955788</v>
      </c>
      <c r="AB11" s="23">
        <f t="shared" si="5"/>
        <v>18.671697522231995</v>
      </c>
      <c r="AC11" s="46">
        <f t="shared" si="0"/>
        <v>-279.72924870351898</v>
      </c>
      <c r="AD11" s="46">
        <f t="shared" si="6"/>
        <v>-20.348861584819574</v>
      </c>
      <c r="AE11" s="23">
        <f t="shared" si="7"/>
        <v>0</v>
      </c>
      <c r="AH11" s="55">
        <f t="shared" si="23"/>
        <v>8</v>
      </c>
      <c r="AI11" s="51">
        <f t="shared" si="8"/>
        <v>0</v>
      </c>
      <c r="AJ11" s="51">
        <f t="shared" si="9"/>
        <v>0</v>
      </c>
      <c r="AK11" s="51">
        <f t="shared" si="19"/>
        <v>249.34115250178988</v>
      </c>
      <c r="AL11" s="56"/>
    </row>
    <row r="12" spans="1:38" ht="13.5" x14ac:dyDescent="0.25">
      <c r="A12" s="11">
        <v>6</v>
      </c>
      <c r="B12" s="12"/>
      <c r="D12" s="26"/>
      <c r="E12" s="27"/>
      <c r="F12" s="26"/>
      <c r="H12" s="6">
        <f t="shared" si="10"/>
        <v>9</v>
      </c>
      <c r="I12" s="44">
        <f t="shared" si="11"/>
        <v>8.5050000000000002E-4</v>
      </c>
      <c r="J12" s="21">
        <f t="shared" si="1"/>
        <v>0.1</v>
      </c>
      <c r="K12" s="7">
        <f t="shared" si="12"/>
        <v>0.42772227511794519</v>
      </c>
      <c r="L12" s="22">
        <f t="shared" si="13"/>
        <v>3.6377779498781242E-4</v>
      </c>
      <c r="M12" s="22">
        <f t="shared" si="14"/>
        <v>4.2735849732295744E-2</v>
      </c>
      <c r="N12" s="7">
        <f t="shared" si="2"/>
        <v>0.38462264759066167</v>
      </c>
      <c r="Q12" s="6">
        <f t="shared" si="20"/>
        <v>9</v>
      </c>
      <c r="R12" s="39">
        <f t="shared" si="20"/>
        <v>38</v>
      </c>
      <c r="S12" s="39">
        <f t="shared" si="21"/>
        <v>620000</v>
      </c>
      <c r="V12" s="6">
        <f t="shared" si="22"/>
        <v>9</v>
      </c>
      <c r="W12" s="23">
        <f t="shared" si="3"/>
        <v>470.49450262973971</v>
      </c>
      <c r="X12" s="46">
        <f t="shared" si="15"/>
        <v>51.217249331691733</v>
      </c>
      <c r="Y12" s="23">
        <f t="shared" si="16"/>
        <v>0.42622366609778928</v>
      </c>
      <c r="Z12" s="23">
        <f t="shared" si="17"/>
        <v>225.54223289244371</v>
      </c>
      <c r="AA12" s="23">
        <f t="shared" si="18"/>
        <v>193.3087967395065</v>
      </c>
      <c r="AB12" s="23">
        <f t="shared" si="5"/>
        <v>16.77109013192192</v>
      </c>
      <c r="AC12" s="46">
        <f t="shared" si="0"/>
        <v>-80.838531780231335</v>
      </c>
      <c r="AD12" s="46">
        <f t="shared" si="6"/>
        <v>-11.189169948140758</v>
      </c>
      <c r="AE12" s="23">
        <f t="shared" si="7"/>
        <v>0</v>
      </c>
      <c r="AH12" s="55">
        <f t="shared" si="23"/>
        <v>9</v>
      </c>
      <c r="AI12" s="51">
        <f t="shared" si="8"/>
        <v>0</v>
      </c>
      <c r="AJ12" s="51">
        <f t="shared" si="9"/>
        <v>0</v>
      </c>
      <c r="AK12" s="51">
        <f t="shared" si="19"/>
        <v>210.07988687142841</v>
      </c>
      <c r="AL12" s="56"/>
    </row>
    <row r="13" spans="1:38" ht="13.5" x14ac:dyDescent="0.25">
      <c r="A13" s="11">
        <v>7</v>
      </c>
      <c r="B13" s="12"/>
      <c r="D13" s="3" t="s">
        <v>25</v>
      </c>
      <c r="E13" s="25">
        <v>0.04</v>
      </c>
      <c r="H13" s="6">
        <f t="shared" si="10"/>
        <v>10</v>
      </c>
      <c r="I13" s="44">
        <f t="shared" si="11"/>
        <v>8.9249999999999996E-4</v>
      </c>
      <c r="J13" s="21">
        <f t="shared" si="1"/>
        <v>0.1</v>
      </c>
      <c r="K13" s="7">
        <f t="shared" si="12"/>
        <v>0.38462264759066167</v>
      </c>
      <c r="L13" s="22">
        <f t="shared" si="13"/>
        <v>3.4327571297466551E-4</v>
      </c>
      <c r="M13" s="22">
        <f t="shared" si="14"/>
        <v>3.8427937187768706E-2</v>
      </c>
      <c r="N13" s="7">
        <f t="shared" si="2"/>
        <v>0.3458514346899183</v>
      </c>
      <c r="Q13" s="6">
        <f t="shared" si="20"/>
        <v>10</v>
      </c>
      <c r="R13" s="39">
        <f t="shared" si="20"/>
        <v>39</v>
      </c>
      <c r="S13" s="39">
        <f t="shared" si="21"/>
        <v>635000</v>
      </c>
      <c r="V13" s="6">
        <f t="shared" si="22"/>
        <v>10</v>
      </c>
      <c r="W13" s="23">
        <f t="shared" si="3"/>
        <v>423.08491234972786</v>
      </c>
      <c r="X13" s="46">
        <f t="shared" si="15"/>
        <v>46.507708524458877</v>
      </c>
      <c r="Y13" s="23">
        <f t="shared" si="16"/>
        <v>0.41024625356454814</v>
      </c>
      <c r="Z13" s="23">
        <f t="shared" si="17"/>
        <v>217.9800777389126</v>
      </c>
      <c r="AA13" s="23">
        <f t="shared" si="18"/>
        <v>158.18687983279182</v>
      </c>
      <c r="AB13" s="23">
        <f t="shared" si="5"/>
        <v>15.063088153010758</v>
      </c>
      <c r="AC13" s="46">
        <f t="shared" si="0"/>
        <v>89.17789493436203</v>
      </c>
      <c r="AD13" s="46">
        <f t="shared" si="6"/>
        <v>-3.2335412712092535</v>
      </c>
      <c r="AE13" s="23">
        <f t="shared" si="7"/>
        <v>-4.2632564145606011E-14</v>
      </c>
      <c r="AH13" s="55">
        <f t="shared" si="23"/>
        <v>10</v>
      </c>
      <c r="AI13" s="51">
        <f t="shared" si="8"/>
        <v>0</v>
      </c>
      <c r="AJ13" s="51">
        <f t="shared" si="9"/>
        <v>0</v>
      </c>
      <c r="AK13" s="51">
        <f t="shared" si="19"/>
        <v>84.072073051440555</v>
      </c>
      <c r="AL13" s="56"/>
    </row>
    <row r="14" spans="1:38" ht="13.5" x14ac:dyDescent="0.25">
      <c r="A14" s="11">
        <v>8</v>
      </c>
      <c r="B14" s="12"/>
      <c r="D14" s="26"/>
      <c r="E14" s="27"/>
      <c r="H14" s="6">
        <f t="shared" si="10"/>
        <v>11</v>
      </c>
      <c r="I14" s="44">
        <f t="shared" si="11"/>
        <v>9.345E-4</v>
      </c>
      <c r="J14" s="21">
        <f t="shared" si="1"/>
        <v>0.1</v>
      </c>
      <c r="K14" s="7">
        <f t="shared" si="12"/>
        <v>0.3458514346899183</v>
      </c>
      <c r="L14" s="22">
        <f t="shared" si="13"/>
        <v>3.2319816571772867E-4</v>
      </c>
      <c r="M14" s="22">
        <f t="shared" si="14"/>
        <v>3.4552823652420059E-2</v>
      </c>
      <c r="N14" s="7">
        <f t="shared" si="2"/>
        <v>0.31097541287178049</v>
      </c>
      <c r="Q14" s="6">
        <f t="shared" si="20"/>
        <v>11</v>
      </c>
      <c r="R14" s="39">
        <f t="shared" si="20"/>
        <v>40</v>
      </c>
      <c r="S14" s="39">
        <f t="shared" si="21"/>
        <v>650000</v>
      </c>
      <c r="V14" s="6">
        <f t="shared" si="22"/>
        <v>11</v>
      </c>
      <c r="W14" s="23">
        <f t="shared" si="3"/>
        <v>380.43657815891015</v>
      </c>
      <c r="X14" s="46">
        <f t="shared" si="15"/>
        <v>42.23379406919598</v>
      </c>
      <c r="Y14" s="23">
        <f t="shared" si="16"/>
        <v>0.39397676056245201</v>
      </c>
      <c r="Z14" s="23">
        <f t="shared" si="17"/>
        <v>210.07880771652364</v>
      </c>
      <c r="AA14" s="23">
        <f t="shared" si="18"/>
        <v>127.72999961262806</v>
      </c>
      <c r="AB14" s="23">
        <f t="shared" si="5"/>
        <v>13.528111363588566</v>
      </c>
      <c r="AC14" s="46">
        <f t="shared" si="0"/>
        <v>234.00312170795314</v>
      </c>
      <c r="AD14" s="46">
        <f t="shared" si="6"/>
        <v>3.5671157973744814</v>
      </c>
      <c r="AE14" s="23">
        <f t="shared" si="7"/>
        <v>0</v>
      </c>
      <c r="AH14" s="57">
        <v>11</v>
      </c>
      <c r="AI14" s="58">
        <f t="shared" si="8"/>
        <v>89.17789493436203</v>
      </c>
      <c r="AJ14" s="58">
        <f t="shared" si="9"/>
        <v>3.5671157973744814</v>
      </c>
      <c r="AK14" s="58">
        <f t="shared" si="19"/>
        <v>1.1546319456101628E-14</v>
      </c>
      <c r="AL14" s="59"/>
    </row>
    <row r="15" spans="1:38" ht="13.5" x14ac:dyDescent="0.25">
      <c r="A15" s="11">
        <v>9</v>
      </c>
      <c r="B15" s="12"/>
      <c r="D15" s="3" t="s">
        <v>26</v>
      </c>
      <c r="E15" s="25">
        <v>0.04</v>
      </c>
      <c r="H15" s="6">
        <f t="shared" si="10"/>
        <v>12</v>
      </c>
      <c r="I15" s="44">
        <f t="shared" si="11"/>
        <v>9.8700000000000003E-4</v>
      </c>
      <c r="J15" s="21">
        <f t="shared" si="1"/>
        <v>0.1</v>
      </c>
      <c r="K15" s="7">
        <f t="shared" si="12"/>
        <v>0.31097541287178049</v>
      </c>
      <c r="L15" s="22">
        <f t="shared" si="13"/>
        <v>3.0693273250444734E-4</v>
      </c>
      <c r="M15" s="22">
        <f t="shared" si="14"/>
        <v>3.1066848013927607E-2</v>
      </c>
      <c r="N15" s="7">
        <f t="shared" si="2"/>
        <v>0.27960163212534844</v>
      </c>
      <c r="Q15" s="6">
        <f t="shared" si="20"/>
        <v>12</v>
      </c>
      <c r="R15" s="39">
        <f t="shared" si="20"/>
        <v>41</v>
      </c>
      <c r="S15" s="39">
        <f t="shared" si="21"/>
        <v>665000</v>
      </c>
      <c r="V15" s="6">
        <f t="shared" si="22"/>
        <v>12</v>
      </c>
      <c r="W15" s="23">
        <f t="shared" si="3"/>
        <v>342.07295415895851</v>
      </c>
      <c r="X15" s="46">
        <f t="shared" si="15"/>
        <v>38.354770853305084</v>
      </c>
      <c r="Y15" s="23">
        <f t="shared" si="16"/>
        <v>0.38163227400139788</v>
      </c>
      <c r="Z15" s="23">
        <f t="shared" si="17"/>
        <v>204.11026711545748</v>
      </c>
      <c r="AA15" s="23">
        <f t="shared" si="18"/>
        <v>99.226283916194575</v>
      </c>
      <c r="AB15" s="23">
        <f t="shared" si="5"/>
        <v>12.148727332226137</v>
      </c>
      <c r="AC15" s="46">
        <f t="shared" si="0"/>
        <v>354.73825782469191</v>
      </c>
      <c r="AD15" s="46">
        <f t="shared" si="6"/>
        <v>9.3601248683181257</v>
      </c>
      <c r="AE15" s="23">
        <f t="shared" si="7"/>
        <v>6.5725203057809267E-14</v>
      </c>
      <c r="AI15" s="47">
        <f t="shared" si="8"/>
        <v>234.00312170795314</v>
      </c>
      <c r="AJ15" s="47">
        <f t="shared" si="9"/>
        <v>9.3601248683181257</v>
      </c>
      <c r="AK15" s="47">
        <f t="shared" si="19"/>
        <v>7.2830630415410269E-14</v>
      </c>
    </row>
    <row r="16" spans="1:38" ht="13.5" x14ac:dyDescent="0.25">
      <c r="A16" s="11">
        <v>10</v>
      </c>
      <c r="B16" s="12"/>
      <c r="D16" s="26"/>
      <c r="E16" s="27"/>
      <c r="H16" s="6">
        <f t="shared" si="10"/>
        <v>13</v>
      </c>
      <c r="I16" s="44">
        <f t="shared" si="11"/>
        <v>1.0605E-3</v>
      </c>
      <c r="J16" s="21">
        <f t="shared" si="1"/>
        <v>0.1</v>
      </c>
      <c r="K16" s="7">
        <f t="shared" si="12"/>
        <v>0.27960163212534844</v>
      </c>
      <c r="L16" s="22">
        <f t="shared" si="13"/>
        <v>2.9651753086893203E-4</v>
      </c>
      <c r="M16" s="22">
        <f t="shared" si="14"/>
        <v>2.793051145944795E-2</v>
      </c>
      <c r="N16" s="7">
        <f t="shared" si="2"/>
        <v>0.25137460313503152</v>
      </c>
      <c r="Q16" s="6">
        <f t="shared" si="20"/>
        <v>13</v>
      </c>
      <c r="R16" s="39">
        <f t="shared" si="20"/>
        <v>42</v>
      </c>
      <c r="S16" s="39">
        <f t="shared" si="21"/>
        <v>680000</v>
      </c>
      <c r="V16" s="6">
        <f t="shared" si="22"/>
        <v>13</v>
      </c>
      <c r="W16" s="23">
        <f t="shared" si="3"/>
        <v>307.56179533788327</v>
      </c>
      <c r="X16" s="46">
        <f t="shared" si="15"/>
        <v>34.833771492411351</v>
      </c>
      <c r="Y16" s="23">
        <f t="shared" si="16"/>
        <v>0.37605592546846922</v>
      </c>
      <c r="Z16" s="23">
        <f t="shared" si="17"/>
        <v>201.63192099087379</v>
      </c>
      <c r="AA16" s="23">
        <f t="shared" si="18"/>
        <v>70.720046929129666</v>
      </c>
      <c r="AB16" s="23">
        <f t="shared" si="5"/>
        <v>10.909120953818876</v>
      </c>
      <c r="AC16" s="46">
        <f t="shared" si="0"/>
        <v>450.55695602062821</v>
      </c>
      <c r="AD16" s="46">
        <f t="shared" si="6"/>
        <v>14.189530312987676</v>
      </c>
      <c r="AE16" s="23">
        <f t="shared" si="7"/>
        <v>-7.460698725481052E-14</v>
      </c>
      <c r="AI16" s="47">
        <f t="shared" si="8"/>
        <v>354.73825782469191</v>
      </c>
      <c r="AJ16" s="47">
        <f t="shared" si="9"/>
        <v>14.189530312987676</v>
      </c>
      <c r="AK16" s="47">
        <f t="shared" si="19"/>
        <v>-7.9936057773011271E-14</v>
      </c>
    </row>
    <row r="17" spans="1:37" x14ac:dyDescent="0.25">
      <c r="A17" s="11">
        <v>11</v>
      </c>
      <c r="B17" s="12"/>
      <c r="D17" s="34" t="s">
        <v>27</v>
      </c>
      <c r="E17" s="35">
        <v>500000</v>
      </c>
      <c r="F17"/>
      <c r="H17" s="6">
        <f t="shared" si="10"/>
        <v>14</v>
      </c>
      <c r="I17" s="44">
        <f t="shared" si="11"/>
        <v>1.134E-3</v>
      </c>
      <c r="J17" s="21">
        <f t="shared" si="1"/>
        <v>0.1</v>
      </c>
      <c r="K17" s="7">
        <f t="shared" si="12"/>
        <v>0.25137460313503152</v>
      </c>
      <c r="L17" s="22">
        <f t="shared" si="13"/>
        <v>2.8505879995512572E-4</v>
      </c>
      <c r="M17" s="22">
        <f t="shared" si="14"/>
        <v>2.5108954433507642E-2</v>
      </c>
      <c r="N17" s="7">
        <f t="shared" si="2"/>
        <v>0.22598058990156877</v>
      </c>
      <c r="Q17" s="6">
        <f t="shared" si="20"/>
        <v>14</v>
      </c>
      <c r="R17" s="39">
        <f t="shared" si="20"/>
        <v>43</v>
      </c>
      <c r="S17" s="39">
        <f t="shared" si="21"/>
        <v>695000</v>
      </c>
      <c r="V17" s="6">
        <f t="shared" si="22"/>
        <v>14</v>
      </c>
      <c r="W17" s="23">
        <f t="shared" si="3"/>
        <v>276.51206344853466</v>
      </c>
      <c r="X17" s="46">
        <f t="shared" si="15"/>
        <v>31.63708243405258</v>
      </c>
      <c r="Y17" s="23">
        <f t="shared" si="16"/>
        <v>0.36875395369115294</v>
      </c>
      <c r="Z17" s="23">
        <f t="shared" si="17"/>
        <v>198.11586596881239</v>
      </c>
      <c r="AA17" s="23">
        <f t="shared" si="18"/>
        <v>46.390361091978548</v>
      </c>
      <c r="AB17" s="23">
        <f t="shared" si="5"/>
        <v>9.7949992405792834</v>
      </c>
      <c r="AC17" s="46">
        <f t="shared" si="0"/>
        <v>524.76459459401121</v>
      </c>
      <c r="AD17" s="46">
        <f t="shared" si="6"/>
        <v>18.022278240825127</v>
      </c>
      <c r="AE17" s="23">
        <f t="shared" si="7"/>
        <v>-4.9737991503207013E-14</v>
      </c>
      <c r="AI17" s="47">
        <f t="shared" si="8"/>
        <v>450.55695602062821</v>
      </c>
      <c r="AJ17" s="47">
        <f t="shared" si="9"/>
        <v>18.022278240825127</v>
      </c>
      <c r="AK17" s="47">
        <f t="shared" si="19"/>
        <v>-4.6185277824406512E-14</v>
      </c>
    </row>
    <row r="18" spans="1:37" ht="13.5" x14ac:dyDescent="0.25">
      <c r="A18" s="11">
        <v>12</v>
      </c>
      <c r="B18" s="12"/>
      <c r="H18" s="6">
        <f t="shared" si="10"/>
        <v>15</v>
      </c>
      <c r="I18" s="44">
        <f t="shared" si="11"/>
        <v>1.2180000000000001E-3</v>
      </c>
      <c r="J18" s="21">
        <f t="shared" si="1"/>
        <v>0.1</v>
      </c>
      <c r="K18" s="7">
        <f t="shared" si="12"/>
        <v>0.22598058990156877</v>
      </c>
      <c r="L18" s="22">
        <f t="shared" si="13"/>
        <v>2.7524435850011079E-4</v>
      </c>
      <c r="M18" s="22">
        <f t="shared" si="14"/>
        <v>2.2570534554306868E-2</v>
      </c>
      <c r="N18" s="7">
        <f t="shared" si="2"/>
        <v>0.20313481098876179</v>
      </c>
      <c r="Q18" s="6">
        <f t="shared" si="20"/>
        <v>15</v>
      </c>
      <c r="R18" s="39">
        <f t="shared" si="20"/>
        <v>44</v>
      </c>
      <c r="S18" s="39">
        <f t="shared" si="21"/>
        <v>710000</v>
      </c>
      <c r="V18" s="6">
        <f t="shared" si="22"/>
        <v>15</v>
      </c>
      <c r="W18" s="23">
        <f t="shared" si="3"/>
        <v>248.57864889172566</v>
      </c>
      <c r="X18" s="46">
        <f t="shared" si="15"/>
        <v>28.734432634403742</v>
      </c>
      <c r="Y18" s="23">
        <f t="shared" si="16"/>
        <v>0.36317908569375995</v>
      </c>
      <c r="Z18" s="23">
        <f t="shared" si="17"/>
        <v>195.42349453507867</v>
      </c>
      <c r="AA18" s="23">
        <f t="shared" si="18"/>
        <v>24.057542636549499</v>
      </c>
      <c r="AB18" s="23">
        <f t="shared" si="5"/>
        <v>8.7937686502928774</v>
      </c>
      <c r="AC18" s="46">
        <f t="shared" si="0"/>
        <v>578.60648966461395</v>
      </c>
      <c r="AD18" s="46">
        <f t="shared" si="6"/>
        <v>20.990583783760449</v>
      </c>
      <c r="AE18" s="23">
        <f t="shared" si="7"/>
        <v>9.4146912488213275E-14</v>
      </c>
      <c r="AI18" s="47">
        <f t="shared" si="8"/>
        <v>524.76459459401121</v>
      </c>
      <c r="AJ18" s="47">
        <f t="shared" si="9"/>
        <v>20.990583783760449</v>
      </c>
      <c r="AK18" s="47">
        <f t="shared" si="19"/>
        <v>9.2370555648813024E-14</v>
      </c>
    </row>
    <row r="19" spans="1:37" ht="13.5" x14ac:dyDescent="0.25">
      <c r="A19" s="11">
        <v>13</v>
      </c>
      <c r="B19" s="12"/>
      <c r="D19" s="3" t="s">
        <v>28</v>
      </c>
      <c r="E19" s="40">
        <v>1100</v>
      </c>
      <c r="H19" s="6">
        <f t="shared" si="10"/>
        <v>16</v>
      </c>
      <c r="I19" s="44">
        <f t="shared" si="11"/>
        <v>1.3230000000000002E-3</v>
      </c>
      <c r="J19" s="21">
        <f t="shared" si="1"/>
        <v>0.1</v>
      </c>
      <c r="K19" s="7">
        <f t="shared" si="12"/>
        <v>0.20313481098876179</v>
      </c>
      <c r="L19" s="22">
        <f t="shared" si="13"/>
        <v>2.687473549381319E-4</v>
      </c>
      <c r="M19" s="22">
        <f t="shared" si="14"/>
        <v>2.0286606363382368E-2</v>
      </c>
      <c r="N19" s="7">
        <f t="shared" si="2"/>
        <v>0.18257945727044131</v>
      </c>
      <c r="Q19" s="6">
        <f t="shared" si="20"/>
        <v>16</v>
      </c>
      <c r="R19" s="39">
        <f t="shared" si="20"/>
        <v>45</v>
      </c>
      <c r="S19" s="39">
        <f t="shared" si="21"/>
        <v>725000</v>
      </c>
      <c r="V19" s="6">
        <f t="shared" si="22"/>
        <v>16</v>
      </c>
      <c r="W19" s="23">
        <f t="shared" si="3"/>
        <v>223.44829208763798</v>
      </c>
      <c r="X19" s="46">
        <f t="shared" si="15"/>
        <v>26.098567970647828</v>
      </c>
      <c r="Y19" s="23">
        <f t="shared" si="16"/>
        <v>0.36169855601958856</v>
      </c>
      <c r="Z19" s="23">
        <f t="shared" si="17"/>
        <v>194.84183233014562</v>
      </c>
      <c r="AA19" s="23">
        <f t="shared" si="18"/>
        <v>2.1461932308249629</v>
      </c>
      <c r="AB19" s="23">
        <f t="shared" si="5"/>
        <v>7.8939889646796066</v>
      </c>
      <c r="AC19" s="46">
        <f t="shared" si="0"/>
        <v>611.7909314467031</v>
      </c>
      <c r="AD19" s="46">
        <f t="shared" si="6"/>
        <v>23.144259586584557</v>
      </c>
      <c r="AE19" s="23">
        <f t="shared" si="7"/>
        <v>-2.5757174171303632E-14</v>
      </c>
      <c r="AI19" s="47">
        <f t="shared" si="8"/>
        <v>578.60648966461395</v>
      </c>
      <c r="AJ19" s="47">
        <f t="shared" si="9"/>
        <v>23.144259586584557</v>
      </c>
      <c r="AK19" s="47">
        <f t="shared" si="19"/>
        <v>0</v>
      </c>
    </row>
    <row r="20" spans="1:37" ht="13.5" x14ac:dyDescent="0.25">
      <c r="A20" s="11">
        <v>14</v>
      </c>
      <c r="B20" s="12"/>
      <c r="H20" s="6">
        <f t="shared" si="10"/>
        <v>17</v>
      </c>
      <c r="I20" s="44">
        <f t="shared" si="11"/>
        <v>1.4384999999999999E-3</v>
      </c>
      <c r="J20" s="21">
        <f t="shared" si="1"/>
        <v>0.1</v>
      </c>
      <c r="K20" s="7">
        <f t="shared" si="12"/>
        <v>0.18257945727044131</v>
      </c>
      <c r="L20" s="22">
        <f t="shared" si="13"/>
        <v>2.6264054928352981E-4</v>
      </c>
      <c r="M20" s="22">
        <f t="shared" si="14"/>
        <v>1.8231681672115779E-2</v>
      </c>
      <c r="N20" s="7">
        <f t="shared" si="2"/>
        <v>0.16408513504904201</v>
      </c>
      <c r="Q20" s="6">
        <f t="shared" si="20"/>
        <v>17</v>
      </c>
      <c r="R20" s="39">
        <f t="shared" si="20"/>
        <v>46</v>
      </c>
      <c r="S20" s="39">
        <f t="shared" si="21"/>
        <v>725000</v>
      </c>
      <c r="V20" s="6">
        <f t="shared" si="22"/>
        <v>17</v>
      </c>
      <c r="W20" s="23">
        <f t="shared" si="3"/>
        <v>200.83740299748544</v>
      </c>
      <c r="X20" s="46">
        <f t="shared" si="15"/>
        <v>23.704538053585104</v>
      </c>
      <c r="Y20" s="23">
        <f t="shared" si="16"/>
        <v>0.36054919163357613</v>
      </c>
      <c r="Z20" s="23">
        <f t="shared" si="17"/>
        <v>190.4143982305591</v>
      </c>
      <c r="AA20" s="23">
        <f t="shared" si="18"/>
        <v>-13.642082478292338</v>
      </c>
      <c r="AB20" s="23">
        <f t="shared" si="5"/>
        <v>7.085314597756013</v>
      </c>
      <c r="AC20" s="46">
        <f t="shared" si="0"/>
        <v>629.70580082403501</v>
      </c>
      <c r="AD20" s="46">
        <f t="shared" si="6"/>
        <v>24.471637257868124</v>
      </c>
      <c r="AE20" s="23">
        <f t="shared" si="7"/>
        <v>-1.1102230246251565E-13</v>
      </c>
      <c r="AI20" s="47">
        <f t="shared" si="8"/>
        <v>611.7909314467031</v>
      </c>
      <c r="AJ20" s="47">
        <f t="shared" si="9"/>
        <v>24.471637257868124</v>
      </c>
      <c r="AK20" s="47">
        <f t="shared" si="19"/>
        <v>-1.1013412404281553E-13</v>
      </c>
    </row>
    <row r="21" spans="1:37" ht="13.5" x14ac:dyDescent="0.25">
      <c r="A21" s="11">
        <v>15</v>
      </c>
      <c r="B21" s="29">
        <v>4.0999999999999999E-4</v>
      </c>
      <c r="D21" s="3" t="s">
        <v>2</v>
      </c>
      <c r="E21" s="36">
        <v>30</v>
      </c>
      <c r="H21" s="6">
        <f t="shared" si="10"/>
        <v>18</v>
      </c>
      <c r="I21" s="44">
        <f t="shared" si="11"/>
        <v>1.575E-3</v>
      </c>
      <c r="J21" s="21">
        <f t="shared" si="1"/>
        <v>0.1</v>
      </c>
      <c r="K21" s="7">
        <f t="shared" si="12"/>
        <v>0.16408513504904201</v>
      </c>
      <c r="L21" s="22">
        <f t="shared" si="13"/>
        <v>2.5843408770224118E-4</v>
      </c>
      <c r="M21" s="22">
        <f t="shared" si="14"/>
        <v>1.6382670096133978E-2</v>
      </c>
      <c r="N21" s="7">
        <f t="shared" si="2"/>
        <v>0.1474440308652058</v>
      </c>
      <c r="Q21" s="6">
        <f t="shared" si="20"/>
        <v>18</v>
      </c>
      <c r="R21" s="39">
        <f t="shared" si="20"/>
        <v>47</v>
      </c>
      <c r="S21" s="39">
        <f t="shared" si="21"/>
        <v>725000</v>
      </c>
      <c r="V21" s="6">
        <f t="shared" si="22"/>
        <v>18</v>
      </c>
      <c r="W21" s="23">
        <f t="shared" si="3"/>
        <v>180.4936485539462</v>
      </c>
      <c r="X21" s="46">
        <f t="shared" si="15"/>
        <v>21.529810268346836</v>
      </c>
      <c r="Y21" s="23">
        <f t="shared" si="16"/>
        <v>0.36187011373188566</v>
      </c>
      <c r="Z21" s="23">
        <f t="shared" si="17"/>
        <v>187.36471358412484</v>
      </c>
      <c r="AA21" s="23">
        <f t="shared" si="18"/>
        <v>-28.762745412257374</v>
      </c>
      <c r="AB21" s="23">
        <f t="shared" si="5"/>
        <v>6.3585535314239747</v>
      </c>
      <c r="AC21" s="46">
        <f t="shared" si="0"/>
        <v>632.4898409761629</v>
      </c>
      <c r="AD21" s="46">
        <f t="shared" si="6"/>
        <v>25.188232032961402</v>
      </c>
      <c r="AE21" s="23">
        <f t="shared" si="7"/>
        <v>1.1635137298071641E-13</v>
      </c>
      <c r="AI21" s="47">
        <f t="shared" si="8"/>
        <v>629.70580082403501</v>
      </c>
      <c r="AJ21" s="47">
        <f t="shared" si="9"/>
        <v>25.188232032961402</v>
      </c>
      <c r="AK21" s="47">
        <f t="shared" si="19"/>
        <v>1.1723955140041653E-13</v>
      </c>
    </row>
    <row r="22" spans="1:37" ht="13.5" x14ac:dyDescent="0.25">
      <c r="A22" s="11">
        <v>16</v>
      </c>
      <c r="B22" s="29">
        <v>5.1999999999999995E-4</v>
      </c>
      <c r="H22" s="6">
        <f t="shared" si="10"/>
        <v>19</v>
      </c>
      <c r="I22" s="44">
        <f t="shared" si="11"/>
        <v>1.7325000000000001E-3</v>
      </c>
      <c r="J22" s="21">
        <f t="shared" si="1"/>
        <v>0.1</v>
      </c>
      <c r="K22" s="7">
        <f t="shared" si="12"/>
        <v>0.1474440308652058</v>
      </c>
      <c r="L22" s="22">
        <f t="shared" si="13"/>
        <v>2.5544678347396907E-4</v>
      </c>
      <c r="M22" s="22">
        <f t="shared" si="14"/>
        <v>1.4718858408173184E-2</v>
      </c>
      <c r="N22" s="7">
        <f t="shared" si="2"/>
        <v>0.13246972567355864</v>
      </c>
      <c r="Q22" s="6">
        <f t="shared" si="20"/>
        <v>19</v>
      </c>
      <c r="R22" s="39">
        <f t="shared" si="20"/>
        <v>48</v>
      </c>
      <c r="S22" s="39">
        <f t="shared" si="21"/>
        <v>725000</v>
      </c>
      <c r="V22" s="6">
        <f t="shared" si="22"/>
        <v>19</v>
      </c>
      <c r="W22" s="23">
        <f t="shared" si="3"/>
        <v>162.18843395172638</v>
      </c>
      <c r="X22" s="46">
        <f t="shared" si="15"/>
        <v>19.554001618234828</v>
      </c>
      <c r="Y22" s="23">
        <f t="shared" si="16"/>
        <v>0.36484090995212498</v>
      </c>
      <c r="Z22" s="23">
        <f t="shared" si="17"/>
        <v>185.19891801862758</v>
      </c>
      <c r="AA22" s="23">
        <f t="shared" si="18"/>
        <v>-42.929326595088156</v>
      </c>
      <c r="AB22" s="23">
        <f t="shared" si="5"/>
        <v>5.7053772933396623</v>
      </c>
      <c r="AC22" s="46">
        <f t="shared" si="0"/>
        <v>620.56548531346095</v>
      </c>
      <c r="AD22" s="46">
        <f t="shared" si="6"/>
        <v>25.299593639046517</v>
      </c>
      <c r="AE22" s="23">
        <f t="shared" si="7"/>
        <v>-3.5527136788005009E-14</v>
      </c>
      <c r="AI22" s="47">
        <f t="shared" si="8"/>
        <v>632.4898409761629</v>
      </c>
      <c r="AJ22" s="47">
        <f t="shared" si="9"/>
        <v>25.299593639046517</v>
      </c>
      <c r="AK22" s="47">
        <f t="shared" si="19"/>
        <v>-3.1974423109204508E-14</v>
      </c>
    </row>
    <row r="23" spans="1:37" ht="13.5" x14ac:dyDescent="0.25">
      <c r="A23" s="11">
        <v>17</v>
      </c>
      <c r="B23" s="29">
        <v>6.2E-4</v>
      </c>
      <c r="D23" s="3" t="s">
        <v>33</v>
      </c>
      <c r="E23" s="42">
        <v>0.1</v>
      </c>
      <c r="H23" s="6">
        <f t="shared" si="10"/>
        <v>20</v>
      </c>
      <c r="I23" s="44">
        <f t="shared" si="11"/>
        <v>1.9215E-3</v>
      </c>
      <c r="J23" s="21">
        <f t="shared" si="1"/>
        <v>0.1</v>
      </c>
      <c r="K23" s="7">
        <f t="shared" si="12"/>
        <v>0.13246972567355864</v>
      </c>
      <c r="L23" s="22">
        <f t="shared" si="13"/>
        <v>2.5454057788174293E-4</v>
      </c>
      <c r="M23" s="22">
        <f t="shared" si="14"/>
        <v>1.322151850956769E-2</v>
      </c>
      <c r="N23" s="7">
        <f t="shared" si="2"/>
        <v>0.1189936665861092</v>
      </c>
      <c r="Q23" s="6">
        <f t="shared" si="20"/>
        <v>20</v>
      </c>
      <c r="R23" s="39">
        <f t="shared" si="20"/>
        <v>49</v>
      </c>
      <c r="S23" s="39">
        <f t="shared" si="21"/>
        <v>725000</v>
      </c>
      <c r="V23" s="6">
        <f t="shared" si="22"/>
        <v>20</v>
      </c>
      <c r="W23" s="23">
        <f t="shared" si="3"/>
        <v>145.7166982409145</v>
      </c>
      <c r="X23" s="46">
        <f t="shared" si="15"/>
        <v>17.758590516732955</v>
      </c>
      <c r="Y23" s="23">
        <f t="shared" si="16"/>
        <v>0.37081755771980518</v>
      </c>
      <c r="Z23" s="23">
        <f t="shared" si="17"/>
        <v>184.54191896426363</v>
      </c>
      <c r="AA23" s="23">
        <f t="shared" si="18"/>
        <v>-56.954628797801888</v>
      </c>
      <c r="AB23" s="23">
        <f t="shared" si="5"/>
        <v>5.1183243089672619</v>
      </c>
      <c r="AC23" s="46">
        <f t="shared" si="0"/>
        <v>593.5518002371648</v>
      </c>
      <c r="AD23" s="46">
        <f t="shared" si="6"/>
        <v>24.82261941253844</v>
      </c>
      <c r="AE23" s="23">
        <f t="shared" si="7"/>
        <v>-3.0198066269804258E-14</v>
      </c>
      <c r="AI23" s="47">
        <f t="shared" si="8"/>
        <v>620.56548531346095</v>
      </c>
      <c r="AJ23" s="47">
        <f t="shared" si="9"/>
        <v>24.82261941253844</v>
      </c>
      <c r="AK23" s="47">
        <f t="shared" si="19"/>
        <v>-3.1974423109204508E-14</v>
      </c>
    </row>
    <row r="24" spans="1:37" ht="13.5" x14ac:dyDescent="0.25">
      <c r="A24" s="11">
        <v>18</v>
      </c>
      <c r="B24" s="29">
        <v>6.9999999999999999E-4</v>
      </c>
      <c r="H24" s="6">
        <f t="shared" si="10"/>
        <v>21</v>
      </c>
      <c r="I24" s="44">
        <f t="shared" si="11"/>
        <v>2.1315000000000001E-3</v>
      </c>
      <c r="J24" s="21">
        <f t="shared" si="1"/>
        <v>0.1</v>
      </c>
      <c r="K24" s="7">
        <f t="shared" si="12"/>
        <v>0.1189936665861092</v>
      </c>
      <c r="L24" s="22">
        <f t="shared" si="13"/>
        <v>2.536350003282918E-4</v>
      </c>
      <c r="M24" s="22">
        <f t="shared" si="14"/>
        <v>1.1874003158578091E-2</v>
      </c>
      <c r="N24" s="7">
        <f t="shared" si="2"/>
        <v>0.10686602842720282</v>
      </c>
      <c r="Q24" s="6">
        <f t="shared" si="20"/>
        <v>21</v>
      </c>
      <c r="R24" s="39">
        <f t="shared" si="20"/>
        <v>50</v>
      </c>
      <c r="S24" s="39">
        <f t="shared" si="21"/>
        <v>725000</v>
      </c>
      <c r="V24" s="6">
        <f t="shared" si="22"/>
        <v>21</v>
      </c>
      <c r="W24" s="23">
        <f t="shared" si="3"/>
        <v>130.89303324472013</v>
      </c>
      <c r="X24" s="46">
        <f t="shared" si="15"/>
        <v>16.126751362122999</v>
      </c>
      <c r="Y24" s="23">
        <f t="shared" si="16"/>
        <v>0.37688826826679417</v>
      </c>
      <c r="Z24" s="23">
        <f t="shared" si="17"/>
        <v>183.88537523801156</v>
      </c>
      <c r="AA24" s="23">
        <f t="shared" si="18"/>
        <v>-69.495981623681232</v>
      </c>
      <c r="AB24" s="23">
        <f t="shared" si="5"/>
        <v>4.5906512753038848</v>
      </c>
      <c r="AC24" s="46">
        <f t="shared" si="0"/>
        <v>552.38854189827407</v>
      </c>
      <c r="AD24" s="46">
        <f t="shared" si="6"/>
        <v>23.742072009486591</v>
      </c>
      <c r="AE24" s="23">
        <f t="shared" si="7"/>
        <v>-2.7533531010703882E-14</v>
      </c>
      <c r="AI24" s="47">
        <f t="shared" si="8"/>
        <v>593.5518002371648</v>
      </c>
      <c r="AJ24" s="47">
        <f t="shared" si="9"/>
        <v>23.742072009486591</v>
      </c>
      <c r="AK24" s="47">
        <f t="shared" si="19"/>
        <v>-2.8421709430404007E-14</v>
      </c>
    </row>
    <row r="25" spans="1:37" ht="13.5" x14ac:dyDescent="0.25">
      <c r="A25" s="11">
        <v>19</v>
      </c>
      <c r="B25" s="29">
        <v>7.7999999999999999E-4</v>
      </c>
      <c r="D25" s="2" t="s">
        <v>36</v>
      </c>
      <c r="E25" s="43">
        <v>0.05</v>
      </c>
      <c r="H25" s="6">
        <f t="shared" si="10"/>
        <v>22</v>
      </c>
      <c r="I25" s="44">
        <f t="shared" si="11"/>
        <v>2.3730000000000001E-3</v>
      </c>
      <c r="J25" s="21">
        <f t="shared" si="1"/>
        <v>0.1</v>
      </c>
      <c r="K25" s="7">
        <f t="shared" si="12"/>
        <v>0.10686602842720282</v>
      </c>
      <c r="L25" s="22">
        <f t="shared" si="13"/>
        <v>2.5359308545775229E-4</v>
      </c>
      <c r="M25" s="22">
        <f t="shared" si="14"/>
        <v>1.0661243534174508E-2</v>
      </c>
      <c r="N25" s="7">
        <f t="shared" si="2"/>
        <v>9.5951191807570557E-2</v>
      </c>
      <c r="Q25" s="6">
        <f t="shared" si="20"/>
        <v>22</v>
      </c>
      <c r="R25" s="39">
        <f t="shared" si="20"/>
        <v>51</v>
      </c>
      <c r="S25" s="39">
        <f t="shared" si="21"/>
        <v>680000</v>
      </c>
      <c r="V25" s="6">
        <f t="shared" si="22"/>
        <v>22</v>
      </c>
      <c r="W25" s="23">
        <f t="shared" si="3"/>
        <v>117.5526312699231</v>
      </c>
      <c r="X25" s="46">
        <f t="shared" si="15"/>
        <v>14.643313791893497</v>
      </c>
      <c r="Y25" s="23">
        <f t="shared" si="16"/>
        <v>0.38436250467354455</v>
      </c>
      <c r="Z25" s="23">
        <f t="shared" si="17"/>
        <v>172.44329811127156</v>
      </c>
      <c r="AA25" s="23">
        <f t="shared" si="18"/>
        <v>-69.9183431379155</v>
      </c>
      <c r="AB25" s="23">
        <f t="shared" si="5"/>
        <v>4.1163726991211842</v>
      </c>
      <c r="AC25" s="46">
        <f t="shared" si="0"/>
        <v>508.68211313541065</v>
      </c>
      <c r="AD25" s="46">
        <f t="shared" si="6"/>
        <v>22.095541675930964</v>
      </c>
      <c r="AE25" s="23">
        <f t="shared" si="7"/>
        <v>7.2830630415410269E-14</v>
      </c>
      <c r="AI25" s="47">
        <f t="shared" si="8"/>
        <v>552.38854189827407</v>
      </c>
      <c r="AJ25" s="47">
        <f t="shared" si="9"/>
        <v>22.095541675930964</v>
      </c>
      <c r="AK25" s="47">
        <f t="shared" si="19"/>
        <v>7.460698725481052E-14</v>
      </c>
    </row>
    <row r="26" spans="1:37" ht="13.5" x14ac:dyDescent="0.25">
      <c r="A26" s="11">
        <v>20</v>
      </c>
      <c r="B26" s="29">
        <v>8.3000000000000001E-4</v>
      </c>
      <c r="H26" s="6">
        <f t="shared" si="10"/>
        <v>23</v>
      </c>
      <c r="I26" s="44">
        <f t="shared" si="11"/>
        <v>2.6460000000000003E-3</v>
      </c>
      <c r="J26" s="21">
        <f t="shared" si="1"/>
        <v>0.1</v>
      </c>
      <c r="K26" s="7">
        <f t="shared" si="12"/>
        <v>9.5951191807570557E-2</v>
      </c>
      <c r="L26" s="22">
        <f t="shared" si="13"/>
        <v>2.5388685352283172E-4</v>
      </c>
      <c r="M26" s="22">
        <f t="shared" si="14"/>
        <v>9.569730495404773E-3</v>
      </c>
      <c r="N26" s="7">
        <f t="shared" si="2"/>
        <v>8.6127574458642955E-2</v>
      </c>
      <c r="Q26" s="6">
        <f t="shared" si="20"/>
        <v>23</v>
      </c>
      <c r="R26" s="39">
        <f t="shared" si="20"/>
        <v>52</v>
      </c>
      <c r="S26" s="39">
        <f t="shared" si="21"/>
        <v>635000</v>
      </c>
      <c r="V26" s="6">
        <f t="shared" si="22"/>
        <v>23</v>
      </c>
      <c r="W26" s="23">
        <f t="shared" si="3"/>
        <v>105.54631098832762</v>
      </c>
      <c r="X26" s="46">
        <f t="shared" si="15"/>
        <v>13.294561159557215</v>
      </c>
      <c r="Y26" s="23">
        <f t="shared" si="16"/>
        <v>0.39250391422355135</v>
      </c>
      <c r="Z26" s="23">
        <f t="shared" si="17"/>
        <v>161.21815198699815</v>
      </c>
      <c r="AA26" s="23">
        <f t="shared" si="18"/>
        <v>-69.358906072451305</v>
      </c>
      <c r="AB26" s="23">
        <f t="shared" si="5"/>
        <v>3.6900699931508161</v>
      </c>
      <c r="AC26" s="46">
        <f t="shared" si="0"/>
        <v>463.36056158152655</v>
      </c>
      <c r="AD26" s="46">
        <f t="shared" si="6"/>
        <v>20.347284525416427</v>
      </c>
      <c r="AE26" s="23">
        <f t="shared" si="7"/>
        <v>3.0198066269804258E-14</v>
      </c>
      <c r="AI26" s="47">
        <f t="shared" si="8"/>
        <v>508.68211313541065</v>
      </c>
      <c r="AJ26" s="47">
        <f t="shared" si="9"/>
        <v>20.347284525416427</v>
      </c>
      <c r="AK26" s="47">
        <f t="shared" si="19"/>
        <v>2.8421709430404007E-14</v>
      </c>
    </row>
    <row r="27" spans="1:37" ht="13.5" x14ac:dyDescent="0.25">
      <c r="A27" s="11">
        <v>21</v>
      </c>
      <c r="B27" s="29">
        <v>8.7000000000000001E-4</v>
      </c>
      <c r="D27" s="2" t="s">
        <v>37</v>
      </c>
      <c r="E27" s="45">
        <f>0.03*E17</f>
        <v>15000</v>
      </c>
      <c r="H27" s="6">
        <f t="shared" si="10"/>
        <v>24</v>
      </c>
      <c r="I27" s="44">
        <f t="shared" si="11"/>
        <v>2.9610000000000001E-3</v>
      </c>
      <c r="J27" s="21">
        <f t="shared" si="1"/>
        <v>0.1</v>
      </c>
      <c r="K27" s="7">
        <f t="shared" si="12"/>
        <v>8.6127574458642955E-2</v>
      </c>
      <c r="L27" s="22">
        <f t="shared" si="13"/>
        <v>2.5502374797204178E-4</v>
      </c>
      <c r="M27" s="22">
        <f t="shared" si="14"/>
        <v>8.5872550710670917E-3</v>
      </c>
      <c r="N27" s="7">
        <f t="shared" si="2"/>
        <v>7.7285295639603818E-2</v>
      </c>
      <c r="Q27" s="6">
        <f t="shared" si="20"/>
        <v>24</v>
      </c>
      <c r="R27" s="39">
        <f t="shared" si="20"/>
        <v>53</v>
      </c>
      <c r="S27" s="39">
        <f t="shared" si="21"/>
        <v>590000</v>
      </c>
      <c r="V27" s="6">
        <f t="shared" si="22"/>
        <v>24</v>
      </c>
      <c r="W27" s="23">
        <f t="shared" si="3"/>
        <v>94.740331904507258</v>
      </c>
      <c r="X27" s="46">
        <f t="shared" si="15"/>
        <v>12.068040988937572</v>
      </c>
      <c r="Y27" s="23">
        <f t="shared" si="16"/>
        <v>0.402146760528445</v>
      </c>
      <c r="Z27" s="23">
        <f t="shared" si="17"/>
        <v>150.46401130350466</v>
      </c>
      <c r="AA27" s="23">
        <f t="shared" si="18"/>
        <v>-68.193867148463411</v>
      </c>
      <c r="AB27" s="23">
        <f t="shared" si="5"/>
        <v>3.3068916366227876</v>
      </c>
      <c r="AC27" s="46">
        <f t="shared" si="0"/>
        <v>417.00800853294703</v>
      </c>
      <c r="AD27" s="46">
        <f t="shared" si="6"/>
        <v>18.534422463261063</v>
      </c>
      <c r="AE27" s="23">
        <f t="shared" si="7"/>
        <v>-3.8191672047105385E-14</v>
      </c>
      <c r="AI27" s="47">
        <f t="shared" si="8"/>
        <v>463.36056158152655</v>
      </c>
      <c r="AJ27" s="47">
        <f t="shared" si="9"/>
        <v>18.534422463261063</v>
      </c>
      <c r="AK27" s="47">
        <f t="shared" si="19"/>
        <v>-3.1974423109204508E-14</v>
      </c>
    </row>
    <row r="28" spans="1:37" ht="13.5" x14ac:dyDescent="0.25">
      <c r="A28" s="11">
        <v>22</v>
      </c>
      <c r="B28" s="29">
        <v>8.8999999999999995E-4</v>
      </c>
      <c r="D28" s="2" t="s">
        <v>38</v>
      </c>
      <c r="E28" s="45">
        <f>0.09*E17</f>
        <v>45000</v>
      </c>
      <c r="H28" s="6">
        <f t="shared" si="10"/>
        <v>25</v>
      </c>
      <c r="I28" s="44">
        <f t="shared" si="11"/>
        <v>3.3075000000000001E-3</v>
      </c>
      <c r="J28" s="21">
        <f t="shared" si="1"/>
        <v>0.1</v>
      </c>
      <c r="K28" s="7">
        <f t="shared" si="12"/>
        <v>7.7285295639603818E-2</v>
      </c>
      <c r="L28" s="22">
        <f t="shared" si="13"/>
        <v>2.5562111532798966E-4</v>
      </c>
      <c r="M28" s="22">
        <f t="shared" si="14"/>
        <v>7.702967452427583E-3</v>
      </c>
      <c r="N28" s="7">
        <f t="shared" si="2"/>
        <v>6.9326707071848237E-2</v>
      </c>
      <c r="Q28" s="6">
        <f t="shared" si="20"/>
        <v>25</v>
      </c>
      <c r="R28" s="39">
        <f t="shared" si="20"/>
        <v>54</v>
      </c>
      <c r="S28" s="39">
        <f t="shared" si="21"/>
        <v>545000</v>
      </c>
      <c r="V28" s="6">
        <f t="shared" si="22"/>
        <v>25</v>
      </c>
      <c r="W28" s="23">
        <f t="shared" si="3"/>
        <v>85.013825203564195</v>
      </c>
      <c r="X28" s="46">
        <f t="shared" si="15"/>
        <v>10.95244401239756</v>
      </c>
      <c r="Y28" s="23">
        <f t="shared" si="16"/>
        <v>0.41115052364594096</v>
      </c>
      <c r="Z28" s="23">
        <f t="shared" si="17"/>
        <v>139.31350785375437</v>
      </c>
      <c r="AA28" s="23">
        <f t="shared" si="18"/>
        <v>-65.663277186233685</v>
      </c>
      <c r="AB28" s="23">
        <f t="shared" si="5"/>
        <v>2.9624552476466652</v>
      </c>
      <c r="AC28" s="46">
        <f t="shared" si="0"/>
        <v>370.98750693567791</v>
      </c>
      <c r="AD28" s="46">
        <f t="shared" si="6"/>
        <v>16.680320341317881</v>
      </c>
      <c r="AE28" s="23">
        <f t="shared" si="7"/>
        <v>-2.2204460492503131E-14</v>
      </c>
      <c r="AI28" s="47">
        <f t="shared" si="8"/>
        <v>417.00800853294703</v>
      </c>
      <c r="AJ28" s="47">
        <f t="shared" si="9"/>
        <v>16.680320341317881</v>
      </c>
      <c r="AK28" s="47">
        <f t="shared" si="19"/>
        <v>0</v>
      </c>
    </row>
    <row r="29" spans="1:37" ht="13.5" x14ac:dyDescent="0.25">
      <c r="A29" s="11">
        <v>23</v>
      </c>
      <c r="B29" s="29">
        <v>8.9999999999999998E-4</v>
      </c>
      <c r="H29" s="6">
        <f t="shared" si="10"/>
        <v>26</v>
      </c>
      <c r="I29" s="44">
        <f t="shared" si="11"/>
        <v>3.6960000000000005E-3</v>
      </c>
      <c r="J29" s="21">
        <f t="shared" si="1"/>
        <v>0.1</v>
      </c>
      <c r="K29" s="7">
        <f t="shared" si="12"/>
        <v>6.9326707071848237E-2</v>
      </c>
      <c r="L29" s="22">
        <f t="shared" si="13"/>
        <v>2.5623150933755113E-4</v>
      </c>
      <c r="M29" s="22">
        <f t="shared" si="14"/>
        <v>6.907047556251069E-3</v>
      </c>
      <c r="N29" s="7">
        <f t="shared" si="2"/>
        <v>6.2163428006259611E-2</v>
      </c>
      <c r="Q29" s="6">
        <f t="shared" si="20"/>
        <v>26</v>
      </c>
      <c r="R29" s="39">
        <f t="shared" si="20"/>
        <v>55</v>
      </c>
      <c r="S29" s="39">
        <f t="shared" si="21"/>
        <v>500000</v>
      </c>
      <c r="V29" s="6">
        <f t="shared" si="22"/>
        <v>26</v>
      </c>
      <c r="W29" s="23">
        <f t="shared" si="3"/>
        <v>76.259377779033059</v>
      </c>
      <c r="X29" s="46">
        <f t="shared" si="15"/>
        <v>9.9375818201069386</v>
      </c>
      <c r="Y29" s="23">
        <f t="shared" si="16"/>
        <v>0.42037495018993171</v>
      </c>
      <c r="Z29" s="23">
        <f t="shared" si="17"/>
        <v>128.11575466877557</v>
      </c>
      <c r="AA29" s="23">
        <f t="shared" si="18"/>
        <v>-62.214333660039387</v>
      </c>
      <c r="AB29" s="23">
        <f t="shared" si="5"/>
        <v>2.6528718383570449</v>
      </c>
      <c r="AC29" s="46">
        <f t="shared" si="0"/>
        <v>326.26554539142279</v>
      </c>
      <c r="AD29" s="46">
        <f t="shared" si="6"/>
        <v>14.839500277427117</v>
      </c>
      <c r="AE29" s="23">
        <f t="shared" si="7"/>
        <v>-1.0169642905566434E-13</v>
      </c>
      <c r="AI29" s="47">
        <f t="shared" si="8"/>
        <v>370.98750693567791</v>
      </c>
      <c r="AJ29" s="47">
        <f t="shared" si="9"/>
        <v>14.839500277427117</v>
      </c>
      <c r="AK29" s="47">
        <f t="shared" si="19"/>
        <v>-1.0302869668521453E-13</v>
      </c>
    </row>
    <row r="30" spans="1:37" ht="13.5" x14ac:dyDescent="0.25">
      <c r="A30" s="13">
        <v>24</v>
      </c>
      <c r="B30" s="30">
        <v>8.9999999999999998E-4</v>
      </c>
      <c r="H30" s="6">
        <f t="shared" si="10"/>
        <v>27</v>
      </c>
      <c r="I30" s="44">
        <f t="shared" si="11"/>
        <v>4.1265000000000008E-3</v>
      </c>
      <c r="J30" s="21">
        <f t="shared" si="1"/>
        <v>0.1</v>
      </c>
      <c r="K30" s="7">
        <f t="shared" si="12"/>
        <v>6.2163428006259611E-2</v>
      </c>
      <c r="L30" s="22">
        <f t="shared" si="13"/>
        <v>2.5651738566783035E-4</v>
      </c>
      <c r="M30" s="22">
        <f t="shared" si="14"/>
        <v>6.1906910620591789E-3</v>
      </c>
      <c r="N30" s="7">
        <f t="shared" si="2"/>
        <v>5.5716219558532606E-2</v>
      </c>
      <c r="Q30" s="6">
        <f t="shared" si="20"/>
        <v>27</v>
      </c>
      <c r="R30" s="39">
        <f t="shared" si="20"/>
        <v>56</v>
      </c>
      <c r="S30" s="39">
        <f t="shared" si="21"/>
        <v>455000</v>
      </c>
      <c r="V30" s="6">
        <f t="shared" si="22"/>
        <v>27</v>
      </c>
      <c r="W30" s="23">
        <f t="shared" si="3"/>
        <v>68.379770806885574</v>
      </c>
      <c r="X30" s="46">
        <f t="shared" si="15"/>
        <v>9.0142392127525088</v>
      </c>
      <c r="Y30" s="23">
        <f t="shared" si="16"/>
        <v>0.42926083982328467</v>
      </c>
      <c r="Z30" s="23">
        <f t="shared" si="17"/>
        <v>116.71541047886281</v>
      </c>
      <c r="AA30" s="23">
        <f t="shared" si="18"/>
        <v>-57.779139724553026</v>
      </c>
      <c r="AB30" s="23">
        <f t="shared" si="5"/>
        <v>2.3746212637653228</v>
      </c>
      <c r="AC30" s="46">
        <f t="shared" si="0"/>
        <v>283.91164874629209</v>
      </c>
      <c r="AD30" s="46">
        <f t="shared" si="6"/>
        <v>13.050621815656912</v>
      </c>
      <c r="AE30" s="23">
        <f t="shared" si="7"/>
        <v>-8.7929663550312398E-14</v>
      </c>
      <c r="AI30" s="47">
        <f t="shared" si="8"/>
        <v>326.26554539142279</v>
      </c>
      <c r="AJ30" s="47">
        <f t="shared" si="9"/>
        <v>13.050621815656912</v>
      </c>
      <c r="AK30" s="47">
        <f t="shared" si="19"/>
        <v>-9.0594198809412774E-14</v>
      </c>
    </row>
    <row r="31" spans="1:37" ht="13.5" x14ac:dyDescent="0.25">
      <c r="A31" s="14">
        <v>25</v>
      </c>
      <c r="B31" s="31">
        <v>8.8999999999999995E-4</v>
      </c>
      <c r="H31" s="6">
        <f t="shared" si="10"/>
        <v>28</v>
      </c>
      <c r="I31" s="44">
        <f t="shared" si="11"/>
        <v>4.6094999999999999E-3</v>
      </c>
      <c r="J31" s="21">
        <f t="shared" si="1"/>
        <v>0.1</v>
      </c>
      <c r="K31" s="7">
        <f t="shared" si="12"/>
        <v>5.5716219558532606E-2</v>
      </c>
      <c r="L31" s="22">
        <f t="shared" si="13"/>
        <v>2.5682391405505603E-4</v>
      </c>
      <c r="M31" s="22">
        <f t="shared" si="14"/>
        <v>5.5459395644477556E-3</v>
      </c>
      <c r="N31" s="7">
        <f t="shared" si="2"/>
        <v>4.9913456080029797E-2</v>
      </c>
      <c r="Q31" s="6">
        <f t="shared" si="20"/>
        <v>28</v>
      </c>
      <c r="R31" s="39">
        <f t="shared" si="20"/>
        <v>57</v>
      </c>
      <c r="S31" s="39">
        <f t="shared" si="21"/>
        <v>410000</v>
      </c>
      <c r="V31" s="6">
        <f t="shared" si="22"/>
        <v>28</v>
      </c>
      <c r="W31" s="23">
        <f t="shared" si="3"/>
        <v>61.287841514385867</v>
      </c>
      <c r="X31" s="46">
        <f t="shared" si="15"/>
        <v>8.1740516250455748</v>
      </c>
      <c r="Y31" s="23">
        <f t="shared" si="16"/>
        <v>0.43836926577861246</v>
      </c>
      <c r="Z31" s="23">
        <f t="shared" si="17"/>
        <v>105.29780476257297</v>
      </c>
      <c r="AA31" s="23">
        <f t="shared" si="18"/>
        <v>-52.622384139011281</v>
      </c>
      <c r="AB31" s="23">
        <f t="shared" si="5"/>
        <v>2.1245515955736121</v>
      </c>
      <c r="AC31" s="46">
        <f t="shared" si="0"/>
        <v>244.7702821527061</v>
      </c>
      <c r="AD31" s="46">
        <f t="shared" si="6"/>
        <v>11.356465949851684</v>
      </c>
      <c r="AE31" s="23">
        <f t="shared" si="7"/>
        <v>0</v>
      </c>
      <c r="AI31" s="47">
        <f t="shared" si="8"/>
        <v>283.91164874629209</v>
      </c>
      <c r="AJ31" s="47">
        <f t="shared" si="9"/>
        <v>11.356465949851684</v>
      </c>
      <c r="AK31" s="47">
        <f t="shared" si="19"/>
        <v>0</v>
      </c>
    </row>
    <row r="32" spans="1:37" ht="13.5" x14ac:dyDescent="0.25">
      <c r="A32" s="14">
        <v>26</v>
      </c>
      <c r="B32" s="31">
        <v>8.8000000000000003E-4</v>
      </c>
      <c r="H32" s="6">
        <f t="shared" si="10"/>
        <v>29</v>
      </c>
      <c r="I32" s="44">
        <f t="shared" si="11"/>
        <v>5.1555000000000004E-3</v>
      </c>
      <c r="J32" s="21">
        <f t="shared" si="1"/>
        <v>0.1</v>
      </c>
      <c r="K32" s="7">
        <f t="shared" si="12"/>
        <v>4.9913456080029797E-2</v>
      </c>
      <c r="L32" s="22">
        <f t="shared" si="13"/>
        <v>2.5732882282059364E-4</v>
      </c>
      <c r="M32" s="22">
        <f t="shared" si="14"/>
        <v>4.9656127257209212E-3</v>
      </c>
      <c r="N32" s="7">
        <f t="shared" si="2"/>
        <v>4.4690514531488285E-2</v>
      </c>
      <c r="Q32" s="6">
        <f t="shared" si="20"/>
        <v>29</v>
      </c>
      <c r="R32" s="39">
        <f t="shared" si="20"/>
        <v>58</v>
      </c>
      <c r="S32" s="39">
        <f t="shared" si="21"/>
        <v>365000</v>
      </c>
      <c r="V32" s="6">
        <f t="shared" si="22"/>
        <v>29</v>
      </c>
      <c r="W32" s="23">
        <f t="shared" si="3"/>
        <v>54.904801688032776</v>
      </c>
      <c r="X32" s="46">
        <f t="shared" si="15"/>
        <v>7.4094188381758457</v>
      </c>
      <c r="Y32" s="23">
        <f t="shared" si="16"/>
        <v>0.44801570947689506</v>
      </c>
      <c r="Z32" s="23">
        <f t="shared" si="17"/>
        <v>93.925020329516684</v>
      </c>
      <c r="AA32" s="23">
        <f t="shared" si="18"/>
        <v>-46.877653189136652</v>
      </c>
      <c r="AB32" s="23">
        <f t="shared" si="5"/>
        <v>1.8998153139942773</v>
      </c>
      <c r="AC32" s="46">
        <f t="shared" si="0"/>
        <v>209.58325556367194</v>
      </c>
      <c r="AD32" s="46">
        <f t="shared" si="6"/>
        <v>9.7908112861082444</v>
      </c>
      <c r="AE32" s="23">
        <f t="shared" si="7"/>
        <v>3.1308289294429414E-14</v>
      </c>
      <c r="AI32" s="47">
        <f t="shared" si="8"/>
        <v>244.7702821527061</v>
      </c>
      <c r="AJ32" s="47">
        <f t="shared" si="9"/>
        <v>9.7908112861082444</v>
      </c>
      <c r="AK32" s="47">
        <f t="shared" si="19"/>
        <v>2.8421709430404007E-14</v>
      </c>
    </row>
    <row r="33" spans="1:37" ht="13.5" x14ac:dyDescent="0.25">
      <c r="A33" s="14">
        <v>27</v>
      </c>
      <c r="B33" s="31">
        <v>8.5999999999999998E-4</v>
      </c>
      <c r="H33" s="6">
        <f t="shared" si="10"/>
        <v>30</v>
      </c>
      <c r="I33" s="44">
        <f t="shared" si="11"/>
        <v>5.7855000000000007E-3</v>
      </c>
      <c r="J33" s="21">
        <f t="shared" si="1"/>
        <v>0.1</v>
      </c>
      <c r="K33" s="7">
        <f t="shared" si="12"/>
        <v>4.4690514531488285E-2</v>
      </c>
      <c r="L33" s="22">
        <f t="shared" si="13"/>
        <v>2.5855697182192551E-4</v>
      </c>
      <c r="M33" s="22">
        <f t="shared" si="14"/>
        <v>4.4431957559666361E-3</v>
      </c>
      <c r="N33" s="7">
        <f t="shared" si="2"/>
        <v>3.9988761803699722E-2</v>
      </c>
      <c r="Q33" s="6">
        <f t="shared" si="20"/>
        <v>30</v>
      </c>
      <c r="R33" s="39">
        <f t="shared" si="20"/>
        <v>59</v>
      </c>
      <c r="S33" s="39">
        <f t="shared" si="21"/>
        <v>320000</v>
      </c>
      <c r="V33" s="6">
        <f t="shared" si="22"/>
        <v>30</v>
      </c>
      <c r="W33" s="23">
        <f t="shared" si="3"/>
        <v>49.159565984637112</v>
      </c>
      <c r="X33" s="46">
        <f t="shared" si="15"/>
        <v>6.7134107312717637</v>
      </c>
      <c r="Y33" s="23">
        <f t="shared" si="16"/>
        <v>0.45915702554934223</v>
      </c>
      <c r="Z33" s="23">
        <f t="shared" si="17"/>
        <v>82.738230983016166</v>
      </c>
      <c r="AA33" s="23">
        <f t="shared" si="18"/>
        <v>-40.751232755200164</v>
      </c>
      <c r="AB33" s="23">
        <f t="shared" si="5"/>
        <v>1.6978462101346139</v>
      </c>
      <c r="AC33" s="46">
        <f t="shared" si="0"/>
        <v>178.91319924115322</v>
      </c>
      <c r="AD33" s="46">
        <f t="shared" si="6"/>
        <v>8.3833302225468778</v>
      </c>
      <c r="AE33" s="23">
        <f t="shared" si="7"/>
        <v>4.6185277824406512E-14</v>
      </c>
      <c r="AI33" s="47">
        <f t="shared" si="8"/>
        <v>209.58325556367194</v>
      </c>
      <c r="AJ33" s="47">
        <f t="shared" si="9"/>
        <v>8.3833302225468778</v>
      </c>
      <c r="AK33" s="47">
        <f t="shared" si="19"/>
        <v>4.6185277824406512E-14</v>
      </c>
    </row>
    <row r="34" spans="1:37" ht="13.5" x14ac:dyDescent="0.25">
      <c r="A34" s="14">
        <v>28</v>
      </c>
      <c r="B34" s="31">
        <v>8.4000000000000003E-4</v>
      </c>
      <c r="H34" s="6">
        <f t="shared" si="10"/>
        <v>31</v>
      </c>
      <c r="I34" s="44">
        <f t="shared" si="11"/>
        <v>6.5100000000000002E-3</v>
      </c>
      <c r="J34" s="21">
        <f t="shared" si="1"/>
        <v>0.1</v>
      </c>
      <c r="K34" s="7">
        <f t="shared" si="12"/>
        <v>3.9988761803699722E-2</v>
      </c>
      <c r="L34" s="22">
        <f t="shared" si="13"/>
        <v>2.6032683934208522E-4</v>
      </c>
      <c r="M34" s="22">
        <f t="shared" si="14"/>
        <v>3.9728434964357634E-3</v>
      </c>
      <c r="N34" s="7">
        <f t="shared" si="2"/>
        <v>3.5755591467921871E-2</v>
      </c>
      <c r="Q34" s="6">
        <f t="shared" si="20"/>
        <v>31</v>
      </c>
      <c r="R34" s="39">
        <f t="shared" si="20"/>
        <v>60</v>
      </c>
      <c r="S34" s="39">
        <f t="shared" si="21"/>
        <v>275000</v>
      </c>
      <c r="V34" s="6">
        <f t="shared" si="22"/>
        <v>31</v>
      </c>
      <c r="W34" s="23">
        <f t="shared" si="3"/>
        <v>43.987637984069693</v>
      </c>
      <c r="X34" s="46">
        <f t="shared" si="15"/>
        <v>6.0796836455859165</v>
      </c>
      <c r="Y34" s="23">
        <f t="shared" si="16"/>
        <v>0.47154603609529872</v>
      </c>
      <c r="Z34" s="23">
        <f t="shared" si="17"/>
        <v>71.589880819073429</v>
      </c>
      <c r="AA34" s="23">
        <f t="shared" si="18"/>
        <v>-34.15347251668495</v>
      </c>
      <c r="AB34" s="23">
        <f t="shared" si="5"/>
        <v>1.5163181735393512</v>
      </c>
      <c r="AC34" s="46">
        <f t="shared" si="0"/>
        <v>153.43257286765376</v>
      </c>
      <c r="AD34" s="46">
        <f t="shared" si="6"/>
        <v>7.1565279696461293</v>
      </c>
      <c r="AE34" s="23">
        <f t="shared" si="7"/>
        <v>-7.7715611723760958E-15</v>
      </c>
      <c r="AI34" s="47">
        <f t="shared" si="8"/>
        <v>178.91319924115322</v>
      </c>
      <c r="AJ34" s="47">
        <f t="shared" si="9"/>
        <v>7.1565279696461293</v>
      </c>
      <c r="AK34" s="47">
        <f t="shared" si="19"/>
        <v>0</v>
      </c>
    </row>
    <row r="35" spans="1:37" ht="13.5" x14ac:dyDescent="0.25">
      <c r="A35" s="14">
        <v>29</v>
      </c>
      <c r="B35" s="31">
        <v>8.1999999999999998E-4</v>
      </c>
      <c r="H35" s="6">
        <f t="shared" si="10"/>
        <v>32</v>
      </c>
      <c r="I35" s="44">
        <f t="shared" si="11"/>
        <v>7.3500000000000006E-3</v>
      </c>
      <c r="J35" s="21">
        <f t="shared" si="1"/>
        <v>0.1</v>
      </c>
      <c r="K35" s="7">
        <f t="shared" si="12"/>
        <v>3.5755591467921871E-2</v>
      </c>
      <c r="L35" s="22">
        <f t="shared" si="13"/>
        <v>2.6280359728922577E-4</v>
      </c>
      <c r="M35" s="22">
        <f t="shared" si="14"/>
        <v>3.5492787870632647E-3</v>
      </c>
      <c r="N35" s="7">
        <f t="shared" si="2"/>
        <v>3.1943509083569382E-2</v>
      </c>
      <c r="Q35" s="6">
        <f t="shared" si="20"/>
        <v>32</v>
      </c>
      <c r="R35" s="39">
        <f t="shared" si="20"/>
        <v>61</v>
      </c>
      <c r="S35" s="39">
        <f t="shared" si="21"/>
        <v>230000</v>
      </c>
      <c r="V35" s="6">
        <f t="shared" si="22"/>
        <v>32</v>
      </c>
      <c r="W35" s="23">
        <f t="shared" si="3"/>
        <v>39.331150614714055</v>
      </c>
      <c r="X35" s="46">
        <f t="shared" si="15"/>
        <v>5.5024634440997371</v>
      </c>
      <c r="Y35" s="23">
        <f t="shared" si="16"/>
        <v>0.48555298709974914</v>
      </c>
      <c r="Z35" s="23">
        <f t="shared" si="17"/>
        <v>60.444827376521928</v>
      </c>
      <c r="AA35" s="23">
        <f t="shared" si="18"/>
        <v>-27.101693193007364</v>
      </c>
      <c r="AB35" s="23">
        <f t="shared" si="5"/>
        <v>1.3531474868245728</v>
      </c>
      <c r="AC35" s="46">
        <f t="shared" si="0"/>
        <v>133.82133007617716</v>
      </c>
      <c r="AD35" s="46">
        <f t="shared" si="6"/>
        <v>6.1373029147061509</v>
      </c>
      <c r="AE35" s="23">
        <f t="shared" si="7"/>
        <v>-4.1522341120980855E-14</v>
      </c>
      <c r="AI35" s="47">
        <f t="shared" si="8"/>
        <v>153.43257286765376</v>
      </c>
      <c r="AJ35" s="47">
        <f t="shared" si="9"/>
        <v>6.1373029147061509</v>
      </c>
      <c r="AK35" s="47">
        <f t="shared" si="19"/>
        <v>-4.2632564145606011E-14</v>
      </c>
    </row>
    <row r="36" spans="1:37" ht="13.5" x14ac:dyDescent="0.25">
      <c r="A36" s="14">
        <v>30</v>
      </c>
      <c r="B36" s="31">
        <v>8.0000000000000004E-4</v>
      </c>
      <c r="H36" s="6">
        <f t="shared" si="10"/>
        <v>33</v>
      </c>
      <c r="I36" s="44">
        <f t="shared" si="11"/>
        <v>8.3160000000000005E-3</v>
      </c>
      <c r="J36" s="21">
        <f t="shared" si="1"/>
        <v>0.1</v>
      </c>
      <c r="K36" s="7">
        <f t="shared" si="12"/>
        <v>3.1943509083569382E-2</v>
      </c>
      <c r="L36" s="22">
        <f t="shared" si="13"/>
        <v>2.6564222153896303E-4</v>
      </c>
      <c r="M36" s="22">
        <f t="shared" si="14"/>
        <v>3.167786686203042E-3</v>
      </c>
      <c r="N36" s="7">
        <f t="shared" si="2"/>
        <v>2.8510080175827377E-2</v>
      </c>
      <c r="Q36" s="6">
        <f t="shared" si="20"/>
        <v>33</v>
      </c>
      <c r="R36" s="39">
        <f t="shared" si="20"/>
        <v>62</v>
      </c>
      <c r="S36" s="39">
        <f t="shared" si="21"/>
        <v>185000</v>
      </c>
      <c r="V36" s="6">
        <f t="shared" si="22"/>
        <v>33</v>
      </c>
      <c r="W36" s="23"/>
      <c r="X36" s="46">
        <f t="shared" si="15"/>
        <v>4.9764995068425844</v>
      </c>
      <c r="Y36" s="23">
        <f t="shared" si="16"/>
        <v>0.5006135494660966</v>
      </c>
      <c r="Z36" s="23">
        <f t="shared" si="17"/>
        <v>49.143810984708161</v>
      </c>
      <c r="AA36" s="23">
        <f t="shared" si="18"/>
        <v>-54.620924041016842</v>
      </c>
      <c r="AB36" s="23">
        <f t="shared" si="5"/>
        <v>-0.19905998027370339</v>
      </c>
      <c r="AC36" s="46">
        <f t="shared" si="0"/>
        <v>84.354199257933743</v>
      </c>
      <c r="AD36" s="46">
        <f t="shared" si="6"/>
        <v>5.3528532030470863</v>
      </c>
      <c r="AE36" s="23">
        <f t="shared" si="7"/>
        <v>-4.0162317915815038E-14</v>
      </c>
      <c r="AI36" s="47">
        <f t="shared" si="8"/>
        <v>133.82133007617716</v>
      </c>
      <c r="AJ36" s="47">
        <f t="shared" si="9"/>
        <v>5.3528532030470863</v>
      </c>
      <c r="AK36" s="47">
        <f t="shared" si="19"/>
        <v>-3.907985046680551E-14</v>
      </c>
    </row>
    <row r="37" spans="1:37" ht="13.5" x14ac:dyDescent="0.25">
      <c r="A37" s="14">
        <v>31</v>
      </c>
      <c r="B37" s="31">
        <v>7.6999999999999996E-4</v>
      </c>
      <c r="H37" s="6">
        <f t="shared" si="10"/>
        <v>34</v>
      </c>
      <c r="I37" s="44">
        <f t="shared" si="11"/>
        <v>9.4185000000000015E-3</v>
      </c>
      <c r="J37" s="21">
        <f t="shared" si="1"/>
        <v>0.1</v>
      </c>
      <c r="K37" s="7">
        <f t="shared" si="12"/>
        <v>2.8510080175827377E-2</v>
      </c>
      <c r="L37" s="22">
        <f t="shared" si="13"/>
        <v>2.6852219013603017E-4</v>
      </c>
      <c r="M37" s="22">
        <f t="shared" si="14"/>
        <v>2.8241557985691349E-3</v>
      </c>
      <c r="N37" s="7">
        <f t="shared" si="2"/>
        <v>2.5417402187122212E-2</v>
      </c>
      <c r="Q37" s="6">
        <f t="shared" si="20"/>
        <v>34</v>
      </c>
      <c r="R37" s="39">
        <f t="shared" si="20"/>
        <v>63</v>
      </c>
      <c r="S37" s="39">
        <f t="shared" si="21"/>
        <v>140000</v>
      </c>
      <c r="V37" s="6">
        <f t="shared" si="22"/>
        <v>34</v>
      </c>
      <c r="W37" s="23"/>
      <c r="X37" s="46">
        <f t="shared" si="15"/>
        <v>2.7401485721456238</v>
      </c>
      <c r="Y37" s="23">
        <f t="shared" si="16"/>
        <v>0.51616178653507117</v>
      </c>
      <c r="Z37" s="23">
        <f t="shared" si="17"/>
        <v>37.593106619044221</v>
      </c>
      <c r="AA37" s="23">
        <f t="shared" si="18"/>
        <v>-40.849416977724914</v>
      </c>
      <c r="AB37" s="23">
        <f t="shared" si="5"/>
        <v>-0.10960594288582495</v>
      </c>
      <c r="AC37" s="46">
        <f t="shared" si="0"/>
        <v>46.769344307640353</v>
      </c>
      <c r="AD37" s="46">
        <f t="shared" si="6"/>
        <v>3.3741679703173499</v>
      </c>
      <c r="AE37" s="23">
        <f t="shared" si="7"/>
        <v>1.5265566588595902E-15</v>
      </c>
      <c r="AI37" s="47">
        <f t="shared" si="8"/>
        <v>84.354199257933743</v>
      </c>
      <c r="AJ37" s="47">
        <f t="shared" si="9"/>
        <v>3.3741679703173499</v>
      </c>
      <c r="AK37" s="47">
        <f t="shared" si="19"/>
        <v>0</v>
      </c>
    </row>
    <row r="38" spans="1:37" ht="13.5" x14ac:dyDescent="0.25">
      <c r="A38" s="14">
        <v>32</v>
      </c>
      <c r="B38" s="31">
        <v>7.5000000000000002E-4</v>
      </c>
      <c r="H38" s="6">
        <f t="shared" si="10"/>
        <v>35</v>
      </c>
      <c r="I38" s="44">
        <f t="shared" si="11"/>
        <v>1.06785E-2</v>
      </c>
      <c r="J38" s="21">
        <f t="shared" si="1"/>
        <v>0.1</v>
      </c>
      <c r="K38" s="7">
        <f t="shared" si="12"/>
        <v>2.5417402187122212E-2</v>
      </c>
      <c r="L38" s="22">
        <f t="shared" si="13"/>
        <v>2.7141972925518457E-4</v>
      </c>
      <c r="M38" s="22">
        <f t="shared" si="14"/>
        <v>2.5145982457867029E-3</v>
      </c>
      <c r="N38" s="7">
        <f t="shared" si="2"/>
        <v>2.2631384212080323E-2</v>
      </c>
      <c r="Q38" s="6">
        <f t="shared" si="20"/>
        <v>35</v>
      </c>
      <c r="R38" s="39">
        <f t="shared" si="20"/>
        <v>64</v>
      </c>
      <c r="S38" s="39">
        <f t="shared" si="21"/>
        <v>95000</v>
      </c>
      <c r="V38" s="6">
        <f t="shared" si="22"/>
        <v>35</v>
      </c>
      <c r="W38" s="23"/>
      <c r="X38" s="46">
        <f t="shared" si="15"/>
        <v>2.4917645632277226</v>
      </c>
      <c r="Y38" s="23">
        <f t="shared" si="16"/>
        <v>0.53216615776854481</v>
      </c>
      <c r="Z38" s="23">
        <f t="shared" si="17"/>
        <v>25.784874279242533</v>
      </c>
      <c r="AA38" s="23">
        <f t="shared" si="18"/>
        <v>-28.808805000238799</v>
      </c>
      <c r="AB38" s="23">
        <f t="shared" si="5"/>
        <v>-9.9670582529108903E-2</v>
      </c>
      <c r="AC38" s="46">
        <f t="shared" si="0"/>
        <v>19.731642497178058</v>
      </c>
      <c r="AD38" s="46">
        <f t="shared" si="6"/>
        <v>1.8707737723056141</v>
      </c>
      <c r="AE38" s="23">
        <f t="shared" si="7"/>
        <v>1.3045120539345589E-15</v>
      </c>
      <c r="AI38" s="47">
        <f t="shared" si="8"/>
        <v>46.769344307640353</v>
      </c>
      <c r="AJ38" s="47">
        <f t="shared" si="9"/>
        <v>1.8707737723056141</v>
      </c>
      <c r="AK38" s="47">
        <f t="shared" si="19"/>
        <v>2.886579864025407E-15</v>
      </c>
    </row>
    <row r="39" spans="1:37" ht="13.5" x14ac:dyDescent="0.25">
      <c r="A39" s="14">
        <v>33</v>
      </c>
      <c r="B39" s="31">
        <v>7.3999999999999999E-4</v>
      </c>
      <c r="H39" s="6">
        <f t="shared" si="10"/>
        <v>36</v>
      </c>
      <c r="I39" s="44">
        <f t="shared" si="11"/>
        <v>1.2106500000000001E-2</v>
      </c>
      <c r="J39" s="21">
        <f t="shared" si="1"/>
        <v>0.1</v>
      </c>
      <c r="K39" s="7">
        <f t="shared" si="12"/>
        <v>2.2631384212080323E-2</v>
      </c>
      <c r="L39" s="22">
        <f t="shared" si="13"/>
        <v>2.7398685296355047E-4</v>
      </c>
      <c r="M39" s="22">
        <f t="shared" si="14"/>
        <v>2.2357397359116771E-3</v>
      </c>
      <c r="N39" s="7">
        <f t="shared" si="2"/>
        <v>2.0121657623205096E-2</v>
      </c>
      <c r="Q39" s="6">
        <f t="shared" si="20"/>
        <v>36</v>
      </c>
      <c r="R39" s="39">
        <f t="shared" si="20"/>
        <v>65</v>
      </c>
      <c r="S39" s="39">
        <f t="shared" si="21"/>
        <v>50000</v>
      </c>
      <c r="V39" s="6">
        <f t="shared" si="22"/>
        <v>36</v>
      </c>
      <c r="W39" s="23"/>
      <c r="X39" s="46">
        <f t="shared" si="15"/>
        <v>2.2630134424014727</v>
      </c>
      <c r="Y39" s="23">
        <f t="shared" si="16"/>
        <v>0.54794344480866874</v>
      </c>
      <c r="Z39" s="23">
        <f t="shared" si="17"/>
        <v>13.699342648177524</v>
      </c>
      <c r="AA39" s="23">
        <f t="shared" si="18"/>
        <v>-16.510299535387666</v>
      </c>
      <c r="AB39" s="23">
        <f t="shared" si="5"/>
        <v>-9.0520537696058917E-2</v>
      </c>
      <c r="AC39" s="46">
        <f>(AC41+Z40+Y40)/(1+Discount_rate)+X40-W40</f>
        <v>3.9200881239814556</v>
      </c>
      <c r="AD39" s="46">
        <f t="shared" si="6"/>
        <v>0.78926569988712236</v>
      </c>
      <c r="AE39" s="23">
        <f t="shared" si="7"/>
        <v>-1.3045120539345589E-15</v>
      </c>
      <c r="AI39" s="47">
        <f t="shared" si="8"/>
        <v>19.731642497178058</v>
      </c>
      <c r="AJ39" s="47">
        <f t="shared" si="9"/>
        <v>0.78926569988712236</v>
      </c>
      <c r="AK39" s="47">
        <f t="shared" si="19"/>
        <v>0</v>
      </c>
    </row>
    <row r="40" spans="1:37" ht="13.5" x14ac:dyDescent="0.25">
      <c r="A40" s="14">
        <v>34</v>
      </c>
      <c r="B40" s="31">
        <v>7.3999999999999999E-4</v>
      </c>
      <c r="H40" s="6">
        <f t="shared" si="10"/>
        <v>37</v>
      </c>
      <c r="I40" s="44">
        <f t="shared" si="11"/>
        <v>1.3713000000000001E-2</v>
      </c>
      <c r="J40" s="21">
        <f t="shared" si="1"/>
        <v>0.1</v>
      </c>
      <c r="K40" s="7">
        <f t="shared" si="12"/>
        <v>2.0121657623205096E-2</v>
      </c>
      <c r="L40" s="22">
        <f t="shared" si="13"/>
        <v>2.759282909870115E-4</v>
      </c>
      <c r="M40" s="22">
        <f t="shared" si="14"/>
        <v>1.9845729332218088E-3</v>
      </c>
      <c r="N40" s="7">
        <f t="shared" si="2"/>
        <v>1.7861156398996277E-2</v>
      </c>
      <c r="Q40" s="6">
        <f t="shared" si="20"/>
        <v>37</v>
      </c>
      <c r="R40" s="39">
        <f t="shared" si="20"/>
        <v>66</v>
      </c>
      <c r="S40" s="39">
        <f t="shared" si="21"/>
        <v>5000</v>
      </c>
      <c r="V40" s="6">
        <f t="shared" si="22"/>
        <v>37</v>
      </c>
      <c r="W40" s="23"/>
      <c r="X40" s="46">
        <f t="shared" si="15"/>
        <v>2.0522957360078342</v>
      </c>
      <c r="Y40" s="23">
        <f t="shared" si="16"/>
        <v>0.56286262855750857</v>
      </c>
      <c r="Z40" s="23">
        <f t="shared" si="17"/>
        <v>1.3796414549350575</v>
      </c>
      <c r="AA40" s="23">
        <f t="shared" si="18"/>
        <v>-3.9947998195004004</v>
      </c>
      <c r="AB40" s="23">
        <f t="shared" si="5"/>
        <v>-8.2091829440313374E-2</v>
      </c>
      <c r="AD40" s="46">
        <f t="shared" si="6"/>
        <v>0.15680352495925823</v>
      </c>
      <c r="AE40" s="23">
        <f>AA40-(AC41-AC39)+AD40+AB40</f>
        <v>0</v>
      </c>
      <c r="AI40" s="47">
        <f t="shared" si="8"/>
        <v>3.9200881239814556</v>
      </c>
      <c r="AJ40" s="47">
        <f t="shared" si="9"/>
        <v>0.15680352495925823</v>
      </c>
      <c r="AK40" s="47">
        <f t="shared" si="19"/>
        <v>3.6082248300317588E-16</v>
      </c>
    </row>
    <row r="41" spans="1:37" x14ac:dyDescent="0.25">
      <c r="A41" s="14">
        <v>35</v>
      </c>
      <c r="B41" s="31">
        <v>7.5000000000000002E-4</v>
      </c>
      <c r="O41"/>
      <c r="P41"/>
      <c r="T41"/>
      <c r="U41"/>
      <c r="V41"/>
      <c r="W41"/>
      <c r="X41"/>
      <c r="Y41"/>
      <c r="AI41" s="2">
        <v>0</v>
      </c>
    </row>
    <row r="42" spans="1:37" x14ac:dyDescent="0.25">
      <c r="A42" s="14">
        <v>36</v>
      </c>
      <c r="B42" s="31">
        <v>7.6000000000000004E-4</v>
      </c>
      <c r="AK42" s="48"/>
    </row>
    <row r="43" spans="1:37" x14ac:dyDescent="0.25">
      <c r="A43" s="14">
        <v>37</v>
      </c>
      <c r="B43" s="31">
        <v>7.7999999999999999E-4</v>
      </c>
      <c r="AK43" s="48"/>
    </row>
    <row r="44" spans="1:37" x14ac:dyDescent="0.25">
      <c r="A44" s="14">
        <v>38</v>
      </c>
      <c r="B44" s="31">
        <v>8.0999999999999996E-4</v>
      </c>
    </row>
    <row r="45" spans="1:37" x14ac:dyDescent="0.25">
      <c r="A45" s="14">
        <v>39</v>
      </c>
      <c r="B45" s="31">
        <v>8.4999999999999995E-4</v>
      </c>
    </row>
    <row r="46" spans="1:37" x14ac:dyDescent="0.25">
      <c r="A46" s="14">
        <v>40</v>
      </c>
      <c r="B46" s="31">
        <v>8.8999999999999995E-4</v>
      </c>
    </row>
    <row r="47" spans="1:37" x14ac:dyDescent="0.25">
      <c r="A47" s="14">
        <v>41</v>
      </c>
      <c r="B47" s="31">
        <v>9.3999999999999997E-4</v>
      </c>
    </row>
    <row r="48" spans="1:37" x14ac:dyDescent="0.25">
      <c r="A48" s="14">
        <v>42</v>
      </c>
      <c r="B48" s="31">
        <v>1.01E-3</v>
      </c>
    </row>
    <row r="49" spans="1:2" x14ac:dyDescent="0.25">
      <c r="A49" s="14">
        <v>43</v>
      </c>
      <c r="B49" s="31">
        <v>1.08E-3</v>
      </c>
    </row>
    <row r="50" spans="1:2" x14ac:dyDescent="0.25">
      <c r="A50" s="14">
        <v>44</v>
      </c>
      <c r="B50" s="31">
        <v>1.16E-3</v>
      </c>
    </row>
    <row r="51" spans="1:2" x14ac:dyDescent="0.25">
      <c r="A51" s="14">
        <v>45</v>
      </c>
      <c r="B51" s="31">
        <v>1.2600000000000001E-3</v>
      </c>
    </row>
    <row r="52" spans="1:2" x14ac:dyDescent="0.25">
      <c r="A52" s="14">
        <v>46</v>
      </c>
      <c r="B52" s="31">
        <v>1.3699999999999999E-3</v>
      </c>
    </row>
    <row r="53" spans="1:2" x14ac:dyDescent="0.25">
      <c r="A53" s="14">
        <v>47</v>
      </c>
      <c r="B53" s="31">
        <v>1.5E-3</v>
      </c>
    </row>
    <row r="54" spans="1:2" x14ac:dyDescent="0.25">
      <c r="A54" s="14">
        <v>48</v>
      </c>
      <c r="B54" s="31">
        <v>1.65E-3</v>
      </c>
    </row>
    <row r="55" spans="1:2" x14ac:dyDescent="0.25">
      <c r="A55" s="15">
        <v>49</v>
      </c>
      <c r="B55" s="32">
        <v>1.83E-3</v>
      </c>
    </row>
    <row r="56" spans="1:2" x14ac:dyDescent="0.25">
      <c r="A56" s="16">
        <v>50</v>
      </c>
      <c r="B56" s="33">
        <v>2.0300000000000001E-3</v>
      </c>
    </row>
    <row r="57" spans="1:2" x14ac:dyDescent="0.25">
      <c r="A57" s="14">
        <v>51</v>
      </c>
      <c r="B57" s="31">
        <v>2.2599999999999999E-3</v>
      </c>
    </row>
    <row r="58" spans="1:2" x14ac:dyDescent="0.25">
      <c r="A58" s="14">
        <v>52</v>
      </c>
      <c r="B58" s="31">
        <v>2.5200000000000001E-3</v>
      </c>
    </row>
    <row r="59" spans="1:2" x14ac:dyDescent="0.25">
      <c r="A59" s="14">
        <v>53</v>
      </c>
      <c r="B59" s="31">
        <v>2.82E-3</v>
      </c>
    </row>
    <row r="60" spans="1:2" x14ac:dyDescent="0.25">
      <c r="A60" s="14">
        <v>54</v>
      </c>
      <c r="B60" s="31">
        <v>3.15E-3</v>
      </c>
    </row>
    <row r="61" spans="1:2" x14ac:dyDescent="0.25">
      <c r="A61" s="14">
        <v>55</v>
      </c>
      <c r="B61" s="31">
        <v>3.5200000000000001E-3</v>
      </c>
    </row>
    <row r="62" spans="1:2" x14ac:dyDescent="0.25">
      <c r="A62" s="14">
        <v>56</v>
      </c>
      <c r="B62" s="31">
        <v>3.9300000000000003E-3</v>
      </c>
    </row>
    <row r="63" spans="1:2" x14ac:dyDescent="0.25">
      <c r="A63" s="14">
        <v>57</v>
      </c>
      <c r="B63" s="31">
        <v>4.3899999999999998E-3</v>
      </c>
    </row>
    <row r="64" spans="1:2" x14ac:dyDescent="0.25">
      <c r="A64" s="14">
        <v>58</v>
      </c>
      <c r="B64" s="31">
        <v>4.9100000000000003E-3</v>
      </c>
    </row>
    <row r="65" spans="1:2" x14ac:dyDescent="0.25">
      <c r="A65" s="14">
        <v>59</v>
      </c>
      <c r="B65" s="31">
        <v>5.5100000000000001E-3</v>
      </c>
    </row>
    <row r="66" spans="1:2" x14ac:dyDescent="0.25">
      <c r="A66" s="14">
        <v>60</v>
      </c>
      <c r="B66" s="31">
        <v>6.1999999999999998E-3</v>
      </c>
    </row>
    <row r="67" spans="1:2" x14ac:dyDescent="0.25">
      <c r="A67" s="14">
        <v>61</v>
      </c>
      <c r="B67" s="31">
        <v>7.0000000000000001E-3</v>
      </c>
    </row>
    <row r="68" spans="1:2" x14ac:dyDescent="0.25">
      <c r="A68" s="14">
        <v>62</v>
      </c>
      <c r="B68" s="31">
        <v>7.92E-3</v>
      </c>
    </row>
    <row r="69" spans="1:2" x14ac:dyDescent="0.25">
      <c r="A69" s="14">
        <v>63</v>
      </c>
      <c r="B69" s="31">
        <v>8.9700000000000005E-3</v>
      </c>
    </row>
    <row r="70" spans="1:2" x14ac:dyDescent="0.25">
      <c r="A70" s="14">
        <v>64</v>
      </c>
      <c r="B70" s="31">
        <v>1.017E-2</v>
      </c>
    </row>
    <row r="71" spans="1:2" x14ac:dyDescent="0.25">
      <c r="A71" s="14">
        <v>65</v>
      </c>
      <c r="B71" s="31">
        <v>1.153E-2</v>
      </c>
    </row>
    <row r="72" spans="1:2" x14ac:dyDescent="0.25">
      <c r="A72" s="14">
        <v>66</v>
      </c>
      <c r="B72" s="31">
        <v>1.306E-2</v>
      </c>
    </row>
    <row r="73" spans="1:2" x14ac:dyDescent="0.25">
      <c r="A73" s="14">
        <v>67</v>
      </c>
      <c r="B73" s="31">
        <v>1.477E-2</v>
      </c>
    </row>
    <row r="74" spans="1:2" x14ac:dyDescent="0.25">
      <c r="A74" s="14">
        <v>68</v>
      </c>
      <c r="B74" s="31">
        <v>1.67E-2</v>
      </c>
    </row>
    <row r="75" spans="1:2" x14ac:dyDescent="0.25">
      <c r="A75" s="14">
        <v>69</v>
      </c>
      <c r="B75" s="31">
        <v>1.8849999999999999E-2</v>
      </c>
    </row>
    <row r="76" spans="1:2" x14ac:dyDescent="0.25">
      <c r="A76" s="14">
        <v>70</v>
      </c>
      <c r="B76" s="31">
        <v>2.1250000000000002E-2</v>
      </c>
    </row>
    <row r="77" spans="1:2" x14ac:dyDescent="0.25">
      <c r="A77" s="14">
        <v>71</v>
      </c>
      <c r="B77" s="31">
        <v>2.393E-2</v>
      </c>
    </row>
    <row r="78" spans="1:2" x14ac:dyDescent="0.25">
      <c r="A78" s="14">
        <v>72</v>
      </c>
      <c r="B78" s="31">
        <v>2.69E-2</v>
      </c>
    </row>
    <row r="79" spans="1:2" x14ac:dyDescent="0.25">
      <c r="A79" s="14">
        <v>73</v>
      </c>
      <c r="B79" s="31">
        <v>3.022E-2</v>
      </c>
    </row>
    <row r="80" spans="1:2" x14ac:dyDescent="0.25">
      <c r="A80" s="15">
        <v>74</v>
      </c>
      <c r="B80" s="32">
        <v>3.39E-2</v>
      </c>
    </row>
    <row r="81" spans="1:2" x14ac:dyDescent="0.25">
      <c r="A81" s="16">
        <v>75</v>
      </c>
      <c r="B81" s="33">
        <v>3.8010000000000002E-2</v>
      </c>
    </row>
    <row r="82" spans="1:2" x14ac:dyDescent="0.25">
      <c r="A82" s="14">
        <v>76</v>
      </c>
      <c r="B82" s="31">
        <v>4.2590000000000003E-2</v>
      </c>
    </row>
    <row r="83" spans="1:2" x14ac:dyDescent="0.25">
      <c r="A83" s="14">
        <v>77</v>
      </c>
      <c r="B83" s="31">
        <v>4.768E-2</v>
      </c>
    </row>
    <row r="84" spans="1:2" x14ac:dyDescent="0.25">
      <c r="A84" s="14">
        <v>78</v>
      </c>
      <c r="B84" s="31">
        <v>5.3350000000000002E-2</v>
      </c>
    </row>
    <row r="85" spans="1:2" x14ac:dyDescent="0.25">
      <c r="A85" s="14">
        <v>79</v>
      </c>
      <c r="B85" s="31">
        <v>5.9659999999999998E-2</v>
      </c>
    </row>
    <row r="86" spans="1:2" x14ac:dyDescent="0.25">
      <c r="A86" s="14">
        <v>80</v>
      </c>
      <c r="B86" s="31">
        <v>6.6650000000000001E-2</v>
      </c>
    </row>
    <row r="87" spans="1:2" x14ac:dyDescent="0.25">
      <c r="A87" s="14">
        <v>81</v>
      </c>
      <c r="B87" s="31">
        <v>7.4380000000000002E-2</v>
      </c>
    </row>
    <row r="88" spans="1:2" x14ac:dyDescent="0.25">
      <c r="A88" s="14">
        <v>82</v>
      </c>
      <c r="B88" s="31">
        <v>8.2839999999999997E-2</v>
      </c>
    </row>
    <row r="89" spans="1:2" x14ac:dyDescent="0.25">
      <c r="A89" s="14">
        <v>83</v>
      </c>
      <c r="B89" s="31">
        <v>9.2030000000000001E-2</v>
      </c>
    </row>
    <row r="90" spans="1:2" x14ac:dyDescent="0.25">
      <c r="A90" s="14">
        <v>84</v>
      </c>
      <c r="B90" s="31">
        <v>0.10188999999999999</v>
      </c>
    </row>
    <row r="91" spans="1:2" x14ac:dyDescent="0.25">
      <c r="A91" s="14">
        <v>85</v>
      </c>
      <c r="B91" s="31">
        <v>0.11239</v>
      </c>
    </row>
    <row r="92" spans="1:2" x14ac:dyDescent="0.25">
      <c r="A92" s="14">
        <v>86</v>
      </c>
      <c r="B92" s="31">
        <v>0.12346</v>
      </c>
    </row>
    <row r="93" spans="1:2" x14ac:dyDescent="0.25">
      <c r="A93" s="14">
        <v>87</v>
      </c>
      <c r="B93" s="31">
        <v>0.13503000000000001</v>
      </c>
    </row>
    <row r="94" spans="1:2" x14ac:dyDescent="0.25">
      <c r="A94" s="14">
        <v>88</v>
      </c>
      <c r="B94" s="31">
        <v>0.14704</v>
      </c>
    </row>
    <row r="95" spans="1:2" x14ac:dyDescent="0.25">
      <c r="A95" s="14">
        <v>89</v>
      </c>
      <c r="B95" s="31">
        <v>0.15939</v>
      </c>
    </row>
    <row r="96" spans="1:2" x14ac:dyDescent="0.25">
      <c r="A96" s="14">
        <v>90</v>
      </c>
      <c r="B96" s="31">
        <v>0.17194000000000001</v>
      </c>
    </row>
    <row r="97" spans="1:2" x14ac:dyDescent="0.25">
      <c r="A97" s="14">
        <v>91</v>
      </c>
      <c r="B97" s="31">
        <v>0.18453</v>
      </c>
    </row>
    <row r="98" spans="1:2" x14ac:dyDescent="0.25">
      <c r="A98" s="14">
        <v>92</v>
      </c>
      <c r="B98" s="31">
        <v>0.19694999999999999</v>
      </c>
    </row>
    <row r="99" spans="1:2" x14ac:dyDescent="0.25">
      <c r="A99" s="14">
        <v>93</v>
      </c>
      <c r="B99" s="31">
        <v>0.20899000000000001</v>
      </c>
    </row>
    <row r="100" spans="1:2" x14ac:dyDescent="0.25">
      <c r="A100" s="14">
        <v>94</v>
      </c>
      <c r="B100" s="31">
        <v>0.22037999999999999</v>
      </c>
    </row>
    <row r="101" spans="1:2" x14ac:dyDescent="0.25">
      <c r="A101" s="14">
        <v>95</v>
      </c>
      <c r="B101" s="31">
        <v>0.23077</v>
      </c>
    </row>
    <row r="102" spans="1:2" x14ac:dyDescent="0.25">
      <c r="A102" s="14">
        <v>96</v>
      </c>
      <c r="B102" s="31">
        <v>0.23987</v>
      </c>
    </row>
    <row r="103" spans="1:2" x14ac:dyDescent="0.25">
      <c r="A103" s="14">
        <v>97</v>
      </c>
      <c r="B103" s="31">
        <v>0.24747</v>
      </c>
    </row>
    <row r="104" spans="1:2" x14ac:dyDescent="0.25">
      <c r="A104" s="14">
        <v>98</v>
      </c>
      <c r="B104" s="31">
        <v>0.25355</v>
      </c>
    </row>
    <row r="105" spans="1:2" x14ac:dyDescent="0.25">
      <c r="A105" s="15">
        <v>99</v>
      </c>
      <c r="B105" s="32">
        <v>0.25835000000000002</v>
      </c>
    </row>
  </sheetData>
  <mergeCells count="2">
    <mergeCell ref="V1:AE1"/>
    <mergeCell ref="A1:E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30 year old valuation</vt:lpstr>
      <vt:lpstr>Age</vt:lpstr>
      <vt:lpstr>Discount_rate</vt:lpstr>
      <vt:lpstr>Expense_Inflation</vt:lpstr>
      <vt:lpstr>Investment_rate</vt:lpstr>
      <vt:lpstr>Lapse</vt:lpstr>
      <vt:lpstr>Mortality_table</vt:lpstr>
      <vt:lpstr>Premium</vt:lpstr>
      <vt:lpstr>Renewal_commission</vt:lpstr>
      <vt:lpstr>Renewal_expense</vt:lpstr>
      <vt:lpstr>Termination_expense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Krystel Rowe</cp:lastModifiedBy>
  <dcterms:created xsi:type="dcterms:W3CDTF">2018-12-13T02:59:47Z</dcterms:created>
  <dcterms:modified xsi:type="dcterms:W3CDTF">2019-06-19T07:00:05Z</dcterms:modified>
</cp:coreProperties>
</file>