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izhu\Desktop\LIRV\Textbook\"/>
    </mc:Choice>
  </mc:AlternateContent>
  <bookViews>
    <workbookView xWindow="0" yWindow="0" windowWidth="28800" windowHeight="12135" activeTab="4"/>
  </bookViews>
  <sheets>
    <sheet name="Notes" sheetId="1" r:id="rId1"/>
    <sheet name="Data" sheetId="7" r:id="rId2"/>
    <sheet name="Assumptions" sheetId="6" r:id="rId3"/>
    <sheet name="Decrements" sheetId="3" r:id="rId4"/>
    <sheet name="Cash flows" sheetId="4" r:id="rId5"/>
    <sheet name="Liability calculation" sheetId="5" r:id="rId6"/>
    <sheet name="Tables" sheetId="8" r:id="rId7"/>
  </sheets>
  <definedNames>
    <definedName name="Age">Data!$B$4</definedName>
    <definedName name="Annual_premium">Data!$B$6</definedName>
    <definedName name="CB1_factor">Assumptions!$G$7</definedName>
    <definedName name="CB2_factor">Assumptions!$M$7</definedName>
    <definedName name="Decrement">Decrements!$A$5:$H$14</definedName>
    <definedName name="Discount_rate">Assumptions!$B$34</definedName>
    <definedName name="Factor">Assumptions!$B$7</definedName>
    <definedName name="IA95_97UltM">Data!$A$11:$B$110</definedName>
    <definedName name="IC_rate">Assumptions!$B$29</definedName>
    <definedName name="Inflation">Assumptions!$B$26</definedName>
    <definedName name="Initial_comm_rate">Assumptions!$B$29</definedName>
    <definedName name="Initial_expense">Assumptions!$B$24</definedName>
    <definedName name="Investment_rate">Assumptions!$B$32</definedName>
    <definedName name="lapse_rates">Assumptions!$A$12:$B$21</definedName>
    <definedName name="RC_rate">Assumptions!$B$30</definedName>
    <definedName name="Renewal_comm_rate">Assumptions!$B$30</definedName>
    <definedName name="Renewal_expense">Assumptions!$B$25</definedName>
    <definedName name="Stepped_premium_loading">Data!$B$6</definedName>
    <definedName name="Sum_Insured">Data!$B$5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4" l="1"/>
  <c r="O37" i="4"/>
  <c r="O38" i="4"/>
  <c r="O39" i="4"/>
  <c r="O40" i="4"/>
  <c r="O41" i="4"/>
  <c r="O42" i="4"/>
  <c r="O43" i="4"/>
  <c r="O44" i="4"/>
  <c r="O45" i="4"/>
  <c r="N36" i="4"/>
  <c r="N37" i="4"/>
  <c r="N38" i="4"/>
  <c r="N39" i="4"/>
  <c r="N40" i="4"/>
  <c r="N41" i="4"/>
  <c r="N42" i="4"/>
  <c r="N43" i="4"/>
  <c r="N44" i="4"/>
  <c r="O21" i="4"/>
  <c r="O22" i="4"/>
  <c r="O23" i="4"/>
  <c r="O24" i="4"/>
  <c r="O25" i="4"/>
  <c r="O26" i="4"/>
  <c r="O27" i="4"/>
  <c r="O28" i="4"/>
  <c r="O29" i="4"/>
  <c r="N20" i="4"/>
  <c r="N21" i="4"/>
  <c r="N22" i="4"/>
  <c r="N23" i="4"/>
  <c r="N24" i="4"/>
  <c r="N25" i="4"/>
  <c r="N26" i="4"/>
  <c r="N27" i="4"/>
  <c r="N28" i="4"/>
  <c r="P44" i="4"/>
  <c r="M36" i="4"/>
  <c r="M37" i="4" s="1"/>
  <c r="M38" i="4" s="1"/>
  <c r="M39" i="4" s="1"/>
  <c r="M40" i="4" s="1"/>
  <c r="M41" i="4" s="1"/>
  <c r="M42" i="4" s="1"/>
  <c r="M43" i="4" s="1"/>
  <c r="M44" i="4" s="1"/>
  <c r="M45" i="4" s="1"/>
  <c r="P28" i="4"/>
  <c r="M20" i="4"/>
  <c r="M21" i="4" s="1"/>
  <c r="M22" i="4" s="1"/>
  <c r="M23" i="4" s="1"/>
  <c r="M24" i="4" s="1"/>
  <c r="M25" i="4" s="1"/>
  <c r="M26" i="4" s="1"/>
  <c r="M27" i="4" s="1"/>
  <c r="M28" i="4" s="1"/>
  <c r="M29" i="4" s="1"/>
  <c r="M5" i="4"/>
  <c r="M6" i="4" s="1"/>
  <c r="M7" i="4" s="1"/>
  <c r="M8" i="4" s="1"/>
  <c r="M9" i="4" s="1"/>
  <c r="M10" i="4" s="1"/>
  <c r="M11" i="4" s="1"/>
  <c r="M12" i="4" s="1"/>
  <c r="M13" i="4" s="1"/>
  <c r="M14" i="4" s="1"/>
  <c r="F16" i="5" l="1"/>
  <c r="H29" i="8" s="1"/>
  <c r="B36" i="4"/>
  <c r="D16" i="5"/>
  <c r="E29" i="8" s="1"/>
  <c r="B20" i="4"/>
  <c r="B16" i="5"/>
  <c r="A7" i="5"/>
  <c r="A8" i="5" s="1"/>
  <c r="A9" i="5" s="1"/>
  <c r="A10" i="5" s="1"/>
  <c r="A11" i="5" s="1"/>
  <c r="A12" i="5" s="1"/>
  <c r="A13" i="5" s="1"/>
  <c r="A14" i="5" s="1"/>
  <c r="A15" i="5" s="1"/>
  <c r="A16" i="5" s="1"/>
  <c r="B5" i="3"/>
  <c r="B5" i="4"/>
  <c r="E5" i="4" l="1"/>
  <c r="B37" i="4"/>
  <c r="B6" i="4"/>
  <c r="B7" i="4" s="1"/>
  <c r="B21" i="4"/>
  <c r="B22" i="4" s="1"/>
  <c r="B23" i="4"/>
  <c r="C5" i="3"/>
  <c r="A13" i="6"/>
  <c r="A14" i="6" s="1"/>
  <c r="A15" i="6" s="1"/>
  <c r="A16" i="6" s="1"/>
  <c r="A17" i="6" s="1"/>
  <c r="A18" i="6" s="1"/>
  <c r="A19" i="6" s="1"/>
  <c r="A20" i="6" s="1"/>
  <c r="A21" i="6" s="1"/>
  <c r="E5" i="3"/>
  <c r="A6" i="3"/>
  <c r="B6" i="3" s="1"/>
  <c r="B4" i="8" l="1"/>
  <c r="E20" i="4"/>
  <c r="C4" i="8"/>
  <c r="C36" i="4"/>
  <c r="D5" i="4"/>
  <c r="J5" i="4" s="1"/>
  <c r="F4" i="8" s="1"/>
  <c r="C20" i="4"/>
  <c r="E36" i="4"/>
  <c r="B38" i="4"/>
  <c r="B8" i="4"/>
  <c r="B24" i="4"/>
  <c r="F5" i="3"/>
  <c r="G5" i="3" s="1"/>
  <c r="C6" i="3"/>
  <c r="A7" i="3"/>
  <c r="B7" i="3" s="1"/>
  <c r="G5" i="4" l="1"/>
  <c r="C20" i="8" s="1"/>
  <c r="D20" i="4"/>
  <c r="D4" i="8"/>
  <c r="F20" i="4"/>
  <c r="O20" i="4" s="1"/>
  <c r="D36" i="4"/>
  <c r="F5" i="4"/>
  <c r="D6" i="3"/>
  <c r="E6" i="3" s="1"/>
  <c r="F6" i="3" s="1"/>
  <c r="H5" i="3"/>
  <c r="B39" i="4"/>
  <c r="B9" i="4"/>
  <c r="B25" i="4"/>
  <c r="A8" i="3"/>
  <c r="B8" i="3" s="1"/>
  <c r="C7" i="3"/>
  <c r="G20" i="4" l="1"/>
  <c r="N19" i="4"/>
  <c r="F36" i="4"/>
  <c r="O36" i="4" s="1"/>
  <c r="N35" i="4"/>
  <c r="G36" i="4"/>
  <c r="H20" i="4"/>
  <c r="O5" i="4"/>
  <c r="E4" i="8"/>
  <c r="G4" i="8" s="1"/>
  <c r="K5" i="4"/>
  <c r="H5" i="4"/>
  <c r="B40" i="4"/>
  <c r="B10" i="4"/>
  <c r="B26" i="4"/>
  <c r="A9" i="3"/>
  <c r="C8" i="3"/>
  <c r="G6" i="3"/>
  <c r="H36" i="4" l="1"/>
  <c r="E6" i="4"/>
  <c r="C6" i="4"/>
  <c r="E7" i="4"/>
  <c r="C7" i="4"/>
  <c r="B9" i="3"/>
  <c r="D7" i="3"/>
  <c r="H6" i="3"/>
  <c r="B41" i="4"/>
  <c r="B11" i="4"/>
  <c r="B27" i="4"/>
  <c r="A10" i="3"/>
  <c r="B10" i="3" s="1"/>
  <c r="C9" i="3"/>
  <c r="E7" i="3"/>
  <c r="F7" i="3" s="1"/>
  <c r="D6" i="4" l="1"/>
  <c r="J6" i="4"/>
  <c r="F5" i="8" s="1"/>
  <c r="B5" i="8"/>
  <c r="E21" i="4"/>
  <c r="C5" i="8"/>
  <c r="E38" i="4"/>
  <c r="E22" i="4"/>
  <c r="C6" i="8"/>
  <c r="D7" i="4"/>
  <c r="B6" i="8"/>
  <c r="J7" i="4"/>
  <c r="F6" i="8" s="1"/>
  <c r="C21" i="4"/>
  <c r="E37" i="4"/>
  <c r="C37" i="4"/>
  <c r="D37" i="4" s="1"/>
  <c r="G6" i="4"/>
  <c r="B42" i="4"/>
  <c r="B12" i="4"/>
  <c r="B28" i="4"/>
  <c r="A11" i="3"/>
  <c r="B11" i="3" s="1"/>
  <c r="C10" i="3"/>
  <c r="G7" i="3"/>
  <c r="D6" i="8" l="1"/>
  <c r="D21" i="4"/>
  <c r="D5" i="8"/>
  <c r="F6" i="4"/>
  <c r="H6" i="4" s="1"/>
  <c r="F37" i="4"/>
  <c r="C8" i="4"/>
  <c r="E8" i="4"/>
  <c r="G37" i="4"/>
  <c r="H37" i="4" s="1"/>
  <c r="C22" i="4"/>
  <c r="C38" i="4"/>
  <c r="D38" i="4" s="1"/>
  <c r="D22" i="4"/>
  <c r="D8" i="3"/>
  <c r="E8" i="3" s="1"/>
  <c r="F8" i="3" s="1"/>
  <c r="G8" i="3" s="1"/>
  <c r="H7" i="3"/>
  <c r="B43" i="4"/>
  <c r="B13" i="4"/>
  <c r="B29" i="4"/>
  <c r="A12" i="3"/>
  <c r="C11" i="3"/>
  <c r="E39" i="4" l="1"/>
  <c r="E23" i="4"/>
  <c r="C7" i="8"/>
  <c r="F21" i="4"/>
  <c r="G21" i="4"/>
  <c r="D8" i="4"/>
  <c r="B7" i="8"/>
  <c r="O6" i="4"/>
  <c r="K6" i="4"/>
  <c r="E5" i="8"/>
  <c r="G5" i="8" s="1"/>
  <c r="E9" i="4"/>
  <c r="C9" i="4"/>
  <c r="B12" i="3"/>
  <c r="F22" i="4"/>
  <c r="F7" i="4"/>
  <c r="G38" i="4"/>
  <c r="D9" i="3"/>
  <c r="E9" i="3" s="1"/>
  <c r="F9" i="3" s="1"/>
  <c r="G9" i="3" s="1"/>
  <c r="H8" i="3"/>
  <c r="G7" i="4"/>
  <c r="B44" i="4"/>
  <c r="B14" i="4"/>
  <c r="A13" i="3"/>
  <c r="B13" i="3" s="1"/>
  <c r="C12" i="3"/>
  <c r="D7" i="8" l="1"/>
  <c r="D9" i="4"/>
  <c r="B8" i="8"/>
  <c r="J8" i="4"/>
  <c r="F7" i="8" s="1"/>
  <c r="H21" i="4"/>
  <c r="G22" i="4" s="1"/>
  <c r="H22" i="4" s="1"/>
  <c r="O7" i="4"/>
  <c r="K7" i="4"/>
  <c r="E6" i="8"/>
  <c r="G6" i="8" s="1"/>
  <c r="E40" i="4"/>
  <c r="E24" i="4"/>
  <c r="C8" i="8"/>
  <c r="C10" i="4"/>
  <c r="E10" i="4"/>
  <c r="D10" i="3"/>
  <c r="H9" i="3"/>
  <c r="F38" i="4"/>
  <c r="H7" i="4"/>
  <c r="C39" i="4"/>
  <c r="D39" i="4" s="1"/>
  <c r="D23" i="4"/>
  <c r="C23" i="4"/>
  <c r="B45" i="4"/>
  <c r="A14" i="3"/>
  <c r="B14" i="3" s="1"/>
  <c r="C13" i="3"/>
  <c r="E41" i="4" l="1"/>
  <c r="E25" i="4"/>
  <c r="C9" i="8"/>
  <c r="J9" i="4"/>
  <c r="F8" i="8" s="1"/>
  <c r="H38" i="4"/>
  <c r="D10" i="4"/>
  <c r="J10" i="4" s="1"/>
  <c r="F9" i="8" s="1"/>
  <c r="B9" i="8"/>
  <c r="D8" i="8"/>
  <c r="G23" i="4"/>
  <c r="F8" i="4"/>
  <c r="C24" i="4"/>
  <c r="C40" i="4"/>
  <c r="D40" i="4" s="1"/>
  <c r="D24" i="4"/>
  <c r="F23" i="4"/>
  <c r="F39" i="4"/>
  <c r="E10" i="3"/>
  <c r="F10" i="3" s="1"/>
  <c r="G10" i="3" s="1"/>
  <c r="G8" i="4"/>
  <c r="C14" i="3"/>
  <c r="O8" i="4" l="1"/>
  <c r="E7" i="8"/>
  <c r="G7" i="8" s="1"/>
  <c r="K8" i="4"/>
  <c r="D9" i="8"/>
  <c r="C11" i="4"/>
  <c r="E11" i="4"/>
  <c r="G39" i="4"/>
  <c r="H39" i="4" s="1"/>
  <c r="H23" i="4"/>
  <c r="G24" i="4" s="1"/>
  <c r="H8" i="4"/>
  <c r="G9" i="4" s="1"/>
  <c r="D11" i="3"/>
  <c r="E11" i="3" s="1"/>
  <c r="F11" i="3" s="1"/>
  <c r="G11" i="3" s="1"/>
  <c r="H10" i="3"/>
  <c r="F9" i="4"/>
  <c r="F40" i="4"/>
  <c r="C41" i="4"/>
  <c r="D41" i="4" s="1"/>
  <c r="D25" i="4"/>
  <c r="C25" i="4"/>
  <c r="F10" i="4"/>
  <c r="F24" i="4"/>
  <c r="H24" i="4" l="1"/>
  <c r="O9" i="4"/>
  <c r="E8" i="8"/>
  <c r="G8" i="8" s="1"/>
  <c r="K9" i="4"/>
  <c r="E42" i="4"/>
  <c r="E26" i="4"/>
  <c r="C10" i="8"/>
  <c r="O10" i="4"/>
  <c r="K10" i="4"/>
  <c r="E9" i="8"/>
  <c r="G9" i="8" s="1"/>
  <c r="D11" i="4"/>
  <c r="B10" i="8"/>
  <c r="G25" i="4"/>
  <c r="C12" i="4"/>
  <c r="E12" i="4"/>
  <c r="H9" i="4"/>
  <c r="G10" i="4" s="1"/>
  <c r="H10" i="4" s="1"/>
  <c r="F25" i="4"/>
  <c r="F41" i="4"/>
  <c r="G40" i="4"/>
  <c r="H40" i="4" s="1"/>
  <c r="G41" i="4" s="1"/>
  <c r="D12" i="3"/>
  <c r="H11" i="3"/>
  <c r="D10" i="8" l="1"/>
  <c r="E43" i="4"/>
  <c r="E27" i="4"/>
  <c r="C11" i="8"/>
  <c r="D12" i="4"/>
  <c r="B11" i="8"/>
  <c r="J11" i="4"/>
  <c r="F10" i="8" s="1"/>
  <c r="H25" i="4"/>
  <c r="H41" i="4"/>
  <c r="C26" i="4"/>
  <c r="C42" i="4"/>
  <c r="D42" i="4" s="1"/>
  <c r="D26" i="4"/>
  <c r="E12" i="3"/>
  <c r="F12" i="3" s="1"/>
  <c r="G12" i="3" s="1"/>
  <c r="D11" i="8" l="1"/>
  <c r="J12" i="4"/>
  <c r="F11" i="8" s="1"/>
  <c r="C13" i="4"/>
  <c r="E13" i="4"/>
  <c r="D13" i="3"/>
  <c r="E13" i="3" s="1"/>
  <c r="F13" i="3" s="1"/>
  <c r="G13" i="3" s="1"/>
  <c r="H12" i="3"/>
  <c r="F11" i="4"/>
  <c r="F42" i="4"/>
  <c r="G42" i="4"/>
  <c r="G11" i="4"/>
  <c r="F26" i="4"/>
  <c r="G26" i="4"/>
  <c r="C43" i="4"/>
  <c r="D43" i="4" s="1"/>
  <c r="D27" i="4"/>
  <c r="C27" i="4"/>
  <c r="E44" i="4" l="1"/>
  <c r="E28" i="4"/>
  <c r="C12" i="8"/>
  <c r="O11" i="4"/>
  <c r="E10" i="8"/>
  <c r="G10" i="8" s="1"/>
  <c r="K11" i="4"/>
  <c r="D13" i="4"/>
  <c r="B12" i="8"/>
  <c r="C14" i="4"/>
  <c r="E14" i="4"/>
  <c r="H26" i="4"/>
  <c r="G27" i="4" s="1"/>
  <c r="F12" i="4"/>
  <c r="F27" i="4"/>
  <c r="F43" i="4"/>
  <c r="H42" i="4"/>
  <c r="G43" i="4" s="1"/>
  <c r="H11" i="4"/>
  <c r="D14" i="3"/>
  <c r="E14" i="3" s="1"/>
  <c r="F14" i="3" s="1"/>
  <c r="G14" i="3" s="1"/>
  <c r="H14" i="3" s="1"/>
  <c r="H13" i="3"/>
  <c r="D12" i="8" l="1"/>
  <c r="N11" i="4"/>
  <c r="D14" i="4"/>
  <c r="N9" i="4" s="1"/>
  <c r="B13" i="8"/>
  <c r="O12" i="4"/>
  <c r="E11" i="8"/>
  <c r="G11" i="8" s="1"/>
  <c r="K12" i="4"/>
  <c r="J13" i="4"/>
  <c r="F12" i="8" s="1"/>
  <c r="E45" i="4"/>
  <c r="E29" i="4"/>
  <c r="C13" i="8"/>
  <c r="H43" i="4"/>
  <c r="G12" i="4"/>
  <c r="H12" i="4" s="1"/>
  <c r="H27" i="4"/>
  <c r="C28" i="4"/>
  <c r="C44" i="4"/>
  <c r="D44" i="4" s="1"/>
  <c r="D28" i="4"/>
  <c r="N7" i="4" l="1"/>
  <c r="N12" i="4"/>
  <c r="J14" i="4"/>
  <c r="F13" i="8" s="1"/>
  <c r="N13" i="4"/>
  <c r="D13" i="8"/>
  <c r="N5" i="4"/>
  <c r="N4" i="4"/>
  <c r="N6" i="4"/>
  <c r="N10" i="4"/>
  <c r="N8" i="4"/>
  <c r="G13" i="4"/>
  <c r="F28" i="4"/>
  <c r="F13" i="4"/>
  <c r="G44" i="4"/>
  <c r="G28" i="4"/>
  <c r="C45" i="4"/>
  <c r="D45" i="4" s="1"/>
  <c r="D29" i="4"/>
  <c r="C29" i="4"/>
  <c r="F14" i="4"/>
  <c r="O13" i="4" l="1"/>
  <c r="E12" i="8"/>
  <c r="G12" i="8" s="1"/>
  <c r="K13" i="4"/>
  <c r="O14" i="4"/>
  <c r="K14" i="4"/>
  <c r="E13" i="8"/>
  <c r="G13" i="8" s="1"/>
  <c r="P26" i="4"/>
  <c r="P24" i="4"/>
  <c r="P23" i="4"/>
  <c r="F29" i="4"/>
  <c r="P21" i="4" s="1"/>
  <c r="H28" i="4"/>
  <c r="G29" i="4" s="1"/>
  <c r="F45" i="4"/>
  <c r="D15" i="5"/>
  <c r="B15" i="5"/>
  <c r="B14" i="5" s="1"/>
  <c r="F15" i="5"/>
  <c r="F44" i="4"/>
  <c r="H13" i="4"/>
  <c r="P13" i="4" l="1"/>
  <c r="P4" i="4"/>
  <c r="P6" i="4"/>
  <c r="P12" i="4"/>
  <c r="P9" i="4"/>
  <c r="P5" i="4"/>
  <c r="P7" i="4"/>
  <c r="P10" i="4"/>
  <c r="P11" i="4"/>
  <c r="P8" i="4"/>
  <c r="P43" i="4"/>
  <c r="P37" i="4"/>
  <c r="F14" i="5"/>
  <c r="H28" i="8"/>
  <c r="P22" i="4"/>
  <c r="H44" i="4"/>
  <c r="G45" i="4" s="1"/>
  <c r="H45" i="4" s="1"/>
  <c r="P27" i="4"/>
  <c r="P20" i="4"/>
  <c r="P25" i="4"/>
  <c r="P19" i="4"/>
  <c r="D14" i="5"/>
  <c r="E28" i="8"/>
  <c r="H29" i="4"/>
  <c r="C15" i="5"/>
  <c r="G14" i="4"/>
  <c r="C16" i="5" s="1"/>
  <c r="B13" i="5"/>
  <c r="P42" i="4" l="1"/>
  <c r="P36" i="4"/>
  <c r="P40" i="4"/>
  <c r="P39" i="4"/>
  <c r="P41" i="4"/>
  <c r="F13" i="5"/>
  <c r="H27" i="8"/>
  <c r="P38" i="4"/>
  <c r="P35" i="4"/>
  <c r="D13" i="5"/>
  <c r="E27" i="8"/>
  <c r="B12" i="5"/>
  <c r="C14" i="5"/>
  <c r="H14" i="4"/>
  <c r="F12" i="5" l="1"/>
  <c r="H26" i="8"/>
  <c r="D12" i="5"/>
  <c r="E26" i="8"/>
  <c r="B11" i="5"/>
  <c r="C13" i="5"/>
  <c r="F11" i="5" l="1"/>
  <c r="H25" i="8"/>
  <c r="D11" i="5"/>
  <c r="E25" i="8"/>
  <c r="B10" i="5"/>
  <c r="C12" i="5"/>
  <c r="F10" i="5" l="1"/>
  <c r="H24" i="8"/>
  <c r="D10" i="5"/>
  <c r="E24" i="8"/>
  <c r="B9" i="5"/>
  <c r="C10" i="5" s="1"/>
  <c r="C11" i="5"/>
  <c r="F9" i="5" l="1"/>
  <c r="H23" i="8"/>
  <c r="D9" i="5"/>
  <c r="E23" i="8"/>
  <c r="B8" i="5"/>
  <c r="C9" i="5" s="1"/>
  <c r="F8" i="5" l="1"/>
  <c r="H22" i="8"/>
  <c r="D8" i="5"/>
  <c r="E22" i="8"/>
  <c r="B7" i="5"/>
  <c r="C8" i="5" l="1"/>
  <c r="B20" i="8"/>
  <c r="F7" i="5"/>
  <c r="H21" i="8"/>
  <c r="D7" i="5"/>
  <c r="E21" i="8"/>
  <c r="B6" i="5"/>
  <c r="F6" i="5" l="1"/>
  <c r="H20" i="8"/>
  <c r="C6" i="5"/>
  <c r="D19" i="8" s="1"/>
  <c r="B19" i="8"/>
  <c r="D6" i="5"/>
  <c r="E20" i="8"/>
  <c r="C7" i="5"/>
  <c r="D20" i="8" s="1"/>
  <c r="H19" i="8" l="1"/>
  <c r="I36" i="4"/>
  <c r="J36" i="4" s="1"/>
  <c r="G6" i="5"/>
  <c r="J19" i="8" s="1"/>
  <c r="E19" i="8"/>
  <c r="E6" i="5"/>
  <c r="G19" i="8" s="1"/>
  <c r="I20" i="4"/>
  <c r="J20" i="4" s="1"/>
  <c r="I20" i="8" l="1"/>
  <c r="K36" i="4"/>
  <c r="G7" i="5"/>
  <c r="J20" i="8" s="1"/>
  <c r="F20" i="8"/>
  <c r="E7" i="5"/>
  <c r="G20" i="8" s="1"/>
  <c r="K20" i="4"/>
  <c r="J37" i="4" l="1"/>
  <c r="K37" i="4"/>
  <c r="J21" i="4"/>
  <c r="K21" i="4"/>
  <c r="J38" i="4" l="1"/>
  <c r="K38" i="4" s="1"/>
  <c r="G8" i="5"/>
  <c r="J21" i="8" s="1"/>
  <c r="I21" i="8"/>
  <c r="J22" i="4"/>
  <c r="K22" i="4" s="1"/>
  <c r="E8" i="5"/>
  <c r="G21" i="8" s="1"/>
  <c r="F21" i="8"/>
  <c r="J39" i="4" l="1"/>
  <c r="K39" i="4"/>
  <c r="G9" i="5"/>
  <c r="J22" i="8" s="1"/>
  <c r="I22" i="8"/>
  <c r="J23" i="4"/>
  <c r="K23" i="4"/>
  <c r="E9" i="5"/>
  <c r="G22" i="8" s="1"/>
  <c r="F22" i="8"/>
  <c r="J40" i="4" l="1"/>
  <c r="K40" i="4"/>
  <c r="G10" i="5"/>
  <c r="J23" i="8" s="1"/>
  <c r="I23" i="8"/>
  <c r="J24" i="4"/>
  <c r="K24" i="4"/>
  <c r="E10" i="5"/>
  <c r="G23" i="8" s="1"/>
  <c r="F23" i="8"/>
  <c r="J41" i="4" l="1"/>
  <c r="K41" i="4"/>
  <c r="G11" i="5"/>
  <c r="J24" i="8" s="1"/>
  <c r="I24" i="8"/>
  <c r="J25" i="4"/>
  <c r="K25" i="4"/>
  <c r="F24" i="8"/>
  <c r="E11" i="5"/>
  <c r="G24" i="8" s="1"/>
  <c r="J42" i="4" l="1"/>
  <c r="K42" i="4" s="1"/>
  <c r="G12" i="5"/>
  <c r="J25" i="8" s="1"/>
  <c r="I25" i="8"/>
  <c r="J26" i="4"/>
  <c r="K26" i="4" s="1"/>
  <c r="E12" i="5"/>
  <c r="G25" i="8" s="1"/>
  <c r="F25" i="8"/>
  <c r="J43" i="4" l="1"/>
  <c r="K43" i="4" s="1"/>
  <c r="G13" i="5"/>
  <c r="J26" i="8" s="1"/>
  <c r="I26" i="8"/>
  <c r="J27" i="4"/>
  <c r="K27" i="4" s="1"/>
  <c r="E13" i="5"/>
  <c r="G26" i="8" s="1"/>
  <c r="F26" i="8"/>
  <c r="J44" i="4" l="1"/>
  <c r="K44" i="4"/>
  <c r="G14" i="5"/>
  <c r="J27" i="8" s="1"/>
  <c r="I27" i="8"/>
  <c r="J28" i="4"/>
  <c r="K28" i="4"/>
  <c r="J29" i="4" s="1"/>
  <c r="E16" i="5" s="1"/>
  <c r="G29" i="8" s="1"/>
  <c r="E14" i="5"/>
  <c r="G27" i="8" s="1"/>
  <c r="F27" i="8"/>
  <c r="J45" i="4" l="1"/>
  <c r="K45" i="4" s="1"/>
  <c r="F29" i="8"/>
  <c r="G15" i="5"/>
  <c r="J28" i="8" s="1"/>
  <c r="I28" i="8"/>
  <c r="K29" i="4"/>
  <c r="E15" i="5"/>
  <c r="G28" i="8" s="1"/>
  <c r="F28" i="8"/>
  <c r="G16" i="5" l="1"/>
  <c r="J29" i="8" s="1"/>
  <c r="I29" i="8"/>
</calcChain>
</file>

<file path=xl/sharedStrings.xml><?xml version="1.0" encoding="utf-8"?>
<sst xmlns="http://schemas.openxmlformats.org/spreadsheetml/2006/main" count="162" uniqueCount="109">
  <si>
    <t>Pricing basis</t>
  </si>
  <si>
    <t>Mortality</t>
  </si>
  <si>
    <t>IA95-97</t>
  </si>
  <si>
    <t>Lapse Rates</t>
  </si>
  <si>
    <t>Expenses</t>
  </si>
  <si>
    <t xml:space="preserve"> - Table</t>
  </si>
  <si>
    <t xml:space="preserve"> - Factor</t>
  </si>
  <si>
    <t xml:space="preserve">  - Select</t>
  </si>
  <si>
    <t>0 years i.e. Ult rates</t>
  </si>
  <si>
    <t xml:space="preserve"> - Initial </t>
  </si>
  <si>
    <t xml:space="preserve"> - Renewal</t>
  </si>
  <si>
    <t xml:space="preserve"> - Inflation</t>
  </si>
  <si>
    <t>Commission</t>
  </si>
  <si>
    <t xml:space="preserve"> - Initial</t>
  </si>
  <si>
    <t>of first year's premium</t>
  </si>
  <si>
    <t>of subsequent premiums</t>
  </si>
  <si>
    <t xml:space="preserve">Investment rate </t>
  </si>
  <si>
    <t>Discount rate</t>
  </si>
  <si>
    <t>Taxation</t>
  </si>
  <si>
    <t>Gender</t>
  </si>
  <si>
    <t>Male</t>
  </si>
  <si>
    <t>Age</t>
  </si>
  <si>
    <t>Sum Insured</t>
  </si>
  <si>
    <t>IA95_97 Ult Male</t>
  </si>
  <si>
    <t>Year</t>
  </si>
  <si>
    <t>lapse</t>
  </si>
  <si>
    <t xml:space="preserve"> Year </t>
  </si>
  <si>
    <t>Decrement table</t>
  </si>
  <si>
    <r>
      <t>q</t>
    </r>
    <r>
      <rPr>
        <vertAlign val="subscript"/>
        <sz val="10"/>
        <color theme="0"/>
        <rFont val="Century Gothic"/>
        <family val="2"/>
      </rPr>
      <t>x</t>
    </r>
  </si>
  <si>
    <r>
      <t>(al)</t>
    </r>
    <r>
      <rPr>
        <vertAlign val="subscript"/>
        <sz val="10"/>
        <color theme="0"/>
        <rFont val="Century Gothic"/>
        <family val="2"/>
      </rPr>
      <t>x</t>
    </r>
  </si>
  <si>
    <r>
      <t>(ad)</t>
    </r>
    <r>
      <rPr>
        <vertAlign val="subscript"/>
        <sz val="10"/>
        <color theme="0"/>
        <rFont val="Century Gothic"/>
        <family val="2"/>
      </rPr>
      <t>x</t>
    </r>
  </si>
  <si>
    <r>
      <t>(aw)</t>
    </r>
    <r>
      <rPr>
        <vertAlign val="subscript"/>
        <sz val="10"/>
        <color theme="0"/>
        <rFont val="Century Gothic"/>
        <family val="2"/>
      </rPr>
      <t>x</t>
    </r>
  </si>
  <si>
    <r>
      <t>(al)</t>
    </r>
    <r>
      <rPr>
        <vertAlign val="subscript"/>
        <sz val="10"/>
        <color theme="0"/>
        <rFont val="Century Gothic"/>
        <family val="2"/>
      </rPr>
      <t>x+1</t>
    </r>
  </si>
  <si>
    <t>Deaths uniform throughout the year</t>
  </si>
  <si>
    <t>Withdrawals at end of year</t>
  </si>
  <si>
    <r>
      <t>(ap)</t>
    </r>
    <r>
      <rPr>
        <vertAlign val="subscript"/>
        <sz val="10"/>
        <color theme="0"/>
        <rFont val="Century Gothic"/>
        <family val="2"/>
      </rPr>
      <t>x</t>
    </r>
  </si>
  <si>
    <t>This is best estimate basis</t>
  </si>
  <si>
    <t>Conservative basis 1</t>
  </si>
  <si>
    <t xml:space="preserve">This is the pricing basis but mortality rates are </t>
  </si>
  <si>
    <t>increased by 10%</t>
  </si>
  <si>
    <t>Conservative basis 2</t>
  </si>
  <si>
    <t xml:space="preserve">This is the pricing basis but expected expenses </t>
  </si>
  <si>
    <t>are increased by 85%</t>
  </si>
  <si>
    <t>in year 2</t>
  </si>
  <si>
    <t>Liability</t>
  </si>
  <si>
    <t>Profit</t>
  </si>
  <si>
    <t>Best estimate basis</t>
  </si>
  <si>
    <t>Realistic basis</t>
  </si>
  <si>
    <t>Conservative basis 1 (10% higher claim)</t>
  </si>
  <si>
    <t>The additional assets represent the additional reserve that needs to be set up on day 1 to cover the liability on day 1.</t>
  </si>
  <si>
    <t xml:space="preserve">Liability </t>
  </si>
  <si>
    <t>Premiums (boy)</t>
  </si>
  <si>
    <t>Expenses (boy)</t>
  </si>
  <si>
    <t>Claims (eoy)</t>
  </si>
  <si>
    <t>Cash flow ex. Interest (eoy)</t>
  </si>
  <si>
    <t>Assets from cash flow (eoy)</t>
  </si>
  <si>
    <t>Additional assets (boy)</t>
  </si>
  <si>
    <t>Interest on total assets (eoy)</t>
  </si>
  <si>
    <t>Total assets (eoy)</t>
  </si>
  <si>
    <t>CB1 factor</t>
  </si>
  <si>
    <t>CB2 factor</t>
  </si>
  <si>
    <r>
      <rPr>
        <sz val="10"/>
        <rFont val="Century Gothic"/>
        <family val="2"/>
      </rPr>
      <t xml:space="preserve">Attained Age ( </t>
    </r>
    <r>
      <rPr>
        <i/>
        <sz val="10"/>
        <rFont val="Century Gothic"/>
        <family val="2"/>
      </rPr>
      <t xml:space="preserve">x </t>
    </r>
    <r>
      <rPr>
        <sz val="10"/>
        <rFont val="Century Gothic"/>
        <family val="2"/>
      </rPr>
      <t>)</t>
    </r>
  </si>
  <si>
    <r>
      <rPr>
        <i/>
        <sz val="10"/>
        <rFont val="Century Gothic"/>
        <family val="2"/>
      </rPr>
      <t>qx</t>
    </r>
  </si>
  <si>
    <t>Notes</t>
  </si>
  <si>
    <t>Data</t>
  </si>
  <si>
    <t>There is one policyholder.</t>
  </si>
  <si>
    <t>The mortality rates for IA95_97 Ult Male are in the following table.</t>
  </si>
  <si>
    <t>Assumptions</t>
  </si>
  <si>
    <t>Policy data is in the 'Data' worksheet.</t>
  </si>
  <si>
    <t>Assumptions for different bases are in the 'Assumptions' worksheet.</t>
  </si>
  <si>
    <t>Profit is income less outgo less change in liability.</t>
  </si>
  <si>
    <t>The liability at t= 0 is zero and hence profit at outset is 0 for the realistic basis.</t>
  </si>
  <si>
    <t xml:space="preserve">Note how the prospective liability is calculated recursively starting at the end of the 10-year period. </t>
  </si>
  <si>
    <t xml:space="preserve">At t= 0 for the other two bases, there is a need to set aside additional reserves and this causes a day 1 loss. However, the present value of profits are identicaly zero on all bases. </t>
  </si>
  <si>
    <t>You should check that the NPV of profits are zero for all three bases.</t>
  </si>
  <si>
    <t>The basis has an odd quirk that could not happen in practice. Can you spot it?</t>
  </si>
  <si>
    <t>Stepped premium loading</t>
  </si>
  <si>
    <t>Conservative basis 2 (85% higher internal expenses)</t>
  </si>
  <si>
    <t>Premiums</t>
  </si>
  <si>
    <t>Claims</t>
  </si>
  <si>
    <t>Net cash flow</t>
  </si>
  <si>
    <t>Interest on assets</t>
  </si>
  <si>
    <t>Net cash flow including interest</t>
  </si>
  <si>
    <t>Table 5.4a Net cash flows</t>
  </si>
  <si>
    <t>Table 5.4b Liability and profit on different bases</t>
  </si>
  <si>
    <t>Best Estimate Basis</t>
  </si>
  <si>
    <t>Conservative Basis 1</t>
  </si>
  <si>
    <t>Conservative Basis 2</t>
  </si>
  <si>
    <t>Interest</t>
  </si>
  <si>
    <t>Interest on assets from cash flow (eoy)</t>
  </si>
  <si>
    <t>Interest on cash flows arising during the year (eoy)</t>
  </si>
  <si>
    <t>Net cash flow including interest on cash flows arising</t>
  </si>
  <si>
    <t>Liability calculation</t>
  </si>
  <si>
    <t xml:space="preserve">Profit for Conservative Basis 1 and 2 includes "Cash flow excluding interest", from the Best Estimate Basis and "Interest on Total Assets" from Conservative Basis 1 or 2.  </t>
  </si>
  <si>
    <t>interest on assets from cash flow (eoy)</t>
  </si>
  <si>
    <t xml:space="preserve">This workbook derives the results shown in Table 5.4a and Table 5.4b.  These are presented in the "Tables" worksheet. </t>
  </si>
  <si>
    <t xml:space="preserve">The 'Liability calculation' worksheet contains results for the three bases. Note the spreadsheet approach is to calculate reserves firstly at the final period, </t>
  </si>
  <si>
    <t xml:space="preserve">then work backwards through prior periods. </t>
  </si>
  <si>
    <t>Cash flows of three bases are in the 'Cash flows' worksheet. Because of the need to set up additional reserves on day 1 under the two conservative bases,</t>
  </si>
  <si>
    <t xml:space="preserve"> this worksheet references the 'Liability calcuation' worksheet.</t>
  </si>
  <si>
    <t>Assumptions:</t>
  </si>
  <si>
    <t>Note that Year 0 liabilities are calculated at the point in time immediately before cash flows occur, and at each year end thereafter.</t>
  </si>
  <si>
    <t>This is because the same best estimate experience is assumed under all three valuation bases. other than interest on total assets as total assets are different between the three bases.</t>
  </si>
  <si>
    <t>These results are liability calculations under three bases for a stepped premium term assurance.</t>
  </si>
  <si>
    <t>Vinc</t>
  </si>
  <si>
    <t>BEL</t>
  </si>
  <si>
    <t>Method 1</t>
  </si>
  <si>
    <t>Method 2</t>
  </si>
  <si>
    <t>CF with interest only arising from CF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</si>
</sst>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6" formatCode="&quot;$&quot;#,##0_);[Red]\(&quot;$&quot;#,##0\)"/>
    <numFmt numFmtId="8" formatCode="&quot;$&quot;#,##0.00_);[Red]\(&quot;$&quot;#,##0.00\)"/>
    <numFmt numFmtId="164" formatCode="###0;###0"/>
    <numFmt numFmtId="165" formatCode="###0.00000;###0.00000"/>
    <numFmt numFmtId="166" formatCode="0.00000"/>
    <numFmt numFmtId="167" formatCode="&quot;$&quot;#,##0"/>
    <numFmt numFmtId="168" formatCode="#,##0.00;[Red]\(#,##0.00\)"/>
    <numFmt numFmtId="169" formatCode="0.000%"/>
    <numFmt numFmtId="170" formatCode="&quot;$&quot;#,##0.00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entury Gothic"/>
      <family val="2"/>
    </font>
    <font>
      <sz val="10"/>
      <color theme="1"/>
      <name val="Century Gothic"/>
      <family val="2"/>
    </font>
    <font>
      <b/>
      <sz val="10"/>
      <color theme="1"/>
      <name val="Century Gothic"/>
      <family val="2"/>
    </font>
    <font>
      <b/>
      <sz val="10"/>
      <color theme="0"/>
      <name val="Century Gothic"/>
      <family val="2"/>
    </font>
    <font>
      <sz val="10"/>
      <name val="Century Gothic"/>
      <family val="2"/>
    </font>
    <font>
      <sz val="10"/>
      <color theme="0"/>
      <name val="Century Gothic"/>
      <family val="2"/>
    </font>
    <font>
      <vertAlign val="subscript"/>
      <sz val="10"/>
      <color theme="0"/>
      <name val="Century Gothic"/>
      <family val="2"/>
    </font>
    <font>
      <i/>
      <sz val="10"/>
      <name val="Century Gothic"/>
      <family val="2"/>
    </font>
    <font>
      <sz val="10"/>
      <color rgb="FF000000"/>
      <name val="Century Gothic"/>
      <family val="2"/>
    </font>
    <font>
      <sz val="10"/>
      <name val="Times New Roman"/>
      <family val="1"/>
    </font>
    <font>
      <sz val="10"/>
      <color rgb="FF00B050"/>
      <name val="Century Gothic"/>
      <family val="2"/>
    </font>
    <font>
      <b/>
      <sz val="10"/>
      <color rgb="FFFFFFFF"/>
      <name val="Century Gothic"/>
      <family val="2"/>
    </font>
    <font>
      <b/>
      <sz val="10"/>
      <color rgb="FF0098D0"/>
      <name val="Century Gothic"/>
      <family val="2"/>
    </font>
    <font>
      <b/>
      <sz val="9"/>
      <color rgb="FFFFFFFF"/>
      <name val="Century Gothic"/>
      <family val="2"/>
    </font>
    <font>
      <sz val="10"/>
      <color rgb="FF0070C0"/>
      <name val="Century Gothic"/>
      <family val="2"/>
    </font>
    <font>
      <b/>
      <i/>
      <sz val="10"/>
      <color theme="1"/>
      <name val="Century Gothic"/>
      <family val="2"/>
    </font>
    <font>
      <b/>
      <sz val="10"/>
      <name val="Times New Roman"/>
      <family val="1"/>
    </font>
    <font>
      <i/>
      <sz val="10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rgb="FFCCCCCC"/>
      </patternFill>
    </fill>
    <fill>
      <patternFill patternType="solid">
        <fgColor rgb="FF0070C0"/>
        <bgColor indexed="64"/>
      </patternFill>
    </fill>
    <fill>
      <patternFill patternType="solid">
        <fgColor rgb="FF0098CD"/>
        <bgColor indexed="64"/>
      </patternFill>
    </fill>
    <fill>
      <patternFill patternType="solid">
        <fgColor rgb="FFCCEAF6"/>
        <bgColor indexed="64"/>
      </patternFill>
    </fill>
    <fill>
      <patternFill patternType="solid">
        <fgColor rgb="FF99D6EC"/>
        <bgColor indexed="64"/>
      </patternFill>
    </fill>
    <fill>
      <patternFill patternType="solid">
        <fgColor rgb="FF0079A7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rgb="FFFFFFFF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5" fillId="0" borderId="1" xfId="0" applyFont="1" applyBorder="1"/>
    <xf numFmtId="0" fontId="2" fillId="2" borderId="6" xfId="0" applyFont="1" applyFill="1" applyBorder="1" applyAlignment="1">
      <alignment vertical="top" wrapText="1"/>
    </xf>
    <xf numFmtId="0" fontId="6" fillId="3" borderId="17" xfId="0" applyFont="1" applyFill="1" applyBorder="1" applyAlignment="1">
      <alignment horizontal="center"/>
    </xf>
    <xf numFmtId="0" fontId="2" fillId="0" borderId="17" xfId="0" applyFont="1" applyBorder="1"/>
    <xf numFmtId="166" fontId="2" fillId="0" borderId="17" xfId="0" applyNumberFormat="1" applyFont="1" applyBorder="1"/>
    <xf numFmtId="167" fontId="2" fillId="0" borderId="0" xfId="0" applyNumberFormat="1" applyFont="1"/>
    <xf numFmtId="0" fontId="3" fillId="0" borderId="17" xfId="0" applyFont="1" applyBorder="1"/>
    <xf numFmtId="167" fontId="2" fillId="0" borderId="17" xfId="0" applyNumberFormat="1" applyFont="1" applyBorder="1"/>
    <xf numFmtId="0" fontId="2" fillId="0" borderId="2" xfId="0" applyFont="1" applyBorder="1"/>
    <xf numFmtId="0" fontId="2" fillId="0" borderId="3" xfId="0" applyFont="1" applyFill="1" applyBorder="1" applyAlignment="1">
      <alignment horizontal="left" vertical="top" wrapText="1"/>
    </xf>
    <xf numFmtId="0" fontId="2" fillId="0" borderId="4" xfId="0" applyFont="1" applyFill="1" applyBorder="1" applyAlignment="1">
      <alignment vertical="top" wrapText="1"/>
    </xf>
    <xf numFmtId="164" fontId="9" fillId="0" borderId="5" xfId="0" applyNumberFormat="1" applyFont="1" applyFill="1" applyBorder="1" applyAlignment="1">
      <alignment horizontal="center" vertical="top" wrapText="1"/>
    </xf>
    <xf numFmtId="164" fontId="9" fillId="0" borderId="7" xfId="0" applyNumberFormat="1" applyFont="1" applyFill="1" applyBorder="1" applyAlignment="1">
      <alignment horizontal="center" vertical="top" wrapText="1"/>
    </xf>
    <xf numFmtId="0" fontId="2" fillId="2" borderId="8" xfId="0" applyFont="1" applyFill="1" applyBorder="1" applyAlignment="1">
      <alignment vertical="top" wrapText="1"/>
    </xf>
    <xf numFmtId="164" fontId="9" fillId="0" borderId="9" xfId="0" applyNumberFormat="1" applyFont="1" applyFill="1" applyBorder="1" applyAlignment="1">
      <alignment horizontal="center" vertical="top" wrapText="1"/>
    </xf>
    <xf numFmtId="164" fontId="9" fillId="0" borderId="11" xfId="0" applyNumberFormat="1" applyFont="1" applyFill="1" applyBorder="1" applyAlignment="1">
      <alignment horizontal="center" vertical="top" wrapText="1"/>
    </xf>
    <xf numFmtId="164" fontId="9" fillId="0" borderId="13" xfId="0" applyNumberFormat="1" applyFont="1" applyFill="1" applyBorder="1" applyAlignment="1">
      <alignment horizontal="center" vertical="top" wrapText="1"/>
    </xf>
    <xf numFmtId="164" fontId="9" fillId="0" borderId="15" xfId="0" applyNumberFormat="1" applyFont="1" applyFill="1" applyBorder="1" applyAlignment="1">
      <alignment horizontal="center" vertical="top" wrapText="1"/>
    </xf>
    <xf numFmtId="167" fontId="2" fillId="0" borderId="17" xfId="0" applyNumberFormat="1" applyFont="1" applyBorder="1" applyAlignment="1">
      <alignment horizontal="center"/>
    </xf>
    <xf numFmtId="0" fontId="2" fillId="0" borderId="19" xfId="0" applyFont="1" applyBorder="1"/>
    <xf numFmtId="167" fontId="2" fillId="0" borderId="19" xfId="0" applyNumberFormat="1" applyFont="1" applyBorder="1" applyAlignment="1">
      <alignment horizontal="center"/>
    </xf>
    <xf numFmtId="167" fontId="2" fillId="0" borderId="9" xfId="0" applyNumberFormat="1" applyFont="1" applyBorder="1" applyAlignment="1">
      <alignment horizontal="center"/>
    </xf>
    <xf numFmtId="167" fontId="2" fillId="0" borderId="19" xfId="0" applyNumberFormat="1" applyFont="1" applyBorder="1"/>
    <xf numFmtId="167" fontId="2" fillId="0" borderId="18" xfId="0" applyNumberFormat="1" applyFont="1" applyBorder="1" applyAlignment="1">
      <alignment horizontal="center"/>
    </xf>
    <xf numFmtId="8" fontId="2" fillId="0" borderId="0" xfId="0" applyNumberFormat="1" applyFont="1"/>
    <xf numFmtId="168" fontId="10" fillId="0" borderId="0" xfId="0" applyNumberFormat="1" applyFont="1"/>
    <xf numFmtId="0" fontId="11" fillId="0" borderId="0" xfId="0" applyFont="1"/>
    <xf numFmtId="6" fontId="11" fillId="0" borderId="0" xfId="0" applyNumberFormat="1" applyFont="1"/>
    <xf numFmtId="165" fontId="11" fillId="0" borderId="8" xfId="0" applyNumberFormat="1" applyFont="1" applyFill="1" applyBorder="1" applyAlignment="1">
      <alignment vertical="top" wrapText="1"/>
    </xf>
    <xf numFmtId="165" fontId="11" fillId="0" borderId="10" xfId="0" applyNumberFormat="1" applyFont="1" applyFill="1" applyBorder="1" applyAlignment="1">
      <alignment vertical="top" wrapText="1"/>
    </xf>
    <xf numFmtId="165" fontId="11" fillId="0" borderId="12" xfId="0" applyNumberFormat="1" applyFont="1" applyFill="1" applyBorder="1" applyAlignment="1">
      <alignment horizontal="right" vertical="top" wrapText="1"/>
    </xf>
    <xf numFmtId="165" fontId="11" fillId="0" borderId="14" xfId="0" applyNumberFormat="1" applyFont="1" applyFill="1" applyBorder="1" applyAlignment="1">
      <alignment horizontal="right" vertical="top" wrapText="1"/>
    </xf>
    <xf numFmtId="165" fontId="11" fillId="0" borderId="16" xfId="0" applyNumberFormat="1" applyFont="1" applyFill="1" applyBorder="1" applyAlignment="1">
      <alignment horizontal="right" vertical="top" wrapText="1"/>
    </xf>
    <xf numFmtId="0" fontId="11" fillId="0" borderId="0" xfId="0" applyFont="1" applyAlignment="1">
      <alignment horizontal="right"/>
    </xf>
    <xf numFmtId="169" fontId="11" fillId="0" borderId="0" xfId="0" applyNumberFormat="1" applyFont="1"/>
    <xf numFmtId="0" fontId="12" fillId="4" borderId="20" xfId="0" applyFont="1" applyFill="1" applyBorder="1" applyAlignment="1">
      <alignment horizontal="center" vertical="center" wrapText="1"/>
    </xf>
    <xf numFmtId="0" fontId="12" fillId="4" borderId="0" xfId="0" applyFont="1" applyFill="1" applyAlignment="1">
      <alignment horizontal="center" vertical="center" wrapText="1"/>
    </xf>
    <xf numFmtId="0" fontId="9" fillId="5" borderId="20" xfId="0" applyFont="1" applyFill="1" applyBorder="1" applyAlignment="1">
      <alignment horizontal="center" vertical="center"/>
    </xf>
    <xf numFmtId="0" fontId="9" fillId="6" borderId="20" xfId="0" applyFont="1" applyFill="1" applyBorder="1" applyAlignment="1">
      <alignment horizontal="center" vertical="center"/>
    </xf>
    <xf numFmtId="0" fontId="13" fillId="0" borderId="0" xfId="0" applyFont="1" applyAlignment="1">
      <alignment vertical="center"/>
    </xf>
    <xf numFmtId="1" fontId="9" fillId="5" borderId="0" xfId="0" applyNumberFormat="1" applyFont="1" applyFill="1" applyAlignment="1">
      <alignment horizontal="center" vertical="center"/>
    </xf>
    <xf numFmtId="1" fontId="9" fillId="6" borderId="0" xfId="0" applyNumberFormat="1" applyFont="1" applyFill="1" applyAlignment="1">
      <alignment horizontal="center" vertical="center"/>
    </xf>
    <xf numFmtId="1" fontId="9" fillId="5" borderId="20" xfId="0" applyNumberFormat="1" applyFont="1" applyFill="1" applyBorder="1" applyAlignment="1">
      <alignment horizontal="center" vertical="center"/>
    </xf>
    <xf numFmtId="1" fontId="9" fillId="6" borderId="20" xfId="0" applyNumberFormat="1" applyFont="1" applyFill="1" applyBorder="1" applyAlignment="1">
      <alignment horizontal="center" vertical="center"/>
    </xf>
    <xf numFmtId="0" fontId="12" fillId="8" borderId="0" xfId="0" applyFont="1" applyFill="1" applyAlignment="1">
      <alignment horizontal="center" vertical="center" wrapText="1"/>
    </xf>
    <xf numFmtId="0" fontId="12" fillId="8" borderId="20" xfId="0" applyFont="1" applyFill="1" applyBorder="1" applyAlignment="1">
      <alignment horizontal="center" vertical="center" wrapText="1"/>
    </xf>
    <xf numFmtId="0" fontId="4" fillId="3" borderId="18" xfId="0" applyFont="1" applyFill="1" applyBorder="1" applyAlignment="1"/>
    <xf numFmtId="0" fontId="4" fillId="3" borderId="21" xfId="0" applyFont="1" applyFill="1" applyBorder="1" applyAlignment="1"/>
    <xf numFmtId="0" fontId="6" fillId="3" borderId="19" xfId="0" applyFont="1" applyFill="1" applyBorder="1" applyAlignment="1">
      <alignment horizontal="left"/>
    </xf>
    <xf numFmtId="0" fontId="6" fillId="3" borderId="19" xfId="0" applyFont="1" applyFill="1" applyBorder="1" applyAlignment="1">
      <alignment horizontal="left" wrapText="1"/>
    </xf>
    <xf numFmtId="0" fontId="2" fillId="0" borderId="0" xfId="0" applyFont="1" applyAlignment="1">
      <alignment horizontal="left"/>
    </xf>
    <xf numFmtId="0" fontId="15" fillId="0" borderId="0" xfId="0" applyFont="1"/>
    <xf numFmtId="9" fontId="15" fillId="0" borderId="0" xfId="0" applyNumberFormat="1" applyFont="1"/>
    <xf numFmtId="6" fontId="15" fillId="0" borderId="0" xfId="0" applyNumberFormat="1" applyFont="1"/>
    <xf numFmtId="0" fontId="3" fillId="0" borderId="17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4" fillId="3" borderId="17" xfId="0" applyFont="1" applyFill="1" applyBorder="1" applyAlignment="1"/>
    <xf numFmtId="0" fontId="6" fillId="3" borderId="8" xfId="0" applyFont="1" applyFill="1" applyBorder="1" applyAlignment="1">
      <alignment horizontal="center" vertical="center"/>
    </xf>
    <xf numFmtId="0" fontId="6" fillId="3" borderId="10" xfId="0" applyFont="1" applyFill="1" applyBorder="1" applyAlignment="1">
      <alignment horizontal="center" vertical="center"/>
    </xf>
    <xf numFmtId="0" fontId="4" fillId="3" borderId="18" xfId="0" applyFont="1" applyFill="1" applyBorder="1" applyAlignment="1">
      <alignment horizontal="center"/>
    </xf>
    <xf numFmtId="0" fontId="4" fillId="3" borderId="21" xfId="0" applyFont="1" applyFill="1" applyBorder="1" applyAlignment="1">
      <alignment horizontal="center"/>
    </xf>
    <xf numFmtId="0" fontId="14" fillId="7" borderId="22" xfId="0" applyFont="1" applyFill="1" applyBorder="1" applyAlignment="1">
      <alignment vertical="center" wrapText="1"/>
    </xf>
    <xf numFmtId="0" fontId="12" fillId="4" borderId="23" xfId="0" applyFont="1" applyFill="1" applyBorder="1" applyAlignment="1">
      <alignment horizontal="center" vertical="center" wrapText="1"/>
    </xf>
    <xf numFmtId="0" fontId="12" fillId="4" borderId="0" xfId="0" applyFont="1" applyFill="1" applyBorder="1" applyAlignment="1">
      <alignment horizontal="center" vertical="center" wrapText="1"/>
    </xf>
    <xf numFmtId="0" fontId="12" fillId="4" borderId="20" xfId="0" applyFont="1" applyFill="1" applyBorder="1" applyAlignment="1">
      <alignment horizontal="center" vertical="center" wrapText="1"/>
    </xf>
    <xf numFmtId="0" fontId="16" fillId="0" borderId="0" xfId="0" applyFont="1"/>
    <xf numFmtId="0" fontId="17" fillId="9" borderId="0" xfId="0" applyFont="1" applyFill="1" applyAlignment="1">
      <alignment horizontal="center"/>
    </xf>
    <xf numFmtId="0" fontId="18" fillId="9" borderId="24" xfId="0" applyFont="1" applyFill="1" applyBorder="1" applyAlignment="1">
      <alignment horizontal="center" vertical="center"/>
    </xf>
    <xf numFmtId="0" fontId="18" fillId="9" borderId="1" xfId="0" applyFont="1" applyFill="1" applyBorder="1" applyAlignment="1">
      <alignment horizontal="center" vertical="center"/>
    </xf>
    <xf numFmtId="0" fontId="18" fillId="9" borderId="2" xfId="0" applyFont="1" applyFill="1" applyBorder="1" applyAlignment="1">
      <alignment horizontal="center" vertical="center"/>
    </xf>
    <xf numFmtId="0" fontId="6" fillId="3" borderId="9" xfId="0" applyFont="1" applyFill="1" applyBorder="1" applyAlignment="1">
      <alignment horizontal="left"/>
    </xf>
    <xf numFmtId="0" fontId="2" fillId="0" borderId="9" xfId="0" applyFont="1" applyBorder="1"/>
    <xf numFmtId="8" fontId="2" fillId="0" borderId="25" xfId="0" applyNumberFormat="1" applyFont="1" applyBorder="1"/>
    <xf numFmtId="0" fontId="2" fillId="0" borderId="7" xfId="0" applyFont="1" applyBorder="1"/>
    <xf numFmtId="8" fontId="2" fillId="0" borderId="8" xfId="0" applyNumberFormat="1" applyFont="1" applyBorder="1"/>
    <xf numFmtId="0" fontId="2" fillId="0" borderId="18" xfId="0" applyFont="1" applyBorder="1"/>
    <xf numFmtId="167" fontId="2" fillId="0" borderId="7" xfId="0" applyNumberFormat="1" applyFont="1" applyBorder="1"/>
    <xf numFmtId="167" fontId="2" fillId="0" borderId="9" xfId="0" applyNumberFormat="1" applyFont="1" applyBorder="1"/>
    <xf numFmtId="0" fontId="2" fillId="0" borderId="10" xfId="0" applyFont="1" applyBorder="1"/>
    <xf numFmtId="0" fontId="2" fillId="0" borderId="0" xfId="0" applyFont="1" applyBorder="1"/>
    <xf numFmtId="167" fontId="2" fillId="0" borderId="0" xfId="0" applyNumberFormat="1" applyFont="1" applyBorder="1"/>
    <xf numFmtId="167" fontId="2" fillId="0" borderId="0" xfId="0" applyNumberFormat="1" applyFont="1" applyBorder="1" applyAlignment="1">
      <alignment horizontal="center"/>
    </xf>
    <xf numFmtId="170" fontId="2" fillId="0" borderId="7" xfId="0" applyNumberFormat="1" applyFont="1" applyBorder="1"/>
    <xf numFmtId="170" fontId="2" fillId="0" borderId="9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H19" sqref="H19"/>
    </sheetView>
  </sheetViews>
  <sheetFormatPr defaultRowHeight="13.5" x14ac:dyDescent="0.25"/>
  <cols>
    <col min="1" max="16384" width="9.140625" style="2"/>
  </cols>
  <sheetData>
    <row r="1" spans="1:1" ht="15" x14ac:dyDescent="0.25">
      <c r="A1" s="1" t="s">
        <v>63</v>
      </c>
    </row>
    <row r="2" spans="1:1" x14ac:dyDescent="0.25">
      <c r="A2" s="2" t="s">
        <v>95</v>
      </c>
    </row>
    <row r="3" spans="1:1" x14ac:dyDescent="0.25">
      <c r="A3" s="2" t="s">
        <v>103</v>
      </c>
    </row>
    <row r="4" spans="1:1" x14ac:dyDescent="0.25">
      <c r="A4" s="2" t="s">
        <v>68</v>
      </c>
    </row>
    <row r="5" spans="1:1" x14ac:dyDescent="0.25">
      <c r="A5" s="2" t="s">
        <v>69</v>
      </c>
    </row>
    <row r="6" spans="1:1" x14ac:dyDescent="0.25">
      <c r="A6" s="2" t="s">
        <v>98</v>
      </c>
    </row>
    <row r="7" spans="1:1" x14ac:dyDescent="0.25">
      <c r="A7" s="2" t="s">
        <v>99</v>
      </c>
    </row>
    <row r="8" spans="1:1" x14ac:dyDescent="0.25">
      <c r="A8" s="2" t="s">
        <v>96</v>
      </c>
    </row>
    <row r="9" spans="1:1" x14ac:dyDescent="0.25">
      <c r="A9" s="2" t="s">
        <v>97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0"/>
  <sheetViews>
    <sheetView workbookViewId="0">
      <selection activeCell="B6" sqref="B6"/>
    </sheetView>
  </sheetViews>
  <sheetFormatPr defaultRowHeight="13.5" x14ac:dyDescent="0.25"/>
  <cols>
    <col min="1" max="1" width="27.7109375" style="2" customWidth="1"/>
    <col min="2" max="2" width="10.28515625" style="2" bestFit="1" customWidth="1"/>
    <col min="3" max="16384" width="9.140625" style="2"/>
  </cols>
  <sheetData>
    <row r="1" spans="1:2" ht="15" x14ac:dyDescent="0.25">
      <c r="A1" s="1" t="s">
        <v>64</v>
      </c>
    </row>
    <row r="2" spans="1:2" x14ac:dyDescent="0.25">
      <c r="A2" s="2" t="s">
        <v>65</v>
      </c>
    </row>
    <row r="3" spans="1:2" x14ac:dyDescent="0.25">
      <c r="A3" s="2" t="s">
        <v>19</v>
      </c>
      <c r="B3" s="37" t="s">
        <v>20</v>
      </c>
    </row>
    <row r="4" spans="1:2" x14ac:dyDescent="0.25">
      <c r="A4" s="2" t="s">
        <v>21</v>
      </c>
      <c r="B4" s="30">
        <v>45</v>
      </c>
    </row>
    <row r="5" spans="1:2" x14ac:dyDescent="0.25">
      <c r="A5" s="2" t="s">
        <v>22</v>
      </c>
      <c r="B5" s="31">
        <v>400000</v>
      </c>
    </row>
    <row r="6" spans="1:2" x14ac:dyDescent="0.25">
      <c r="A6" s="2" t="s">
        <v>76</v>
      </c>
      <c r="B6" s="38">
        <v>0.15865000000000001</v>
      </c>
    </row>
    <row r="8" spans="1:2" x14ac:dyDescent="0.25">
      <c r="A8" s="2" t="s">
        <v>66</v>
      </c>
    </row>
    <row r="9" spans="1:2" x14ac:dyDescent="0.25">
      <c r="A9" s="4" t="s">
        <v>23</v>
      </c>
      <c r="B9" s="12"/>
    </row>
    <row r="10" spans="1:2" ht="27" x14ac:dyDescent="0.25">
      <c r="A10" s="13" t="s">
        <v>61</v>
      </c>
      <c r="B10" s="14" t="s">
        <v>62</v>
      </c>
    </row>
    <row r="11" spans="1:2" x14ac:dyDescent="0.25">
      <c r="A11" s="15">
        <v>0</v>
      </c>
      <c r="B11" s="5"/>
    </row>
    <row r="12" spans="1:2" x14ac:dyDescent="0.25">
      <c r="A12" s="16">
        <v>1</v>
      </c>
      <c r="B12" s="17"/>
    </row>
    <row r="13" spans="1:2" x14ac:dyDescent="0.25">
      <c r="A13" s="16">
        <v>2</v>
      </c>
      <c r="B13" s="17"/>
    </row>
    <row r="14" spans="1:2" x14ac:dyDescent="0.25">
      <c r="A14" s="16">
        <v>3</v>
      </c>
      <c r="B14" s="17"/>
    </row>
    <row r="15" spans="1:2" x14ac:dyDescent="0.25">
      <c r="A15" s="16">
        <v>4</v>
      </c>
      <c r="B15" s="17"/>
    </row>
    <row r="16" spans="1:2" x14ac:dyDescent="0.25">
      <c r="A16" s="16">
        <v>5</v>
      </c>
      <c r="B16" s="17"/>
    </row>
    <row r="17" spans="1:2" x14ac:dyDescent="0.25">
      <c r="A17" s="16">
        <v>6</v>
      </c>
      <c r="B17" s="17"/>
    </row>
    <row r="18" spans="1:2" x14ac:dyDescent="0.25">
      <c r="A18" s="16">
        <v>7</v>
      </c>
      <c r="B18" s="17"/>
    </row>
    <row r="19" spans="1:2" x14ac:dyDescent="0.25">
      <c r="A19" s="16">
        <v>8</v>
      </c>
      <c r="B19" s="17"/>
    </row>
    <row r="20" spans="1:2" x14ac:dyDescent="0.25">
      <c r="A20" s="16">
        <v>9</v>
      </c>
      <c r="B20" s="17"/>
    </row>
    <row r="21" spans="1:2" x14ac:dyDescent="0.25">
      <c r="A21" s="16">
        <v>10</v>
      </c>
      <c r="B21" s="17"/>
    </row>
    <row r="22" spans="1:2" x14ac:dyDescent="0.25">
      <c r="A22" s="16">
        <v>11</v>
      </c>
      <c r="B22" s="17"/>
    </row>
    <row r="23" spans="1:2" x14ac:dyDescent="0.25">
      <c r="A23" s="16">
        <v>12</v>
      </c>
      <c r="B23" s="17"/>
    </row>
    <row r="24" spans="1:2" x14ac:dyDescent="0.25">
      <c r="A24" s="16">
        <v>13</v>
      </c>
      <c r="B24" s="17"/>
    </row>
    <row r="25" spans="1:2" x14ac:dyDescent="0.25">
      <c r="A25" s="16">
        <v>14</v>
      </c>
      <c r="B25" s="17"/>
    </row>
    <row r="26" spans="1:2" x14ac:dyDescent="0.25">
      <c r="A26" s="16">
        <v>15</v>
      </c>
      <c r="B26" s="32">
        <v>4.0999999999999999E-4</v>
      </c>
    </row>
    <row r="27" spans="1:2" x14ac:dyDescent="0.25">
      <c r="A27" s="16">
        <v>16</v>
      </c>
      <c r="B27" s="32">
        <v>5.1999999999999995E-4</v>
      </c>
    </row>
    <row r="28" spans="1:2" x14ac:dyDescent="0.25">
      <c r="A28" s="16">
        <v>17</v>
      </c>
      <c r="B28" s="32">
        <v>6.2E-4</v>
      </c>
    </row>
    <row r="29" spans="1:2" x14ac:dyDescent="0.25">
      <c r="A29" s="16">
        <v>18</v>
      </c>
      <c r="B29" s="32">
        <v>6.9999999999999999E-4</v>
      </c>
    </row>
    <row r="30" spans="1:2" x14ac:dyDescent="0.25">
      <c r="A30" s="16">
        <v>19</v>
      </c>
      <c r="B30" s="32">
        <v>7.7999999999999999E-4</v>
      </c>
    </row>
    <row r="31" spans="1:2" x14ac:dyDescent="0.25">
      <c r="A31" s="16">
        <v>20</v>
      </c>
      <c r="B31" s="32">
        <v>8.3000000000000001E-4</v>
      </c>
    </row>
    <row r="32" spans="1:2" x14ac:dyDescent="0.25">
      <c r="A32" s="16">
        <v>21</v>
      </c>
      <c r="B32" s="32">
        <v>8.7000000000000001E-4</v>
      </c>
    </row>
    <row r="33" spans="1:2" x14ac:dyDescent="0.25">
      <c r="A33" s="16">
        <v>22</v>
      </c>
      <c r="B33" s="32">
        <v>8.8999999999999995E-4</v>
      </c>
    </row>
    <row r="34" spans="1:2" x14ac:dyDescent="0.25">
      <c r="A34" s="16">
        <v>23</v>
      </c>
      <c r="B34" s="32">
        <v>8.9999999999999998E-4</v>
      </c>
    </row>
    <row r="35" spans="1:2" x14ac:dyDescent="0.25">
      <c r="A35" s="18">
        <v>24</v>
      </c>
      <c r="B35" s="33">
        <v>8.9999999999999998E-4</v>
      </c>
    </row>
    <row r="36" spans="1:2" x14ac:dyDescent="0.25">
      <c r="A36" s="19">
        <v>25</v>
      </c>
      <c r="B36" s="34">
        <v>8.8999999999999995E-4</v>
      </c>
    </row>
    <row r="37" spans="1:2" x14ac:dyDescent="0.25">
      <c r="A37" s="19">
        <v>26</v>
      </c>
      <c r="B37" s="34">
        <v>8.8000000000000003E-4</v>
      </c>
    </row>
    <row r="38" spans="1:2" x14ac:dyDescent="0.25">
      <c r="A38" s="19">
        <v>27</v>
      </c>
      <c r="B38" s="34">
        <v>8.5999999999999998E-4</v>
      </c>
    </row>
    <row r="39" spans="1:2" x14ac:dyDescent="0.25">
      <c r="A39" s="19">
        <v>28</v>
      </c>
      <c r="B39" s="34">
        <v>8.4000000000000003E-4</v>
      </c>
    </row>
    <row r="40" spans="1:2" x14ac:dyDescent="0.25">
      <c r="A40" s="19">
        <v>29</v>
      </c>
      <c r="B40" s="34">
        <v>8.1999999999999998E-4</v>
      </c>
    </row>
    <row r="41" spans="1:2" x14ac:dyDescent="0.25">
      <c r="A41" s="19">
        <v>30</v>
      </c>
      <c r="B41" s="34">
        <v>8.0000000000000004E-4</v>
      </c>
    </row>
    <row r="42" spans="1:2" x14ac:dyDescent="0.25">
      <c r="A42" s="19">
        <v>31</v>
      </c>
      <c r="B42" s="34">
        <v>7.6999999999999996E-4</v>
      </c>
    </row>
    <row r="43" spans="1:2" x14ac:dyDescent="0.25">
      <c r="A43" s="19">
        <v>32</v>
      </c>
      <c r="B43" s="34">
        <v>7.5000000000000002E-4</v>
      </c>
    </row>
    <row r="44" spans="1:2" x14ac:dyDescent="0.25">
      <c r="A44" s="19">
        <v>33</v>
      </c>
      <c r="B44" s="34">
        <v>7.3999999999999999E-4</v>
      </c>
    </row>
    <row r="45" spans="1:2" x14ac:dyDescent="0.25">
      <c r="A45" s="19">
        <v>34</v>
      </c>
      <c r="B45" s="34">
        <v>7.3999999999999999E-4</v>
      </c>
    </row>
    <row r="46" spans="1:2" x14ac:dyDescent="0.25">
      <c r="A46" s="19">
        <v>35</v>
      </c>
      <c r="B46" s="34">
        <v>7.5000000000000002E-4</v>
      </c>
    </row>
    <row r="47" spans="1:2" x14ac:dyDescent="0.25">
      <c r="A47" s="19">
        <v>36</v>
      </c>
      <c r="B47" s="34">
        <v>7.6000000000000004E-4</v>
      </c>
    </row>
    <row r="48" spans="1:2" x14ac:dyDescent="0.25">
      <c r="A48" s="19">
        <v>37</v>
      </c>
      <c r="B48" s="34">
        <v>7.7999999999999999E-4</v>
      </c>
    </row>
    <row r="49" spans="1:2" x14ac:dyDescent="0.25">
      <c r="A49" s="19">
        <v>38</v>
      </c>
      <c r="B49" s="34">
        <v>8.0999999999999996E-4</v>
      </c>
    </row>
    <row r="50" spans="1:2" x14ac:dyDescent="0.25">
      <c r="A50" s="19">
        <v>39</v>
      </c>
      <c r="B50" s="34">
        <v>8.4999999999999995E-4</v>
      </c>
    </row>
    <row r="51" spans="1:2" x14ac:dyDescent="0.25">
      <c r="A51" s="19">
        <v>40</v>
      </c>
      <c r="B51" s="34">
        <v>8.8999999999999995E-4</v>
      </c>
    </row>
    <row r="52" spans="1:2" x14ac:dyDescent="0.25">
      <c r="A52" s="19">
        <v>41</v>
      </c>
      <c r="B52" s="34">
        <v>9.3999999999999997E-4</v>
      </c>
    </row>
    <row r="53" spans="1:2" x14ac:dyDescent="0.25">
      <c r="A53" s="19">
        <v>42</v>
      </c>
      <c r="B53" s="34">
        <v>1.01E-3</v>
      </c>
    </row>
    <row r="54" spans="1:2" x14ac:dyDescent="0.25">
      <c r="A54" s="19">
        <v>43</v>
      </c>
      <c r="B54" s="34">
        <v>1.08E-3</v>
      </c>
    </row>
    <row r="55" spans="1:2" x14ac:dyDescent="0.25">
      <c r="A55" s="19">
        <v>44</v>
      </c>
      <c r="B55" s="34">
        <v>1.16E-3</v>
      </c>
    </row>
    <row r="56" spans="1:2" x14ac:dyDescent="0.25">
      <c r="A56" s="19">
        <v>45</v>
      </c>
      <c r="B56" s="34">
        <v>1.2600000000000001E-3</v>
      </c>
    </row>
    <row r="57" spans="1:2" x14ac:dyDescent="0.25">
      <c r="A57" s="19">
        <v>46</v>
      </c>
      <c r="B57" s="34">
        <v>1.3699999999999999E-3</v>
      </c>
    </row>
    <row r="58" spans="1:2" x14ac:dyDescent="0.25">
      <c r="A58" s="19">
        <v>47</v>
      </c>
      <c r="B58" s="34">
        <v>1.5E-3</v>
      </c>
    </row>
    <row r="59" spans="1:2" x14ac:dyDescent="0.25">
      <c r="A59" s="19">
        <v>48</v>
      </c>
      <c r="B59" s="34">
        <v>1.65E-3</v>
      </c>
    </row>
    <row r="60" spans="1:2" x14ac:dyDescent="0.25">
      <c r="A60" s="20">
        <v>49</v>
      </c>
      <c r="B60" s="35">
        <v>1.83E-3</v>
      </c>
    </row>
    <row r="61" spans="1:2" x14ac:dyDescent="0.25">
      <c r="A61" s="21">
        <v>50</v>
      </c>
      <c r="B61" s="36">
        <v>2.0300000000000001E-3</v>
      </c>
    </row>
    <row r="62" spans="1:2" x14ac:dyDescent="0.25">
      <c r="A62" s="19">
        <v>51</v>
      </c>
      <c r="B62" s="34">
        <v>2.2599999999999999E-3</v>
      </c>
    </row>
    <row r="63" spans="1:2" x14ac:dyDescent="0.25">
      <c r="A63" s="19">
        <v>52</v>
      </c>
      <c r="B63" s="34">
        <v>2.5200000000000001E-3</v>
      </c>
    </row>
    <row r="64" spans="1:2" x14ac:dyDescent="0.25">
      <c r="A64" s="19">
        <v>53</v>
      </c>
      <c r="B64" s="34">
        <v>2.82E-3</v>
      </c>
    </row>
    <row r="65" spans="1:2" x14ac:dyDescent="0.25">
      <c r="A65" s="19">
        <v>54</v>
      </c>
      <c r="B65" s="34">
        <v>3.15E-3</v>
      </c>
    </row>
    <row r="66" spans="1:2" x14ac:dyDescent="0.25">
      <c r="A66" s="19">
        <v>55</v>
      </c>
      <c r="B66" s="34">
        <v>3.5200000000000001E-3</v>
      </c>
    </row>
    <row r="67" spans="1:2" x14ac:dyDescent="0.25">
      <c r="A67" s="19">
        <v>56</v>
      </c>
      <c r="B67" s="34">
        <v>3.9300000000000003E-3</v>
      </c>
    </row>
    <row r="68" spans="1:2" x14ac:dyDescent="0.25">
      <c r="A68" s="19">
        <v>57</v>
      </c>
      <c r="B68" s="34">
        <v>4.3899999999999998E-3</v>
      </c>
    </row>
    <row r="69" spans="1:2" x14ac:dyDescent="0.25">
      <c r="A69" s="19">
        <v>58</v>
      </c>
      <c r="B69" s="34">
        <v>4.9100000000000003E-3</v>
      </c>
    </row>
    <row r="70" spans="1:2" x14ac:dyDescent="0.25">
      <c r="A70" s="19">
        <v>59</v>
      </c>
      <c r="B70" s="34">
        <v>5.5100000000000001E-3</v>
      </c>
    </row>
    <row r="71" spans="1:2" x14ac:dyDescent="0.25">
      <c r="A71" s="19">
        <v>60</v>
      </c>
      <c r="B71" s="34">
        <v>6.1999999999999998E-3</v>
      </c>
    </row>
    <row r="72" spans="1:2" x14ac:dyDescent="0.25">
      <c r="A72" s="19">
        <v>61</v>
      </c>
      <c r="B72" s="34">
        <v>7.0000000000000001E-3</v>
      </c>
    </row>
    <row r="73" spans="1:2" x14ac:dyDescent="0.25">
      <c r="A73" s="19">
        <v>62</v>
      </c>
      <c r="B73" s="34">
        <v>7.92E-3</v>
      </c>
    </row>
    <row r="74" spans="1:2" x14ac:dyDescent="0.25">
      <c r="A74" s="19">
        <v>63</v>
      </c>
      <c r="B74" s="34">
        <v>8.9700000000000005E-3</v>
      </c>
    </row>
    <row r="75" spans="1:2" x14ac:dyDescent="0.25">
      <c r="A75" s="19">
        <v>64</v>
      </c>
      <c r="B75" s="34">
        <v>1.017E-2</v>
      </c>
    </row>
    <row r="76" spans="1:2" x14ac:dyDescent="0.25">
      <c r="A76" s="19">
        <v>65</v>
      </c>
      <c r="B76" s="34">
        <v>1.153E-2</v>
      </c>
    </row>
    <row r="77" spans="1:2" x14ac:dyDescent="0.25">
      <c r="A77" s="19">
        <v>66</v>
      </c>
      <c r="B77" s="34">
        <v>1.306E-2</v>
      </c>
    </row>
    <row r="78" spans="1:2" x14ac:dyDescent="0.25">
      <c r="A78" s="19">
        <v>67</v>
      </c>
      <c r="B78" s="34">
        <v>1.477E-2</v>
      </c>
    </row>
    <row r="79" spans="1:2" x14ac:dyDescent="0.25">
      <c r="A79" s="19">
        <v>68</v>
      </c>
      <c r="B79" s="34">
        <v>1.67E-2</v>
      </c>
    </row>
    <row r="80" spans="1:2" x14ac:dyDescent="0.25">
      <c r="A80" s="19">
        <v>69</v>
      </c>
      <c r="B80" s="34">
        <v>1.8849999999999999E-2</v>
      </c>
    </row>
    <row r="81" spans="1:2" x14ac:dyDescent="0.25">
      <c r="A81" s="19">
        <v>70</v>
      </c>
      <c r="B81" s="34">
        <v>2.1250000000000002E-2</v>
      </c>
    </row>
    <row r="82" spans="1:2" x14ac:dyDescent="0.25">
      <c r="A82" s="19">
        <v>71</v>
      </c>
      <c r="B82" s="34">
        <v>2.393E-2</v>
      </c>
    </row>
    <row r="83" spans="1:2" x14ac:dyDescent="0.25">
      <c r="A83" s="19">
        <v>72</v>
      </c>
      <c r="B83" s="34">
        <v>2.69E-2</v>
      </c>
    </row>
    <row r="84" spans="1:2" x14ac:dyDescent="0.25">
      <c r="A84" s="19">
        <v>73</v>
      </c>
      <c r="B84" s="34">
        <v>3.022E-2</v>
      </c>
    </row>
    <row r="85" spans="1:2" x14ac:dyDescent="0.25">
      <c r="A85" s="20">
        <v>74</v>
      </c>
      <c r="B85" s="35">
        <v>3.39E-2</v>
      </c>
    </row>
    <row r="86" spans="1:2" x14ac:dyDescent="0.25">
      <c r="A86" s="21">
        <v>75</v>
      </c>
      <c r="B86" s="36">
        <v>3.8010000000000002E-2</v>
      </c>
    </row>
    <row r="87" spans="1:2" x14ac:dyDescent="0.25">
      <c r="A87" s="19">
        <v>76</v>
      </c>
      <c r="B87" s="34">
        <v>4.2590000000000003E-2</v>
      </c>
    </row>
    <row r="88" spans="1:2" x14ac:dyDescent="0.25">
      <c r="A88" s="19">
        <v>77</v>
      </c>
      <c r="B88" s="34">
        <v>4.768E-2</v>
      </c>
    </row>
    <row r="89" spans="1:2" x14ac:dyDescent="0.25">
      <c r="A89" s="19">
        <v>78</v>
      </c>
      <c r="B89" s="34">
        <v>5.3350000000000002E-2</v>
      </c>
    </row>
    <row r="90" spans="1:2" x14ac:dyDescent="0.25">
      <c r="A90" s="19">
        <v>79</v>
      </c>
      <c r="B90" s="34">
        <v>5.9659999999999998E-2</v>
      </c>
    </row>
    <row r="91" spans="1:2" x14ac:dyDescent="0.25">
      <c r="A91" s="19">
        <v>80</v>
      </c>
      <c r="B91" s="34">
        <v>6.6650000000000001E-2</v>
      </c>
    </row>
    <row r="92" spans="1:2" x14ac:dyDescent="0.25">
      <c r="A92" s="19">
        <v>81</v>
      </c>
      <c r="B92" s="34">
        <v>7.4380000000000002E-2</v>
      </c>
    </row>
    <row r="93" spans="1:2" x14ac:dyDescent="0.25">
      <c r="A93" s="19">
        <v>82</v>
      </c>
      <c r="B93" s="34">
        <v>8.2839999999999997E-2</v>
      </c>
    </row>
    <row r="94" spans="1:2" x14ac:dyDescent="0.25">
      <c r="A94" s="19">
        <v>83</v>
      </c>
      <c r="B94" s="34">
        <v>9.2030000000000001E-2</v>
      </c>
    </row>
    <row r="95" spans="1:2" x14ac:dyDescent="0.25">
      <c r="A95" s="19">
        <v>84</v>
      </c>
      <c r="B95" s="34">
        <v>0.10188999999999999</v>
      </c>
    </row>
    <row r="96" spans="1:2" x14ac:dyDescent="0.25">
      <c r="A96" s="19">
        <v>85</v>
      </c>
      <c r="B96" s="34">
        <v>0.11239</v>
      </c>
    </row>
    <row r="97" spans="1:2" x14ac:dyDescent="0.25">
      <c r="A97" s="19">
        <v>86</v>
      </c>
      <c r="B97" s="34">
        <v>0.12346</v>
      </c>
    </row>
    <row r="98" spans="1:2" x14ac:dyDescent="0.25">
      <c r="A98" s="19">
        <v>87</v>
      </c>
      <c r="B98" s="34">
        <v>0.13503000000000001</v>
      </c>
    </row>
    <row r="99" spans="1:2" x14ac:dyDescent="0.25">
      <c r="A99" s="19">
        <v>88</v>
      </c>
      <c r="B99" s="34">
        <v>0.14704</v>
      </c>
    </row>
    <row r="100" spans="1:2" x14ac:dyDescent="0.25">
      <c r="A100" s="19">
        <v>89</v>
      </c>
      <c r="B100" s="34">
        <v>0.15939</v>
      </c>
    </row>
    <row r="101" spans="1:2" x14ac:dyDescent="0.25">
      <c r="A101" s="19">
        <v>90</v>
      </c>
      <c r="B101" s="34">
        <v>0.17194000000000001</v>
      </c>
    </row>
    <row r="102" spans="1:2" x14ac:dyDescent="0.25">
      <c r="A102" s="19">
        <v>91</v>
      </c>
      <c r="B102" s="34">
        <v>0.18453</v>
      </c>
    </row>
    <row r="103" spans="1:2" x14ac:dyDescent="0.25">
      <c r="A103" s="19">
        <v>92</v>
      </c>
      <c r="B103" s="34">
        <v>0.19694999999999999</v>
      </c>
    </row>
    <row r="104" spans="1:2" x14ac:dyDescent="0.25">
      <c r="A104" s="19">
        <v>93</v>
      </c>
      <c r="B104" s="34">
        <v>0.20899000000000001</v>
      </c>
    </row>
    <row r="105" spans="1:2" x14ac:dyDescent="0.25">
      <c r="A105" s="19">
        <v>94</v>
      </c>
      <c r="B105" s="34">
        <v>0.22037999999999999</v>
      </c>
    </row>
    <row r="106" spans="1:2" x14ac:dyDescent="0.25">
      <c r="A106" s="19">
        <v>95</v>
      </c>
      <c r="B106" s="34">
        <v>0.23077</v>
      </c>
    </row>
    <row r="107" spans="1:2" x14ac:dyDescent="0.25">
      <c r="A107" s="19">
        <v>96</v>
      </c>
      <c r="B107" s="34">
        <v>0.23987</v>
      </c>
    </row>
    <row r="108" spans="1:2" x14ac:dyDescent="0.25">
      <c r="A108" s="19">
        <v>97</v>
      </c>
      <c r="B108" s="34">
        <v>0.24747</v>
      </c>
    </row>
    <row r="109" spans="1:2" x14ac:dyDescent="0.25">
      <c r="A109" s="19">
        <v>98</v>
      </c>
      <c r="B109" s="34">
        <v>0.25355</v>
      </c>
    </row>
    <row r="110" spans="1:2" x14ac:dyDescent="0.25">
      <c r="A110" s="20">
        <v>99</v>
      </c>
      <c r="B110" s="35">
        <v>0.25835000000000002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"/>
  <sheetViews>
    <sheetView workbookViewId="0">
      <selection activeCell="M7" sqref="M7"/>
    </sheetView>
  </sheetViews>
  <sheetFormatPr defaultRowHeight="13.5" x14ac:dyDescent="0.25"/>
  <cols>
    <col min="1" max="1" width="20.140625" style="2" customWidth="1"/>
    <col min="2" max="2" width="9.140625" style="2"/>
    <col min="3" max="3" width="9.140625" style="2" customWidth="1"/>
    <col min="4" max="5" width="9.140625" style="2"/>
    <col min="6" max="6" width="11" style="2" customWidth="1"/>
    <col min="7" max="11" width="9.140625" style="2"/>
    <col min="12" max="12" width="10.85546875" style="2" customWidth="1"/>
    <col min="13" max="16384" width="9.140625" style="2"/>
  </cols>
  <sheetData>
    <row r="1" spans="1:13" ht="15" x14ac:dyDescent="0.25">
      <c r="A1" s="1" t="s">
        <v>67</v>
      </c>
    </row>
    <row r="3" spans="1:13" x14ac:dyDescent="0.25">
      <c r="A3" s="3" t="s">
        <v>0</v>
      </c>
      <c r="B3" s="2" t="s">
        <v>36</v>
      </c>
      <c r="F3" s="3" t="s">
        <v>37</v>
      </c>
      <c r="L3" s="3" t="s">
        <v>40</v>
      </c>
    </row>
    <row r="5" spans="1:13" x14ac:dyDescent="0.25">
      <c r="A5" s="3" t="s">
        <v>1</v>
      </c>
      <c r="F5" s="2" t="s">
        <v>38</v>
      </c>
      <c r="L5" s="2" t="s">
        <v>41</v>
      </c>
    </row>
    <row r="6" spans="1:13" x14ac:dyDescent="0.25">
      <c r="A6" s="2" t="s">
        <v>5</v>
      </c>
      <c r="B6" s="55" t="s">
        <v>2</v>
      </c>
      <c r="F6" s="2" t="s">
        <v>39</v>
      </c>
      <c r="L6" s="2" t="s">
        <v>42</v>
      </c>
    </row>
    <row r="7" spans="1:13" x14ac:dyDescent="0.25">
      <c r="A7" s="2" t="s">
        <v>6</v>
      </c>
      <c r="B7" s="56">
        <v>0.85</v>
      </c>
      <c r="F7" s="2" t="s">
        <v>59</v>
      </c>
      <c r="G7" s="56">
        <v>0.1</v>
      </c>
      <c r="L7" s="2" t="s">
        <v>60</v>
      </c>
      <c r="M7" s="56">
        <v>0.85</v>
      </c>
    </row>
    <row r="8" spans="1:13" x14ac:dyDescent="0.25">
      <c r="A8" s="2" t="s">
        <v>7</v>
      </c>
      <c r="B8" s="55" t="s">
        <v>8</v>
      </c>
    </row>
    <row r="9" spans="1:13" x14ac:dyDescent="0.25">
      <c r="B9" s="55"/>
    </row>
    <row r="10" spans="1:13" x14ac:dyDescent="0.25">
      <c r="A10" s="3" t="s">
        <v>3</v>
      </c>
      <c r="B10" s="55"/>
    </row>
    <row r="11" spans="1:13" x14ac:dyDescent="0.25">
      <c r="A11" s="2" t="s">
        <v>26</v>
      </c>
      <c r="B11" s="55"/>
    </row>
    <row r="12" spans="1:13" x14ac:dyDescent="0.25">
      <c r="A12" s="2">
        <v>1</v>
      </c>
      <c r="B12" s="56">
        <v>0.12</v>
      </c>
    </row>
    <row r="13" spans="1:13" x14ac:dyDescent="0.25">
      <c r="A13" s="2">
        <f>1+A12</f>
        <v>2</v>
      </c>
      <c r="B13" s="56">
        <v>0.12</v>
      </c>
    </row>
    <row r="14" spans="1:13" x14ac:dyDescent="0.25">
      <c r="A14" s="2">
        <f t="shared" ref="A14:A21" si="0">1+A13</f>
        <v>3</v>
      </c>
      <c r="B14" s="56">
        <v>0.1</v>
      </c>
    </row>
    <row r="15" spans="1:13" x14ac:dyDescent="0.25">
      <c r="A15" s="2">
        <f t="shared" si="0"/>
        <v>4</v>
      </c>
      <c r="B15" s="56">
        <v>0.1</v>
      </c>
    </row>
    <row r="16" spans="1:13" x14ac:dyDescent="0.25">
      <c r="A16" s="2">
        <f t="shared" si="0"/>
        <v>5</v>
      </c>
      <c r="B16" s="56">
        <v>0.1</v>
      </c>
    </row>
    <row r="17" spans="1:3" x14ac:dyDescent="0.25">
      <c r="A17" s="2">
        <f t="shared" si="0"/>
        <v>6</v>
      </c>
      <c r="B17" s="56">
        <v>0.1</v>
      </c>
    </row>
    <row r="18" spans="1:3" x14ac:dyDescent="0.25">
      <c r="A18" s="2">
        <f t="shared" si="0"/>
        <v>7</v>
      </c>
      <c r="B18" s="56">
        <v>0.1</v>
      </c>
    </row>
    <row r="19" spans="1:3" x14ac:dyDescent="0.25">
      <c r="A19" s="2">
        <f t="shared" si="0"/>
        <v>8</v>
      </c>
      <c r="B19" s="56">
        <v>0.1</v>
      </c>
    </row>
    <row r="20" spans="1:3" x14ac:dyDescent="0.25">
      <c r="A20" s="2">
        <f t="shared" si="0"/>
        <v>9</v>
      </c>
      <c r="B20" s="56">
        <v>0.1</v>
      </c>
    </row>
    <row r="21" spans="1:3" x14ac:dyDescent="0.25">
      <c r="A21" s="2">
        <f t="shared" si="0"/>
        <v>10</v>
      </c>
      <c r="B21" s="56">
        <v>0.1</v>
      </c>
    </row>
    <row r="22" spans="1:3" x14ac:dyDescent="0.25">
      <c r="B22" s="55"/>
    </row>
    <row r="23" spans="1:3" x14ac:dyDescent="0.25">
      <c r="A23" s="3" t="s">
        <v>4</v>
      </c>
      <c r="B23" s="55"/>
    </row>
    <row r="24" spans="1:3" x14ac:dyDescent="0.25">
      <c r="A24" s="2" t="s">
        <v>9</v>
      </c>
      <c r="B24" s="57">
        <v>70</v>
      </c>
    </row>
    <row r="25" spans="1:3" x14ac:dyDescent="0.25">
      <c r="A25" s="2" t="s">
        <v>10</v>
      </c>
      <c r="B25" s="57">
        <v>70</v>
      </c>
      <c r="C25" s="2" t="s">
        <v>43</v>
      </c>
    </row>
    <row r="26" spans="1:3" x14ac:dyDescent="0.25">
      <c r="A26" s="2" t="s">
        <v>11</v>
      </c>
      <c r="B26" s="56">
        <v>0.02</v>
      </c>
    </row>
    <row r="27" spans="1:3" x14ac:dyDescent="0.25">
      <c r="B27" s="55"/>
    </row>
    <row r="28" spans="1:3" x14ac:dyDescent="0.25">
      <c r="A28" s="3" t="s">
        <v>12</v>
      </c>
      <c r="B28" s="55"/>
    </row>
    <row r="29" spans="1:3" x14ac:dyDescent="0.25">
      <c r="A29" s="2" t="s">
        <v>13</v>
      </c>
      <c r="B29" s="56">
        <v>0.2</v>
      </c>
      <c r="C29" s="2" t="s">
        <v>14</v>
      </c>
    </row>
    <row r="30" spans="1:3" x14ac:dyDescent="0.25">
      <c r="A30" s="2" t="s">
        <v>10</v>
      </c>
      <c r="B30" s="56">
        <v>0.2</v>
      </c>
      <c r="C30" s="2" t="s">
        <v>15</v>
      </c>
    </row>
    <row r="31" spans="1:3" x14ac:dyDescent="0.25">
      <c r="B31" s="55"/>
    </row>
    <row r="32" spans="1:3" x14ac:dyDescent="0.25">
      <c r="A32" s="3" t="s">
        <v>16</v>
      </c>
      <c r="B32" s="56">
        <v>0.03</v>
      </c>
    </row>
    <row r="33" spans="1:2" x14ac:dyDescent="0.25">
      <c r="B33" s="55"/>
    </row>
    <row r="34" spans="1:2" x14ac:dyDescent="0.25">
      <c r="A34" s="3" t="s">
        <v>17</v>
      </c>
      <c r="B34" s="56">
        <v>0.03</v>
      </c>
    </row>
    <row r="35" spans="1:2" x14ac:dyDescent="0.25">
      <c r="B35" s="55"/>
    </row>
    <row r="36" spans="1:2" x14ac:dyDescent="0.25">
      <c r="A36" s="3" t="s">
        <v>18</v>
      </c>
      <c r="B36" s="56">
        <v>0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activeCell="A16" sqref="A16"/>
    </sheetView>
  </sheetViews>
  <sheetFormatPr defaultRowHeight="15" x14ac:dyDescent="0.25"/>
  <sheetData>
    <row r="1" spans="1:8" x14ac:dyDescent="0.25">
      <c r="A1" s="1" t="s">
        <v>27</v>
      </c>
      <c r="B1" s="1"/>
      <c r="C1" s="2"/>
      <c r="D1" s="2"/>
      <c r="E1" s="2"/>
      <c r="F1" s="2"/>
      <c r="G1" s="2"/>
    </row>
    <row r="2" spans="1:8" x14ac:dyDescent="0.25">
      <c r="A2" s="2"/>
      <c r="B2" s="2"/>
      <c r="C2" s="2"/>
      <c r="D2" s="2"/>
      <c r="E2" s="2"/>
      <c r="F2" s="2"/>
      <c r="G2" s="2"/>
    </row>
    <row r="3" spans="1:8" x14ac:dyDescent="0.25">
      <c r="A3" s="2"/>
      <c r="B3" s="2"/>
      <c r="C3" s="2"/>
      <c r="D3" s="2"/>
      <c r="E3" s="2"/>
      <c r="F3" s="2"/>
      <c r="G3" s="2"/>
    </row>
    <row r="4" spans="1:8" ht="15.75" x14ac:dyDescent="0.3">
      <c r="A4" s="6" t="s">
        <v>24</v>
      </c>
      <c r="B4" s="6" t="s">
        <v>28</v>
      </c>
      <c r="C4" s="6" t="s">
        <v>25</v>
      </c>
      <c r="D4" s="6" t="s">
        <v>29</v>
      </c>
      <c r="E4" s="6" t="s">
        <v>30</v>
      </c>
      <c r="F4" s="6" t="s">
        <v>31</v>
      </c>
      <c r="G4" s="6" t="s">
        <v>32</v>
      </c>
      <c r="H4" s="6" t="s">
        <v>35</v>
      </c>
    </row>
    <row r="5" spans="1:8" x14ac:dyDescent="0.25">
      <c r="A5" s="7">
        <v>1</v>
      </c>
      <c r="B5" s="7">
        <f>VLOOKUP(Data!$B$4 + Decrements!A5 - 1,IA95_97UltM,2)*Factor</f>
        <v>1.0710000000000001E-3</v>
      </c>
      <c r="C5" s="7">
        <f t="shared" ref="C5:C14" si="0">VLOOKUP(A5,lapse_rates,2)</f>
        <v>0.12</v>
      </c>
      <c r="D5" s="8">
        <v>1</v>
      </c>
      <c r="E5" s="8">
        <f>D5*B5</f>
        <v>1.0710000000000001E-3</v>
      </c>
      <c r="F5" s="8">
        <f>(D5-E5)*C5</f>
        <v>0.11987147999999999</v>
      </c>
      <c r="G5" s="8">
        <f>D5-E5-F5</f>
        <v>0.87905751999999993</v>
      </c>
      <c r="H5" s="8">
        <f>G5/D5</f>
        <v>0.87905751999999993</v>
      </c>
    </row>
    <row r="6" spans="1:8" x14ac:dyDescent="0.25">
      <c r="A6" s="7">
        <f>1+A5</f>
        <v>2</v>
      </c>
      <c r="B6" s="7">
        <f>VLOOKUP(Data!$B$4 + Decrements!A6 - 1,IA95_97UltM,2)*Factor</f>
        <v>1.1645E-3</v>
      </c>
      <c r="C6" s="7">
        <f t="shared" si="0"/>
        <v>0.12</v>
      </c>
      <c r="D6" s="8">
        <f>G5</f>
        <v>0.87905751999999993</v>
      </c>
      <c r="E6" s="8">
        <f>D6*B6</f>
        <v>1.0236624820399998E-3</v>
      </c>
      <c r="F6" s="8">
        <f>(D6-E6)*C6</f>
        <v>0.10536406290215519</v>
      </c>
      <c r="G6" s="8">
        <f>D6-E6-F6</f>
        <v>0.77266979461580476</v>
      </c>
      <c r="H6" s="8">
        <f t="shared" ref="H6:H14" si="1">G6/D6</f>
        <v>0.87897524000000005</v>
      </c>
    </row>
    <row r="7" spans="1:8" x14ac:dyDescent="0.25">
      <c r="A7" s="7">
        <f t="shared" ref="A7:A14" si="2">1+A6</f>
        <v>3</v>
      </c>
      <c r="B7" s="7">
        <f>VLOOKUP(Data!$B$4 + Decrements!A7 - 1,IA95_97UltM,2)*Factor</f>
        <v>1.2750000000000001E-3</v>
      </c>
      <c r="C7" s="7">
        <f t="shared" si="0"/>
        <v>0.1</v>
      </c>
      <c r="D7" s="8">
        <f t="shared" ref="D7:D14" si="3">G6</f>
        <v>0.77266979461580476</v>
      </c>
      <c r="E7" s="8">
        <f t="shared" ref="E7:E14" si="4">D7*B7</f>
        <v>9.8515398813515107E-4</v>
      </c>
      <c r="F7" s="8">
        <f t="shared" ref="F7:F14" si="5">(D7-E7)*C7</f>
        <v>7.7168464062766964E-2</v>
      </c>
      <c r="G7" s="8">
        <f t="shared" ref="G7:G14" si="6">D7-E7-F7</f>
        <v>0.69451617656490261</v>
      </c>
      <c r="H7" s="8">
        <f t="shared" si="1"/>
        <v>0.89885249999999994</v>
      </c>
    </row>
    <row r="8" spans="1:8" x14ac:dyDescent="0.25">
      <c r="A8" s="7">
        <f t="shared" si="2"/>
        <v>4</v>
      </c>
      <c r="B8" s="7">
        <f>VLOOKUP(Data!$B$4 + Decrements!A8 - 1,IA95_97UltM,2)*Factor</f>
        <v>1.4024999999999999E-3</v>
      </c>
      <c r="C8" s="7">
        <f t="shared" si="0"/>
        <v>0.1</v>
      </c>
      <c r="D8" s="8">
        <f t="shared" si="3"/>
        <v>0.69451617656490261</v>
      </c>
      <c r="E8" s="8">
        <f t="shared" si="4"/>
        <v>9.7405893763227583E-4</v>
      </c>
      <c r="F8" s="8">
        <f t="shared" si="5"/>
        <v>6.9354211762727033E-2</v>
      </c>
      <c r="G8" s="8">
        <f t="shared" si="6"/>
        <v>0.62418790586454331</v>
      </c>
      <c r="H8" s="8">
        <f t="shared" si="1"/>
        <v>0.89873775</v>
      </c>
    </row>
    <row r="9" spans="1:8" x14ac:dyDescent="0.25">
      <c r="A9" s="7">
        <f t="shared" si="2"/>
        <v>5</v>
      </c>
      <c r="B9" s="7">
        <f>VLOOKUP(Data!$B$4 + Decrements!A9 - 1,IA95_97UltM,2)*Factor</f>
        <v>1.5555E-3</v>
      </c>
      <c r="C9" s="7">
        <f t="shared" si="0"/>
        <v>0.1</v>
      </c>
      <c r="D9" s="8">
        <f t="shared" si="3"/>
        <v>0.62418790586454331</v>
      </c>
      <c r="E9" s="8">
        <f t="shared" si="4"/>
        <v>9.709242875722971E-4</v>
      </c>
      <c r="F9" s="8">
        <f t="shared" si="5"/>
        <v>6.2321698157697107E-2</v>
      </c>
      <c r="G9" s="8">
        <f t="shared" si="6"/>
        <v>0.56089528341927397</v>
      </c>
      <c r="H9" s="8">
        <f t="shared" si="1"/>
        <v>0.89860005000000009</v>
      </c>
    </row>
    <row r="10" spans="1:8" x14ac:dyDescent="0.25">
      <c r="A10" s="7">
        <f t="shared" si="2"/>
        <v>6</v>
      </c>
      <c r="B10" s="7">
        <f>VLOOKUP(Data!$B$4 + Decrements!A10 - 1,IA95_97UltM,2)*Factor</f>
        <v>1.7255E-3</v>
      </c>
      <c r="C10" s="7">
        <f t="shared" si="0"/>
        <v>0.1</v>
      </c>
      <c r="D10" s="8">
        <f t="shared" si="3"/>
        <v>0.56089528341927397</v>
      </c>
      <c r="E10" s="8">
        <f t="shared" si="4"/>
        <v>9.6782481153995725E-4</v>
      </c>
      <c r="F10" s="8">
        <f t="shared" si="5"/>
        <v>5.59927458607734E-2</v>
      </c>
      <c r="G10" s="8">
        <f t="shared" si="6"/>
        <v>0.50393471274696056</v>
      </c>
      <c r="H10" s="8">
        <f t="shared" si="1"/>
        <v>0.89844704999999991</v>
      </c>
    </row>
    <row r="11" spans="1:8" x14ac:dyDescent="0.25">
      <c r="A11" s="7">
        <f t="shared" si="2"/>
        <v>7</v>
      </c>
      <c r="B11" s="7">
        <f>VLOOKUP(Data!$B$4 + Decrements!A11 - 1,IA95_97UltM,2)*Factor</f>
        <v>1.9209999999999997E-3</v>
      </c>
      <c r="C11" s="7">
        <f t="shared" si="0"/>
        <v>0.1</v>
      </c>
      <c r="D11" s="8">
        <f t="shared" si="3"/>
        <v>0.50393471274696056</v>
      </c>
      <c r="E11" s="8">
        <f t="shared" si="4"/>
        <v>9.6805858318691114E-4</v>
      </c>
      <c r="F11" s="8">
        <f t="shared" si="5"/>
        <v>5.0296665416377367E-2</v>
      </c>
      <c r="G11" s="8">
        <f t="shared" si="6"/>
        <v>0.45266998874739628</v>
      </c>
      <c r="H11" s="8">
        <f t="shared" si="1"/>
        <v>0.89827109999999999</v>
      </c>
    </row>
    <row r="12" spans="1:8" x14ac:dyDescent="0.25">
      <c r="A12" s="7">
        <f t="shared" si="2"/>
        <v>8</v>
      </c>
      <c r="B12" s="7">
        <f>VLOOKUP(Data!$B$4 + Decrements!A12 - 1,IA95_97UltM,2)*Factor</f>
        <v>2.1420000000000002E-3</v>
      </c>
      <c r="C12" s="7">
        <f t="shared" si="0"/>
        <v>0.1</v>
      </c>
      <c r="D12" s="8">
        <f t="shared" si="3"/>
        <v>0.45266998874739628</v>
      </c>
      <c r="E12" s="8">
        <f t="shared" si="4"/>
        <v>9.6961911589692293E-4</v>
      </c>
      <c r="F12" s="8">
        <f t="shared" si="5"/>
        <v>4.5170036963149938E-2</v>
      </c>
      <c r="G12" s="8">
        <f t="shared" si="6"/>
        <v>0.40653033266834943</v>
      </c>
      <c r="H12" s="8">
        <f t="shared" si="1"/>
        <v>0.89807219999999999</v>
      </c>
    </row>
    <row r="13" spans="1:8" x14ac:dyDescent="0.25">
      <c r="A13" s="7">
        <f t="shared" si="2"/>
        <v>9</v>
      </c>
      <c r="B13" s="7">
        <f>VLOOKUP(Data!$B$4 + Decrements!A13 - 1,IA95_97UltM,2)*Factor</f>
        <v>2.3969999999999998E-3</v>
      </c>
      <c r="C13" s="7">
        <f t="shared" si="0"/>
        <v>0.1</v>
      </c>
      <c r="D13" s="8">
        <f t="shared" si="3"/>
        <v>0.40653033266834943</v>
      </c>
      <c r="E13" s="8">
        <f t="shared" si="4"/>
        <v>9.7445320740603355E-4</v>
      </c>
      <c r="F13" s="8">
        <f t="shared" si="5"/>
        <v>4.0555587946094346E-2</v>
      </c>
      <c r="G13" s="8">
        <f t="shared" si="6"/>
        <v>0.36500029151484903</v>
      </c>
      <c r="H13" s="8">
        <f t="shared" si="1"/>
        <v>0.89784269999999999</v>
      </c>
    </row>
    <row r="14" spans="1:8" x14ac:dyDescent="0.25">
      <c r="A14" s="7">
        <f t="shared" si="2"/>
        <v>10</v>
      </c>
      <c r="B14" s="7">
        <f>VLOOKUP(Data!$B$4 + Decrements!A14 - 1,IA95_97UltM,2)*Factor</f>
        <v>2.6774999999999998E-3</v>
      </c>
      <c r="C14" s="7">
        <f t="shared" si="0"/>
        <v>0.1</v>
      </c>
      <c r="D14" s="8">
        <f t="shared" si="3"/>
        <v>0.36500029151484903</v>
      </c>
      <c r="E14" s="8">
        <f t="shared" si="4"/>
        <v>9.7728828053100813E-4</v>
      </c>
      <c r="F14" s="8">
        <f t="shared" si="5"/>
        <v>3.6402300323431801E-2</v>
      </c>
      <c r="G14" s="8">
        <f t="shared" si="6"/>
        <v>0.32762070291088624</v>
      </c>
      <c r="H14" s="8">
        <f t="shared" si="1"/>
        <v>0.89759025000000003</v>
      </c>
    </row>
    <row r="16" spans="1:8" x14ac:dyDescent="0.25">
      <c r="A16" s="2" t="s">
        <v>100</v>
      </c>
      <c r="B16" s="2"/>
      <c r="C16" s="2" t="s">
        <v>33</v>
      </c>
      <c r="D16" s="2"/>
      <c r="E16" s="2"/>
      <c r="F16" s="2"/>
    </row>
    <row r="17" spans="1:6" x14ac:dyDescent="0.25">
      <c r="A17" s="2"/>
      <c r="B17" s="2"/>
      <c r="C17" s="2" t="s">
        <v>34</v>
      </c>
      <c r="D17" s="2"/>
      <c r="E17" s="2"/>
      <c r="F17" s="2"/>
    </row>
  </sheetData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47"/>
  <sheetViews>
    <sheetView tabSelected="1" workbookViewId="0"/>
  </sheetViews>
  <sheetFormatPr defaultRowHeight="13.5" x14ac:dyDescent="0.25"/>
  <cols>
    <col min="1" max="2" width="9.140625" style="2"/>
    <col min="3" max="3" width="11.140625" style="2" customWidth="1"/>
    <col min="4" max="5" width="9.140625" style="2"/>
    <col min="6" max="6" width="11.85546875" style="2" customWidth="1"/>
    <col min="7" max="7" width="13.42578125" style="2" customWidth="1"/>
    <col min="8" max="8" width="11.85546875" style="2" customWidth="1"/>
    <col min="9" max="9" width="11.140625" style="2" customWidth="1"/>
    <col min="10" max="10" width="10.85546875" style="2" customWidth="1"/>
    <col min="11" max="11" width="12" style="2" customWidth="1"/>
    <col min="12" max="12" width="10.85546875" style="2" bestFit="1" customWidth="1"/>
    <col min="13" max="16384" width="9.140625" style="2"/>
  </cols>
  <sheetData>
    <row r="1" spans="2:16" x14ac:dyDescent="0.25">
      <c r="M1" s="71" t="s">
        <v>104</v>
      </c>
      <c r="N1" s="72" t="s">
        <v>105</v>
      </c>
      <c r="O1" s="72"/>
      <c r="P1" s="72"/>
    </row>
    <row r="2" spans="2:16" x14ac:dyDescent="0.25">
      <c r="N2" s="73" t="s">
        <v>106</v>
      </c>
      <c r="O2" s="74" t="s">
        <v>107</v>
      </c>
      <c r="P2" s="75"/>
    </row>
    <row r="3" spans="2:16" x14ac:dyDescent="0.25">
      <c r="B3" s="58" t="s">
        <v>47</v>
      </c>
      <c r="C3" s="59"/>
      <c r="D3" s="59"/>
      <c r="E3" s="59"/>
      <c r="F3" s="59"/>
      <c r="G3" s="59"/>
      <c r="H3" s="59"/>
      <c r="J3" s="60" t="s">
        <v>47</v>
      </c>
      <c r="K3" s="61"/>
      <c r="M3" s="76" t="s">
        <v>24</v>
      </c>
      <c r="N3" s="6" t="s">
        <v>50</v>
      </c>
      <c r="O3" s="6" t="s">
        <v>108</v>
      </c>
      <c r="P3" s="6" t="s">
        <v>50</v>
      </c>
    </row>
    <row r="4" spans="2:16" ht="81" customHeight="1" x14ac:dyDescent="0.25">
      <c r="B4" s="52" t="s">
        <v>24</v>
      </c>
      <c r="C4" s="53" t="s">
        <v>51</v>
      </c>
      <c r="D4" s="53" t="s">
        <v>52</v>
      </c>
      <c r="E4" s="53" t="s">
        <v>53</v>
      </c>
      <c r="F4" s="53" t="s">
        <v>54</v>
      </c>
      <c r="G4" s="53" t="s">
        <v>89</v>
      </c>
      <c r="H4" s="53" t="s">
        <v>55</v>
      </c>
      <c r="I4" s="54"/>
      <c r="J4" s="53" t="s">
        <v>90</v>
      </c>
      <c r="K4" s="53" t="s">
        <v>91</v>
      </c>
      <c r="M4" s="77">
        <v>0</v>
      </c>
      <c r="N4" s="78">
        <f>NPV(Discount_rate,D5:$D$14)*(1+Discount_rate)+NPV(Discount_rate,E5:$E$14)-NPV(Discount_rate,C5:$C$14)*(1+Discount_rate)</f>
        <v>2.7371546411814052E-3</v>
      </c>
      <c r="O4" s="79"/>
      <c r="P4" s="80">
        <f>-NPV(Discount_rate,O5:$O$14)</f>
        <v>2.7371546410886204E-3</v>
      </c>
    </row>
    <row r="5" spans="2:16" ht="15" x14ac:dyDescent="0.25">
      <c r="B5" s="7">
        <f>1</f>
        <v>1</v>
      </c>
      <c r="C5" s="24">
        <f>463460*VLOOKUP(Age+'Cash flows'!B5-1,IA95_97UltM,2)</f>
        <v>583.95960000000002</v>
      </c>
      <c r="D5" s="22">
        <f>Initial_expense+Initial_comm_rate*C5</f>
        <v>186.79192</v>
      </c>
      <c r="E5" s="22">
        <f>Sum_Insured*VLOOKUP(Age+B5-1,IA95_97UltM,2)*Factor</f>
        <v>428.4</v>
      </c>
      <c r="F5" s="22">
        <f>C5-D5-E5</f>
        <v>-31.232319999999959</v>
      </c>
      <c r="G5" s="22">
        <f>(C5-D5)*Investment_rate</f>
        <v>11.915030400000001</v>
      </c>
      <c r="H5" s="22">
        <f>F5+G5</f>
        <v>-19.31728959999996</v>
      </c>
      <c r="J5" s="22">
        <f t="shared" ref="J5:J14" si="0">(C5-D5)*Investment_rate</f>
        <v>11.915030400000001</v>
      </c>
      <c r="K5" s="22">
        <f>F5+J5</f>
        <v>-19.31728959999996</v>
      </c>
      <c r="L5"/>
      <c r="M5" s="81">
        <f>1+M4</f>
        <v>1</v>
      </c>
      <c r="N5" s="78">
        <f>NPV(Discount_rate,D6:$D$14)*(1+Discount_rate)+NPV(Discount_rate,E6:$E$14)-NPV(Discount_rate,C6:$C$14)*(1+Discount_rate)</f>
        <v>-19.314470330719814</v>
      </c>
      <c r="O5" s="82">
        <f t="shared" ref="O5:O14" si="1">F5+(C5-D5)*Investment_rate</f>
        <v>-19.31728959999996</v>
      </c>
      <c r="P5" s="80">
        <f>-NPV(Discount_rate,O6:$O$14)</f>
        <v>-19.31447033071964</v>
      </c>
    </row>
    <row r="6" spans="2:16" ht="15" x14ac:dyDescent="0.25">
      <c r="B6" s="7">
        <f>1+B5</f>
        <v>2</v>
      </c>
      <c r="C6" s="24">
        <f>(1+Stepped_premium_loading)*Sum_Insured*VLOOKUP(Age+'Cash flows'!B6-1,IA95_97UltM,2)*VLOOKUP(B5,Decrement,7)</f>
        <v>558.14895756030398</v>
      </c>
      <c r="D6" s="22">
        <f t="shared" ref="D6:D14" si="2">(Renewal_expense*(1+Inflation)^(B6-2))*VLOOKUP(B5,Decrement,7) + Renewal_comm_rate*C6</f>
        <v>173.16381791206081</v>
      </c>
      <c r="E6" s="22">
        <f t="shared" ref="E6:E14" si="3">Sum_Insured*VLOOKUP(Age+B6-1,IA95_97UltM,2)*Factor*VLOOKUP(B5,Decrement,7)</f>
        <v>409.46499281599995</v>
      </c>
      <c r="F6" s="22">
        <f t="shared" ref="F6:F14" si="4">C6-D6-E6</f>
        <v>-24.479853167756801</v>
      </c>
      <c r="G6" s="22">
        <f t="shared" ref="G6:G14" si="5">(H5+C6-D6)*Investment_rate</f>
        <v>10.970035501447295</v>
      </c>
      <c r="H6" s="22">
        <f>H5+F6+G6</f>
        <v>-32.827107266309469</v>
      </c>
      <c r="J6" s="22">
        <f t="shared" si="0"/>
        <v>11.549554189447294</v>
      </c>
      <c r="K6" s="22">
        <f t="shared" ref="K6:K14" si="6">F6+J6</f>
        <v>-12.930298978309507</v>
      </c>
      <c r="L6"/>
      <c r="M6" s="81">
        <f t="shared" ref="M6:M14" si="7">1+M5</f>
        <v>2</v>
      </c>
      <c r="N6" s="78">
        <f>NPV(Discount_rate,D7:$D$14)*(1+Discount_rate)+NPV(Discount_rate,E7:$E$14)-NPV(Discount_rate,C7:$C$14)*(1+Discount_rate)</f>
        <v>-32.824203418952038</v>
      </c>
      <c r="O6" s="82">
        <f t="shared" si="1"/>
        <v>-12.930298978309507</v>
      </c>
      <c r="P6" s="80">
        <f>-NPV(Discount_rate,O7:$O$14)</f>
        <v>-32.824203418950745</v>
      </c>
    </row>
    <row r="7" spans="2:16" ht="15" x14ac:dyDescent="0.25">
      <c r="B7" s="7">
        <f t="shared" ref="B7:B14" si="8">1+B6</f>
        <v>3</v>
      </c>
      <c r="C7" s="24">
        <f>(1+Stepped_premium_loading)*Sum_Insured*VLOOKUP(Age+'Cash flows'!B7-1,IA95_97UltM,2)*VLOOKUP(B6,Decrement,7)</f>
        <v>537.15231451896136</v>
      </c>
      <c r="D7" s="22">
        <f t="shared" si="2"/>
        <v>162.59908623936073</v>
      </c>
      <c r="E7" s="22">
        <f t="shared" si="3"/>
        <v>394.06159525406042</v>
      </c>
      <c r="F7" s="22">
        <f t="shared" si="4"/>
        <v>-19.508366974459818</v>
      </c>
      <c r="G7" s="22">
        <f t="shared" si="5"/>
        <v>10.251783630398734</v>
      </c>
      <c r="H7" s="22">
        <f t="shared" ref="H7:H13" si="9">H6+F7+G7</f>
        <v>-42.083690610370553</v>
      </c>
      <c r="J7" s="22">
        <f t="shared" si="0"/>
        <v>11.236596848388018</v>
      </c>
      <c r="K7" s="22">
        <f t="shared" si="6"/>
        <v>-8.2717701260718002</v>
      </c>
      <c r="L7"/>
      <c r="M7" s="81">
        <f t="shared" si="7"/>
        <v>3</v>
      </c>
      <c r="N7" s="78">
        <f>NPV(Discount_rate,D8:$D$14)*(1+Discount_rate)+NPV(Discount_rate,E8:$E$14)-NPV(Discount_rate,C8:$C$14)*(1+Discount_rate)</f>
        <v>-42.080699647590791</v>
      </c>
      <c r="O7" s="82">
        <f t="shared" si="1"/>
        <v>-8.2717701260718002</v>
      </c>
      <c r="P7" s="80">
        <f>-NPV(Discount_rate,O8:$O$14)</f>
        <v>-42.080699647591068</v>
      </c>
    </row>
    <row r="8" spans="2:16" ht="15" x14ac:dyDescent="0.25">
      <c r="B8" s="7">
        <f t="shared" si="8"/>
        <v>4</v>
      </c>
      <c r="C8" s="24">
        <f>(1+Stepped_premium_loading)*Sum_Insured*VLOOKUP(Age+'Cash flows'!B8-1,IA95_97UltM,2)*VLOOKUP(B7,Decrement,7)</f>
        <v>531.10277086477004</v>
      </c>
      <c r="D8" s="22">
        <f t="shared" si="2"/>
        <v>156.80077827982274</v>
      </c>
      <c r="E8" s="22">
        <f t="shared" si="3"/>
        <v>389.62357505291038</v>
      </c>
      <c r="F8" s="22">
        <f t="shared" si="4"/>
        <v>-15.321582467963083</v>
      </c>
      <c r="G8" s="22">
        <f t="shared" si="5"/>
        <v>9.9665490592373018</v>
      </c>
      <c r="H8" s="22">
        <f t="shared" si="9"/>
        <v>-47.438724019096334</v>
      </c>
      <c r="J8" s="22">
        <f t="shared" si="0"/>
        <v>11.229059777548418</v>
      </c>
      <c r="K8" s="22">
        <f t="shared" si="6"/>
        <v>-4.0925226904146648</v>
      </c>
      <c r="L8"/>
      <c r="M8" s="81">
        <f t="shared" si="7"/>
        <v>4</v>
      </c>
      <c r="N8" s="78">
        <f>NPV(Discount_rate,D9:$D$14)*(1+Discount_rate)+NPV(Discount_rate,E9:$E$14)-NPV(Discount_rate,C9:$C$14)*(1+Discount_rate)</f>
        <v>-47.435643327433354</v>
      </c>
      <c r="O8" s="82">
        <f t="shared" si="1"/>
        <v>-4.0925226904146648</v>
      </c>
      <c r="P8" s="80">
        <f>-NPV(Discount_rate,O9:$O$14)</f>
        <v>-47.435643327433461</v>
      </c>
    </row>
    <row r="9" spans="2:16" ht="15" x14ac:dyDescent="0.25">
      <c r="B9" s="7">
        <f t="shared" si="8"/>
        <v>5</v>
      </c>
      <c r="C9" s="24">
        <f>(1+Stepped_premium_loading)*Sum_Insured*VLOOKUP(Age+'Cash flows'!B9-1,IA95_97UltM,2)*VLOOKUP(B8,Decrement,7)</f>
        <v>529.39361213912571</v>
      </c>
      <c r="D9" s="22">
        <f t="shared" si="2"/>
        <v>152.24624637229417</v>
      </c>
      <c r="E9" s="22">
        <f t="shared" si="3"/>
        <v>388.36971502891879</v>
      </c>
      <c r="F9" s="22">
        <f t="shared" si="4"/>
        <v>-11.222349262087278</v>
      </c>
      <c r="G9" s="22">
        <f t="shared" si="5"/>
        <v>9.8912592524320555</v>
      </c>
      <c r="H9" s="22">
        <f t="shared" si="9"/>
        <v>-48.769814028751554</v>
      </c>
      <c r="J9" s="22">
        <f t="shared" si="0"/>
        <v>11.314420973004944</v>
      </c>
      <c r="K9" s="22">
        <f t="shared" si="6"/>
        <v>9.2071710917666749E-2</v>
      </c>
      <c r="L9"/>
      <c r="M9" s="81">
        <f t="shared" si="7"/>
        <v>5</v>
      </c>
      <c r="N9" s="78">
        <f>NPV(Discount_rate,D10:$D$14)*(1+Discount_rate)+NPV(Discount_rate,E10:$E$14)-NPV(Discount_rate,C10:$C$14)*(1+Discount_rate)</f>
        <v>-48.766640916339384</v>
      </c>
      <c r="O9" s="82">
        <f t="shared" si="1"/>
        <v>9.2071710917666749E-2</v>
      </c>
      <c r="P9" s="80">
        <f>-NPV(Discount_rate,O10:$O$14)</f>
        <v>-48.766640916338808</v>
      </c>
    </row>
    <row r="10" spans="2:16" ht="15" x14ac:dyDescent="0.25">
      <c r="B10" s="7">
        <f t="shared" si="8"/>
        <v>6</v>
      </c>
      <c r="C10" s="24">
        <f>(1+Stepped_premium_loading)*Sum_Insured*VLOOKUP(Age+'Cash flows'!B10-1,IA95_97UltM,2)*VLOOKUP(B9,Decrement,7)</f>
        <v>527.70363194859829</v>
      </c>
      <c r="D10" s="22">
        <f t="shared" si="2"/>
        <v>148.03990291129327</v>
      </c>
      <c r="E10" s="22">
        <f t="shared" si="3"/>
        <v>387.12992461598287</v>
      </c>
      <c r="F10" s="22">
        <f t="shared" si="4"/>
        <v>-7.4661955786778549</v>
      </c>
      <c r="G10" s="22">
        <f t="shared" si="5"/>
        <v>9.9268174502566033</v>
      </c>
      <c r="H10" s="22">
        <f t="shared" si="9"/>
        <v>-46.309192157172802</v>
      </c>
      <c r="J10" s="22">
        <f t="shared" si="0"/>
        <v>11.38991187111915</v>
      </c>
      <c r="K10" s="22">
        <f t="shared" si="6"/>
        <v>3.9237162924412949</v>
      </c>
      <c r="L10"/>
      <c r="M10" s="81">
        <f t="shared" si="7"/>
        <v>6</v>
      </c>
      <c r="N10" s="78">
        <f>NPV(Discount_rate,D11:$D$14)*(1+Discount_rate)+NPV(Discount_rate,E11:$E$14)-NPV(Discount_rate,C11:$C$14)*(1+Discount_rate)</f>
        <v>-46.305923851387661</v>
      </c>
      <c r="O10" s="82">
        <f t="shared" si="1"/>
        <v>3.9237162924412949</v>
      </c>
      <c r="P10" s="80">
        <f>-NPV(Discount_rate,O11:$O$14)</f>
        <v>-46.305923851387675</v>
      </c>
    </row>
    <row r="11" spans="2:16" ht="15" x14ac:dyDescent="0.25">
      <c r="B11" s="7">
        <f t="shared" si="8"/>
        <v>7</v>
      </c>
      <c r="C11" s="24">
        <f>(1+Stepped_premium_loading)*Sum_Insured*VLOOKUP(Age+'Cash flows'!B11-1,IA95_97UltM,2)*VLOOKUP(B10,Decrement,7)</f>
        <v>527.83109525153634</v>
      </c>
      <c r="D11" s="22">
        <f t="shared" si="2"/>
        <v>144.51314401900905</v>
      </c>
      <c r="E11" s="22">
        <f t="shared" si="3"/>
        <v>387.22343327476443</v>
      </c>
      <c r="F11" s="22">
        <f t="shared" si="4"/>
        <v>-3.9054820422371108</v>
      </c>
      <c r="G11" s="22">
        <f t="shared" si="5"/>
        <v>10.110262772260636</v>
      </c>
      <c r="H11" s="22">
        <f t="shared" si="9"/>
        <v>-40.104411427149273</v>
      </c>
      <c r="J11" s="22">
        <f t="shared" si="0"/>
        <v>11.49953853697582</v>
      </c>
      <c r="K11" s="22">
        <f t="shared" si="6"/>
        <v>7.5940564947387088</v>
      </c>
      <c r="L11"/>
      <c r="M11" s="81">
        <f t="shared" si="7"/>
        <v>7</v>
      </c>
      <c r="N11" s="78">
        <f>NPV(Discount_rate,D12:$D$14)*(1+Discount_rate)+NPV(Discount_rate,E12:$E$14)-NPV(Discount_rate,C12:$C$14)*(1+Discount_rate)</f>
        <v>-40.101045072190573</v>
      </c>
      <c r="O11" s="82">
        <f t="shared" si="1"/>
        <v>7.5940564947387088</v>
      </c>
      <c r="P11" s="80">
        <f>-NPV(Discount_rate,O12:$O$14)</f>
        <v>-40.101045072190594</v>
      </c>
    </row>
    <row r="12" spans="2:16" ht="15" x14ac:dyDescent="0.25">
      <c r="B12" s="7">
        <f t="shared" si="8"/>
        <v>8</v>
      </c>
      <c r="C12" s="24">
        <f>(1+Stepped_premium_loading)*Sum_Insured*VLOOKUP(Age+'Cash flows'!B12-1,IA95_97UltM,2)*VLOOKUP(B11,Decrement,7)</f>
        <v>528.68197112186806</v>
      </c>
      <c r="D12" s="22">
        <f t="shared" si="2"/>
        <v>141.42098930029189</v>
      </c>
      <c r="E12" s="22">
        <f t="shared" si="3"/>
        <v>387.84764635876911</v>
      </c>
      <c r="F12" s="22">
        <f t="shared" si="4"/>
        <v>-0.58666453719297351</v>
      </c>
      <c r="G12" s="22">
        <f t="shared" si="5"/>
        <v>10.414697111832806</v>
      </c>
      <c r="H12" s="22">
        <f t="shared" si="9"/>
        <v>-30.276378852509438</v>
      </c>
      <c r="J12" s="22">
        <f t="shared" si="0"/>
        <v>11.617829454647284</v>
      </c>
      <c r="K12" s="22">
        <f t="shared" si="6"/>
        <v>11.03116491745431</v>
      </c>
      <c r="L12"/>
      <c r="M12" s="81">
        <f t="shared" si="7"/>
        <v>8</v>
      </c>
      <c r="N12" s="78">
        <f>NPV(Discount_rate,D13:$D$14)*(1+Discount_rate)+NPV(Discount_rate,E13:$E$14)-NPV(Discount_rate,C13:$C$14)*(1+Discount_rate)</f>
        <v>-30.272911506902005</v>
      </c>
      <c r="O12" s="82">
        <f t="shared" si="1"/>
        <v>11.03116491745431</v>
      </c>
      <c r="P12" s="80">
        <f>-NPV(Discount_rate,O13:$O$14)</f>
        <v>-30.272911506901998</v>
      </c>
    </row>
    <row r="13" spans="2:16" ht="15" x14ac:dyDescent="0.25">
      <c r="B13" s="7">
        <f t="shared" si="8"/>
        <v>9</v>
      </c>
      <c r="C13" s="24">
        <f>(1+Stepped_premium_loading)*Sum_Insured*VLOOKUP(Age+'Cash flows'!B13-1,IA95_97UltM,2)*VLOOKUP(B12,Decrement,7)</f>
        <v>531.31774529929453</v>
      </c>
      <c r="D13" s="22">
        <f t="shared" si="2"/>
        <v>138.9518387219168</v>
      </c>
      <c r="E13" s="22">
        <f t="shared" si="3"/>
        <v>389.7812829624134</v>
      </c>
      <c r="F13" s="22">
        <f t="shared" si="4"/>
        <v>2.5846236149643005</v>
      </c>
      <c r="G13" s="22">
        <f t="shared" si="5"/>
        <v>10.862685831746047</v>
      </c>
      <c r="H13" s="22">
        <f t="shared" si="9"/>
        <v>-16.829069405799089</v>
      </c>
      <c r="J13" s="22">
        <f t="shared" si="0"/>
        <v>11.770977197321331</v>
      </c>
      <c r="K13" s="22">
        <f t="shared" si="6"/>
        <v>14.355600812285632</v>
      </c>
      <c r="L13"/>
      <c r="M13" s="81">
        <f t="shared" si="7"/>
        <v>9</v>
      </c>
      <c r="N13" s="78">
        <f>NPV(Discount_rate,D14:$D$14)*(1+Discount_rate)+NPV(Discount_rate,E14:$E$14)-NPV(Discount_rate,C14:$C$14)*(1+Discount_rate)</f>
        <v>-16.825498039823401</v>
      </c>
      <c r="O13" s="82">
        <f t="shared" si="1"/>
        <v>14.355600812285632</v>
      </c>
      <c r="P13" s="80">
        <f>-NPV(Discount_rate,O14:$O$14)</f>
        <v>-16.82549803982343</v>
      </c>
    </row>
    <row r="14" spans="2:16" ht="15" x14ac:dyDescent="0.25">
      <c r="B14" s="7">
        <f t="shared" si="8"/>
        <v>10</v>
      </c>
      <c r="C14" s="24">
        <f>(1+Stepped_premium_loading)*Sum_Insured*VLOOKUP(Age+'Cash flows'!B14-1,IA95_97UltM,2)*VLOOKUP(B13,Decrement,7)</f>
        <v>532.86356058223657</v>
      </c>
      <c r="D14" s="22">
        <f t="shared" si="2"/>
        <v>136.50863320998275</v>
      </c>
      <c r="E14" s="22">
        <f t="shared" si="3"/>
        <v>390.91531221240331</v>
      </c>
      <c r="F14" s="22">
        <f t="shared" si="4"/>
        <v>5.4396151598505185</v>
      </c>
      <c r="G14" s="22">
        <f t="shared" si="5"/>
        <v>11.385775738993644</v>
      </c>
      <c r="H14" s="22">
        <f>H13+F14+G14</f>
        <v>-3.6785069549267746E-3</v>
      </c>
      <c r="J14" s="22">
        <f t="shared" si="0"/>
        <v>11.890647821167615</v>
      </c>
      <c r="K14" s="22">
        <f t="shared" si="6"/>
        <v>17.330262981018134</v>
      </c>
      <c r="L14"/>
      <c r="M14" s="81">
        <f t="shared" si="7"/>
        <v>10</v>
      </c>
      <c r="N14" s="23"/>
      <c r="O14" s="83">
        <f t="shared" si="1"/>
        <v>17.330262981018134</v>
      </c>
      <c r="P14" s="84"/>
    </row>
    <row r="15" spans="2:16" ht="15" x14ac:dyDescent="0.25">
      <c r="B15" s="85"/>
      <c r="C15" s="87"/>
      <c r="D15" s="87"/>
      <c r="E15" s="87"/>
      <c r="F15" s="87"/>
      <c r="G15" s="87"/>
      <c r="H15" s="87"/>
      <c r="J15" s="87"/>
      <c r="K15" s="87"/>
      <c r="L15"/>
      <c r="M15" s="85"/>
      <c r="N15" s="85"/>
      <c r="O15" s="86"/>
      <c r="P15" s="85"/>
    </row>
    <row r="16" spans="2:16" ht="15" x14ac:dyDescent="0.25">
      <c r="J16"/>
      <c r="K16"/>
      <c r="L16"/>
      <c r="N16" s="72" t="s">
        <v>105</v>
      </c>
      <c r="O16" s="72"/>
      <c r="P16" s="72"/>
    </row>
    <row r="17" spans="2:16" x14ac:dyDescent="0.25">
      <c r="N17" s="73" t="s">
        <v>106</v>
      </c>
      <c r="O17" s="74" t="s">
        <v>107</v>
      </c>
      <c r="P17" s="75"/>
    </row>
    <row r="18" spans="2:16" ht="17.25" customHeight="1" x14ac:dyDescent="0.25">
      <c r="B18" s="58" t="s">
        <v>48</v>
      </c>
      <c r="C18" s="58"/>
      <c r="D18" s="58"/>
      <c r="E18" s="58"/>
      <c r="F18" s="58"/>
      <c r="G18" s="58"/>
      <c r="H18" s="58"/>
      <c r="I18" s="58"/>
      <c r="J18" s="58"/>
      <c r="K18" s="58"/>
      <c r="M18" s="76" t="s">
        <v>24</v>
      </c>
      <c r="N18" s="6" t="s">
        <v>50</v>
      </c>
      <c r="O18" s="6" t="s">
        <v>108</v>
      </c>
      <c r="P18" s="6" t="s">
        <v>50</v>
      </c>
    </row>
    <row r="19" spans="2:16" ht="55.5" customHeight="1" x14ac:dyDescent="0.25">
      <c r="B19" s="52" t="s">
        <v>24</v>
      </c>
      <c r="C19" s="53" t="s">
        <v>51</v>
      </c>
      <c r="D19" s="53" t="s">
        <v>52</v>
      </c>
      <c r="E19" s="53" t="s">
        <v>53</v>
      </c>
      <c r="F19" s="53" t="s">
        <v>54</v>
      </c>
      <c r="G19" s="53" t="s">
        <v>94</v>
      </c>
      <c r="H19" s="53" t="s">
        <v>55</v>
      </c>
      <c r="I19" s="53" t="s">
        <v>56</v>
      </c>
      <c r="J19" s="53" t="s">
        <v>57</v>
      </c>
      <c r="K19" s="53" t="s">
        <v>58</v>
      </c>
      <c r="M19" s="77">
        <v>0</v>
      </c>
      <c r="N19" s="78">
        <f>NPV(Discount_rate,D20:$D$29)*(1+Discount_rate)+NPV(Discount_rate,E20:$E$29)-NPV(Discount_rate,C20:$C$29)*(1+Discount_rate)</f>
        <v>337.85649583057875</v>
      </c>
      <c r="O19" s="79"/>
      <c r="P19" s="80">
        <f>-NPV(Discount_rate,O20:$O$29)</f>
        <v>337.85649583057915</v>
      </c>
    </row>
    <row r="20" spans="2:16" x14ac:dyDescent="0.25">
      <c r="B20" s="23">
        <f>1</f>
        <v>1</v>
      </c>
      <c r="C20" s="24">
        <f>C5</f>
        <v>583.95960000000002</v>
      </c>
      <c r="D20" s="24">
        <f>D5</f>
        <v>186.79192</v>
      </c>
      <c r="E20" s="24">
        <f>E5*(1+CB1_factor)</f>
        <v>471.24</v>
      </c>
      <c r="F20" s="24">
        <f>C20-D20-E20</f>
        <v>-74.072319999999991</v>
      </c>
      <c r="G20" s="24">
        <f>(C20-D20)*Investment_rate</f>
        <v>11.915030400000001</v>
      </c>
      <c r="H20" s="25">
        <f>F20+G20</f>
        <v>-62.157289599999991</v>
      </c>
      <c r="I20" s="26">
        <f>'Liability calculation'!D6</f>
        <v>337.85649583057921</v>
      </c>
      <c r="J20" s="26">
        <f>(I20+C20-D20)*Investment_rate</f>
        <v>22.050725274917376</v>
      </c>
      <c r="K20" s="26">
        <f>J20+I20+C20-D20-E20</f>
        <v>285.83490110549667</v>
      </c>
      <c r="L20" s="9"/>
      <c r="M20" s="81">
        <f>1+M19</f>
        <v>1</v>
      </c>
      <c r="N20" s="78">
        <f>NPV(Discount_rate,D21:$D$29)*(1+Discount_rate)+NPV(Discount_rate,E21:$E$29)-NPV(Discount_rate,C21:$C$29)*(1+Discount_rate)</f>
        <v>285.8349011054961</v>
      </c>
      <c r="O20" s="88">
        <f>F20+(C20-D20)*Investment_rate</f>
        <v>-62.157289599999991</v>
      </c>
      <c r="P20" s="80">
        <f>-NPV(Discount_rate,O21:$O$29)</f>
        <v>285.83490110549661</v>
      </c>
    </row>
    <row r="21" spans="2:16" x14ac:dyDescent="0.25">
      <c r="B21" s="7">
        <f>1+B20</f>
        <v>2</v>
      </c>
      <c r="C21" s="24">
        <f>C6</f>
        <v>558.14895756030398</v>
      </c>
      <c r="D21" s="24">
        <f>D6</f>
        <v>173.16381791206081</v>
      </c>
      <c r="E21" s="24">
        <f>E6*(1+CB1_factor)</f>
        <v>450.41149209759999</v>
      </c>
      <c r="F21" s="22">
        <f t="shared" ref="F21:F29" si="10">C21-D21-E21</f>
        <v>-65.426352449356841</v>
      </c>
      <c r="G21" s="22">
        <f t="shared" ref="G21:G29" si="11">(H20+C21-D21)*Investment_rate</f>
        <v>9.684835501447294</v>
      </c>
      <c r="H21" s="27">
        <f>H20+F21+G21</f>
        <v>-117.89880654790953</v>
      </c>
      <c r="I21" s="11"/>
      <c r="J21" s="11">
        <f t="shared" ref="J21:J29" si="12">(K20+C21-D21)*Investment_rate</f>
        <v>20.124601222612196</v>
      </c>
      <c r="K21" s="11">
        <f t="shared" ref="K21:K29" si="13">K20+C21-D21-E21+J21</f>
        <v>240.53314987875203</v>
      </c>
      <c r="L21" s="9"/>
      <c r="M21" s="81">
        <f t="shared" ref="M21:M29" si="14">1+M20</f>
        <v>2</v>
      </c>
      <c r="N21" s="78">
        <f>NPV(Discount_rate,D22:$D$29)*(1+Discount_rate)+NPV(Discount_rate,E22:$E$29)-NPV(Discount_rate,C22:$C$29)*(1+Discount_rate)</f>
        <v>240.53314987875137</v>
      </c>
      <c r="O21" s="88">
        <f>F21+(C21-D21)*Investment_rate</f>
        <v>-53.876798259909549</v>
      </c>
      <c r="P21" s="80">
        <f>-NPV(Discount_rate,O22:$O$29)</f>
        <v>240.533149878752</v>
      </c>
    </row>
    <row r="22" spans="2:16" x14ac:dyDescent="0.25">
      <c r="B22" s="7">
        <f t="shared" ref="B22:B29" si="15">1+B21</f>
        <v>3</v>
      </c>
      <c r="C22" s="24">
        <f>C7</f>
        <v>537.15231451896136</v>
      </c>
      <c r="D22" s="24">
        <f>D7</f>
        <v>162.59908623936073</v>
      </c>
      <c r="E22" s="24">
        <f>E7*(1+CB1_factor)</f>
        <v>433.46775477946647</v>
      </c>
      <c r="F22" s="22">
        <f t="shared" si="10"/>
        <v>-58.914526499865872</v>
      </c>
      <c r="G22" s="22">
        <f t="shared" si="11"/>
        <v>7.6996326519507319</v>
      </c>
      <c r="H22" s="27">
        <f t="shared" ref="H22:H28" si="16">H21+F22+G22</f>
        <v>-169.11370039582468</v>
      </c>
      <c r="I22" s="11"/>
      <c r="J22" s="11">
        <f t="shared" si="12"/>
        <v>18.45259134475058</v>
      </c>
      <c r="K22" s="11">
        <f t="shared" si="13"/>
        <v>200.07121472363676</v>
      </c>
      <c r="L22" s="9"/>
      <c r="M22" s="81">
        <f t="shared" si="14"/>
        <v>3</v>
      </c>
      <c r="N22" s="78">
        <f>NPV(Discount_rate,D23:$D$29)*(1+Discount_rate)+NPV(Discount_rate,E23:$E$29)-NPV(Discount_rate,C23:$C$29)*(1+Discount_rate)</f>
        <v>200.07121472363633</v>
      </c>
      <c r="O22" s="88">
        <f>F22+(C22-D22)*Investment_rate</f>
        <v>-47.677929651477854</v>
      </c>
      <c r="P22" s="80">
        <f>-NPV(Discount_rate,O23:$O$29)</f>
        <v>200.0712147236367</v>
      </c>
    </row>
    <row r="23" spans="2:16" x14ac:dyDescent="0.25">
      <c r="B23" s="7">
        <f t="shared" si="15"/>
        <v>4</v>
      </c>
      <c r="C23" s="24">
        <f>C8</f>
        <v>531.10277086477004</v>
      </c>
      <c r="D23" s="24">
        <f>D8</f>
        <v>156.80077827982274</v>
      </c>
      <c r="E23" s="24">
        <f>E8*(1+CB1_factor)</f>
        <v>428.58593255820148</v>
      </c>
      <c r="F23" s="22">
        <f t="shared" si="10"/>
        <v>-54.283939973254178</v>
      </c>
      <c r="G23" s="22">
        <f t="shared" si="11"/>
        <v>6.1556487656736776</v>
      </c>
      <c r="H23" s="27">
        <f t="shared" si="16"/>
        <v>-217.24199160340518</v>
      </c>
      <c r="I23" s="11"/>
      <c r="J23" s="11">
        <f t="shared" si="12"/>
        <v>17.231196219257523</v>
      </c>
      <c r="K23" s="11">
        <f t="shared" si="13"/>
        <v>163.01847096964019</v>
      </c>
      <c r="L23" s="9"/>
      <c r="M23" s="81">
        <f t="shared" si="14"/>
        <v>4</v>
      </c>
      <c r="N23" s="78">
        <f>NPV(Discount_rate,D24:$D$29)*(1+Discount_rate)+NPV(Discount_rate,E24:$E$29)-NPV(Discount_rate,C24:$C$29)*(1+Discount_rate)</f>
        <v>163.01847096963957</v>
      </c>
      <c r="O23" s="88">
        <f>F23+(C23-D23)*Investment_rate</f>
        <v>-43.054880195705763</v>
      </c>
      <c r="P23" s="80">
        <f>-NPV(Discount_rate,O24:$O$29)</f>
        <v>163.01847096964002</v>
      </c>
    </row>
    <row r="24" spans="2:16" x14ac:dyDescent="0.25">
      <c r="B24" s="7">
        <f t="shared" si="15"/>
        <v>5</v>
      </c>
      <c r="C24" s="24">
        <f>C9</f>
        <v>529.39361213912571</v>
      </c>
      <c r="D24" s="24">
        <f>D9</f>
        <v>152.24624637229417</v>
      </c>
      <c r="E24" s="24">
        <f>E9*(1+CB1_factor)</f>
        <v>427.2066865318107</v>
      </c>
      <c r="F24" s="22">
        <f t="shared" si="10"/>
        <v>-50.059320764979191</v>
      </c>
      <c r="G24" s="22">
        <f t="shared" si="11"/>
        <v>4.7971612249027915</v>
      </c>
      <c r="H24" s="27">
        <f t="shared" si="16"/>
        <v>-262.50415114348164</v>
      </c>
      <c r="I24" s="11"/>
      <c r="J24" s="11">
        <f t="shared" si="12"/>
        <v>16.204975102094153</v>
      </c>
      <c r="K24" s="11">
        <f t="shared" si="13"/>
        <v>129.16412530675521</v>
      </c>
      <c r="L24" s="9"/>
      <c r="M24" s="81">
        <f t="shared" si="14"/>
        <v>5</v>
      </c>
      <c r="N24" s="78">
        <f>NPV(Discount_rate,D25:$D$29)*(1+Discount_rate)+NPV(Discount_rate,E25:$E$29)-NPV(Discount_rate,C25:$C$29)*(1+Discount_rate)</f>
        <v>129.16412530675461</v>
      </c>
      <c r="O24" s="88">
        <f>F24+(C24-D24)*Investment_rate</f>
        <v>-38.744899791974248</v>
      </c>
      <c r="P24" s="80">
        <f>-NPV(Discount_rate,O25:$O$29)</f>
        <v>129.16412530675498</v>
      </c>
    </row>
    <row r="25" spans="2:16" x14ac:dyDescent="0.25">
      <c r="B25" s="7">
        <f t="shared" si="15"/>
        <v>6</v>
      </c>
      <c r="C25" s="24">
        <f>C10</f>
        <v>527.70363194859829</v>
      </c>
      <c r="D25" s="24">
        <f>D10</f>
        <v>148.03990291129327</v>
      </c>
      <c r="E25" s="24">
        <f>E10*(1+CB1_factor)</f>
        <v>425.84291707758121</v>
      </c>
      <c r="F25" s="22">
        <f t="shared" si="10"/>
        <v>-46.179188040276188</v>
      </c>
      <c r="G25" s="22">
        <f t="shared" si="11"/>
        <v>3.5147873368147011</v>
      </c>
      <c r="H25" s="27">
        <f t="shared" si="16"/>
        <v>-305.1685518469431</v>
      </c>
      <c r="I25" s="11"/>
      <c r="J25" s="11">
        <f t="shared" si="12"/>
        <v>15.264835630321805</v>
      </c>
      <c r="K25" s="11">
        <f t="shared" si="13"/>
        <v>98.249772896800806</v>
      </c>
      <c r="L25" s="9"/>
      <c r="M25" s="81">
        <f t="shared" si="14"/>
        <v>6</v>
      </c>
      <c r="N25" s="78">
        <f>NPV(Discount_rate,D26:$D$29)*(1+Discount_rate)+NPV(Discount_rate,E26:$E$29)-NPV(Discount_rate,C26:$C$29)*(1+Discount_rate)</f>
        <v>98.249772896801005</v>
      </c>
      <c r="O25" s="88">
        <f>F25+(C25-D25)*Investment_rate</f>
        <v>-34.789276169157034</v>
      </c>
      <c r="P25" s="80">
        <f>-NPV(Discount_rate,O26:$O$29)</f>
        <v>98.249772896800607</v>
      </c>
    </row>
    <row r="26" spans="2:16" x14ac:dyDescent="0.25">
      <c r="B26" s="7">
        <f t="shared" si="15"/>
        <v>7</v>
      </c>
      <c r="C26" s="24">
        <f>C11</f>
        <v>527.83109525153634</v>
      </c>
      <c r="D26" s="24">
        <f>D11</f>
        <v>144.51314401900905</v>
      </c>
      <c r="E26" s="24">
        <f>E11*(1+CB1_factor)</f>
        <v>425.94577660224093</v>
      </c>
      <c r="F26" s="22">
        <f t="shared" si="10"/>
        <v>-42.627825369713605</v>
      </c>
      <c r="G26" s="22">
        <f t="shared" si="11"/>
        <v>2.3444819815675255</v>
      </c>
      <c r="H26" s="27">
        <f t="shared" si="16"/>
        <v>-345.45189523508918</v>
      </c>
      <c r="I26" s="11"/>
      <c r="J26" s="11">
        <f t="shared" si="12"/>
        <v>14.447031723879842</v>
      </c>
      <c r="K26" s="11">
        <f t="shared" si="13"/>
        <v>70.068979250967018</v>
      </c>
      <c r="L26" s="9"/>
      <c r="M26" s="81">
        <f t="shared" si="14"/>
        <v>7</v>
      </c>
      <c r="N26" s="78">
        <f>NPV(Discount_rate,D27:$D$29)*(1+Discount_rate)+NPV(Discount_rate,E27:$E$29)-NPV(Discount_rate,C27:$C$29)*(1+Discount_rate)</f>
        <v>70.068979250966777</v>
      </c>
      <c r="O26" s="88">
        <f>F26+(C26-D26)*Investment_rate</f>
        <v>-31.128286832737786</v>
      </c>
      <c r="P26" s="80">
        <f>-NPV(Discount_rate,O27:$O$29)</f>
        <v>70.068979250966834</v>
      </c>
    </row>
    <row r="27" spans="2:16" x14ac:dyDescent="0.25">
      <c r="B27" s="7">
        <f t="shared" si="15"/>
        <v>8</v>
      </c>
      <c r="C27" s="24">
        <f>C12</f>
        <v>528.68197112186806</v>
      </c>
      <c r="D27" s="24">
        <f>D12</f>
        <v>141.42098930029189</v>
      </c>
      <c r="E27" s="24">
        <f>E12*(1+CB1_factor)</f>
        <v>426.63241099464608</v>
      </c>
      <c r="F27" s="22">
        <f t="shared" si="10"/>
        <v>-39.371429173069941</v>
      </c>
      <c r="G27" s="22">
        <f t="shared" si="11"/>
        <v>1.2542725975946094</v>
      </c>
      <c r="H27" s="27">
        <f t="shared" si="16"/>
        <v>-383.56905181056453</v>
      </c>
      <c r="I27" s="11"/>
      <c r="J27" s="11">
        <f t="shared" si="12"/>
        <v>13.719898832176293</v>
      </c>
      <c r="K27" s="11">
        <f t="shared" si="13"/>
        <v>44.417448910073354</v>
      </c>
      <c r="L27" s="9"/>
      <c r="M27" s="81">
        <f t="shared" si="14"/>
        <v>8</v>
      </c>
      <c r="N27" s="78">
        <f>NPV(Discount_rate,D28:$D$29)*(1+Discount_rate)+NPV(Discount_rate,E28:$E$29)-NPV(Discount_rate,C28:$C$29)*(1+Discount_rate)</f>
        <v>44.417448910073063</v>
      </c>
      <c r="O27" s="88">
        <f>F27+(C27-D27)*Investment_rate</f>
        <v>-27.753599718422656</v>
      </c>
      <c r="P27" s="80">
        <f>-NPV(Discount_rate,O28:$O$29)</f>
        <v>44.41744891007319</v>
      </c>
    </row>
    <row r="28" spans="2:16" x14ac:dyDescent="0.25">
      <c r="B28" s="7">
        <f t="shared" si="15"/>
        <v>9</v>
      </c>
      <c r="C28" s="24">
        <f>C13</f>
        <v>531.31774529929453</v>
      </c>
      <c r="D28" s="24">
        <f>D13</f>
        <v>138.9518387219168</v>
      </c>
      <c r="E28" s="24">
        <f>E13*(1+CB1_factor)</f>
        <v>428.75941125865478</v>
      </c>
      <c r="F28" s="22">
        <f t="shared" si="10"/>
        <v>-36.393504681277079</v>
      </c>
      <c r="G28" s="22">
        <f t="shared" si="11"/>
        <v>0.2639056430043959</v>
      </c>
      <c r="H28" s="27">
        <f t="shared" si="16"/>
        <v>-419.69865084883719</v>
      </c>
      <c r="I28" s="11"/>
      <c r="J28" s="11">
        <f t="shared" si="12"/>
        <v>13.103500664623533</v>
      </c>
      <c r="K28" s="11">
        <f t="shared" si="13"/>
        <v>21.127444893419856</v>
      </c>
      <c r="L28" s="9"/>
      <c r="M28" s="81">
        <f t="shared" si="14"/>
        <v>9</v>
      </c>
      <c r="N28" s="78">
        <f>NPV(Discount_rate,D29:$D$29)*(1+Discount_rate)+NPV(Discount_rate,E29:$E$29)-NPV(Discount_rate,C29:$C$29)*(1+Discount_rate)</f>
        <v>21.127444893419693</v>
      </c>
      <c r="O28" s="88">
        <f>F28+(C28-D28)*Investment_rate</f>
        <v>-24.62252748395575</v>
      </c>
      <c r="P28" s="80">
        <f>-NPV(Discount_rate,O29:$O$29)</f>
        <v>21.127444893419636</v>
      </c>
    </row>
    <row r="29" spans="2:16" x14ac:dyDescent="0.25">
      <c r="B29" s="7">
        <f t="shared" si="15"/>
        <v>10</v>
      </c>
      <c r="C29" s="24">
        <f>C14</f>
        <v>532.86356058223657</v>
      </c>
      <c r="D29" s="24">
        <f>D14</f>
        <v>136.50863320998275</v>
      </c>
      <c r="E29" s="24">
        <f>E14*(1+CB1_factor)</f>
        <v>430.00684343364367</v>
      </c>
      <c r="F29" s="22">
        <f t="shared" si="10"/>
        <v>-33.651916061389841</v>
      </c>
      <c r="G29" s="22">
        <f t="shared" si="11"/>
        <v>-0.70031170429750089</v>
      </c>
      <c r="H29" s="27">
        <f>H28+F29+G29</f>
        <v>-454.05087861452455</v>
      </c>
      <c r="I29" s="11"/>
      <c r="J29" s="11">
        <f t="shared" si="12"/>
        <v>12.524471167970209</v>
      </c>
      <c r="K29" s="11">
        <f t="shared" si="13"/>
        <v>1.7408297026122455E-13</v>
      </c>
      <c r="L29" s="9"/>
      <c r="M29" s="81">
        <f t="shared" si="14"/>
        <v>10</v>
      </c>
      <c r="N29" s="23"/>
      <c r="O29" s="89">
        <f>F29+(C29-D29)*Investment_rate</f>
        <v>-21.761268240222226</v>
      </c>
      <c r="P29" s="84"/>
    </row>
    <row r="30" spans="2:16" x14ac:dyDescent="0.25">
      <c r="I30" s="9"/>
    </row>
    <row r="31" spans="2:16" x14ac:dyDescent="0.25">
      <c r="B31" s="2" t="s">
        <v>49</v>
      </c>
    </row>
    <row r="32" spans="2:16" x14ac:dyDescent="0.25">
      <c r="N32" s="72" t="s">
        <v>105</v>
      </c>
      <c r="O32" s="72"/>
      <c r="P32" s="72"/>
    </row>
    <row r="33" spans="2:16" x14ac:dyDescent="0.25">
      <c r="N33" s="73" t="s">
        <v>106</v>
      </c>
      <c r="O33" s="74" t="s">
        <v>107</v>
      </c>
      <c r="P33" s="75"/>
    </row>
    <row r="34" spans="2:16" x14ac:dyDescent="0.25">
      <c r="B34" s="58" t="s">
        <v>77</v>
      </c>
      <c r="C34" s="58"/>
      <c r="D34" s="58"/>
      <c r="E34" s="58"/>
      <c r="F34" s="58"/>
      <c r="G34" s="58"/>
      <c r="H34" s="58"/>
      <c r="I34" s="58"/>
      <c r="J34" s="58"/>
      <c r="K34" s="58"/>
      <c r="M34" s="76" t="s">
        <v>24</v>
      </c>
      <c r="N34" s="6" t="s">
        <v>50</v>
      </c>
      <c r="O34" s="6" t="s">
        <v>108</v>
      </c>
      <c r="P34" s="6" t="s">
        <v>50</v>
      </c>
    </row>
    <row r="35" spans="2:16" ht="54" x14ac:dyDescent="0.25">
      <c r="B35" s="52" t="s">
        <v>24</v>
      </c>
      <c r="C35" s="53" t="s">
        <v>51</v>
      </c>
      <c r="D35" s="53" t="s">
        <v>52</v>
      </c>
      <c r="E35" s="53" t="s">
        <v>53</v>
      </c>
      <c r="F35" s="53" t="s">
        <v>54</v>
      </c>
      <c r="G35" s="53" t="s">
        <v>94</v>
      </c>
      <c r="H35" s="53" t="s">
        <v>55</v>
      </c>
      <c r="I35" s="53" t="s">
        <v>56</v>
      </c>
      <c r="J35" s="53" t="s">
        <v>57</v>
      </c>
      <c r="K35" s="53" t="s">
        <v>58</v>
      </c>
      <c r="M35" s="77">
        <v>0</v>
      </c>
      <c r="N35" s="78">
        <f>NPV(Discount_rate,D36:$D$45)*(1+Discount_rate)+NPV(Discount_rate,E36:$E$45)-NPV(Discount_rate,C36:$C$45)*(1+Discount_rate)</f>
        <v>353.8311967071877</v>
      </c>
      <c r="O35" s="79"/>
      <c r="P35" s="80">
        <f>-NPV(Discount_rate,O36:$O$45)</f>
        <v>353.83119670718747</v>
      </c>
    </row>
    <row r="36" spans="2:16" x14ac:dyDescent="0.25">
      <c r="B36" s="23">
        <f>1</f>
        <v>1</v>
      </c>
      <c r="C36" s="24">
        <f>C5</f>
        <v>583.95960000000002</v>
      </c>
      <c r="D36" s="24">
        <f>Initial_expense*(1+CB2_factor)+Initial_comm_rate*C36</f>
        <v>246.29192</v>
      </c>
      <c r="E36" s="24">
        <f>E5</f>
        <v>428.4</v>
      </c>
      <c r="F36" s="24">
        <f>C36-D36-E36</f>
        <v>-90.732319999999959</v>
      </c>
      <c r="G36" s="24">
        <f>(C36-D36)*Investment_rate</f>
        <v>10.130030400000001</v>
      </c>
      <c r="H36" s="25">
        <f>F36+G36</f>
        <v>-80.602289599999963</v>
      </c>
      <c r="I36" s="26">
        <f>'Liability calculation'!F6</f>
        <v>353.83119670718747</v>
      </c>
      <c r="J36" s="26">
        <f>(I36+C36-D36)*Investment_rate</f>
        <v>20.744966301215623</v>
      </c>
      <c r="K36" s="26">
        <f>J36+I36+C36-D36-E36</f>
        <v>283.84384300840316</v>
      </c>
      <c r="L36" s="29"/>
      <c r="M36" s="81">
        <f>1+M35</f>
        <v>1</v>
      </c>
      <c r="N36" s="78">
        <f>NPV(Discount_rate,D37:$D$45)*(1+Discount_rate)+NPV(Discount_rate,E37:$E$45)-NPV(Discount_rate,C37:$C$45)*(1+Discount_rate)</f>
        <v>283.84384300840338</v>
      </c>
      <c r="O36" s="88">
        <f>F36+(C36-D36)*Investment_rate</f>
        <v>-80.602289599999963</v>
      </c>
      <c r="P36" s="80">
        <f>-NPV(Discount_rate,O37:$O$45)</f>
        <v>283.8438430084031</v>
      </c>
    </row>
    <row r="37" spans="2:16" x14ac:dyDescent="0.25">
      <c r="B37" s="7">
        <f>1+B36</f>
        <v>2</v>
      </c>
      <c r="C37" s="24">
        <f>C6</f>
        <v>558.14895756030398</v>
      </c>
      <c r="D37" s="22">
        <f t="shared" ref="D37:D45" si="17">(Renewal_expense*(1+Inflation)^(B37-2)*(1+CB2_factor)*VLOOKUP(B36,Decrement,7)) + Renewal_comm_rate*C37</f>
        <v>225.46774035206079</v>
      </c>
      <c r="E37" s="24">
        <f>E6</f>
        <v>409.46499281599995</v>
      </c>
      <c r="F37" s="22">
        <f t="shared" ref="F37:F45" si="18">C37-D37-E37</f>
        <v>-76.783775607756752</v>
      </c>
      <c r="G37" s="22">
        <f t="shared" ref="G37:G44" si="19">(H36+C37-D37)*Investment_rate</f>
        <v>7.5623678282472975</v>
      </c>
      <c r="H37" s="27">
        <f>H36+F37+G37</f>
        <v>-149.82369737950941</v>
      </c>
      <c r="I37" s="11"/>
      <c r="J37" s="11">
        <f t="shared" ref="J37:J45" si="20">(K36+C37-D37)*Investment_rate</f>
        <v>18.495751806499388</v>
      </c>
      <c r="K37" s="11">
        <f>K36+C37-D37-E37+J37</f>
        <v>225.55581920714579</v>
      </c>
      <c r="L37" s="29"/>
      <c r="M37" s="81">
        <f t="shared" ref="M37:M45" si="21">1+M36</f>
        <v>2</v>
      </c>
      <c r="N37" s="78">
        <f>NPV(Discount_rate,D38:$D$45)*(1+Discount_rate)+NPV(Discount_rate,E38:$E$45)-NPV(Discount_rate,C38:$C$45)*(1+Discount_rate)</f>
        <v>225.55581920714485</v>
      </c>
      <c r="O37" s="88">
        <f>F37+(C37-D37)*Investment_rate</f>
        <v>-66.803339091509457</v>
      </c>
      <c r="P37" s="80">
        <f>-NPV(Discount_rate,O38:$O$45)</f>
        <v>225.55581920714573</v>
      </c>
    </row>
    <row r="38" spans="2:16" x14ac:dyDescent="0.25">
      <c r="B38" s="7">
        <f t="shared" ref="B38:B45" si="22">1+B37</f>
        <v>3</v>
      </c>
      <c r="C38" s="24">
        <f>C7</f>
        <v>537.15231451896136</v>
      </c>
      <c r="D38" s="22">
        <f t="shared" si="17"/>
        <v>209.49241607459393</v>
      </c>
      <c r="E38" s="24">
        <f>E7</f>
        <v>394.06159525406042</v>
      </c>
      <c r="F38" s="22">
        <f t="shared" si="18"/>
        <v>-66.401696809693021</v>
      </c>
      <c r="G38" s="22">
        <f t="shared" si="19"/>
        <v>5.3350860319457398</v>
      </c>
      <c r="H38" s="27">
        <f t="shared" ref="H38:H44" si="23">H37+F38+G38</f>
        <v>-210.8903081572567</v>
      </c>
      <c r="I38" s="11"/>
      <c r="J38" s="11">
        <f t="shared" si="20"/>
        <v>16.596471529545394</v>
      </c>
      <c r="K38" s="11">
        <f t="shared" ref="K38:K45" si="24">K37+C38-D38-E38+J38</f>
        <v>175.75059392699814</v>
      </c>
      <c r="L38" s="29"/>
      <c r="M38" s="81">
        <f t="shared" si="21"/>
        <v>3</v>
      </c>
      <c r="N38" s="78">
        <f>NPV(Discount_rate,D39:$D$45)*(1+Discount_rate)+NPV(Discount_rate,E39:$E$45)-NPV(Discount_rate,C39:$C$45)*(1+Discount_rate)</f>
        <v>175.75059392699859</v>
      </c>
      <c r="O38" s="88">
        <f>F38+(C38-D38)*Investment_rate</f>
        <v>-56.571899856362002</v>
      </c>
      <c r="P38" s="80">
        <f>-NPV(Discount_rate,O39:$O$45)</f>
        <v>175.75059392699808</v>
      </c>
    </row>
    <row r="39" spans="2:16" x14ac:dyDescent="0.25">
      <c r="B39" s="7">
        <f t="shared" si="22"/>
        <v>4</v>
      </c>
      <c r="C39" s="24">
        <f>C8</f>
        <v>531.10277086477004</v>
      </c>
      <c r="D39" s="22">
        <f t="shared" si="17"/>
        <v>199.79396877066117</v>
      </c>
      <c r="E39" s="24">
        <f>E8</f>
        <v>389.62357505291038</v>
      </c>
      <c r="F39" s="22">
        <f t="shared" si="18"/>
        <v>-58.314772958801541</v>
      </c>
      <c r="G39" s="22">
        <f t="shared" si="19"/>
        <v>3.6125548181055649</v>
      </c>
      <c r="H39" s="27">
        <f t="shared" si="23"/>
        <v>-265.59252629795265</v>
      </c>
      <c r="I39" s="11"/>
      <c r="J39" s="11">
        <f t="shared" si="20"/>
        <v>15.211781880633209</v>
      </c>
      <c r="K39" s="11">
        <f t="shared" si="24"/>
        <v>132.64760284882979</v>
      </c>
      <c r="L39" s="29"/>
      <c r="M39" s="81">
        <f t="shared" si="21"/>
        <v>4</v>
      </c>
      <c r="N39" s="78">
        <f>NPV(Discount_rate,D40:$D$45)*(1+Discount_rate)+NPV(Discount_rate,E40:$E$45)-NPV(Discount_rate,C40:$C$45)*(1+Discount_rate)</f>
        <v>132.64760284883005</v>
      </c>
      <c r="O39" s="88">
        <f>F39+(C39-D39)*Investment_rate</f>
        <v>-48.375508895978278</v>
      </c>
      <c r="P39" s="80">
        <f>-NPV(Discount_rate,O40:$O$45)</f>
        <v>132.64760284882979</v>
      </c>
    </row>
    <row r="40" spans="2:16" x14ac:dyDescent="0.25">
      <c r="B40" s="7">
        <f t="shared" si="22"/>
        <v>5</v>
      </c>
      <c r="C40" s="24">
        <f>C9</f>
        <v>529.39361213912571</v>
      </c>
      <c r="D40" s="22">
        <f t="shared" si="17"/>
        <v>191.65864172509282</v>
      </c>
      <c r="E40" s="24">
        <f>E9</f>
        <v>388.36971502891879</v>
      </c>
      <c r="F40" s="22">
        <f t="shared" si="18"/>
        <v>-50.634744614885904</v>
      </c>
      <c r="G40" s="22">
        <f t="shared" si="19"/>
        <v>2.1642733234824072</v>
      </c>
      <c r="H40" s="27">
        <f t="shared" si="23"/>
        <v>-314.06299758935614</v>
      </c>
      <c r="I40" s="11"/>
      <c r="J40" s="11">
        <f t="shared" si="20"/>
        <v>14.111477197885881</v>
      </c>
      <c r="K40" s="11">
        <f t="shared" si="24"/>
        <v>96.124335431829792</v>
      </c>
      <c r="L40" s="29"/>
      <c r="M40" s="81">
        <f t="shared" si="21"/>
        <v>5</v>
      </c>
      <c r="N40" s="78">
        <f>NPV(Discount_rate,D41:$D$45)*(1+Discount_rate)+NPV(Discount_rate,E41:$E$45)-NPV(Discount_rate,C41:$C$45)*(1+Discount_rate)</f>
        <v>96.124335431829422</v>
      </c>
      <c r="O40" s="88">
        <f>F40+(C40-D40)*Investment_rate</f>
        <v>-40.502695502464917</v>
      </c>
      <c r="P40" s="80">
        <f>-NPV(Discount_rate,O41:$O$45)</f>
        <v>96.124335431829778</v>
      </c>
    </row>
    <row r="41" spans="2:16" x14ac:dyDescent="0.25">
      <c r="B41" s="7">
        <f t="shared" si="22"/>
        <v>6</v>
      </c>
      <c r="C41" s="24">
        <f>C10</f>
        <v>527.70363194859829</v>
      </c>
      <c r="D41" s="22">
        <f t="shared" si="17"/>
        <v>184.16420295463081</v>
      </c>
      <c r="E41" s="24">
        <f>E10</f>
        <v>387.12992461598287</v>
      </c>
      <c r="F41" s="22">
        <f t="shared" si="18"/>
        <v>-43.590495622015396</v>
      </c>
      <c r="G41" s="22">
        <f t="shared" si="19"/>
        <v>0.88429294213833998</v>
      </c>
      <c r="H41" s="27">
        <f t="shared" si="23"/>
        <v>-356.76920026923318</v>
      </c>
      <c r="I41" s="11"/>
      <c r="J41" s="11">
        <f t="shared" si="20"/>
        <v>13.189912932773916</v>
      </c>
      <c r="K41" s="11">
        <f t="shared" si="24"/>
        <v>65.723752742588289</v>
      </c>
      <c r="L41" s="29"/>
      <c r="M41" s="81">
        <f t="shared" si="21"/>
        <v>6</v>
      </c>
      <c r="N41" s="78">
        <f>NPV(Discount_rate,D42:$D$45)*(1+Discount_rate)+NPV(Discount_rate,E42:$E$45)-NPV(Discount_rate,C42:$C$45)*(1+Discount_rate)</f>
        <v>65.723752742588204</v>
      </c>
      <c r="O41" s="88">
        <f>F41+(C41-D41)*Investment_rate</f>
        <v>-33.284312752196371</v>
      </c>
      <c r="P41" s="80">
        <f>-NPV(Discount_rate,O42:$O$45)</f>
        <v>65.723752742588303</v>
      </c>
    </row>
    <row r="42" spans="2:16" x14ac:dyDescent="0.25">
      <c r="B42" s="7">
        <f t="shared" si="22"/>
        <v>7</v>
      </c>
      <c r="C42" s="24">
        <f>C11</f>
        <v>527.83109525153634</v>
      </c>
      <c r="D42" s="22">
        <f t="shared" si="17"/>
        <v>177.61803024240558</v>
      </c>
      <c r="E42" s="24">
        <f>E11</f>
        <v>387.22343327476443</v>
      </c>
      <c r="F42" s="22">
        <f t="shared" si="18"/>
        <v>-37.010368265633645</v>
      </c>
      <c r="G42" s="22">
        <f t="shared" si="19"/>
        <v>-0.19668405780307266</v>
      </c>
      <c r="H42" s="27">
        <f t="shared" si="23"/>
        <v>-393.97625259266988</v>
      </c>
      <c r="I42" s="11"/>
      <c r="J42" s="11">
        <f t="shared" si="20"/>
        <v>12.478104532551573</v>
      </c>
      <c r="K42" s="11">
        <f t="shared" si="24"/>
        <v>41.191489009506242</v>
      </c>
      <c r="L42" s="29"/>
      <c r="M42" s="81">
        <f t="shared" si="21"/>
        <v>7</v>
      </c>
      <c r="N42" s="78">
        <f>NPV(Discount_rate,D43:$D$45)*(1+Discount_rate)+NPV(Discount_rate,E43:$E$45)-NPV(Discount_rate,C43:$C$45)*(1+Discount_rate)</f>
        <v>41.191489009506313</v>
      </c>
      <c r="O42" s="88">
        <f>F42+(C42-D42)*Investment_rate</f>
        <v>-26.503976315359722</v>
      </c>
      <c r="P42" s="80">
        <f>-NPV(Discount_rate,O43:$O$45)</f>
        <v>41.191489009506228</v>
      </c>
    </row>
    <row r="43" spans="2:16" x14ac:dyDescent="0.25">
      <c r="B43" s="7">
        <f t="shared" si="22"/>
        <v>8</v>
      </c>
      <c r="C43" s="24">
        <f>C12</f>
        <v>528.68197112186806</v>
      </c>
      <c r="D43" s="22">
        <f t="shared" si="17"/>
        <v>171.75289511482242</v>
      </c>
      <c r="E43" s="24">
        <f>E12</f>
        <v>387.84764635876911</v>
      </c>
      <c r="F43" s="22">
        <f t="shared" si="18"/>
        <v>-30.918570351723474</v>
      </c>
      <c r="G43" s="22">
        <f t="shared" si="19"/>
        <v>-1.1114152975687273</v>
      </c>
      <c r="H43" s="27">
        <f t="shared" si="23"/>
        <v>-426.00623824196208</v>
      </c>
      <c r="I43" s="11"/>
      <c r="J43" s="11">
        <f t="shared" si="20"/>
        <v>11.943616950496555</v>
      </c>
      <c r="K43" s="11">
        <f t="shared" si="24"/>
        <v>22.21653560827928</v>
      </c>
      <c r="L43" s="29"/>
      <c r="M43" s="81">
        <f t="shared" si="21"/>
        <v>8</v>
      </c>
      <c r="N43" s="78">
        <f>NPV(Discount_rate,D44:$D$45)*(1+Discount_rate)+NPV(Discount_rate,E44:$E$45)-NPV(Discount_rate,C44:$C$45)*(1+Discount_rate)</f>
        <v>22.216535608279401</v>
      </c>
      <c r="O43" s="88">
        <f>F43+(C43-D43)*Investment_rate</f>
        <v>-20.210698071512105</v>
      </c>
      <c r="P43" s="80">
        <f>-NPV(Discount_rate,O44:$O$45)</f>
        <v>22.216535608279308</v>
      </c>
    </row>
    <row r="44" spans="2:16" x14ac:dyDescent="0.25">
      <c r="B44" s="7">
        <f t="shared" si="22"/>
        <v>9</v>
      </c>
      <c r="C44" s="24">
        <f>C13</f>
        <v>531.31774529929453</v>
      </c>
      <c r="D44" s="22">
        <f t="shared" si="17"/>
        <v>166.73688493466599</v>
      </c>
      <c r="E44" s="24">
        <f>E13</f>
        <v>389.7812829624134</v>
      </c>
      <c r="F44" s="22">
        <f t="shared" si="18"/>
        <v>-25.200422597784893</v>
      </c>
      <c r="G44" s="22">
        <f t="shared" si="19"/>
        <v>-1.8427613363200064</v>
      </c>
      <c r="H44" s="27">
        <f t="shared" si="23"/>
        <v>-453.04942217606697</v>
      </c>
      <c r="I44" s="11"/>
      <c r="J44" s="11">
        <f t="shared" si="20"/>
        <v>11.603921879187233</v>
      </c>
      <c r="K44" s="11">
        <f t="shared" si="24"/>
        <v>8.6200348896816266</v>
      </c>
      <c r="L44" s="29"/>
      <c r="M44" s="81">
        <f t="shared" si="21"/>
        <v>9</v>
      </c>
      <c r="N44" s="78">
        <f>NPV(Discount_rate,D45:$D$45)*(1+Discount_rate)+NPV(Discount_rate,E45:$E$45)-NPV(Discount_rate,C45:$C$45)*(1+Discount_rate)</f>
        <v>8.6200348896816195</v>
      </c>
      <c r="O44" s="88">
        <f>F44+(C44-D44)*Investment_rate</f>
        <v>-14.262996786846038</v>
      </c>
      <c r="P44" s="80">
        <f>-NPV(Discount_rate,O45:$O$45)</f>
        <v>8.6200348896816479</v>
      </c>
    </row>
    <row r="45" spans="2:16" x14ac:dyDescent="0.25">
      <c r="B45" s="7">
        <f t="shared" si="22"/>
        <v>10</v>
      </c>
      <c r="C45" s="24">
        <f>C14</f>
        <v>532.86356058223657</v>
      </c>
      <c r="D45" s="22">
        <f t="shared" si="17"/>
        <v>161.95416613948782</v>
      </c>
      <c r="E45" s="24">
        <f>E14</f>
        <v>390.91531221240331</v>
      </c>
      <c r="F45" s="22">
        <f t="shared" si="18"/>
        <v>-20.005917769654559</v>
      </c>
      <c r="G45" s="22">
        <f>(H44+C45-D45)*Investment_rate</f>
        <v>-2.4642008319995465</v>
      </c>
      <c r="H45" s="27">
        <f>H44+F45+G45</f>
        <v>-475.51954077772109</v>
      </c>
      <c r="I45" s="11"/>
      <c r="J45" s="11">
        <f t="shared" si="20"/>
        <v>11.385882879972911</v>
      </c>
      <c r="K45" s="11">
        <f t="shared" si="24"/>
        <v>-2.8421709430404007E-14</v>
      </c>
      <c r="L45" s="29"/>
      <c r="M45" s="81">
        <f t="shared" si="21"/>
        <v>10</v>
      </c>
      <c r="N45" s="23"/>
      <c r="O45" s="89">
        <f>F45+(C45-D45)*Investment_rate</f>
        <v>-8.8786359363720972</v>
      </c>
      <c r="P45" s="84"/>
    </row>
    <row r="47" spans="2:16" x14ac:dyDescent="0.25">
      <c r="B47" s="2" t="s">
        <v>75</v>
      </c>
    </row>
  </sheetData>
  <mergeCells count="10">
    <mergeCell ref="B3:H3"/>
    <mergeCell ref="B18:K18"/>
    <mergeCell ref="B34:K34"/>
    <mergeCell ref="J3:K3"/>
    <mergeCell ref="N1:P1"/>
    <mergeCell ref="O2:P2"/>
    <mergeCell ref="N16:P16"/>
    <mergeCell ref="O17:P17"/>
    <mergeCell ref="N32:P32"/>
    <mergeCell ref="O33:P33"/>
  </mergeCells>
  <pageMargins left="0.7" right="0.7" top="0.75" bottom="0.75" header="0.3" footer="0.3"/>
  <pageSetup orientation="portrait" horizontalDpi="1200" verticalDpi="1200" r:id="rId1"/>
  <ignoredErrors>
    <ignoredError sqref="D36:D45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/>
  </sheetViews>
  <sheetFormatPr defaultRowHeight="13.5" x14ac:dyDescent="0.25"/>
  <cols>
    <col min="1" max="1" width="9.140625" style="2"/>
    <col min="2" max="2" width="9.5703125" style="2" bestFit="1" customWidth="1"/>
    <col min="3" max="3" width="9.85546875" style="2" customWidth="1"/>
    <col min="4" max="4" width="12" style="2" customWidth="1"/>
    <col min="5" max="5" width="13.42578125" style="2" customWidth="1"/>
    <col min="6" max="6" width="11.5703125" style="2" customWidth="1"/>
    <col min="7" max="7" width="12.140625" style="2" customWidth="1"/>
    <col min="8" max="16384" width="9.140625" style="2"/>
  </cols>
  <sheetData>
    <row r="1" spans="1:9" ht="15" x14ac:dyDescent="0.25">
      <c r="A1" s="1" t="s">
        <v>92</v>
      </c>
    </row>
    <row r="4" spans="1:9" x14ac:dyDescent="0.25">
      <c r="A4" s="63" t="s">
        <v>24</v>
      </c>
      <c r="B4" s="62" t="s">
        <v>46</v>
      </c>
      <c r="C4" s="62"/>
      <c r="D4" s="50" t="s">
        <v>37</v>
      </c>
      <c r="E4" s="51"/>
      <c r="F4" s="65" t="s">
        <v>40</v>
      </c>
      <c r="G4" s="66"/>
    </row>
    <row r="5" spans="1:9" x14ac:dyDescent="0.25">
      <c r="A5" s="64"/>
      <c r="B5" s="6" t="s">
        <v>44</v>
      </c>
      <c r="C5" s="6" t="s">
        <v>45</v>
      </c>
      <c r="D5" s="6" t="s">
        <v>44</v>
      </c>
      <c r="E5" s="6" t="s">
        <v>45</v>
      </c>
      <c r="F5" s="6" t="s">
        <v>50</v>
      </c>
      <c r="G5" s="6" t="s">
        <v>45</v>
      </c>
    </row>
    <row r="6" spans="1:9" x14ac:dyDescent="0.25">
      <c r="A6" s="10">
        <v>0</v>
      </c>
      <c r="B6" s="11">
        <f>(B7+'Cash flows'!E5)/(1+Discount_rate)-'Cash flows'!C5+'Cash flows'!D5</f>
        <v>2.7371546408971881E-3</v>
      </c>
      <c r="C6" s="11">
        <f>0-B6</f>
        <v>-2.7371546408971881E-3</v>
      </c>
      <c r="D6" s="11">
        <f>(D7+'Cash flows'!E20)/(1+Discount_rate)-'Cash flows'!C20+'Cash flows'!D20</f>
        <v>337.85649583057921</v>
      </c>
      <c r="E6" s="11">
        <f>-D6</f>
        <v>-337.85649583057921</v>
      </c>
      <c r="F6" s="11">
        <f>(F7+'Cash flows'!E36)/(1+Discount_rate)-'Cash flows'!C36+'Cash flows'!D36</f>
        <v>353.83119670718747</v>
      </c>
      <c r="G6" s="11">
        <f>-F6</f>
        <v>-353.83119670718747</v>
      </c>
      <c r="H6" s="28"/>
      <c r="I6" s="28"/>
    </row>
    <row r="7" spans="1:9" x14ac:dyDescent="0.25">
      <c r="A7" s="10">
        <f>1+A6</f>
        <v>1</v>
      </c>
      <c r="B7" s="11">
        <f>(B8+'Cash flows'!E6)/(1+Discount_rate)-'Cash flows'!C6+'Cash flows'!D6</f>
        <v>-19.314470330719843</v>
      </c>
      <c r="C7" s="11">
        <f>'Cash flows'!F5 +'Cash flows'!G5 -('Liability calculation'!B7-'Liability calculation'!B6)</f>
        <v>-8.2114639219810215E-5</v>
      </c>
      <c r="D7" s="11">
        <f>(D8+'Cash flows'!E21)/(1+Discount_rate)-'Cash flows'!C21+'Cash flows'!D21</f>
        <v>285.83490110549656</v>
      </c>
      <c r="E7" s="11">
        <f>'Cash flows'!F5 +'Cash flows'!J20 -('Liability calculation'!D7-'Liability calculation'!D6)</f>
        <v>42.840000000000067</v>
      </c>
      <c r="F7" s="11">
        <f>(F8+'Cash flows'!E37)/(1+Discount_rate)-'Cash flows'!C37+'Cash flows'!D37</f>
        <v>283.84384300840316</v>
      </c>
      <c r="G7" s="11">
        <f>'Cash flows'!F5+'Cash flows'!J36-('Liability calculation'!F7-'Liability calculation'!F6) + ('Cash flows'!D36-'Cash flows'!D5)*Investment_rate</f>
        <v>61.284999999999982</v>
      </c>
    </row>
    <row r="8" spans="1:9" x14ac:dyDescent="0.25">
      <c r="A8" s="10">
        <f t="shared" ref="A8:A16" si="0">1+A7</f>
        <v>2</v>
      </c>
      <c r="B8" s="11">
        <f>(B9+'Cash flows'!E7)/(1+Discount_rate)-'Cash flows'!C7+'Cash flows'!D7</f>
        <v>-32.824203418950873</v>
      </c>
      <c r="C8" s="11">
        <f>'Cash flows'!F6 +'Cash flows'!G6 -('Liability calculation'!B8-'Liability calculation'!B7)</f>
        <v>-8.4578078475061602E-5</v>
      </c>
      <c r="D8" s="11">
        <f>(D9+'Cash flows'!E22)/(1+Discount_rate)-'Cash flows'!C22+'Cash flows'!D22</f>
        <v>240.53314987875191</v>
      </c>
      <c r="E8" s="11">
        <f>'Cash flows'!F6 +'Cash flows'!J21 -('Liability calculation'!D8-'Liability calculation'!D7)</f>
        <v>40.94649928160004</v>
      </c>
      <c r="F8" s="11">
        <f>(F9+'Cash flows'!E38)/(1+Discount_rate)-'Cash flows'!C38+'Cash flows'!D38</f>
        <v>225.55581920714573</v>
      </c>
      <c r="G8" s="11">
        <f>'Cash flows'!F6+'Cash flows'!J37-('Liability calculation'!F8-'Liability calculation'!F7) + ('Cash flows'!D37-'Cash flows'!D6)*Investment_rate</f>
        <v>53.873040113200005</v>
      </c>
    </row>
    <row r="9" spans="1:9" x14ac:dyDescent="0.25">
      <c r="A9" s="10">
        <f t="shared" si="0"/>
        <v>3</v>
      </c>
      <c r="B9" s="11">
        <f>(B10+'Cash flows'!E8)/(1+Discount_rate)-'Cash flows'!C8+'Cash flows'!D8</f>
        <v>-42.080699647591189</v>
      </c>
      <c r="C9" s="11">
        <f>'Cash flows'!F7 +'Cash flows'!G7 -('Liability calculation'!B9-'Liability calculation'!B8)</f>
        <v>-8.7115420768668628E-5</v>
      </c>
      <c r="D9" s="11">
        <f>(D10+'Cash flows'!E23)/(1+Discount_rate)-'Cash flows'!C23+'Cash flows'!D23</f>
        <v>200.07121472363661</v>
      </c>
      <c r="E9" s="11">
        <f>'Cash flows'!F7 +'Cash flows'!J22 -('Liability calculation'!D9-'Liability calculation'!D8)</f>
        <v>39.406159525406061</v>
      </c>
      <c r="F9" s="11">
        <f>(F10+'Cash flows'!E39)/(1+Discount_rate)-'Cash flows'!C39+'Cash flows'!D39</f>
        <v>175.75059392699811</v>
      </c>
      <c r="G9" s="11">
        <f>'Cash flows'!F7+'Cash flows'!J38-('Liability calculation'!F9-'Liability calculation'!F8) + ('Cash flows'!D38-'Cash flows'!D7)*Investment_rate</f>
        <v>48.300129730290202</v>
      </c>
    </row>
    <row r="10" spans="1:9" x14ac:dyDescent="0.25">
      <c r="A10" s="10">
        <f t="shared" si="0"/>
        <v>4</v>
      </c>
      <c r="B10" s="11">
        <f>(B11+'Cash flows'!E9)/(1+Discount_rate)-'Cash flows'!C9+'Cash flows'!D9</f>
        <v>-47.43564332743361</v>
      </c>
      <c r="C10" s="11">
        <f>'Cash flows'!F8 +'Cash flows'!G8 -('Liability calculation'!B10-'Liability calculation'!B9)</f>
        <v>-8.9728883359896372E-5</v>
      </c>
      <c r="D10" s="11">
        <f>(D11+'Cash flows'!E24)/(1+Discount_rate)-'Cash flows'!C24+'Cash flows'!D24</f>
        <v>163.01847096963999</v>
      </c>
      <c r="E10" s="11">
        <f>'Cash flows'!F8 +'Cash flows'!J23 -('Liability calculation'!D10-'Liability calculation'!D9)</f>
        <v>38.962357505291067</v>
      </c>
      <c r="F10" s="11">
        <f>(F11+'Cash flows'!E40)/(1+Discount_rate)-'Cash flows'!C40+'Cash flows'!D40</f>
        <v>132.64760284882976</v>
      </c>
      <c r="G10" s="11">
        <f>'Cash flows'!F8+'Cash flows'!J39-('Liability calculation'!F10-'Liability calculation'!F9) + ('Cash flows'!D39-'Cash flows'!D8)*Investment_rate</f>
        <v>44.282986205563624</v>
      </c>
    </row>
    <row r="11" spans="1:9" x14ac:dyDescent="0.25">
      <c r="A11" s="10">
        <f t="shared" si="0"/>
        <v>5</v>
      </c>
      <c r="B11" s="11">
        <f>(B12+'Cash flows'!E10)/(1+Discount_rate)-'Cash flows'!C10+'Cash flows'!D10</f>
        <v>-48.766640916338929</v>
      </c>
      <c r="C11" s="11">
        <f>'Cash flows'!F9 +'Cash flows'!G9 -('Liability calculation'!B11-'Liability calculation'!B10)</f>
        <v>-9.2420749902899502E-5</v>
      </c>
      <c r="D11" s="11">
        <f>(D12+'Cash flows'!E25)/(1+Discount_rate)-'Cash flows'!C25+'Cash flows'!D25</f>
        <v>129.16412530675495</v>
      </c>
      <c r="E11" s="11">
        <f>'Cash flows'!F9 +'Cash flows'!J24 -('Liability calculation'!D11-'Liability calculation'!D10)</f>
        <v>38.836971502891913</v>
      </c>
      <c r="F11" s="11">
        <f>(F12+'Cash flows'!E41)/(1+Discount_rate)-'Cash flows'!C41+'Cash flows'!D41</f>
        <v>96.124335431829763</v>
      </c>
      <c r="G11" s="11">
        <f>'Cash flows'!F9+'Cash flows'!J40-('Liability calculation'!F11-'Liability calculation'!F10) + ('Cash flows'!D40-'Cash flows'!D9)*Investment_rate</f>
        <v>40.594767213382568</v>
      </c>
    </row>
    <row r="12" spans="1:9" x14ac:dyDescent="0.25">
      <c r="A12" s="10">
        <f t="shared" si="0"/>
        <v>6</v>
      </c>
      <c r="B12" s="11">
        <f>(B13+'Cash flows'!E11)/(1+Discount_rate)-'Cash flows'!C11+'Cash flows'!D11</f>
        <v>-46.305923851387803</v>
      </c>
      <c r="C12" s="11">
        <f>'Cash flows'!F10 +'Cash flows'!G10 -('Liability calculation'!B12-'Liability calculation'!B11)</f>
        <v>-9.5193372377622154E-5</v>
      </c>
      <c r="D12" s="11">
        <f>(D13+'Cash flows'!E26)/(1+Discount_rate)-'Cash flows'!C26+'Cash flows'!D26</f>
        <v>98.249772896800579</v>
      </c>
      <c r="E12" s="11">
        <f>'Cash flows'!F10 +'Cash flows'!J25 -('Liability calculation'!D12-'Liability calculation'!D11)</f>
        <v>38.712992461598326</v>
      </c>
      <c r="F12" s="11">
        <f>(F13+'Cash flows'!E42)/(1+Discount_rate)-'Cash flows'!C42+'Cash flows'!D42</f>
        <v>65.723752742588289</v>
      </c>
      <c r="G12" s="11">
        <f>'Cash flows'!F10+'Cash flows'!J41-('Liability calculation'!F12-'Liability calculation'!F11) + ('Cash flows'!D41-'Cash flows'!D10)*Investment_rate</f>
        <v>37.208029044637662</v>
      </c>
    </row>
    <row r="13" spans="1:9" x14ac:dyDescent="0.25">
      <c r="A13" s="10">
        <f t="shared" si="0"/>
        <v>7</v>
      </c>
      <c r="B13" s="11">
        <f>(B14+'Cash flows'!E12)/(1+Discount_rate)-'Cash flows'!C12+'Cash flows'!D12</f>
        <v>-40.101045072190772</v>
      </c>
      <c r="C13" s="11">
        <f>'Cash flows'!F11 +'Cash flows'!G11 -('Liability calculation'!B13-'Liability calculation'!B12)</f>
        <v>-9.8049173505643239E-5</v>
      </c>
      <c r="D13" s="11">
        <f>(D14+'Cash flows'!E27)/(1+Discount_rate)-'Cash flows'!C27+'Cash flows'!D27</f>
        <v>70.068979250966805</v>
      </c>
      <c r="E13" s="11">
        <f>'Cash flows'!F11 +'Cash flows'!J26 -('Liability calculation'!D13-'Liability calculation'!D12)</f>
        <v>38.722343327476509</v>
      </c>
      <c r="F13" s="11">
        <f>(F14+'Cash flows'!E43)/(1+Discount_rate)-'Cash flows'!C43+'Cash flows'!D43</f>
        <v>41.191489009506199</v>
      </c>
      <c r="G13" s="11">
        <f>'Cash flows'!F11+'Cash flows'!J42-('Liability calculation'!F13-'Liability calculation'!F12) + ('Cash flows'!D42-'Cash flows'!D11)*Investment_rate</f>
        <v>34.098032810098445</v>
      </c>
    </row>
    <row r="14" spans="1:9" x14ac:dyDescent="0.25">
      <c r="A14" s="10">
        <f t="shared" si="0"/>
        <v>8</v>
      </c>
      <c r="B14" s="11">
        <f>(B15+'Cash flows'!E13)/(1+Discount_rate)-'Cash flows'!C13+'Cash flows'!D13</f>
        <v>-30.272911506902091</v>
      </c>
      <c r="C14" s="11">
        <f>'Cash flows'!F12 +'Cash flows'!G12 -('Liability calculation'!B14-'Liability calculation'!B13)</f>
        <v>-1.0099064884805387E-4</v>
      </c>
      <c r="D14" s="11">
        <f>(D15+'Cash flows'!E28)/(1+Discount_rate)-'Cash flows'!C28+'Cash flows'!D28</f>
        <v>44.417448910073148</v>
      </c>
      <c r="E14" s="11">
        <f>'Cash flows'!F12 +'Cash flows'!J27 -('Liability calculation'!D14-'Liability calculation'!D13)</f>
        <v>38.784764635876975</v>
      </c>
      <c r="F14" s="11">
        <f>(F15+'Cash flows'!E44)/(1+Discount_rate)-'Cash flows'!C44+'Cash flows'!D44</f>
        <v>22.216535608279258</v>
      </c>
      <c r="G14" s="11">
        <f>'Cash flows'!F12+'Cash flows'!J43-('Liability calculation'!F14-'Liability calculation'!F13) + ('Cash flows'!D43-'Cash flows'!D12)*Investment_rate</f>
        <v>31.241862988966439</v>
      </c>
    </row>
    <row r="15" spans="1:9" x14ac:dyDescent="0.25">
      <c r="A15" s="10">
        <f t="shared" si="0"/>
        <v>9</v>
      </c>
      <c r="B15" s="11">
        <f>(B16+'Cash flows'!E14)/(1+Discount_rate)-'Cash flows'!C14+'Cash flows'!D14</f>
        <v>-16.825498039823458</v>
      </c>
      <c r="C15" s="11">
        <f>'Cash flows'!F13 +'Cash flows'!G13 -('Liability calculation'!B15-'Liability calculation'!B14)</f>
        <v>-1.0402036828516259E-4</v>
      </c>
      <c r="D15" s="11">
        <f>(D16+'Cash flows'!E29)/(1+Discount_rate)-'Cash flows'!C29+'Cash flows'!D29</f>
        <v>21.127444893419636</v>
      </c>
      <c r="E15" s="11">
        <f>'Cash flows'!F13 +'Cash flows'!J28 -('Liability calculation'!D15-'Liability calculation'!D14)</f>
        <v>38.978128296241344</v>
      </c>
      <c r="F15" s="11">
        <f>(F16+'Cash flows'!E45)/(1+Discount_rate)-'Cash flows'!C45+'Cash flows'!D45</f>
        <v>8.6200348896816195</v>
      </c>
      <c r="G15" s="11">
        <f>'Cash flows'!F13+'Cash flows'!J44-('Liability calculation'!F15-'Liability calculation'!F14) + ('Cash flows'!D44-'Cash flows'!D13)*Investment_rate</f>
        <v>28.618597599131647</v>
      </c>
    </row>
    <row r="16" spans="1:9" x14ac:dyDescent="0.25">
      <c r="A16" s="10">
        <f t="shared" si="0"/>
        <v>10</v>
      </c>
      <c r="B16" s="11">
        <f>(B17+'Cash flows'!E16)/(1+Discount_rate)-'Cash flows'!C16+'Cash flows'!D16</f>
        <v>0</v>
      </c>
      <c r="C16" s="11">
        <f>'Cash flows'!F14 +'Cash flows'!G14 -('Liability calculation'!B16-'Liability calculation'!B15)</f>
        <v>-1.0714097929565014E-4</v>
      </c>
      <c r="D16" s="11">
        <f>(D17+'Cash flows'!E30)/(1+Discount_rate)-'Cash flows'!C30+'Cash flows'!D30</f>
        <v>0</v>
      </c>
      <c r="E16" s="11">
        <f>'Cash flows'!F14 +'Cash flows'!J29 -('Liability calculation'!D16-'Liability calculation'!D15)</f>
        <v>39.091531221240359</v>
      </c>
      <c r="F16" s="11">
        <f>(F17+'Cash flows'!E46)/(1+Discount_rate)-'Cash flows'!C46+'Cash flows'!D46</f>
        <v>0</v>
      </c>
      <c r="G16" s="11">
        <f>'Cash flows'!F14+'Cash flows'!J45-('Liability calculation'!F16-'Liability calculation'!F15) + ('Cash flows'!D45-'Cash flows'!D14)*Investment_rate</f>
        <v>26.208898917390201</v>
      </c>
    </row>
    <row r="18" spans="1:1" x14ac:dyDescent="0.25">
      <c r="A18" s="2" t="s">
        <v>101</v>
      </c>
    </row>
    <row r="19" spans="1:1" x14ac:dyDescent="0.25">
      <c r="A19" s="2" t="s">
        <v>70</v>
      </c>
    </row>
    <row r="20" spans="1:1" x14ac:dyDescent="0.25">
      <c r="A20" s="2" t="s">
        <v>71</v>
      </c>
    </row>
    <row r="21" spans="1:1" x14ac:dyDescent="0.25">
      <c r="A21" s="2" t="s">
        <v>73</v>
      </c>
    </row>
    <row r="22" spans="1:1" x14ac:dyDescent="0.25">
      <c r="A22" s="2" t="s">
        <v>74</v>
      </c>
    </row>
    <row r="23" spans="1:1" x14ac:dyDescent="0.25">
      <c r="A23" s="2" t="s">
        <v>72</v>
      </c>
    </row>
    <row r="24" spans="1:1" x14ac:dyDescent="0.25">
      <c r="A24" s="2" t="s">
        <v>93</v>
      </c>
    </row>
    <row r="25" spans="1:1" x14ac:dyDescent="0.25">
      <c r="A25" s="2" t="s">
        <v>102</v>
      </c>
    </row>
  </sheetData>
  <mergeCells count="3">
    <mergeCell ref="B4:C4"/>
    <mergeCell ref="A4:A5"/>
    <mergeCell ref="F4:G4"/>
  </mergeCells>
  <pageMargins left="0.7" right="0.7" top="0.75" bottom="0.75" header="0.3" footer="0.3"/>
  <pageSetup orientation="portrait" horizontalDpi="1200" verticalDpi="1200" r:id="rId1"/>
  <ignoredErrors>
    <ignoredError sqref="F6" formula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9"/>
  <sheetViews>
    <sheetView topLeftCell="A10" workbookViewId="0">
      <selection activeCell="F16" sqref="F16"/>
    </sheetView>
  </sheetViews>
  <sheetFormatPr defaultRowHeight="15" x14ac:dyDescent="0.25"/>
  <cols>
    <col min="1" max="10" width="13.7109375" customWidth="1"/>
  </cols>
  <sheetData>
    <row r="2" spans="1:7" x14ac:dyDescent="0.25">
      <c r="A2" s="43" t="s">
        <v>83</v>
      </c>
    </row>
    <row r="3" spans="1:7" ht="51" x14ac:dyDescent="0.25">
      <c r="A3" s="39" t="s">
        <v>24</v>
      </c>
      <c r="B3" s="40" t="s">
        <v>78</v>
      </c>
      <c r="C3" s="40" t="s">
        <v>79</v>
      </c>
      <c r="D3" s="40" t="s">
        <v>4</v>
      </c>
      <c r="E3" s="39" t="s">
        <v>80</v>
      </c>
      <c r="F3" s="40" t="s">
        <v>81</v>
      </c>
      <c r="G3" s="40" t="s">
        <v>82</v>
      </c>
    </row>
    <row r="4" spans="1:7" x14ac:dyDescent="0.25">
      <c r="A4" s="41">
        <v>1</v>
      </c>
      <c r="B4" s="44">
        <f>'Cash flows'!C5</f>
        <v>583.95960000000002</v>
      </c>
      <c r="C4" s="44">
        <f>-'Cash flows'!E5</f>
        <v>-428.4</v>
      </c>
      <c r="D4" s="44">
        <f>-'Cash flows'!D5</f>
        <v>-186.79192</v>
      </c>
      <c r="E4" s="46">
        <f>'Cash flows'!F5</f>
        <v>-31.232319999999959</v>
      </c>
      <c r="F4" s="44">
        <f>'Cash flows'!J5</f>
        <v>11.915030400000001</v>
      </c>
      <c r="G4" s="44">
        <f>E4+F4</f>
        <v>-19.31728959999996</v>
      </c>
    </row>
    <row r="5" spans="1:7" x14ac:dyDescent="0.25">
      <c r="A5" s="42">
        <v>2</v>
      </c>
      <c r="B5" s="45">
        <f>'Cash flows'!C6</f>
        <v>558.14895756030398</v>
      </c>
      <c r="C5" s="45">
        <f>-'Cash flows'!E6</f>
        <v>-409.46499281599995</v>
      </c>
      <c r="D5" s="45">
        <f>-'Cash flows'!D6</f>
        <v>-173.16381791206081</v>
      </c>
      <c r="E5" s="47">
        <f>'Cash flows'!F6</f>
        <v>-24.479853167756801</v>
      </c>
      <c r="F5" s="45">
        <f>'Cash flows'!J6</f>
        <v>11.549554189447294</v>
      </c>
      <c r="G5" s="45">
        <f t="shared" ref="G5:G13" si="0">E5+F5</f>
        <v>-12.930298978309507</v>
      </c>
    </row>
    <row r="6" spans="1:7" x14ac:dyDescent="0.25">
      <c r="A6" s="41">
        <v>3</v>
      </c>
      <c r="B6" s="44">
        <f>'Cash flows'!C7</f>
        <v>537.15231451896136</v>
      </c>
      <c r="C6" s="44">
        <f>-'Cash flows'!E7</f>
        <v>-394.06159525406042</v>
      </c>
      <c r="D6" s="44">
        <f>-'Cash flows'!D7</f>
        <v>-162.59908623936073</v>
      </c>
      <c r="E6" s="46">
        <f>'Cash flows'!F7</f>
        <v>-19.508366974459818</v>
      </c>
      <c r="F6" s="44">
        <f>'Cash flows'!J7</f>
        <v>11.236596848388018</v>
      </c>
      <c r="G6" s="44">
        <f t="shared" si="0"/>
        <v>-8.2717701260718002</v>
      </c>
    </row>
    <row r="7" spans="1:7" x14ac:dyDescent="0.25">
      <c r="A7" s="42">
        <v>4</v>
      </c>
      <c r="B7" s="45">
        <f>'Cash flows'!C8</f>
        <v>531.10277086477004</v>
      </c>
      <c r="C7" s="45">
        <f>-'Cash flows'!E8</f>
        <v>-389.62357505291038</v>
      </c>
      <c r="D7" s="45">
        <f>-'Cash flows'!D8</f>
        <v>-156.80077827982274</v>
      </c>
      <c r="E7" s="47">
        <f>'Cash flows'!F8</f>
        <v>-15.321582467963083</v>
      </c>
      <c r="F7" s="45">
        <f>'Cash flows'!J8</f>
        <v>11.229059777548418</v>
      </c>
      <c r="G7" s="45">
        <f t="shared" si="0"/>
        <v>-4.0925226904146648</v>
      </c>
    </row>
    <row r="8" spans="1:7" x14ac:dyDescent="0.25">
      <c r="A8" s="41">
        <v>5</v>
      </c>
      <c r="B8" s="44">
        <f>'Cash flows'!C9</f>
        <v>529.39361213912571</v>
      </c>
      <c r="C8" s="44">
        <f>-'Cash flows'!E9</f>
        <v>-388.36971502891879</v>
      </c>
      <c r="D8" s="44">
        <f>-'Cash flows'!D9</f>
        <v>-152.24624637229417</v>
      </c>
      <c r="E8" s="46">
        <f>'Cash flows'!F9</f>
        <v>-11.222349262087278</v>
      </c>
      <c r="F8" s="44">
        <f>'Cash flows'!J9</f>
        <v>11.314420973004944</v>
      </c>
      <c r="G8" s="44">
        <f t="shared" si="0"/>
        <v>9.2071710917666749E-2</v>
      </c>
    </row>
    <row r="9" spans="1:7" x14ac:dyDescent="0.25">
      <c r="A9" s="42">
        <v>6</v>
      </c>
      <c r="B9" s="45">
        <f>'Cash flows'!C10</f>
        <v>527.70363194859829</v>
      </c>
      <c r="C9" s="45">
        <f>-'Cash flows'!E10</f>
        <v>-387.12992461598287</v>
      </c>
      <c r="D9" s="45">
        <f>-'Cash flows'!D10</f>
        <v>-148.03990291129327</v>
      </c>
      <c r="E9" s="47">
        <f>'Cash flows'!F10</f>
        <v>-7.4661955786778549</v>
      </c>
      <c r="F9" s="45">
        <f>'Cash flows'!J10</f>
        <v>11.38991187111915</v>
      </c>
      <c r="G9" s="45">
        <f t="shared" si="0"/>
        <v>3.9237162924412949</v>
      </c>
    </row>
    <row r="10" spans="1:7" x14ac:dyDescent="0.25">
      <c r="A10" s="41">
        <v>7</v>
      </c>
      <c r="B10" s="44">
        <f>'Cash flows'!C11</f>
        <v>527.83109525153634</v>
      </c>
      <c r="C10" s="44">
        <f>-'Cash flows'!E11</f>
        <v>-387.22343327476443</v>
      </c>
      <c r="D10" s="44">
        <f>-'Cash flows'!D11</f>
        <v>-144.51314401900905</v>
      </c>
      <c r="E10" s="46">
        <f>'Cash flows'!F11</f>
        <v>-3.9054820422371108</v>
      </c>
      <c r="F10" s="44">
        <f>'Cash flows'!J11</f>
        <v>11.49953853697582</v>
      </c>
      <c r="G10" s="44">
        <f t="shared" si="0"/>
        <v>7.5940564947387088</v>
      </c>
    </row>
    <row r="11" spans="1:7" x14ac:dyDescent="0.25">
      <c r="A11" s="42">
        <v>8</v>
      </c>
      <c r="B11" s="45">
        <f>'Cash flows'!C12</f>
        <v>528.68197112186806</v>
      </c>
      <c r="C11" s="45">
        <f>-'Cash flows'!E12</f>
        <v>-387.84764635876911</v>
      </c>
      <c r="D11" s="45">
        <f>-'Cash flows'!D12</f>
        <v>-141.42098930029189</v>
      </c>
      <c r="E11" s="47">
        <f>'Cash flows'!F12</f>
        <v>-0.58666453719297351</v>
      </c>
      <c r="F11" s="45">
        <f>'Cash flows'!J12</f>
        <v>11.617829454647284</v>
      </c>
      <c r="G11" s="45">
        <f t="shared" si="0"/>
        <v>11.03116491745431</v>
      </c>
    </row>
    <row r="12" spans="1:7" x14ac:dyDescent="0.25">
      <c r="A12" s="41">
        <v>9</v>
      </c>
      <c r="B12" s="44">
        <f>'Cash flows'!C13</f>
        <v>531.31774529929453</v>
      </c>
      <c r="C12" s="44">
        <f>-'Cash flows'!E13</f>
        <v>-389.7812829624134</v>
      </c>
      <c r="D12" s="44">
        <f>-'Cash flows'!D13</f>
        <v>-138.9518387219168</v>
      </c>
      <c r="E12" s="46">
        <f>'Cash flows'!F13</f>
        <v>2.5846236149643005</v>
      </c>
      <c r="F12" s="44">
        <f>'Cash flows'!J13</f>
        <v>11.770977197321331</v>
      </c>
      <c r="G12" s="44">
        <f t="shared" si="0"/>
        <v>14.355600812285632</v>
      </c>
    </row>
    <row r="13" spans="1:7" x14ac:dyDescent="0.25">
      <c r="A13" s="42">
        <v>10</v>
      </c>
      <c r="B13" s="45">
        <f>'Cash flows'!C14</f>
        <v>532.86356058223657</v>
      </c>
      <c r="C13" s="45">
        <f>-'Cash flows'!E14</f>
        <v>-390.91531221240331</v>
      </c>
      <c r="D13" s="45">
        <f>-'Cash flows'!D14</f>
        <v>-136.50863320998275</v>
      </c>
      <c r="E13" s="47">
        <f>'Cash flows'!F14</f>
        <v>5.4396151598505185</v>
      </c>
      <c r="F13" s="45">
        <f>'Cash flows'!J14</f>
        <v>11.890647821167615</v>
      </c>
      <c r="G13" s="45">
        <f t="shared" si="0"/>
        <v>17.330262981018134</v>
      </c>
    </row>
    <row r="16" spans="1:7" x14ac:dyDescent="0.25">
      <c r="A16" s="43" t="s">
        <v>84</v>
      </c>
    </row>
    <row r="17" spans="1:10" ht="15" customHeight="1" x14ac:dyDescent="0.25">
      <c r="A17" s="67" t="s">
        <v>24</v>
      </c>
      <c r="B17" s="68" t="s">
        <v>85</v>
      </c>
      <c r="C17" s="69"/>
      <c r="D17" s="70"/>
      <c r="E17" s="68" t="s">
        <v>86</v>
      </c>
      <c r="F17" s="69"/>
      <c r="G17" s="70"/>
      <c r="H17" s="68" t="s">
        <v>87</v>
      </c>
      <c r="I17" s="69"/>
      <c r="J17" s="70"/>
    </row>
    <row r="18" spans="1:10" x14ac:dyDescent="0.25">
      <c r="A18" s="67"/>
      <c r="B18" s="48" t="s">
        <v>44</v>
      </c>
      <c r="C18" s="48" t="s">
        <v>88</v>
      </c>
      <c r="D18" s="49" t="s">
        <v>45</v>
      </c>
      <c r="E18" s="48" t="s">
        <v>44</v>
      </c>
      <c r="F18" s="48" t="s">
        <v>88</v>
      </c>
      <c r="G18" s="49" t="s">
        <v>45</v>
      </c>
      <c r="H18" s="48" t="s">
        <v>44</v>
      </c>
      <c r="I18" s="48" t="s">
        <v>88</v>
      </c>
      <c r="J18" s="49" t="s">
        <v>45</v>
      </c>
    </row>
    <row r="19" spans="1:10" x14ac:dyDescent="0.25">
      <c r="A19" s="41">
        <v>0</v>
      </c>
      <c r="B19" s="44">
        <f>'Liability calculation'!B6</f>
        <v>2.7371546408971881E-3</v>
      </c>
      <c r="C19" s="44">
        <v>0</v>
      </c>
      <c r="D19" s="46">
        <f>'Liability calculation'!C6</f>
        <v>-2.7371546408971881E-3</v>
      </c>
      <c r="E19" s="44">
        <f>'Liability calculation'!D6</f>
        <v>337.85649583057921</v>
      </c>
      <c r="F19" s="44">
        <v>0</v>
      </c>
      <c r="G19" s="46">
        <f>'Liability calculation'!E6</f>
        <v>-337.85649583057921</v>
      </c>
      <c r="H19" s="44">
        <f>'Liability calculation'!F6</f>
        <v>353.83119670718747</v>
      </c>
      <c r="I19" s="44">
        <v>0</v>
      </c>
      <c r="J19" s="46">
        <f>'Liability calculation'!G6</f>
        <v>-353.83119670718747</v>
      </c>
    </row>
    <row r="20" spans="1:10" x14ac:dyDescent="0.25">
      <c r="A20" s="42">
        <v>1</v>
      </c>
      <c r="B20" s="45">
        <f>'Liability calculation'!B7</f>
        <v>-19.314470330719843</v>
      </c>
      <c r="C20" s="45">
        <f>'Cash flows'!G5</f>
        <v>11.915030400000001</v>
      </c>
      <c r="D20" s="47">
        <f>'Liability calculation'!C7</f>
        <v>-8.2114639219810215E-5</v>
      </c>
      <c r="E20" s="45">
        <f>'Liability calculation'!D7</f>
        <v>285.83490110549656</v>
      </c>
      <c r="F20" s="45">
        <f>'Cash flows'!J20</f>
        <v>22.050725274917376</v>
      </c>
      <c r="G20" s="47">
        <f>'Liability calculation'!E7</f>
        <v>42.840000000000067</v>
      </c>
      <c r="H20" s="45">
        <f>'Liability calculation'!F7</f>
        <v>283.84384300840316</v>
      </c>
      <c r="I20" s="45">
        <f>'Cash flows'!J36</f>
        <v>20.744966301215623</v>
      </c>
      <c r="J20" s="47">
        <f>'Liability calculation'!G7</f>
        <v>61.284999999999982</v>
      </c>
    </row>
    <row r="21" spans="1:10" x14ac:dyDescent="0.25">
      <c r="A21" s="41">
        <v>2</v>
      </c>
      <c r="B21" s="44">
        <v>-32.822433856365727</v>
      </c>
      <c r="C21" s="44">
        <v>10.970171620183519</v>
      </c>
      <c r="D21" s="46">
        <v>-1.5987211554602254E-14</v>
      </c>
      <c r="E21" s="44">
        <f>'Liability calculation'!D8</f>
        <v>240.53314987875191</v>
      </c>
      <c r="F21" s="44">
        <f>'Cash flows'!J21</f>
        <v>20.124601222612196</v>
      </c>
      <c r="G21" s="46">
        <f>'Liability calculation'!E8</f>
        <v>40.94649928160004</v>
      </c>
      <c r="H21" s="44">
        <f>'Liability calculation'!F8</f>
        <v>225.55581920714573</v>
      </c>
      <c r="I21" s="44">
        <f>'Cash flows'!J37</f>
        <v>18.495751806499388</v>
      </c>
      <c r="J21" s="46">
        <f>'Liability calculation'!G8</f>
        <v>53.873040113200005</v>
      </c>
    </row>
    <row r="22" spans="1:10" x14ac:dyDescent="0.25">
      <c r="A22" s="42">
        <v>3</v>
      </c>
      <c r="B22" s="45">
        <v>-42.07887699812845</v>
      </c>
      <c r="C22" s="45">
        <v>10.251923832697049</v>
      </c>
      <c r="D22" s="47">
        <v>0</v>
      </c>
      <c r="E22" s="45">
        <f>'Liability calculation'!D9</f>
        <v>200.07121472363661</v>
      </c>
      <c r="F22" s="45">
        <f>'Cash flows'!J22</f>
        <v>18.45259134475058</v>
      </c>
      <c r="G22" s="47">
        <f>'Liability calculation'!E9</f>
        <v>39.406159525406061</v>
      </c>
      <c r="H22" s="45">
        <f>'Liability calculation'!F9</f>
        <v>175.75059392699811</v>
      </c>
      <c r="I22" s="45">
        <f>'Cash flows'!J38</f>
        <v>16.596471529545394</v>
      </c>
      <c r="J22" s="47">
        <f>'Liability calculation'!G9</f>
        <v>48.300129730290202</v>
      </c>
    </row>
    <row r="23" spans="1:10" x14ac:dyDescent="0.25">
      <c r="A23" s="41">
        <v>4</v>
      </c>
      <c r="B23" s="44">
        <v>-47.435196701810668</v>
      </c>
      <c r="C23" s="44">
        <v>9.9666517966339701</v>
      </c>
      <c r="D23" s="46">
        <v>-2.6645352591003757E-14</v>
      </c>
      <c r="E23" s="44">
        <f>'Liability calculation'!D10</f>
        <v>163.01847096963999</v>
      </c>
      <c r="F23" s="44">
        <f>'Cash flows'!J23</f>
        <v>17.231196219257523</v>
      </c>
      <c r="G23" s="46">
        <f>'Liability calculation'!E10</f>
        <v>38.962357505291067</v>
      </c>
      <c r="H23" s="44">
        <f>'Liability calculation'!F10</f>
        <v>132.64760284882976</v>
      </c>
      <c r="I23" s="44">
        <f>'Cash flows'!J39</f>
        <v>15.211781880633209</v>
      </c>
      <c r="J23" s="46">
        <f>'Liability calculation'!G10</f>
        <v>44.282986205563624</v>
      </c>
    </row>
    <row r="24" spans="1:10" x14ac:dyDescent="0.25">
      <c r="A24" s="42">
        <v>5</v>
      </c>
      <c r="B24" s="45">
        <v>-48.763249206191048</v>
      </c>
      <c r="C24" s="45">
        <v>9.8914504608561469</v>
      </c>
      <c r="D24" s="47">
        <v>-5.8619775700208265E-14</v>
      </c>
      <c r="E24" s="45">
        <f>'Liability calculation'!D11</f>
        <v>129.16412530675495</v>
      </c>
      <c r="F24" s="45">
        <f>'Cash flows'!J24</f>
        <v>16.204975102094153</v>
      </c>
      <c r="G24" s="47">
        <f>'Liability calculation'!E11</f>
        <v>38.836971502891913</v>
      </c>
      <c r="H24" s="45">
        <f>'Liability calculation'!F11</f>
        <v>96.124335431829763</v>
      </c>
      <c r="I24" s="45">
        <f>'Cash flows'!J40</f>
        <v>14.111477197885881</v>
      </c>
      <c r="J24" s="47">
        <f>'Liability calculation'!G11</f>
        <v>40.594767213382568</v>
      </c>
    </row>
    <row r="25" spans="1:10" x14ac:dyDescent="0.25">
      <c r="A25" s="41">
        <v>6</v>
      </c>
      <c r="B25" s="44">
        <v>-46.302285266133424</v>
      </c>
      <c r="C25" s="44">
        <v>9.9270186218402738</v>
      </c>
      <c r="D25" s="46">
        <v>-3.0198066269804258E-14</v>
      </c>
      <c r="E25" s="44">
        <f>'Liability calculation'!D12</f>
        <v>98.249772896800579</v>
      </c>
      <c r="F25" s="44">
        <f>'Cash flows'!J25</f>
        <v>15.264835630321805</v>
      </c>
      <c r="G25" s="46">
        <f>'Liability calculation'!E12</f>
        <v>38.712992461598326</v>
      </c>
      <c r="H25" s="44">
        <f>'Liability calculation'!F12</f>
        <v>65.723752742588289</v>
      </c>
      <c r="I25" s="44">
        <f>'Cash flows'!J41</f>
        <v>13.189912932773916</v>
      </c>
      <c r="J25" s="46">
        <f>'Liability calculation'!G12</f>
        <v>37.208029044637662</v>
      </c>
    </row>
    <row r="26" spans="1:10" x14ac:dyDescent="0.25">
      <c r="A26" s="42">
        <v>7</v>
      </c>
      <c r="B26" s="45">
        <v>-40.09955197827486</v>
      </c>
      <c r="C26" s="45">
        <v>10.110404309606492</v>
      </c>
      <c r="D26" s="47">
        <v>-1.5987211554602254E-14</v>
      </c>
      <c r="E26" s="45">
        <f>'Liability calculation'!D13</f>
        <v>70.068979250966805</v>
      </c>
      <c r="F26" s="45">
        <f>'Cash flows'!J26</f>
        <v>14.447031723879842</v>
      </c>
      <c r="G26" s="47">
        <f>'Liability calculation'!E13</f>
        <v>38.722343327476509</v>
      </c>
      <c r="H26" s="45">
        <f>'Liability calculation'!F13</f>
        <v>41.191489009506199</v>
      </c>
      <c r="I26" s="45">
        <f>'Cash flows'!J42</f>
        <v>12.478104532551573</v>
      </c>
      <c r="J26" s="47">
        <f>'Liability calculation'!G13</f>
        <v>34.098032810098445</v>
      </c>
    </row>
    <row r="27" spans="1:10" x14ac:dyDescent="0.25">
      <c r="A27" s="41">
        <v>8</v>
      </c>
      <c r="B27" s="44">
        <v>-30.270735161318932</v>
      </c>
      <c r="C27" s="44">
        <v>10.414861491187869</v>
      </c>
      <c r="D27" s="46">
        <v>-3.0198066269804258E-14</v>
      </c>
      <c r="E27" s="44">
        <f>'Liability calculation'!D14</f>
        <v>44.417448910073148</v>
      </c>
      <c r="F27" s="44">
        <f>'Cash flows'!J27</f>
        <v>13.719898832176293</v>
      </c>
      <c r="G27" s="46">
        <f>'Liability calculation'!E14</f>
        <v>38.784764635876975</v>
      </c>
      <c r="H27" s="44">
        <f>'Liability calculation'!F14</f>
        <v>22.216535608279258</v>
      </c>
      <c r="I27" s="44">
        <f>'Cash flows'!J43</f>
        <v>11.943616950496555</v>
      </c>
      <c r="J27" s="46">
        <f>'Liability calculation'!G14</f>
        <v>31.241862988966439</v>
      </c>
    </row>
    <row r="28" spans="1:10" x14ac:dyDescent="0.25">
      <c r="A28" s="42">
        <v>9</v>
      </c>
      <c r="B28" s="45">
        <v>-16.824095223311026</v>
      </c>
      <c r="C28" s="45">
        <v>10.862830710847641</v>
      </c>
      <c r="D28" s="47">
        <v>0</v>
      </c>
      <c r="E28" s="45">
        <f>'Liability calculation'!D15</f>
        <v>21.127444893419636</v>
      </c>
      <c r="F28" s="45">
        <f>'Cash flows'!J28</f>
        <v>13.103500664623533</v>
      </c>
      <c r="G28" s="47">
        <f>'Liability calculation'!E15</f>
        <v>38.978128296241344</v>
      </c>
      <c r="H28" s="45">
        <f>'Liability calculation'!F15</f>
        <v>8.6200348896816195</v>
      </c>
      <c r="I28" s="45">
        <f>'Cash flows'!J44</f>
        <v>11.603921879187233</v>
      </c>
      <c r="J28" s="47">
        <f>'Liability calculation'!G15</f>
        <v>28.618597599131647</v>
      </c>
    </row>
    <row r="29" spans="1:10" x14ac:dyDescent="0.25">
      <c r="A29" s="41">
        <v>10</v>
      </c>
      <c r="B29" s="44">
        <v>0</v>
      </c>
      <c r="C29" s="44">
        <v>11.385882879972911</v>
      </c>
      <c r="D29" s="46">
        <v>2.1316282072803006E-14</v>
      </c>
      <c r="E29" s="44">
        <f>'Liability calculation'!D16</f>
        <v>0</v>
      </c>
      <c r="F29" s="44">
        <f>'Cash flows'!J29</f>
        <v>12.524471167970209</v>
      </c>
      <c r="G29" s="46">
        <f>'Liability calculation'!E16</f>
        <v>39.091531221240359</v>
      </c>
      <c r="H29" s="44">
        <f>'Liability calculation'!F16</f>
        <v>0</v>
      </c>
      <c r="I29" s="44">
        <f>'Cash flows'!J45</f>
        <v>11.385882879972911</v>
      </c>
      <c r="J29" s="46">
        <f>'Liability calculation'!G16</f>
        <v>26.208898917390201</v>
      </c>
    </row>
  </sheetData>
  <mergeCells count="4">
    <mergeCell ref="A17:A18"/>
    <mergeCell ref="B17:D17"/>
    <mergeCell ref="E17:G17"/>
    <mergeCell ref="H17:J17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19</vt:i4>
      </vt:variant>
    </vt:vector>
  </HeadingPairs>
  <TitlesOfParts>
    <vt:vector size="26" baseType="lpstr">
      <vt:lpstr>Notes</vt:lpstr>
      <vt:lpstr>Data</vt:lpstr>
      <vt:lpstr>Assumptions</vt:lpstr>
      <vt:lpstr>Decrements</vt:lpstr>
      <vt:lpstr>Cash flows</vt:lpstr>
      <vt:lpstr>Liability calculation</vt:lpstr>
      <vt:lpstr>Tables</vt:lpstr>
      <vt:lpstr>Age</vt:lpstr>
      <vt:lpstr>Annual_premium</vt:lpstr>
      <vt:lpstr>CB1_factor</vt:lpstr>
      <vt:lpstr>CB2_factor</vt:lpstr>
      <vt:lpstr>Decrement</vt:lpstr>
      <vt:lpstr>Discount_rate</vt:lpstr>
      <vt:lpstr>Factor</vt:lpstr>
      <vt:lpstr>IA95_97UltM</vt:lpstr>
      <vt:lpstr>IC_rate</vt:lpstr>
      <vt:lpstr>Inflation</vt:lpstr>
      <vt:lpstr>Initial_comm_rate</vt:lpstr>
      <vt:lpstr>Initial_expense</vt:lpstr>
      <vt:lpstr>Investment_rate</vt:lpstr>
      <vt:lpstr>lapse_rates</vt:lpstr>
      <vt:lpstr>RC_rate</vt:lpstr>
      <vt:lpstr>Renewal_comm_rate</vt:lpstr>
      <vt:lpstr>Renewal_expense</vt:lpstr>
      <vt:lpstr>Stepped_premium_loading</vt:lpstr>
      <vt:lpstr>Sum_Insured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A</dc:creator>
  <cp:lastModifiedBy>Zhu, Vincent</cp:lastModifiedBy>
  <dcterms:created xsi:type="dcterms:W3CDTF">2018-12-13T02:59:47Z</dcterms:created>
  <dcterms:modified xsi:type="dcterms:W3CDTF">2020-01-13T08:43:43Z</dcterms:modified>
</cp:coreProperties>
</file>