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chaelc\Dropbox\"/>
    </mc:Choice>
  </mc:AlternateContent>
  <xr:revisionPtr revIDLastSave="0" documentId="8_{59B38473-9E21-4EEB-AAE1-9DA1D847E62E}" xr6:coauthVersionLast="44" xr6:coauthVersionMax="44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Notes" sheetId="1" r:id="rId1"/>
    <sheet name="Data" sheetId="7" r:id="rId2"/>
    <sheet name="Assumptions" sheetId="6" r:id="rId3"/>
    <sheet name="Decrements" sheetId="3" r:id="rId4"/>
    <sheet name="Cash flows" sheetId="4" r:id="rId5"/>
    <sheet name="Liability calculation" sheetId="5" r:id="rId6"/>
    <sheet name="Tables" sheetId="8" r:id="rId7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Decrement">Decrements!$A$5:$H$14</definedName>
    <definedName name="Discount_rate">Assumptions!$B$34</definedName>
    <definedName name="Factor">Assumptions!$B$7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tment_rate">Assumptions!$B$32</definedName>
    <definedName name="lapse_rates">Assumptions!$A$12:$B$21</definedName>
    <definedName name="RC_rate">Assumptions!$B$30</definedName>
    <definedName name="Renewal_comm_rate">Assumptions!$B$30</definedName>
    <definedName name="Renewal_expense">Assumptions!$B$25</definedName>
    <definedName name="Sum_Insured">Data!$B$5</definedName>
    <definedName name="surrender_factors">Data!$A$115:$B$125</definedName>
    <definedName name="Val_disc_rate">Assumptions!$G$8</definedName>
    <definedName name="Val_int_rate">Assumptions!$G$7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8" l="1"/>
  <c r="C12" i="8"/>
  <c r="C11" i="8"/>
  <c r="C10" i="8"/>
  <c r="C9" i="8"/>
  <c r="C8" i="8"/>
  <c r="C7" i="8"/>
  <c r="C6" i="8"/>
  <c r="C5" i="8"/>
  <c r="C4" i="8"/>
  <c r="F5" i="8"/>
  <c r="H25" i="4"/>
  <c r="H24" i="4"/>
  <c r="H5" i="4"/>
  <c r="G7" i="4"/>
  <c r="H41" i="4" l="1"/>
  <c r="J31" i="8"/>
  <c r="G48" i="4"/>
  <c r="G47" i="4"/>
  <c r="G46" i="4"/>
  <c r="G45" i="4"/>
  <c r="G44" i="4"/>
  <c r="G43" i="4"/>
  <c r="G42" i="4"/>
  <c r="G41" i="4"/>
  <c r="F16" i="5" l="1"/>
  <c r="H29" i="8" s="1"/>
  <c r="F48" i="4"/>
  <c r="D16" i="5"/>
  <c r="E29" i="8" s="1"/>
  <c r="B16" i="5"/>
  <c r="B29" i="8" s="1"/>
  <c r="A116" i="7" l="1"/>
  <c r="A117" i="7" s="1"/>
  <c r="A118" i="7" s="1"/>
  <c r="A119" i="7" s="1"/>
  <c r="A120" i="7" s="1"/>
  <c r="A121" i="7" s="1"/>
  <c r="A122" i="7" s="1"/>
  <c r="A123" i="7" s="1"/>
  <c r="A124" i="7" s="1"/>
  <c r="A125" i="7" s="1"/>
  <c r="B5" i="3"/>
  <c r="D39" i="4" l="1"/>
  <c r="C39" i="4"/>
  <c r="B39" i="4"/>
  <c r="D23" i="4"/>
  <c r="C23" i="4"/>
  <c r="B23" i="4"/>
  <c r="A7" i="5"/>
  <c r="A8" i="5" s="1"/>
  <c r="A9" i="5" s="1"/>
  <c r="A10" i="5" s="1"/>
  <c r="A11" i="5" s="1"/>
  <c r="A12" i="5" s="1"/>
  <c r="A13" i="5" s="1"/>
  <c r="A14" i="5" s="1"/>
  <c r="A15" i="5" s="1"/>
  <c r="A16" i="5" s="1"/>
  <c r="C5" i="4"/>
  <c r="B4" i="8" s="1"/>
  <c r="D5" i="4"/>
  <c r="D4" i="8" s="1"/>
  <c r="B5" i="4"/>
  <c r="E5" i="4" s="1"/>
  <c r="E23" i="4" l="1"/>
  <c r="E39" i="4" s="1"/>
  <c r="H23" i="4"/>
  <c r="H39" i="4"/>
  <c r="B40" i="4"/>
  <c r="B6" i="4"/>
  <c r="B24" i="4"/>
  <c r="B25" i="4" s="1"/>
  <c r="B7" i="4"/>
  <c r="B26" i="4"/>
  <c r="C20" i="8"/>
  <c r="A13" i="6"/>
  <c r="A14" i="6" s="1"/>
  <c r="A15" i="6" s="1"/>
  <c r="A16" i="6" s="1"/>
  <c r="A17" i="6" s="1"/>
  <c r="A18" i="6" s="1"/>
  <c r="A19" i="6" s="1"/>
  <c r="A20" i="6" s="1"/>
  <c r="A21" i="6" s="1"/>
  <c r="E5" i="3"/>
  <c r="A6" i="3"/>
  <c r="B6" i="3" s="1"/>
  <c r="C5" i="3" l="1"/>
  <c r="B41" i="4"/>
  <c r="B8" i="4"/>
  <c r="B27" i="4"/>
  <c r="F5" i="3"/>
  <c r="G5" i="3" s="1"/>
  <c r="C6" i="3"/>
  <c r="A7" i="3"/>
  <c r="B7" i="3" s="1"/>
  <c r="D6" i="3" l="1"/>
  <c r="E6" i="3" s="1"/>
  <c r="F6" i="3" s="1"/>
  <c r="H5" i="3"/>
  <c r="B42" i="4"/>
  <c r="B9" i="4"/>
  <c r="B28" i="4"/>
  <c r="A8" i="3"/>
  <c r="B8" i="3" s="1"/>
  <c r="C7" i="3"/>
  <c r="B43" i="4" l="1"/>
  <c r="B10" i="4"/>
  <c r="B29" i="4"/>
  <c r="A9" i="3"/>
  <c r="C24" i="4" s="1"/>
  <c r="C8" i="3"/>
  <c r="G6" i="3"/>
  <c r="D24" i="4" l="1"/>
  <c r="E7" i="4"/>
  <c r="E6" i="4"/>
  <c r="F6" i="4"/>
  <c r="F24" i="4" s="1"/>
  <c r="F40" i="4" s="1"/>
  <c r="F5" i="4"/>
  <c r="B9" i="3"/>
  <c r="C40" i="4"/>
  <c r="C6" i="4"/>
  <c r="D7" i="3"/>
  <c r="E7" i="3" s="1"/>
  <c r="F7" i="3" s="1"/>
  <c r="F7" i="4" s="1"/>
  <c r="F25" i="4" s="1"/>
  <c r="F41" i="4" s="1"/>
  <c r="H6" i="3"/>
  <c r="C7" i="4"/>
  <c r="B44" i="4"/>
  <c r="B11" i="4"/>
  <c r="B30" i="4"/>
  <c r="A10" i="3"/>
  <c r="C9" i="3"/>
  <c r="D6" i="4" l="1"/>
  <c r="D5" i="8" s="1"/>
  <c r="B5" i="8"/>
  <c r="E24" i="4"/>
  <c r="E40" i="4" s="1"/>
  <c r="D7" i="4"/>
  <c r="D6" i="8" s="1"/>
  <c r="B6" i="8"/>
  <c r="E25" i="4"/>
  <c r="E41" i="4" s="1"/>
  <c r="D40" i="4"/>
  <c r="G40" i="4" s="1"/>
  <c r="B10" i="3"/>
  <c r="F23" i="4"/>
  <c r="G5" i="4"/>
  <c r="E4" i="8" s="1"/>
  <c r="C25" i="4"/>
  <c r="C41" i="4"/>
  <c r="B45" i="4"/>
  <c r="B12" i="4"/>
  <c r="B31" i="4"/>
  <c r="A11" i="3"/>
  <c r="B11" i="3" s="1"/>
  <c r="C10" i="3"/>
  <c r="G7" i="3"/>
  <c r="G6" i="4" l="1"/>
  <c r="E5" i="8" s="1"/>
  <c r="G24" i="4"/>
  <c r="I5" i="4"/>
  <c r="H6" i="4" s="1"/>
  <c r="D41" i="4"/>
  <c r="E8" i="4"/>
  <c r="D25" i="4"/>
  <c r="F39" i="4"/>
  <c r="G23" i="4"/>
  <c r="I23" i="4" s="1"/>
  <c r="I24" i="4" s="1"/>
  <c r="E6" i="8"/>
  <c r="D8" i="3"/>
  <c r="E8" i="3" s="1"/>
  <c r="F8" i="3" s="1"/>
  <c r="H7" i="3"/>
  <c r="B46" i="4"/>
  <c r="B13" i="4"/>
  <c r="B32" i="4"/>
  <c r="A12" i="3"/>
  <c r="C11" i="3"/>
  <c r="E26" i="4" l="1"/>
  <c r="E42" i="4" s="1"/>
  <c r="I6" i="4"/>
  <c r="H7" i="4" s="1"/>
  <c r="C22" i="8" s="1"/>
  <c r="C21" i="8"/>
  <c r="G39" i="4"/>
  <c r="I39" i="4" s="1"/>
  <c r="G25" i="4"/>
  <c r="I25" i="4" s="1"/>
  <c r="H26" i="4" s="1"/>
  <c r="B12" i="3"/>
  <c r="G8" i="3"/>
  <c r="H8" i="3" s="1"/>
  <c r="F8" i="4"/>
  <c r="F26" i="4" s="1"/>
  <c r="F42" i="4" s="1"/>
  <c r="C8" i="4"/>
  <c r="C42" i="4"/>
  <c r="C26" i="4"/>
  <c r="B47" i="4"/>
  <c r="B14" i="4"/>
  <c r="A13" i="3"/>
  <c r="B13" i="3" s="1"/>
  <c r="C12" i="3"/>
  <c r="D8" i="4" l="1"/>
  <c r="D7" i="8" s="1"/>
  <c r="B7" i="8"/>
  <c r="I7" i="4"/>
  <c r="H40" i="4"/>
  <c r="I40" i="4" s="1"/>
  <c r="D42" i="4"/>
  <c r="E9" i="4"/>
  <c r="D26" i="4"/>
  <c r="G26" i="4" s="1"/>
  <c r="D9" i="3"/>
  <c r="E9" i="3" s="1"/>
  <c r="F9" i="3" s="1"/>
  <c r="C43" i="4"/>
  <c r="C27" i="4"/>
  <c r="C9" i="4"/>
  <c r="B48" i="4"/>
  <c r="A14" i="3"/>
  <c r="B14" i="3" s="1"/>
  <c r="C13" i="3"/>
  <c r="I41" i="4" l="1"/>
  <c r="H42" i="4" s="1"/>
  <c r="E27" i="4"/>
  <c r="E43" i="4" s="1"/>
  <c r="D9" i="4"/>
  <c r="D8" i="8" s="1"/>
  <c r="B8" i="8"/>
  <c r="H8" i="4"/>
  <c r="C23" i="8" s="1"/>
  <c r="I26" i="4"/>
  <c r="H27" i="4" s="1"/>
  <c r="D43" i="4"/>
  <c r="G9" i="3"/>
  <c r="F9" i="4"/>
  <c r="F27" i="4" s="1"/>
  <c r="F43" i="4" s="1"/>
  <c r="D27" i="4"/>
  <c r="G27" i="4" s="1"/>
  <c r="G8" i="4"/>
  <c r="E7" i="8" s="1"/>
  <c r="C14" i="3"/>
  <c r="I8" i="4" l="1"/>
  <c r="H9" i="4" s="1"/>
  <c r="C24" i="8" s="1"/>
  <c r="I42" i="4"/>
  <c r="H43" i="4" s="1"/>
  <c r="G9" i="4"/>
  <c r="E8" i="8" s="1"/>
  <c r="I27" i="4"/>
  <c r="H28" i="4" s="1"/>
  <c r="E10" i="4"/>
  <c r="H9" i="3"/>
  <c r="D10" i="3"/>
  <c r="E10" i="3" s="1"/>
  <c r="F10" i="3" s="1"/>
  <c r="I43" i="4" l="1"/>
  <c r="E28" i="4"/>
  <c r="I9" i="4"/>
  <c r="G10" i="3"/>
  <c r="F10" i="4"/>
  <c r="F28" i="4" s="1"/>
  <c r="F44" i="4" s="1"/>
  <c r="E44" i="4"/>
  <c r="C28" i="4"/>
  <c r="C10" i="4"/>
  <c r="B9" i="8" s="1"/>
  <c r="C44" i="4"/>
  <c r="D44" i="4" l="1"/>
  <c r="D28" i="4"/>
  <c r="D10" i="4"/>
  <c r="E11" i="4"/>
  <c r="D11" i="3"/>
  <c r="E11" i="3" s="1"/>
  <c r="F11" i="3" s="1"/>
  <c r="H10" i="3"/>
  <c r="C11" i="4" s="1"/>
  <c r="B10" i="8" s="1"/>
  <c r="E29" i="4" l="1"/>
  <c r="E45" i="4" s="1"/>
  <c r="H10" i="4"/>
  <c r="C25" i="8" s="1"/>
  <c r="D9" i="8"/>
  <c r="D11" i="4"/>
  <c r="D10" i="8" s="1"/>
  <c r="H44" i="4"/>
  <c r="I44" i="4"/>
  <c r="G28" i="4"/>
  <c r="I28" i="4" s="1"/>
  <c r="H29" i="4" s="1"/>
  <c r="G10" i="4"/>
  <c r="E9" i="8" s="1"/>
  <c r="C29" i="4"/>
  <c r="C45" i="4"/>
  <c r="G11" i="3"/>
  <c r="F11" i="4"/>
  <c r="F29" i="4" s="1"/>
  <c r="F45" i="4" s="1"/>
  <c r="I10" i="4" l="1"/>
  <c r="H11" i="4" s="1"/>
  <c r="C26" i="8" s="1"/>
  <c r="D45" i="4"/>
  <c r="H45" i="4" s="1"/>
  <c r="E12" i="4"/>
  <c r="D12" i="3"/>
  <c r="E12" i="3" s="1"/>
  <c r="F12" i="3" s="1"/>
  <c r="H11" i="3"/>
  <c r="C12" i="4" s="1"/>
  <c r="D29" i="4"/>
  <c r="G29" i="4" s="1"/>
  <c r="C30" i="4"/>
  <c r="G11" i="4"/>
  <c r="E10" i="8" s="1"/>
  <c r="D12" i="4" l="1"/>
  <c r="D11" i="8" s="1"/>
  <c r="B11" i="8"/>
  <c r="E30" i="4"/>
  <c r="I11" i="4"/>
  <c r="I29" i="4"/>
  <c r="H30" i="4" s="1"/>
  <c r="I45" i="4"/>
  <c r="E46" i="4"/>
  <c r="C46" i="4"/>
  <c r="G12" i="3"/>
  <c r="F12" i="4"/>
  <c r="F30" i="4" s="1"/>
  <c r="F46" i="4" s="1"/>
  <c r="D30" i="4"/>
  <c r="H12" i="4" l="1"/>
  <c r="C27" i="8" s="1"/>
  <c r="D46" i="4"/>
  <c r="H46" i="4" s="1"/>
  <c r="G30" i="4"/>
  <c r="I30" i="4" s="1"/>
  <c r="H31" i="4" s="1"/>
  <c r="E13" i="4"/>
  <c r="D13" i="3"/>
  <c r="E13" i="3" s="1"/>
  <c r="F13" i="3" s="1"/>
  <c r="H12" i="3"/>
  <c r="G12" i="4"/>
  <c r="E11" i="8" s="1"/>
  <c r="E31" i="4" l="1"/>
  <c r="E47" i="4" s="1"/>
  <c r="I12" i="4"/>
  <c r="I46" i="4"/>
  <c r="C13" i="4"/>
  <c r="B12" i="8" s="1"/>
  <c r="C31" i="4"/>
  <c r="G13" i="3"/>
  <c r="F13" i="4"/>
  <c r="F31" i="4" s="1"/>
  <c r="F47" i="4" s="1"/>
  <c r="C47" i="4"/>
  <c r="D47" i="4" l="1"/>
  <c r="E14" i="4"/>
  <c r="H13" i="3"/>
  <c r="C14" i="4" s="1"/>
  <c r="B13" i="8" s="1"/>
  <c r="D14" i="3"/>
  <c r="D13" i="4"/>
  <c r="D31" i="4"/>
  <c r="G13" i="4" l="1"/>
  <c r="E12" i="8" s="1"/>
  <c r="D12" i="8"/>
  <c r="H47" i="4"/>
  <c r="H13" i="4"/>
  <c r="G31" i="4"/>
  <c r="I31" i="4" s="1"/>
  <c r="H32" i="4" s="1"/>
  <c r="C48" i="4"/>
  <c r="C32" i="4"/>
  <c r="E14" i="3"/>
  <c r="E32" i="4"/>
  <c r="D14" i="4"/>
  <c r="I47" i="4" l="1"/>
  <c r="I13" i="4"/>
  <c r="C28" i="8"/>
  <c r="G14" i="4"/>
  <c r="E13" i="8" s="1"/>
  <c r="D13" i="8"/>
  <c r="B15" i="5"/>
  <c r="B28" i="8" s="1"/>
  <c r="F14" i="3"/>
  <c r="G14" i="3" s="1"/>
  <c r="H14" i="3" s="1"/>
  <c r="D32" i="4"/>
  <c r="D15" i="5" s="1"/>
  <c r="E48" i="4"/>
  <c r="D48" i="4"/>
  <c r="H14" i="4"/>
  <c r="C29" i="8" s="1"/>
  <c r="D14" i="5" l="1"/>
  <c r="E28" i="8"/>
  <c r="H48" i="4"/>
  <c r="C16" i="5"/>
  <c r="D29" i="8" s="1"/>
  <c r="I14" i="4"/>
  <c r="F15" i="5"/>
  <c r="G32" i="4"/>
  <c r="B14" i="5"/>
  <c r="B27" i="8" s="1"/>
  <c r="I48" i="4" l="1"/>
  <c r="F14" i="5"/>
  <c r="H28" i="8"/>
  <c r="D13" i="5"/>
  <c r="E27" i="8"/>
  <c r="I32" i="4"/>
  <c r="B13" i="5"/>
  <c r="C15" i="5"/>
  <c r="D28" i="8" s="1"/>
  <c r="D12" i="5" l="1"/>
  <c r="E26" i="8"/>
  <c r="C14" i="5"/>
  <c r="D27" i="8" s="1"/>
  <c r="B26" i="8"/>
  <c r="F13" i="5"/>
  <c r="H27" i="8"/>
  <c r="B12" i="5"/>
  <c r="F12" i="5" l="1"/>
  <c r="H26" i="8"/>
  <c r="C13" i="5"/>
  <c r="D26" i="8" s="1"/>
  <c r="B25" i="8"/>
  <c r="D11" i="5"/>
  <c r="E25" i="8"/>
  <c r="B11" i="5"/>
  <c r="D10" i="5" l="1"/>
  <c r="E24" i="8"/>
  <c r="C12" i="5"/>
  <c r="D25" i="8" s="1"/>
  <c r="B24" i="8"/>
  <c r="F11" i="5"/>
  <c r="H25" i="8"/>
  <c r="B10" i="5"/>
  <c r="F10" i="5" l="1"/>
  <c r="H24" i="8"/>
  <c r="C11" i="5"/>
  <c r="D24" i="8" s="1"/>
  <c r="B23" i="8"/>
  <c r="D9" i="5"/>
  <c r="E23" i="8"/>
  <c r="B9" i="5"/>
  <c r="D8" i="5" l="1"/>
  <c r="E22" i="8"/>
  <c r="C10" i="5"/>
  <c r="D23" i="8" s="1"/>
  <c r="B22" i="8"/>
  <c r="F9" i="5"/>
  <c r="H23" i="8"/>
  <c r="B8" i="5"/>
  <c r="F8" i="5" l="1"/>
  <c r="H22" i="8"/>
  <c r="C9" i="5"/>
  <c r="D22" i="8" s="1"/>
  <c r="B21" i="8"/>
  <c r="D7" i="5"/>
  <c r="E21" i="8"/>
  <c r="B7" i="5"/>
  <c r="B20" i="8" s="1"/>
  <c r="D6" i="5" l="1"/>
  <c r="E20" i="8"/>
  <c r="F7" i="5"/>
  <c r="H21" i="8"/>
  <c r="B6" i="5"/>
  <c r="C8" i="5"/>
  <c r="D21" i="8" s="1"/>
  <c r="C6" i="5" l="1"/>
  <c r="D19" i="8" s="1"/>
  <c r="B19" i="8"/>
  <c r="F6" i="5"/>
  <c r="H20" i="8"/>
  <c r="E19" i="8"/>
  <c r="J23" i="4"/>
  <c r="E6" i="5"/>
  <c r="G19" i="8" s="1"/>
  <c r="C7" i="5"/>
  <c r="D20" i="8" s="1"/>
  <c r="H19" i="8" l="1"/>
  <c r="J39" i="4"/>
  <c r="K39" i="4" s="1"/>
  <c r="G6" i="5"/>
  <c r="J19" i="8" s="1"/>
  <c r="K23" i="4"/>
  <c r="N23" i="4"/>
  <c r="F20" i="8" s="1"/>
  <c r="L23" i="4" l="1"/>
  <c r="E7" i="5"/>
  <c r="G20" i="8" s="1"/>
  <c r="I20" i="8"/>
  <c r="G7" i="5"/>
  <c r="J20" i="8" s="1"/>
  <c r="L39" i="4"/>
  <c r="K40" i="4" l="1"/>
  <c r="L40" i="4" s="1"/>
  <c r="N24" i="4"/>
  <c r="F21" i="8" s="1"/>
  <c r="K24" i="4"/>
  <c r="E8" i="5" s="1"/>
  <c r="G21" i="8" s="1"/>
  <c r="L24" i="4" l="1"/>
  <c r="N25" i="4" s="1"/>
  <c r="F22" i="8" s="1"/>
  <c r="K25" i="4"/>
  <c r="E9" i="5" s="1"/>
  <c r="G22" i="8" s="1"/>
  <c r="K41" i="4"/>
  <c r="L41" i="4" s="1"/>
  <c r="G8" i="5"/>
  <c r="J21" i="8" s="1"/>
  <c r="I21" i="8"/>
  <c r="K42" i="4" l="1"/>
  <c r="L42" i="4" s="1"/>
  <c r="G9" i="5"/>
  <c r="J22" i="8" s="1"/>
  <c r="I22" i="8"/>
  <c r="L25" i="4"/>
  <c r="K43" i="4" l="1"/>
  <c r="L43" i="4" s="1"/>
  <c r="K26" i="4"/>
  <c r="N26" i="4"/>
  <c r="F23" i="8" s="1"/>
  <c r="I23" i="8"/>
  <c r="G10" i="5"/>
  <c r="J23" i="8" s="1"/>
  <c r="K44" i="4" l="1"/>
  <c r="L26" i="4"/>
  <c r="E10" i="5"/>
  <c r="G23" i="8" s="1"/>
  <c r="G11" i="5"/>
  <c r="J24" i="8" s="1"/>
  <c r="I24" i="8"/>
  <c r="I25" i="8" l="1"/>
  <c r="G12" i="5"/>
  <c r="J25" i="8" s="1"/>
  <c r="N27" i="4"/>
  <c r="F24" i="8" s="1"/>
  <c r="K27" i="4"/>
  <c r="E11" i="5" s="1"/>
  <c r="G24" i="8" s="1"/>
  <c r="L44" i="4"/>
  <c r="L27" i="4" l="1"/>
  <c r="K45" i="4"/>
  <c r="G13" i="5" l="1"/>
  <c r="J26" i="8" s="1"/>
  <c r="I26" i="8"/>
  <c r="L45" i="4"/>
  <c r="N28" i="4"/>
  <c r="F25" i="8" s="1"/>
  <c r="K28" i="4"/>
  <c r="E12" i="5" s="1"/>
  <c r="G25" i="8" s="1"/>
  <c r="L28" i="4" l="1"/>
  <c r="K46" i="4"/>
  <c r="L46" i="4"/>
  <c r="K47" i="4" l="1"/>
  <c r="L47" i="4" s="1"/>
  <c r="K48" i="4" s="1"/>
  <c r="G14" i="5"/>
  <c r="J27" i="8" s="1"/>
  <c r="I27" i="8"/>
  <c r="N29" i="4"/>
  <c r="F26" i="8" s="1"/>
  <c r="K29" i="4"/>
  <c r="E13" i="5" s="1"/>
  <c r="G26" i="8" s="1"/>
  <c r="I29" i="8" l="1"/>
  <c r="G16" i="5"/>
  <c r="J29" i="8" s="1"/>
  <c r="L29" i="4"/>
  <c r="N30" i="4" s="1"/>
  <c r="F27" i="8" s="1"/>
  <c r="L48" i="4"/>
  <c r="I28" i="8"/>
  <c r="G15" i="5"/>
  <c r="J28" i="8" s="1"/>
  <c r="K30" i="4" l="1"/>
  <c r="E14" i="5" s="1"/>
  <c r="G27" i="8" s="1"/>
  <c r="L30" i="4" l="1"/>
  <c r="N31" i="4" l="1"/>
  <c r="F28" i="8" s="1"/>
  <c r="K31" i="4"/>
  <c r="E15" i="5" s="1"/>
  <c r="G28" i="8" s="1"/>
  <c r="L31" i="4"/>
  <c r="N32" i="4" s="1"/>
  <c r="F29" i="8" s="1"/>
  <c r="K32" i="4"/>
  <c r="E16" i="5" s="1"/>
  <c r="G29" i="8" s="1"/>
  <c r="L32" i="4" l="1"/>
</calcChain>
</file>

<file path=xl/sharedStrings.xml><?xml version="1.0" encoding="utf-8"?>
<sst xmlns="http://schemas.openxmlformats.org/spreadsheetml/2006/main" count="148" uniqueCount="112">
  <si>
    <t>Pricing basis</t>
  </si>
  <si>
    <t>Mortality</t>
  </si>
  <si>
    <t>IA95-97</t>
  </si>
  <si>
    <t>Lapse Rates</t>
  </si>
  <si>
    <t>Expenses</t>
  </si>
  <si>
    <t xml:space="preserve"> - Table</t>
  </si>
  <si>
    <t xml:space="preserve"> - Factor</t>
  </si>
  <si>
    <t xml:space="preserve">  - Select</t>
  </si>
  <si>
    <t>0 years i.e. Ult rates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</si>
  <si>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</si>
  <si>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</si>
  <si>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</si>
  <si>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</si>
  <si>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</si>
  <si>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</si>
  <si>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</si>
  <si>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</si>
  <si>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</si>
  <si>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</si>
  <si>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</si>
  <si>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</si>
  <si>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</si>
  <si>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</si>
  <si>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Annual premium</t>
  </si>
  <si>
    <t>IA95_97 Ult Male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</si>
  <si>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</si>
  <si>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</si>
  <si>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</si>
  <si>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</si>
  <si>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</si>
  <si>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</si>
  <si>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</si>
  <si>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</si>
  <si>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</si>
  <si>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</si>
  <si>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</si>
  <si>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</si>
  <si>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This is best estimate basis</t>
  </si>
  <si>
    <t>Conservative basis 1</t>
  </si>
  <si>
    <t>Conservative basis 2</t>
  </si>
  <si>
    <t>in year 2</t>
  </si>
  <si>
    <t>Liability</t>
  </si>
  <si>
    <t>Profit</t>
  </si>
  <si>
    <t>Best estimate basis</t>
  </si>
  <si>
    <t>Realistic basis</t>
  </si>
  <si>
    <t>The additional assets represent the additional reserve that needs to be set up on day 1 to cover the liability on day 1.</t>
  </si>
  <si>
    <t xml:space="preserve">Liability </t>
  </si>
  <si>
    <t>Premiums (boy)</t>
  </si>
  <si>
    <t>Expenses (boy)</t>
  </si>
  <si>
    <t>Claims (eoy)</t>
  </si>
  <si>
    <t>Cash flow ex. Interest (eoy)</t>
  </si>
  <si>
    <t>interest on accumulated cash (eoy)</t>
  </si>
  <si>
    <t>Assets from cash flow (eoy)</t>
  </si>
  <si>
    <t>Additional assets (boy)</t>
  </si>
  <si>
    <t>Interest on total assets (eoy)</t>
  </si>
  <si>
    <t>Total assets (eoy)</t>
  </si>
  <si>
    <t>CB2 factor</t>
  </si>
  <si>
    <t>Notes</t>
  </si>
  <si>
    <t>Data</t>
  </si>
  <si>
    <t>There is one policyholder.</t>
  </si>
  <si>
    <t>The mortality rates for IA95_97 Ult Male are in the following table.</t>
  </si>
  <si>
    <t>Assumptions</t>
  </si>
  <si>
    <t>Policy data is in the 'Data' worksheet.</t>
  </si>
  <si>
    <t>Assumptions for different bases are in the 'Assumptions' worksheet.</t>
  </si>
  <si>
    <t>Profit is income less outgo less change in liability.</t>
  </si>
  <si>
    <t>The liability at t= 0 is zero and hence profit at outset is 0 for the realistic basis.</t>
  </si>
  <si>
    <t xml:space="preserve">Note how the prospective liability is calculated recursively starting at the end of the 10-year period. </t>
  </si>
  <si>
    <t xml:space="preserve">At t= 0 for the other two bases, there is a need to set aside additional reserves and this causes a day 1 loss. However, the present value of profits are identicaly zero on all bases. </t>
  </si>
  <si>
    <t>You should check that the NPV of profits are zero for all three bases.</t>
  </si>
  <si>
    <t>The basis has an odd quirk that could not happen in practice. Can you spot it?</t>
  </si>
  <si>
    <t xml:space="preserve">This is the pricing basis but expected internal expenses </t>
  </si>
  <si>
    <t>Surender value factors</t>
  </si>
  <si>
    <t>Beneath the mortality table are factors that apply to the sum assured when a contract is surrendered.</t>
  </si>
  <si>
    <t>Surrender (eoy)</t>
  </si>
  <si>
    <t>EOY</t>
  </si>
  <si>
    <t>Factor</t>
  </si>
  <si>
    <r>
      <rPr>
        <i/>
        <sz val="10"/>
        <color theme="0"/>
        <rFont val="Century Gothic"/>
        <family val="2"/>
      </rPr>
      <t>qx</t>
    </r>
  </si>
  <si>
    <r>
      <t xml:space="preserve">Exact age ( </t>
    </r>
    <r>
      <rPr>
        <i/>
        <sz val="10"/>
        <color theme="0"/>
        <rFont val="Century Gothic"/>
        <family val="2"/>
      </rPr>
      <t xml:space="preserve">x </t>
    </r>
    <r>
      <rPr>
        <sz val="10"/>
        <color theme="0"/>
        <rFont val="Century Gothic"/>
        <family val="2"/>
      </rPr>
      <t>)</t>
    </r>
  </si>
  <si>
    <t>End of Year</t>
  </si>
  <si>
    <t>In the table above we have labelled death claims and maturity claims as claims. Surrender payments are shown separately, unlike Table 5.5a.</t>
  </si>
  <si>
    <t>discount rates are lower</t>
  </si>
  <si>
    <t>Val_int_rate</t>
  </si>
  <si>
    <t>Val_disc_rate</t>
  </si>
  <si>
    <t>Conservative basis 1 (lower investment return and discount rates)</t>
  </si>
  <si>
    <t>are increased by 95%</t>
  </si>
  <si>
    <t>Conservative basis 2 (95% higher internal expenses)</t>
  </si>
  <si>
    <t>Premiums</t>
  </si>
  <si>
    <t>Claims</t>
  </si>
  <si>
    <t>Net Cash Flow</t>
  </si>
  <si>
    <t>Table 5.5a Net cash flow</t>
  </si>
  <si>
    <t>Table 5.5b Liability and profit on different bases</t>
  </si>
  <si>
    <t>Best Estimate Basis</t>
  </si>
  <si>
    <t>Conservative Basis 1</t>
  </si>
  <si>
    <t>Conservative Basis 2</t>
  </si>
  <si>
    <t>Interest</t>
  </si>
  <si>
    <t xml:space="preserve">Profit for Conservative Basis 1  and 2 includes "Cash flow excluding interest", from the Best Estimate Basis and "Interest on Total Assets" from Conservative Basis 1 or 2.  </t>
  </si>
  <si>
    <t>Liability calculation</t>
  </si>
  <si>
    <t>Interest using best estimate rate on total assets (eoy)</t>
  </si>
  <si>
    <t>Interest on assets from cash flow (eoy)</t>
  </si>
  <si>
    <t>There is a blank space in the surrender column at the end of year 10, as contracts mature at the end of year 10, so no surrenders are expected.</t>
  </si>
  <si>
    <t>This workbook derives the results shown in Table 5.5a and Table 5.5b.  These are presented in the "Tables" worksheet.</t>
  </si>
  <si>
    <t>The 'Liability calculation' worksheet contains results for the three bases. Note the spreadsheet approach is to calculate reserves firstly at the final period,</t>
  </si>
  <si>
    <t xml:space="preserve"> then work backwards through prior periods. </t>
  </si>
  <si>
    <t xml:space="preserve">Cash flows of three bases are in the 'Cash flows' worksheet. Because of the need to set up additional reserves on day 1 under the two conservative bases, </t>
  </si>
  <si>
    <t>this worksheet references the 'Liability calcuation' worksheet.</t>
  </si>
  <si>
    <t>Assumptions:</t>
  </si>
  <si>
    <t>The cost of claims at the end of year 10 is the sum insured multiplied by the proportion of lives still alive at that point.</t>
  </si>
  <si>
    <t>Note that surrenders are assumed to occur at a single point at the end of the year.</t>
  </si>
  <si>
    <t>Note that Year 0 liabilities are calculated at the point in time immediately before cash flows occur, and at each year end thereafter.</t>
  </si>
  <si>
    <t>This is because the same best estimate experience is assumed under all three valuation bases. other than interest on total assets as total assets are different between the three bases.</t>
  </si>
  <si>
    <t xml:space="preserve">These results are liability calculations under three bases for an Endowment Insurance  </t>
  </si>
  <si>
    <t xml:space="preserve">This is the pricing basis but interest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</si>
</sst>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[Red]\(&quot;$&quot;#,##0\)"/>
    <numFmt numFmtId="165" formatCode="&quot;$&quot;#,##0.00_);[Red]\(&quot;$&quot;#,##0.00\)"/>
    <numFmt numFmtId="166" formatCode="###0;###0"/>
    <numFmt numFmtId="167" formatCode="###0.00000;###0.00000"/>
    <numFmt numFmtId="168" formatCode="0.00000"/>
    <numFmt numFmtId="169" formatCode="&quot;$&quot;#,##0.00"/>
    <numFmt numFmtId="170" formatCode="&quot;$&quot;#,##0"/>
    <numFmt numFmtId="171" formatCode="#,##0.00;[Red]\(#,##0.00\)"/>
    <numFmt numFmtId="172" formatCode="0.0000"/>
    <numFmt numFmtId="174" formatCode="&quot;$&quot;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sz val="10"/>
      <color rgb="FF00B050"/>
      <name val="Century Gothic"/>
      <family val="2"/>
    </font>
    <font>
      <i/>
      <sz val="10"/>
      <color theme="0"/>
      <name val="Century Gothic"/>
      <family val="2"/>
    </font>
    <font>
      <b/>
      <sz val="9"/>
      <color rgb="FFFFFFFF"/>
      <name val="Century Gothic"/>
      <family val="2"/>
    </font>
    <font>
      <sz val="9"/>
      <color theme="1"/>
      <name val="Century Gothic"/>
      <family val="2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70C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0079A7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4" xfId="0" applyFont="1" applyFill="1" applyBorder="1" applyAlignment="1">
      <alignment vertical="top" wrapText="1"/>
    </xf>
    <xf numFmtId="0" fontId="6" fillId="3" borderId="15" xfId="0" applyFont="1" applyFill="1" applyBorder="1" applyAlignment="1">
      <alignment horizontal="center"/>
    </xf>
    <xf numFmtId="0" fontId="3" fillId="0" borderId="15" xfId="0" applyFont="1" applyBorder="1"/>
    <xf numFmtId="168" fontId="3" fillId="0" borderId="15" xfId="0" applyNumberFormat="1" applyFont="1" applyBorder="1"/>
    <xf numFmtId="170" fontId="3" fillId="0" borderId="0" xfId="0" applyNumberFormat="1" applyFont="1"/>
    <xf numFmtId="0" fontId="4" fillId="0" borderId="15" xfId="0" applyFont="1" applyBorder="1"/>
    <xf numFmtId="170" fontId="3" fillId="0" borderId="15" xfId="0" applyNumberFormat="1" applyFont="1" applyBorder="1"/>
    <xf numFmtId="0" fontId="5" fillId="3" borderId="15" xfId="0" applyFont="1" applyFill="1" applyBorder="1"/>
    <xf numFmtId="166" fontId="8" fillId="0" borderId="3" xfId="0" applyNumberFormat="1" applyFont="1" applyFill="1" applyBorder="1" applyAlignment="1">
      <alignment horizontal="center" vertical="top" wrapText="1"/>
    </xf>
    <xf numFmtId="166" fontId="8" fillId="0" borderId="5" xfId="0" applyNumberFormat="1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vertical="top" wrapText="1"/>
    </xf>
    <xf numFmtId="166" fontId="8" fillId="0" borderId="7" xfId="0" applyNumberFormat="1" applyFont="1" applyFill="1" applyBorder="1" applyAlignment="1">
      <alignment horizontal="center" vertical="top" wrapText="1"/>
    </xf>
    <xf numFmtId="166" fontId="8" fillId="0" borderId="9" xfId="0" applyNumberFormat="1" applyFont="1" applyFill="1" applyBorder="1" applyAlignment="1">
      <alignment horizontal="center" vertical="top" wrapText="1"/>
    </xf>
    <xf numFmtId="166" fontId="8" fillId="0" borderId="11" xfId="0" applyNumberFormat="1" applyFont="1" applyFill="1" applyBorder="1" applyAlignment="1">
      <alignment horizontal="center" vertical="top" wrapText="1"/>
    </xf>
    <xf numFmtId="166" fontId="8" fillId="0" borderId="13" xfId="0" applyNumberFormat="1" applyFont="1" applyFill="1" applyBorder="1" applyAlignment="1">
      <alignment horizontal="center" vertical="top" wrapText="1"/>
    </xf>
    <xf numFmtId="0" fontId="6" fillId="3" borderId="17" xfId="0" applyFont="1" applyFill="1" applyBorder="1"/>
    <xf numFmtId="0" fontId="6" fillId="3" borderId="17" xfId="0" applyFont="1" applyFill="1" applyBorder="1" applyAlignment="1">
      <alignment wrapText="1"/>
    </xf>
    <xf numFmtId="170" fontId="3" fillId="0" borderId="15" xfId="0" applyNumberFormat="1" applyFont="1" applyBorder="1" applyAlignment="1">
      <alignment horizontal="center"/>
    </xf>
    <xf numFmtId="169" fontId="3" fillId="0" borderId="0" xfId="0" applyNumberFormat="1" applyFont="1"/>
    <xf numFmtId="0" fontId="3" fillId="0" borderId="17" xfId="0" applyFont="1" applyBorder="1"/>
    <xf numFmtId="170" fontId="3" fillId="0" borderId="17" xfId="0" applyNumberFormat="1" applyFont="1" applyBorder="1" applyAlignment="1">
      <alignment horizontal="center"/>
    </xf>
    <xf numFmtId="170" fontId="3" fillId="0" borderId="7" xfId="0" applyNumberFormat="1" applyFont="1" applyBorder="1" applyAlignment="1">
      <alignment horizontal="center"/>
    </xf>
    <xf numFmtId="170" fontId="3" fillId="0" borderId="17" xfId="0" applyNumberFormat="1" applyFont="1" applyBorder="1"/>
    <xf numFmtId="170" fontId="3" fillId="0" borderId="16" xfId="0" applyNumberFormat="1" applyFont="1" applyBorder="1" applyAlignment="1">
      <alignment horizontal="center"/>
    </xf>
    <xf numFmtId="165" fontId="3" fillId="0" borderId="0" xfId="0" applyNumberFormat="1" applyFont="1"/>
    <xf numFmtId="171" fontId="9" fillId="0" borderId="0" xfId="0" applyNumberFormat="1" applyFont="1"/>
    <xf numFmtId="171" fontId="3" fillId="0" borderId="0" xfId="0" applyNumberFormat="1" applyFont="1"/>
    <xf numFmtId="0" fontId="10" fillId="0" borderId="0" xfId="0" applyFont="1"/>
    <xf numFmtId="167" fontId="10" fillId="0" borderId="6" xfId="0" applyNumberFormat="1" applyFont="1" applyFill="1" applyBorder="1" applyAlignment="1">
      <alignment vertical="top" wrapText="1"/>
    </xf>
    <xf numFmtId="167" fontId="10" fillId="0" borderId="8" xfId="0" applyNumberFormat="1" applyFont="1" applyFill="1" applyBorder="1" applyAlignment="1">
      <alignment vertical="top" wrapText="1"/>
    </xf>
    <xf numFmtId="167" fontId="10" fillId="0" borderId="10" xfId="0" applyNumberFormat="1" applyFont="1" applyFill="1" applyBorder="1" applyAlignment="1">
      <alignment horizontal="right" vertical="top" wrapText="1"/>
    </xf>
    <xf numFmtId="167" fontId="10" fillId="0" borderId="12" xfId="0" applyNumberFormat="1" applyFont="1" applyFill="1" applyBorder="1" applyAlignment="1">
      <alignment horizontal="right" vertical="top" wrapText="1"/>
    </xf>
    <xf numFmtId="167" fontId="10" fillId="0" borderId="14" xfId="0" applyNumberFormat="1" applyFont="1" applyFill="1" applyBorder="1" applyAlignment="1">
      <alignment horizontal="right" vertical="top" wrapText="1"/>
    </xf>
    <xf numFmtId="164" fontId="10" fillId="0" borderId="0" xfId="0" applyNumberFormat="1" applyFont="1"/>
    <xf numFmtId="0" fontId="10" fillId="0" borderId="15" xfId="0" applyFont="1" applyBorder="1"/>
    <xf numFmtId="0" fontId="6" fillId="3" borderId="2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172" fontId="3" fillId="0" borderId="15" xfId="0" applyNumberFormat="1" applyFont="1" applyBorder="1"/>
    <xf numFmtId="0" fontId="3" fillId="0" borderId="0" xfId="0" applyFont="1" applyBorder="1"/>
    <xf numFmtId="170" fontId="3" fillId="0" borderId="0" xfId="0" applyNumberFormat="1" applyFont="1" applyBorder="1" applyAlignment="1">
      <alignment horizontal="center"/>
    </xf>
    <xf numFmtId="169" fontId="3" fillId="0" borderId="15" xfId="0" applyNumberFormat="1" applyFont="1" applyBorder="1"/>
    <xf numFmtId="0" fontId="12" fillId="4" borderId="20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8" borderId="0" xfId="0" applyFont="1" applyFill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5" borderId="20" xfId="0" applyNumberFormat="1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6" borderId="20" xfId="0" applyNumberFormat="1" applyFont="1" applyFill="1" applyBorder="1" applyAlignment="1">
      <alignment horizontal="center" vertical="center"/>
    </xf>
    <xf numFmtId="1" fontId="13" fillId="5" borderId="0" xfId="0" applyNumberFormat="1" applyFont="1" applyFill="1" applyAlignment="1">
      <alignment vertical="center" wrapText="1"/>
    </xf>
    <xf numFmtId="1" fontId="13" fillId="6" borderId="0" xfId="0" applyNumberFormat="1" applyFont="1" applyFill="1" applyAlignment="1">
      <alignment vertical="center" wrapText="1"/>
    </xf>
    <xf numFmtId="0" fontId="6" fillId="3" borderId="17" xfId="0" applyFont="1" applyFill="1" applyBorder="1" applyAlignment="1">
      <alignment horizontal="left" wrapText="1"/>
    </xf>
    <xf numFmtId="0" fontId="10" fillId="0" borderId="0" xfId="0" applyFont="1" applyAlignment="1">
      <alignment horizontal="right"/>
    </xf>
    <xf numFmtId="0" fontId="16" fillId="0" borderId="0" xfId="0" applyFont="1"/>
    <xf numFmtId="9" fontId="16" fillId="0" borderId="0" xfId="0" applyNumberFormat="1" applyFont="1"/>
    <xf numFmtId="164" fontId="16" fillId="0" borderId="0" xfId="0" applyNumberFormat="1" applyFont="1"/>
    <xf numFmtId="165" fontId="0" fillId="0" borderId="0" xfId="0" applyNumberFormat="1"/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" fillId="0" borderId="0" xfId="0" applyFont="1"/>
    <xf numFmtId="174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4" sqref="A4"/>
    </sheetView>
  </sheetViews>
  <sheetFormatPr defaultRowHeight="13.5" x14ac:dyDescent="0.25"/>
  <cols>
    <col min="1" max="16384" width="9.140625" style="2"/>
  </cols>
  <sheetData>
    <row r="1" spans="1:1" ht="15" x14ac:dyDescent="0.25">
      <c r="A1" s="1" t="s">
        <v>57</v>
      </c>
    </row>
    <row r="2" spans="1:1" x14ac:dyDescent="0.25">
      <c r="A2" s="2" t="s">
        <v>100</v>
      </c>
    </row>
    <row r="3" spans="1:1" x14ac:dyDescent="0.25">
      <c r="A3" s="2" t="s">
        <v>110</v>
      </c>
    </row>
    <row r="4" spans="1:1" x14ac:dyDescent="0.25">
      <c r="A4" s="2" t="s">
        <v>62</v>
      </c>
    </row>
    <row r="5" spans="1:1" x14ac:dyDescent="0.25">
      <c r="A5" s="2" t="s">
        <v>63</v>
      </c>
    </row>
    <row r="6" spans="1:1" x14ac:dyDescent="0.25">
      <c r="A6" s="2" t="s">
        <v>103</v>
      </c>
    </row>
    <row r="7" spans="1:1" x14ac:dyDescent="0.25">
      <c r="A7" s="2" t="s">
        <v>104</v>
      </c>
    </row>
    <row r="8" spans="1:1" x14ac:dyDescent="0.25">
      <c r="A8" s="2" t="s">
        <v>101</v>
      </c>
    </row>
    <row r="9" spans="1:1" x14ac:dyDescent="0.25">
      <c r="A9" s="2" t="s">
        <v>102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topLeftCell="A19" workbookViewId="0">
      <selection activeCell="B3" sqref="B3"/>
    </sheetView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8" ht="15" x14ac:dyDescent="0.25">
      <c r="A1" s="1" t="s">
        <v>58</v>
      </c>
    </row>
    <row r="2" spans="1:8" x14ac:dyDescent="0.25">
      <c r="A2" s="2" t="s">
        <v>59</v>
      </c>
    </row>
    <row r="3" spans="1:8" x14ac:dyDescent="0.25">
      <c r="A3" s="2" t="s">
        <v>19</v>
      </c>
      <c r="B3" s="61" t="s">
        <v>20</v>
      </c>
    </row>
    <row r="4" spans="1:8" x14ac:dyDescent="0.25">
      <c r="A4" s="2" t="s">
        <v>21</v>
      </c>
      <c r="B4" s="31">
        <v>55</v>
      </c>
    </row>
    <row r="5" spans="1:8" x14ac:dyDescent="0.25">
      <c r="A5" s="2" t="s">
        <v>22</v>
      </c>
      <c r="B5" s="37">
        <v>10000</v>
      </c>
    </row>
    <row r="6" spans="1:8" x14ac:dyDescent="0.25">
      <c r="A6" s="2" t="s">
        <v>23</v>
      </c>
      <c r="B6" s="37">
        <v>899.2</v>
      </c>
    </row>
    <row r="8" spans="1:8" x14ac:dyDescent="0.25">
      <c r="A8" s="2" t="s">
        <v>60</v>
      </c>
      <c r="H8" s="2" t="s">
        <v>72</v>
      </c>
    </row>
    <row r="9" spans="1:8" x14ac:dyDescent="0.25">
      <c r="A9" s="66" t="s">
        <v>24</v>
      </c>
      <c r="B9" s="67"/>
    </row>
    <row r="10" spans="1:8" x14ac:dyDescent="0.25">
      <c r="A10" s="40" t="s">
        <v>77</v>
      </c>
      <c r="B10" s="39" t="s">
        <v>76</v>
      </c>
    </row>
    <row r="11" spans="1:8" x14ac:dyDescent="0.25">
      <c r="A11" s="12">
        <v>0</v>
      </c>
      <c r="B11" s="4"/>
    </row>
    <row r="12" spans="1:8" x14ac:dyDescent="0.25">
      <c r="A12" s="13">
        <v>1</v>
      </c>
      <c r="B12" s="14"/>
    </row>
    <row r="13" spans="1:8" x14ac:dyDescent="0.25">
      <c r="A13" s="13">
        <v>2</v>
      </c>
      <c r="B13" s="14"/>
    </row>
    <row r="14" spans="1:8" x14ac:dyDescent="0.25">
      <c r="A14" s="13">
        <v>3</v>
      </c>
      <c r="B14" s="14"/>
    </row>
    <row r="15" spans="1:8" x14ac:dyDescent="0.25">
      <c r="A15" s="13">
        <v>4</v>
      </c>
      <c r="B15" s="14"/>
    </row>
    <row r="16" spans="1:8" x14ac:dyDescent="0.25">
      <c r="A16" s="13">
        <v>5</v>
      </c>
      <c r="B16" s="14"/>
    </row>
    <row r="17" spans="1:2" x14ac:dyDescent="0.25">
      <c r="A17" s="13">
        <v>6</v>
      </c>
      <c r="B17" s="14"/>
    </row>
    <row r="18" spans="1:2" x14ac:dyDescent="0.25">
      <c r="A18" s="13">
        <v>7</v>
      </c>
      <c r="B18" s="14"/>
    </row>
    <row r="19" spans="1:2" x14ac:dyDescent="0.25">
      <c r="A19" s="13">
        <v>8</v>
      </c>
      <c r="B19" s="14"/>
    </row>
    <row r="20" spans="1:2" x14ac:dyDescent="0.25">
      <c r="A20" s="13">
        <v>9</v>
      </c>
      <c r="B20" s="14"/>
    </row>
    <row r="21" spans="1:2" x14ac:dyDescent="0.25">
      <c r="A21" s="13">
        <v>10</v>
      </c>
      <c r="B21" s="14"/>
    </row>
    <row r="22" spans="1:2" x14ac:dyDescent="0.25">
      <c r="A22" s="13">
        <v>11</v>
      </c>
      <c r="B22" s="14"/>
    </row>
    <row r="23" spans="1:2" x14ac:dyDescent="0.25">
      <c r="A23" s="13">
        <v>12</v>
      </c>
      <c r="B23" s="14"/>
    </row>
    <row r="24" spans="1:2" x14ac:dyDescent="0.25">
      <c r="A24" s="13">
        <v>13</v>
      </c>
      <c r="B24" s="14"/>
    </row>
    <row r="25" spans="1:2" x14ac:dyDescent="0.25">
      <c r="A25" s="13">
        <v>14</v>
      </c>
      <c r="B25" s="14"/>
    </row>
    <row r="26" spans="1:2" x14ac:dyDescent="0.25">
      <c r="A26" s="13">
        <v>15</v>
      </c>
      <c r="B26" s="32">
        <v>4.0999999999999999E-4</v>
      </c>
    </row>
    <row r="27" spans="1:2" x14ac:dyDescent="0.25">
      <c r="A27" s="13">
        <v>16</v>
      </c>
      <c r="B27" s="32">
        <v>5.1999999999999995E-4</v>
      </c>
    </row>
    <row r="28" spans="1:2" x14ac:dyDescent="0.25">
      <c r="A28" s="13">
        <v>17</v>
      </c>
      <c r="B28" s="32">
        <v>6.2E-4</v>
      </c>
    </row>
    <row r="29" spans="1:2" x14ac:dyDescent="0.25">
      <c r="A29" s="13">
        <v>18</v>
      </c>
      <c r="B29" s="32">
        <v>6.9999999999999999E-4</v>
      </c>
    </row>
    <row r="30" spans="1:2" x14ac:dyDescent="0.25">
      <c r="A30" s="13">
        <v>19</v>
      </c>
      <c r="B30" s="32">
        <v>7.7999999999999999E-4</v>
      </c>
    </row>
    <row r="31" spans="1:2" x14ac:dyDescent="0.25">
      <c r="A31" s="13">
        <v>20</v>
      </c>
      <c r="B31" s="32">
        <v>8.3000000000000001E-4</v>
      </c>
    </row>
    <row r="32" spans="1:2" x14ac:dyDescent="0.25">
      <c r="A32" s="13">
        <v>21</v>
      </c>
      <c r="B32" s="32">
        <v>8.7000000000000001E-4</v>
      </c>
    </row>
    <row r="33" spans="1:2" x14ac:dyDescent="0.25">
      <c r="A33" s="13">
        <v>22</v>
      </c>
      <c r="B33" s="32">
        <v>8.8999999999999995E-4</v>
      </c>
    </row>
    <row r="34" spans="1:2" x14ac:dyDescent="0.25">
      <c r="A34" s="13">
        <v>23</v>
      </c>
      <c r="B34" s="32">
        <v>8.9999999999999998E-4</v>
      </c>
    </row>
    <row r="35" spans="1:2" x14ac:dyDescent="0.25">
      <c r="A35" s="15">
        <v>24</v>
      </c>
      <c r="B35" s="33">
        <v>8.9999999999999998E-4</v>
      </c>
    </row>
    <row r="36" spans="1:2" x14ac:dyDescent="0.25">
      <c r="A36" s="16">
        <v>25</v>
      </c>
      <c r="B36" s="34">
        <v>8.8999999999999995E-4</v>
      </c>
    </row>
    <row r="37" spans="1:2" x14ac:dyDescent="0.25">
      <c r="A37" s="16">
        <v>26</v>
      </c>
      <c r="B37" s="34">
        <v>8.8000000000000003E-4</v>
      </c>
    </row>
    <row r="38" spans="1:2" x14ac:dyDescent="0.25">
      <c r="A38" s="16">
        <v>27</v>
      </c>
      <c r="B38" s="34">
        <v>8.5999999999999998E-4</v>
      </c>
    </row>
    <row r="39" spans="1:2" x14ac:dyDescent="0.25">
      <c r="A39" s="16">
        <v>28</v>
      </c>
      <c r="B39" s="34">
        <v>8.4000000000000003E-4</v>
      </c>
    </row>
    <row r="40" spans="1:2" x14ac:dyDescent="0.25">
      <c r="A40" s="16">
        <v>29</v>
      </c>
      <c r="B40" s="34">
        <v>8.1999999999999998E-4</v>
      </c>
    </row>
    <row r="41" spans="1:2" x14ac:dyDescent="0.25">
      <c r="A41" s="16">
        <v>30</v>
      </c>
      <c r="B41" s="34">
        <v>8.0000000000000004E-4</v>
      </c>
    </row>
    <row r="42" spans="1:2" x14ac:dyDescent="0.25">
      <c r="A42" s="16">
        <v>31</v>
      </c>
      <c r="B42" s="34">
        <v>7.6999999999999996E-4</v>
      </c>
    </row>
    <row r="43" spans="1:2" x14ac:dyDescent="0.25">
      <c r="A43" s="16">
        <v>32</v>
      </c>
      <c r="B43" s="34">
        <v>7.5000000000000002E-4</v>
      </c>
    </row>
    <row r="44" spans="1:2" x14ac:dyDescent="0.25">
      <c r="A44" s="16">
        <v>33</v>
      </c>
      <c r="B44" s="34">
        <v>7.3999999999999999E-4</v>
      </c>
    </row>
    <row r="45" spans="1:2" x14ac:dyDescent="0.25">
      <c r="A45" s="16">
        <v>34</v>
      </c>
      <c r="B45" s="34">
        <v>7.3999999999999999E-4</v>
      </c>
    </row>
    <row r="46" spans="1:2" x14ac:dyDescent="0.25">
      <c r="A46" s="16">
        <v>35</v>
      </c>
      <c r="B46" s="34">
        <v>7.5000000000000002E-4</v>
      </c>
    </row>
    <row r="47" spans="1:2" x14ac:dyDescent="0.25">
      <c r="A47" s="16">
        <v>36</v>
      </c>
      <c r="B47" s="34">
        <v>7.6000000000000004E-4</v>
      </c>
    </row>
    <row r="48" spans="1:2" x14ac:dyDescent="0.25">
      <c r="A48" s="16">
        <v>37</v>
      </c>
      <c r="B48" s="34">
        <v>7.7999999999999999E-4</v>
      </c>
    </row>
    <row r="49" spans="1:2" x14ac:dyDescent="0.25">
      <c r="A49" s="16">
        <v>38</v>
      </c>
      <c r="B49" s="34">
        <v>8.0999999999999996E-4</v>
      </c>
    </row>
    <row r="50" spans="1:2" x14ac:dyDescent="0.25">
      <c r="A50" s="16">
        <v>39</v>
      </c>
      <c r="B50" s="34">
        <v>8.4999999999999995E-4</v>
      </c>
    </row>
    <row r="51" spans="1:2" x14ac:dyDescent="0.25">
      <c r="A51" s="16">
        <v>40</v>
      </c>
      <c r="B51" s="34">
        <v>8.8999999999999995E-4</v>
      </c>
    </row>
    <row r="52" spans="1:2" x14ac:dyDescent="0.25">
      <c r="A52" s="16">
        <v>41</v>
      </c>
      <c r="B52" s="34">
        <v>9.3999999999999997E-4</v>
      </c>
    </row>
    <row r="53" spans="1:2" x14ac:dyDescent="0.25">
      <c r="A53" s="16">
        <v>42</v>
      </c>
      <c r="B53" s="34">
        <v>1.01E-3</v>
      </c>
    </row>
    <row r="54" spans="1:2" x14ac:dyDescent="0.25">
      <c r="A54" s="16">
        <v>43</v>
      </c>
      <c r="B54" s="34">
        <v>1.08E-3</v>
      </c>
    </row>
    <row r="55" spans="1:2" x14ac:dyDescent="0.25">
      <c r="A55" s="16">
        <v>44</v>
      </c>
      <c r="B55" s="34">
        <v>1.16E-3</v>
      </c>
    </row>
    <row r="56" spans="1:2" x14ac:dyDescent="0.25">
      <c r="A56" s="16">
        <v>45</v>
      </c>
      <c r="B56" s="34">
        <v>1.2600000000000001E-3</v>
      </c>
    </row>
    <row r="57" spans="1:2" x14ac:dyDescent="0.25">
      <c r="A57" s="16">
        <v>46</v>
      </c>
      <c r="B57" s="34">
        <v>1.3699999999999999E-3</v>
      </c>
    </row>
    <row r="58" spans="1:2" x14ac:dyDescent="0.25">
      <c r="A58" s="16">
        <v>47</v>
      </c>
      <c r="B58" s="34">
        <v>1.5E-3</v>
      </c>
    </row>
    <row r="59" spans="1:2" x14ac:dyDescent="0.25">
      <c r="A59" s="16">
        <v>48</v>
      </c>
      <c r="B59" s="34">
        <v>1.65E-3</v>
      </c>
    </row>
    <row r="60" spans="1:2" x14ac:dyDescent="0.25">
      <c r="A60" s="17">
        <v>49</v>
      </c>
      <c r="B60" s="35">
        <v>1.83E-3</v>
      </c>
    </row>
    <row r="61" spans="1:2" x14ac:dyDescent="0.25">
      <c r="A61" s="18">
        <v>50</v>
      </c>
      <c r="B61" s="36">
        <v>2.0300000000000001E-3</v>
      </c>
    </row>
    <row r="62" spans="1:2" x14ac:dyDescent="0.25">
      <c r="A62" s="16">
        <v>51</v>
      </c>
      <c r="B62" s="34">
        <v>2.2599999999999999E-3</v>
      </c>
    </row>
    <row r="63" spans="1:2" x14ac:dyDescent="0.25">
      <c r="A63" s="16">
        <v>52</v>
      </c>
      <c r="B63" s="34">
        <v>2.5200000000000001E-3</v>
      </c>
    </row>
    <row r="64" spans="1:2" x14ac:dyDescent="0.25">
      <c r="A64" s="16">
        <v>53</v>
      </c>
      <c r="B64" s="34">
        <v>2.82E-3</v>
      </c>
    </row>
    <row r="65" spans="1:2" x14ac:dyDescent="0.25">
      <c r="A65" s="16">
        <v>54</v>
      </c>
      <c r="B65" s="34">
        <v>3.15E-3</v>
      </c>
    </row>
    <row r="66" spans="1:2" x14ac:dyDescent="0.25">
      <c r="A66" s="16">
        <v>55</v>
      </c>
      <c r="B66" s="34">
        <v>3.5200000000000001E-3</v>
      </c>
    </row>
    <row r="67" spans="1:2" x14ac:dyDescent="0.25">
      <c r="A67" s="16">
        <v>56</v>
      </c>
      <c r="B67" s="34">
        <v>3.9300000000000003E-3</v>
      </c>
    </row>
    <row r="68" spans="1:2" x14ac:dyDescent="0.25">
      <c r="A68" s="16">
        <v>57</v>
      </c>
      <c r="B68" s="34">
        <v>4.3899999999999998E-3</v>
      </c>
    </row>
    <row r="69" spans="1:2" x14ac:dyDescent="0.25">
      <c r="A69" s="16">
        <v>58</v>
      </c>
      <c r="B69" s="34">
        <v>4.9100000000000003E-3</v>
      </c>
    </row>
    <row r="70" spans="1:2" x14ac:dyDescent="0.25">
      <c r="A70" s="16">
        <v>59</v>
      </c>
      <c r="B70" s="34">
        <v>5.5100000000000001E-3</v>
      </c>
    </row>
    <row r="71" spans="1:2" x14ac:dyDescent="0.25">
      <c r="A71" s="16">
        <v>60</v>
      </c>
      <c r="B71" s="34">
        <v>6.1999999999999998E-3</v>
      </c>
    </row>
    <row r="72" spans="1:2" x14ac:dyDescent="0.25">
      <c r="A72" s="16">
        <v>61</v>
      </c>
      <c r="B72" s="34">
        <v>7.0000000000000001E-3</v>
      </c>
    </row>
    <row r="73" spans="1:2" x14ac:dyDescent="0.25">
      <c r="A73" s="16">
        <v>62</v>
      </c>
      <c r="B73" s="34">
        <v>7.92E-3</v>
      </c>
    </row>
    <row r="74" spans="1:2" x14ac:dyDescent="0.25">
      <c r="A74" s="16">
        <v>63</v>
      </c>
      <c r="B74" s="34">
        <v>8.9700000000000005E-3</v>
      </c>
    </row>
    <row r="75" spans="1:2" x14ac:dyDescent="0.25">
      <c r="A75" s="16">
        <v>64</v>
      </c>
      <c r="B75" s="34">
        <v>1.017E-2</v>
      </c>
    </row>
    <row r="76" spans="1:2" x14ac:dyDescent="0.25">
      <c r="A76" s="16">
        <v>65</v>
      </c>
      <c r="B76" s="34">
        <v>1.153E-2</v>
      </c>
    </row>
    <row r="77" spans="1:2" x14ac:dyDescent="0.25">
      <c r="A77" s="16">
        <v>66</v>
      </c>
      <c r="B77" s="34">
        <v>1.306E-2</v>
      </c>
    </row>
    <row r="78" spans="1:2" x14ac:dyDescent="0.25">
      <c r="A78" s="16">
        <v>67</v>
      </c>
      <c r="B78" s="34">
        <v>1.477E-2</v>
      </c>
    </row>
    <row r="79" spans="1:2" x14ac:dyDescent="0.25">
      <c r="A79" s="16">
        <v>68</v>
      </c>
      <c r="B79" s="34">
        <v>1.67E-2</v>
      </c>
    </row>
    <row r="80" spans="1:2" x14ac:dyDescent="0.25">
      <c r="A80" s="16">
        <v>69</v>
      </c>
      <c r="B80" s="34">
        <v>1.8849999999999999E-2</v>
      </c>
    </row>
    <row r="81" spans="1:2" x14ac:dyDescent="0.25">
      <c r="A81" s="16">
        <v>70</v>
      </c>
      <c r="B81" s="34">
        <v>2.1250000000000002E-2</v>
      </c>
    </row>
    <row r="82" spans="1:2" x14ac:dyDescent="0.25">
      <c r="A82" s="16">
        <v>71</v>
      </c>
      <c r="B82" s="34">
        <v>2.393E-2</v>
      </c>
    </row>
    <row r="83" spans="1:2" x14ac:dyDescent="0.25">
      <c r="A83" s="16">
        <v>72</v>
      </c>
      <c r="B83" s="34">
        <v>2.69E-2</v>
      </c>
    </row>
    <row r="84" spans="1:2" x14ac:dyDescent="0.25">
      <c r="A84" s="16">
        <v>73</v>
      </c>
      <c r="B84" s="34">
        <v>3.022E-2</v>
      </c>
    </row>
    <row r="85" spans="1:2" x14ac:dyDescent="0.25">
      <c r="A85" s="17">
        <v>74</v>
      </c>
      <c r="B85" s="35">
        <v>3.39E-2</v>
      </c>
    </row>
    <row r="86" spans="1:2" x14ac:dyDescent="0.25">
      <c r="A86" s="18">
        <v>75</v>
      </c>
      <c r="B86" s="36">
        <v>3.8010000000000002E-2</v>
      </c>
    </row>
    <row r="87" spans="1:2" x14ac:dyDescent="0.25">
      <c r="A87" s="16">
        <v>76</v>
      </c>
      <c r="B87" s="34">
        <v>4.2590000000000003E-2</v>
      </c>
    </row>
    <row r="88" spans="1:2" x14ac:dyDescent="0.25">
      <c r="A88" s="16">
        <v>77</v>
      </c>
      <c r="B88" s="34">
        <v>4.768E-2</v>
      </c>
    </row>
    <row r="89" spans="1:2" x14ac:dyDescent="0.25">
      <c r="A89" s="16">
        <v>78</v>
      </c>
      <c r="B89" s="34">
        <v>5.3350000000000002E-2</v>
      </c>
    </row>
    <row r="90" spans="1:2" x14ac:dyDescent="0.25">
      <c r="A90" s="16">
        <v>79</v>
      </c>
      <c r="B90" s="34">
        <v>5.9659999999999998E-2</v>
      </c>
    </row>
    <row r="91" spans="1:2" x14ac:dyDescent="0.25">
      <c r="A91" s="16">
        <v>80</v>
      </c>
      <c r="B91" s="34">
        <v>6.6650000000000001E-2</v>
      </c>
    </row>
    <row r="92" spans="1:2" x14ac:dyDescent="0.25">
      <c r="A92" s="16">
        <v>81</v>
      </c>
      <c r="B92" s="34">
        <v>7.4380000000000002E-2</v>
      </c>
    </row>
    <row r="93" spans="1:2" x14ac:dyDescent="0.25">
      <c r="A93" s="16">
        <v>82</v>
      </c>
      <c r="B93" s="34">
        <v>8.2839999999999997E-2</v>
      </c>
    </row>
    <row r="94" spans="1:2" x14ac:dyDescent="0.25">
      <c r="A94" s="16">
        <v>83</v>
      </c>
      <c r="B94" s="34">
        <v>9.2030000000000001E-2</v>
      </c>
    </row>
    <row r="95" spans="1:2" x14ac:dyDescent="0.25">
      <c r="A95" s="16">
        <v>84</v>
      </c>
      <c r="B95" s="34">
        <v>0.10188999999999999</v>
      </c>
    </row>
    <row r="96" spans="1:2" x14ac:dyDescent="0.25">
      <c r="A96" s="16">
        <v>85</v>
      </c>
      <c r="B96" s="34">
        <v>0.11239</v>
      </c>
    </row>
    <row r="97" spans="1:2" x14ac:dyDescent="0.25">
      <c r="A97" s="16">
        <v>86</v>
      </c>
      <c r="B97" s="34">
        <v>0.12346</v>
      </c>
    </row>
    <row r="98" spans="1:2" x14ac:dyDescent="0.25">
      <c r="A98" s="16">
        <v>87</v>
      </c>
      <c r="B98" s="34">
        <v>0.13503000000000001</v>
      </c>
    </row>
    <row r="99" spans="1:2" x14ac:dyDescent="0.25">
      <c r="A99" s="16">
        <v>88</v>
      </c>
      <c r="B99" s="34">
        <v>0.14704</v>
      </c>
    </row>
    <row r="100" spans="1:2" x14ac:dyDescent="0.25">
      <c r="A100" s="16">
        <v>89</v>
      </c>
      <c r="B100" s="34">
        <v>0.15939</v>
      </c>
    </row>
    <row r="101" spans="1:2" x14ac:dyDescent="0.25">
      <c r="A101" s="16">
        <v>90</v>
      </c>
      <c r="B101" s="34">
        <v>0.17194000000000001</v>
      </c>
    </row>
    <row r="102" spans="1:2" x14ac:dyDescent="0.25">
      <c r="A102" s="16">
        <v>91</v>
      </c>
      <c r="B102" s="34">
        <v>0.18453</v>
      </c>
    </row>
    <row r="103" spans="1:2" x14ac:dyDescent="0.25">
      <c r="A103" s="16">
        <v>92</v>
      </c>
      <c r="B103" s="34">
        <v>0.19694999999999999</v>
      </c>
    </row>
    <row r="104" spans="1:2" x14ac:dyDescent="0.25">
      <c r="A104" s="16">
        <v>93</v>
      </c>
      <c r="B104" s="34">
        <v>0.20899000000000001</v>
      </c>
    </row>
    <row r="105" spans="1:2" x14ac:dyDescent="0.25">
      <c r="A105" s="16">
        <v>94</v>
      </c>
      <c r="B105" s="34">
        <v>0.22037999999999999</v>
      </c>
    </row>
    <row r="106" spans="1:2" x14ac:dyDescent="0.25">
      <c r="A106" s="16">
        <v>95</v>
      </c>
      <c r="B106" s="34">
        <v>0.23077</v>
      </c>
    </row>
    <row r="107" spans="1:2" x14ac:dyDescent="0.25">
      <c r="A107" s="16">
        <v>96</v>
      </c>
      <c r="B107" s="34">
        <v>0.23987</v>
      </c>
    </row>
    <row r="108" spans="1:2" x14ac:dyDescent="0.25">
      <c r="A108" s="16">
        <v>97</v>
      </c>
      <c r="B108" s="34">
        <v>0.24747</v>
      </c>
    </row>
    <row r="109" spans="1:2" x14ac:dyDescent="0.25">
      <c r="A109" s="16">
        <v>98</v>
      </c>
      <c r="B109" s="34">
        <v>0.25355</v>
      </c>
    </row>
    <row r="110" spans="1:2" x14ac:dyDescent="0.25">
      <c r="A110" s="17">
        <v>99</v>
      </c>
      <c r="B110" s="35">
        <v>0.25835000000000002</v>
      </c>
    </row>
    <row r="113" spans="1:2" x14ac:dyDescent="0.25">
      <c r="A113" s="2" t="s">
        <v>71</v>
      </c>
    </row>
    <row r="114" spans="1:2" x14ac:dyDescent="0.25">
      <c r="A114" s="5" t="s">
        <v>74</v>
      </c>
      <c r="B114" s="5" t="s">
        <v>75</v>
      </c>
    </row>
    <row r="115" spans="1:2" x14ac:dyDescent="0.25">
      <c r="A115" s="6">
        <v>0</v>
      </c>
      <c r="B115" s="38">
        <v>0</v>
      </c>
    </row>
    <row r="116" spans="1:2" x14ac:dyDescent="0.25">
      <c r="A116" s="6">
        <f>1+A115</f>
        <v>1</v>
      </c>
      <c r="B116" s="38">
        <v>0</v>
      </c>
    </row>
    <row r="117" spans="1:2" x14ac:dyDescent="0.25">
      <c r="A117" s="6">
        <f t="shared" ref="A117:A125" si="0">1+A116</f>
        <v>2</v>
      </c>
      <c r="B117" s="38">
        <v>0.11071</v>
      </c>
    </row>
    <row r="118" spans="1:2" x14ac:dyDescent="0.25">
      <c r="A118" s="6">
        <f t="shared" si="0"/>
        <v>3</v>
      </c>
      <c r="B118" s="38">
        <v>0.19814000000000001</v>
      </c>
    </row>
    <row r="119" spans="1:2" x14ac:dyDescent="0.25">
      <c r="A119" s="6">
        <f t="shared" si="0"/>
        <v>4</v>
      </c>
      <c r="B119" s="38">
        <v>0.29102</v>
      </c>
    </row>
    <row r="120" spans="1:2" x14ac:dyDescent="0.25">
      <c r="A120" s="6">
        <f t="shared" si="0"/>
        <v>5</v>
      </c>
      <c r="B120" s="38">
        <v>0.38982</v>
      </c>
    </row>
    <row r="121" spans="1:2" x14ac:dyDescent="0.25">
      <c r="A121" s="6">
        <f t="shared" si="0"/>
        <v>6</v>
      </c>
      <c r="B121" s="38">
        <v>0.49513000000000001</v>
      </c>
    </row>
    <row r="122" spans="1:2" x14ac:dyDescent="0.25">
      <c r="A122" s="6">
        <f t="shared" si="0"/>
        <v>7</v>
      </c>
      <c r="B122" s="38">
        <v>0.60785999999999996</v>
      </c>
    </row>
    <row r="123" spans="1:2" x14ac:dyDescent="0.25">
      <c r="A123" s="6">
        <f t="shared" si="0"/>
        <v>8</v>
      </c>
      <c r="B123" s="38">
        <v>0.72879000000000005</v>
      </c>
    </row>
    <row r="124" spans="1:2" x14ac:dyDescent="0.25">
      <c r="A124" s="6">
        <f t="shared" si="0"/>
        <v>9</v>
      </c>
      <c r="B124" s="38">
        <v>0.85904999999999998</v>
      </c>
    </row>
    <row r="125" spans="1:2" x14ac:dyDescent="0.25">
      <c r="A125" s="6">
        <f t="shared" si="0"/>
        <v>10</v>
      </c>
      <c r="B125" s="38">
        <v>1</v>
      </c>
    </row>
  </sheetData>
  <mergeCells count="1"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F7" sqref="F7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4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61</v>
      </c>
    </row>
    <row r="3" spans="1:13" x14ac:dyDescent="0.25">
      <c r="A3" s="3" t="s">
        <v>0</v>
      </c>
      <c r="B3" s="2" t="s">
        <v>37</v>
      </c>
      <c r="F3" s="3" t="s">
        <v>38</v>
      </c>
      <c r="L3" s="3" t="s">
        <v>39</v>
      </c>
    </row>
    <row r="5" spans="1:13" x14ac:dyDescent="0.25">
      <c r="A5" s="3" t="s">
        <v>1</v>
      </c>
      <c r="F5" s="77" t="s">
        <v>111</v>
      </c>
      <c r="L5" s="2" t="s">
        <v>70</v>
      </c>
    </row>
    <row r="6" spans="1:13" x14ac:dyDescent="0.25">
      <c r="A6" s="2" t="s">
        <v>5</v>
      </c>
      <c r="B6" s="62" t="s">
        <v>2</v>
      </c>
      <c r="F6" s="2" t="s">
        <v>80</v>
      </c>
      <c r="L6" s="2" t="s">
        <v>84</v>
      </c>
    </row>
    <row r="7" spans="1:13" x14ac:dyDescent="0.25">
      <c r="A7" s="2" t="s">
        <v>6</v>
      </c>
      <c r="B7" s="63">
        <v>0.7</v>
      </c>
      <c r="F7" s="2" t="s">
        <v>81</v>
      </c>
      <c r="G7" s="63">
        <v>0.02</v>
      </c>
      <c r="L7" s="2" t="s">
        <v>56</v>
      </c>
      <c r="M7" s="63">
        <v>0.95</v>
      </c>
    </row>
    <row r="8" spans="1:13" x14ac:dyDescent="0.25">
      <c r="A8" s="2" t="s">
        <v>7</v>
      </c>
      <c r="B8" s="62" t="s">
        <v>8</v>
      </c>
      <c r="F8" s="2" t="s">
        <v>82</v>
      </c>
      <c r="G8" s="63">
        <v>0.02</v>
      </c>
    </row>
    <row r="9" spans="1:13" x14ac:dyDescent="0.25">
      <c r="B9" s="62"/>
    </row>
    <row r="10" spans="1:13" x14ac:dyDescent="0.25">
      <c r="A10" s="3" t="s">
        <v>3</v>
      </c>
      <c r="B10" s="62"/>
    </row>
    <row r="11" spans="1:13" x14ac:dyDescent="0.25">
      <c r="A11" s="2" t="s">
        <v>27</v>
      </c>
      <c r="B11" s="62"/>
    </row>
    <row r="12" spans="1:13" x14ac:dyDescent="0.25">
      <c r="A12" s="2">
        <v>1</v>
      </c>
      <c r="B12" s="63">
        <v>0.15</v>
      </c>
    </row>
    <row r="13" spans="1:13" x14ac:dyDescent="0.25">
      <c r="A13" s="2">
        <f>1+A12</f>
        <v>2</v>
      </c>
      <c r="B13" s="63">
        <v>0.1</v>
      </c>
    </row>
    <row r="14" spans="1:13" x14ac:dyDescent="0.25">
      <c r="A14" s="2">
        <f t="shared" ref="A14:A21" si="0">1+A13</f>
        <v>3</v>
      </c>
      <c r="B14" s="63">
        <v>0.05</v>
      </c>
    </row>
    <row r="15" spans="1:13" x14ac:dyDescent="0.25">
      <c r="A15" s="2">
        <f t="shared" si="0"/>
        <v>4</v>
      </c>
      <c r="B15" s="63">
        <v>0.05</v>
      </c>
    </row>
    <row r="16" spans="1:13" x14ac:dyDescent="0.25">
      <c r="A16" s="2">
        <f t="shared" si="0"/>
        <v>5</v>
      </c>
      <c r="B16" s="63">
        <v>0.05</v>
      </c>
    </row>
    <row r="17" spans="1:3" x14ac:dyDescent="0.25">
      <c r="A17" s="2">
        <f t="shared" si="0"/>
        <v>6</v>
      </c>
      <c r="B17" s="63">
        <v>0.05</v>
      </c>
    </row>
    <row r="18" spans="1:3" x14ac:dyDescent="0.25">
      <c r="A18" s="2">
        <f t="shared" si="0"/>
        <v>7</v>
      </c>
      <c r="B18" s="63">
        <v>0.05</v>
      </c>
    </row>
    <row r="19" spans="1:3" x14ac:dyDescent="0.25">
      <c r="A19" s="2">
        <f t="shared" si="0"/>
        <v>8</v>
      </c>
      <c r="B19" s="63">
        <v>0.05</v>
      </c>
    </row>
    <row r="20" spans="1:3" x14ac:dyDescent="0.25">
      <c r="A20" s="2">
        <f t="shared" si="0"/>
        <v>9</v>
      </c>
      <c r="B20" s="63">
        <v>0.05</v>
      </c>
    </row>
    <row r="21" spans="1:3" x14ac:dyDescent="0.25">
      <c r="A21" s="2">
        <f t="shared" si="0"/>
        <v>10</v>
      </c>
      <c r="B21" s="63">
        <v>0.05</v>
      </c>
    </row>
    <row r="22" spans="1:3" x14ac:dyDescent="0.25">
      <c r="B22" s="62"/>
    </row>
    <row r="23" spans="1:3" x14ac:dyDescent="0.25">
      <c r="A23" s="3" t="s">
        <v>4</v>
      </c>
      <c r="B23" s="62"/>
    </row>
    <row r="24" spans="1:3" x14ac:dyDescent="0.25">
      <c r="A24" s="2" t="s">
        <v>9</v>
      </c>
      <c r="B24" s="64">
        <v>70</v>
      </c>
    </row>
    <row r="25" spans="1:3" x14ac:dyDescent="0.25">
      <c r="A25" s="2" t="s">
        <v>10</v>
      </c>
      <c r="B25" s="64">
        <v>50</v>
      </c>
      <c r="C25" s="2" t="s">
        <v>40</v>
      </c>
    </row>
    <row r="26" spans="1:3" x14ac:dyDescent="0.25">
      <c r="A26" s="2" t="s">
        <v>11</v>
      </c>
      <c r="B26" s="63">
        <v>0.02</v>
      </c>
    </row>
    <row r="27" spans="1:3" x14ac:dyDescent="0.25">
      <c r="B27" s="62"/>
    </row>
    <row r="28" spans="1:3" x14ac:dyDescent="0.25">
      <c r="A28" s="3" t="s">
        <v>12</v>
      </c>
      <c r="B28" s="62"/>
    </row>
    <row r="29" spans="1:3" x14ac:dyDescent="0.25">
      <c r="A29" s="2" t="s">
        <v>13</v>
      </c>
      <c r="B29" s="63">
        <v>0.03</v>
      </c>
      <c r="C29" s="2" t="s">
        <v>14</v>
      </c>
    </row>
    <row r="30" spans="1:3" x14ac:dyDescent="0.25">
      <c r="A30" s="2" t="s">
        <v>10</v>
      </c>
      <c r="B30" s="63">
        <v>0.03</v>
      </c>
      <c r="C30" s="2" t="s">
        <v>15</v>
      </c>
    </row>
    <row r="31" spans="1:3" x14ac:dyDescent="0.25">
      <c r="B31" s="62"/>
    </row>
    <row r="32" spans="1:3" x14ac:dyDescent="0.25">
      <c r="A32" s="3" t="s">
        <v>16</v>
      </c>
      <c r="B32" s="63">
        <v>0.03</v>
      </c>
    </row>
    <row r="33" spans="1:2" x14ac:dyDescent="0.25">
      <c r="B33" s="62"/>
    </row>
    <row r="34" spans="1:2" x14ac:dyDescent="0.25">
      <c r="A34" s="3" t="s">
        <v>17</v>
      </c>
      <c r="B34" s="63">
        <v>0.03</v>
      </c>
    </row>
    <row r="35" spans="1:2" x14ac:dyDescent="0.25">
      <c r="B35" s="62"/>
    </row>
    <row r="36" spans="1:2" x14ac:dyDescent="0.25">
      <c r="A36" s="3" t="s">
        <v>18</v>
      </c>
      <c r="B36" s="6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5" sqref="D5"/>
    </sheetView>
  </sheetViews>
  <sheetFormatPr defaultRowHeight="15" x14ac:dyDescent="0.25"/>
  <sheetData>
    <row r="1" spans="1:8" x14ac:dyDescent="0.25">
      <c r="A1" s="1" t="s">
        <v>28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5" t="s">
        <v>25</v>
      </c>
      <c r="B4" s="5" t="s">
        <v>29</v>
      </c>
      <c r="C4" s="5" t="s">
        <v>26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36</v>
      </c>
    </row>
    <row r="5" spans="1:8" x14ac:dyDescent="0.25">
      <c r="A5" s="6">
        <v>1</v>
      </c>
      <c r="B5" s="6">
        <f>VLOOKUP(Age+ Decrements!A5 - 1,IA95_97UltM,2)*Factor</f>
        <v>2.464E-3</v>
      </c>
      <c r="C5" s="6">
        <f t="shared" ref="C5:C14" si="0">VLOOKUP(A5,lapse_rates,2)</f>
        <v>0.15</v>
      </c>
      <c r="D5" s="41">
        <v>1</v>
      </c>
      <c r="E5" s="41">
        <f>D5*B5</f>
        <v>2.464E-3</v>
      </c>
      <c r="F5" s="41">
        <f>(D5-E5)*C5</f>
        <v>0.1496304</v>
      </c>
      <c r="G5" s="41">
        <f>D5-E5-F5</f>
        <v>0.84790560000000004</v>
      </c>
      <c r="H5" s="7">
        <f>G5/D5</f>
        <v>0.84790560000000004</v>
      </c>
    </row>
    <row r="6" spans="1:8" x14ac:dyDescent="0.25">
      <c r="A6" s="6">
        <f>1+A5</f>
        <v>2</v>
      </c>
      <c r="B6" s="6">
        <f>VLOOKUP(Age+ Decrements!A6 - 1,IA95_97UltM,2)*Factor</f>
        <v>2.751E-3</v>
      </c>
      <c r="C6" s="6">
        <f t="shared" si="0"/>
        <v>0.1</v>
      </c>
      <c r="D6" s="41">
        <f>G5</f>
        <v>0.84790560000000004</v>
      </c>
      <c r="E6" s="41">
        <f>D6*B6</f>
        <v>2.3325883056000002E-3</v>
      </c>
      <c r="F6" s="41">
        <f>(D6-E6)*C6</f>
        <v>8.4557301169440005E-2</v>
      </c>
      <c r="G6" s="41">
        <f>D6-E6-F6</f>
        <v>0.76101571052495998</v>
      </c>
      <c r="H6" s="7">
        <f t="shared" ref="H6:H14" si="1">G6/D6</f>
        <v>0.89752409999999994</v>
      </c>
    </row>
    <row r="7" spans="1:8" x14ac:dyDescent="0.25">
      <c r="A7" s="6">
        <f t="shared" ref="A7:A14" si="2">1+A6</f>
        <v>3</v>
      </c>
      <c r="B7" s="6">
        <f>VLOOKUP(Age+ Decrements!A7 - 1,IA95_97UltM,2)*Factor</f>
        <v>3.0729999999999998E-3</v>
      </c>
      <c r="C7" s="6">
        <f t="shared" si="0"/>
        <v>0.05</v>
      </c>
      <c r="D7" s="41">
        <f t="shared" ref="D7:D14" si="3">G6</f>
        <v>0.76101571052495998</v>
      </c>
      <c r="E7" s="41">
        <f t="shared" ref="E7:E14" si="4">D7*B7</f>
        <v>2.3386012784432017E-3</v>
      </c>
      <c r="F7" s="41">
        <f t="shared" ref="F7:F13" si="5">(D7-E7)*C7</f>
        <v>3.793385546232584E-2</v>
      </c>
      <c r="G7" s="41">
        <f t="shared" ref="G7:G14" si="6">D7-E7-F7</f>
        <v>0.72074325378419091</v>
      </c>
      <c r="H7" s="7">
        <f t="shared" si="1"/>
        <v>0.94708064999999997</v>
      </c>
    </row>
    <row r="8" spans="1:8" x14ac:dyDescent="0.25">
      <c r="A8" s="6">
        <f t="shared" si="2"/>
        <v>4</v>
      </c>
      <c r="B8" s="6">
        <f>VLOOKUP(Age+ Decrements!A8 - 1,IA95_97UltM,2)*Factor</f>
        <v>3.437E-3</v>
      </c>
      <c r="C8" s="6">
        <f t="shared" si="0"/>
        <v>0.05</v>
      </c>
      <c r="D8" s="41">
        <f t="shared" si="3"/>
        <v>0.72074325378419091</v>
      </c>
      <c r="E8" s="41">
        <f t="shared" si="4"/>
        <v>2.4771945632562639E-3</v>
      </c>
      <c r="F8" s="41">
        <f t="shared" si="5"/>
        <v>3.5913302961046736E-2</v>
      </c>
      <c r="G8" s="41">
        <f t="shared" si="6"/>
        <v>0.68235275625988789</v>
      </c>
      <c r="H8" s="7">
        <f t="shared" si="1"/>
        <v>0.94673485000000002</v>
      </c>
    </row>
    <row r="9" spans="1:8" x14ac:dyDescent="0.25">
      <c r="A9" s="6">
        <f t="shared" si="2"/>
        <v>5</v>
      </c>
      <c r="B9" s="6">
        <f>VLOOKUP(Age+ Decrements!A9 - 1,IA95_97UltM,2)*Factor</f>
        <v>3.8569999999999998E-3</v>
      </c>
      <c r="C9" s="6">
        <f t="shared" si="0"/>
        <v>0.05</v>
      </c>
      <c r="D9" s="41">
        <f t="shared" si="3"/>
        <v>0.68235275625988789</v>
      </c>
      <c r="E9" s="41">
        <f t="shared" si="4"/>
        <v>2.6318345808943873E-3</v>
      </c>
      <c r="F9" s="41">
        <f t="shared" si="5"/>
        <v>3.3986046083949679E-2</v>
      </c>
      <c r="G9" s="41">
        <f t="shared" si="6"/>
        <v>0.64573487559504383</v>
      </c>
      <c r="H9" s="7">
        <f t="shared" si="1"/>
        <v>0.94633584999999998</v>
      </c>
    </row>
    <row r="10" spans="1:8" x14ac:dyDescent="0.25">
      <c r="A10" s="6">
        <f t="shared" si="2"/>
        <v>6</v>
      </c>
      <c r="B10" s="6">
        <f>VLOOKUP(Age+ Decrements!A10 - 1,IA95_97UltM,2)*Factor</f>
        <v>4.3399999999999992E-3</v>
      </c>
      <c r="C10" s="6">
        <f t="shared" si="0"/>
        <v>0.05</v>
      </c>
      <c r="D10" s="41">
        <f t="shared" si="3"/>
        <v>0.64573487559504383</v>
      </c>
      <c r="E10" s="41">
        <f t="shared" si="4"/>
        <v>2.8024893600824899E-3</v>
      </c>
      <c r="F10" s="41">
        <f t="shared" si="5"/>
        <v>3.2146619311748066E-2</v>
      </c>
      <c r="G10" s="41">
        <f t="shared" si="6"/>
        <v>0.61078576692321318</v>
      </c>
      <c r="H10" s="7">
        <f t="shared" si="1"/>
        <v>0.94587699999999986</v>
      </c>
    </row>
    <row r="11" spans="1:8" x14ac:dyDescent="0.25">
      <c r="A11" s="6">
        <f t="shared" si="2"/>
        <v>7</v>
      </c>
      <c r="B11" s="6">
        <f>VLOOKUP(Age+ Decrements!A11 - 1,IA95_97UltM,2)*Factor</f>
        <v>4.8999999999999998E-3</v>
      </c>
      <c r="C11" s="6">
        <f t="shared" si="0"/>
        <v>0.05</v>
      </c>
      <c r="D11" s="41">
        <f t="shared" si="3"/>
        <v>0.61078576692321318</v>
      </c>
      <c r="E11" s="41">
        <f t="shared" si="4"/>
        <v>2.9928502579237445E-3</v>
      </c>
      <c r="F11" s="41">
        <f t="shared" si="5"/>
        <v>3.0389645833264475E-2</v>
      </c>
      <c r="G11" s="41">
        <f t="shared" si="6"/>
        <v>0.57740327083202503</v>
      </c>
      <c r="H11" s="7">
        <f t="shared" si="1"/>
        <v>0.9453450000000001</v>
      </c>
    </row>
    <row r="12" spans="1:8" x14ac:dyDescent="0.25">
      <c r="A12" s="6">
        <f t="shared" si="2"/>
        <v>8</v>
      </c>
      <c r="B12" s="6">
        <f>VLOOKUP(Age+ Decrements!A12 - 1,IA95_97UltM,2)*Factor</f>
        <v>5.5439999999999994E-3</v>
      </c>
      <c r="C12" s="6">
        <f t="shared" si="0"/>
        <v>0.05</v>
      </c>
      <c r="D12" s="41">
        <f t="shared" si="3"/>
        <v>0.57740327083202503</v>
      </c>
      <c r="E12" s="41">
        <f t="shared" si="4"/>
        <v>3.2011237334927463E-3</v>
      </c>
      <c r="F12" s="41">
        <f t="shared" si="5"/>
        <v>2.8710107354926614E-2</v>
      </c>
      <c r="G12" s="41">
        <f t="shared" si="6"/>
        <v>0.54549203974360561</v>
      </c>
      <c r="H12" s="7">
        <f t="shared" si="1"/>
        <v>0.94473319999999994</v>
      </c>
    </row>
    <row r="13" spans="1:8" x14ac:dyDescent="0.25">
      <c r="A13" s="6">
        <f t="shared" si="2"/>
        <v>9</v>
      </c>
      <c r="B13" s="6">
        <f>VLOOKUP(Age+ Decrements!A13 - 1,IA95_97UltM,2)*Factor</f>
        <v>6.2789999999999999E-3</v>
      </c>
      <c r="C13" s="6">
        <f t="shared" si="0"/>
        <v>0.05</v>
      </c>
      <c r="D13" s="41">
        <f t="shared" si="3"/>
        <v>0.54549203974360561</v>
      </c>
      <c r="E13" s="41">
        <f t="shared" si="4"/>
        <v>3.4251445175500993E-3</v>
      </c>
      <c r="F13" s="41">
        <f t="shared" si="5"/>
        <v>2.7103344761302779E-2</v>
      </c>
      <c r="G13" s="41">
        <f t="shared" si="6"/>
        <v>0.51496355046475273</v>
      </c>
      <c r="H13" s="7">
        <f t="shared" si="1"/>
        <v>0.94403495000000004</v>
      </c>
    </row>
    <row r="14" spans="1:8" x14ac:dyDescent="0.25">
      <c r="A14" s="6">
        <f t="shared" si="2"/>
        <v>10</v>
      </c>
      <c r="B14" s="6">
        <f>VLOOKUP(Age+ Decrements!A14 - 1,IA95_97UltM,2)*Factor</f>
        <v>7.1189999999999995E-3</v>
      </c>
      <c r="C14" s="6">
        <f t="shared" si="0"/>
        <v>0.05</v>
      </c>
      <c r="D14" s="41">
        <f t="shared" si="3"/>
        <v>0.51496355046475273</v>
      </c>
      <c r="E14" s="41">
        <f t="shared" si="4"/>
        <v>3.6660255157585746E-3</v>
      </c>
      <c r="F14" s="41">
        <f>(D14-E14)*C14</f>
        <v>2.556487624744971E-2</v>
      </c>
      <c r="G14" s="41">
        <f t="shared" si="6"/>
        <v>0.48573264870154448</v>
      </c>
      <c r="H14" s="7">
        <f t="shared" si="1"/>
        <v>0.94323695000000007</v>
      </c>
    </row>
    <row r="16" spans="1:8" x14ac:dyDescent="0.25">
      <c r="A16" s="2" t="s">
        <v>105</v>
      </c>
      <c r="B16" s="2"/>
      <c r="C16" s="2" t="s">
        <v>34</v>
      </c>
      <c r="D16" s="2"/>
      <c r="E16" s="2"/>
      <c r="F16" s="2"/>
    </row>
    <row r="17" spans="1:6" x14ac:dyDescent="0.25">
      <c r="A17" s="2"/>
      <c r="B17" s="2"/>
      <c r="C17" s="2" t="s">
        <v>35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P50"/>
  <sheetViews>
    <sheetView tabSelected="1" workbookViewId="0">
      <selection activeCell="G6" sqref="G6"/>
    </sheetView>
  </sheetViews>
  <sheetFormatPr defaultRowHeight="13.5" x14ac:dyDescent="0.25"/>
  <cols>
    <col min="1" max="2" width="9.140625" style="2"/>
    <col min="3" max="3" width="11.140625" style="2" customWidth="1"/>
    <col min="4" max="6" width="9.140625" style="2"/>
    <col min="7" max="7" width="11.85546875" style="2" customWidth="1"/>
    <col min="8" max="8" width="13.42578125" style="2" customWidth="1"/>
    <col min="9" max="9" width="11.85546875" style="2" customWidth="1"/>
    <col min="10" max="10" width="11.140625" style="2" customWidth="1"/>
    <col min="11" max="11" width="10.85546875" style="2" customWidth="1"/>
    <col min="12" max="13" width="9.140625" style="2"/>
    <col min="14" max="14" width="13.42578125" style="2" customWidth="1"/>
    <col min="15" max="16384" width="9.140625" style="2"/>
  </cols>
  <sheetData>
    <row r="3" spans="2:13" x14ac:dyDescent="0.25">
      <c r="B3" s="68" t="s">
        <v>44</v>
      </c>
      <c r="C3" s="69"/>
      <c r="D3" s="69"/>
      <c r="E3" s="69"/>
      <c r="F3" s="69"/>
      <c r="G3" s="69"/>
      <c r="H3" s="69"/>
      <c r="I3" s="69"/>
    </row>
    <row r="4" spans="2:13" ht="57.75" customHeight="1" x14ac:dyDescent="0.25">
      <c r="B4" s="19" t="s">
        <v>25</v>
      </c>
      <c r="C4" s="20" t="s">
        <v>47</v>
      </c>
      <c r="D4" s="20" t="s">
        <v>48</v>
      </c>
      <c r="E4" s="20" t="s">
        <v>49</v>
      </c>
      <c r="F4" s="20" t="s">
        <v>73</v>
      </c>
      <c r="G4" s="20" t="s">
        <v>50</v>
      </c>
      <c r="H4" s="60" t="s">
        <v>98</v>
      </c>
      <c r="I4" s="20" t="s">
        <v>52</v>
      </c>
    </row>
    <row r="5" spans="2:13" x14ac:dyDescent="0.25">
      <c r="B5" s="6">
        <f>1</f>
        <v>1</v>
      </c>
      <c r="C5" s="21">
        <f>Annual_premium</f>
        <v>899.2</v>
      </c>
      <c r="D5" s="21">
        <f>Initial_expense+Initial_comm_rate*Annual_premium</f>
        <v>96.975999999999999</v>
      </c>
      <c r="E5" s="21">
        <f>Sum_Insured*VLOOKUP(Age+B5-1,IA95_97UltM,2)*Factor</f>
        <v>24.64</v>
      </c>
      <c r="F5" s="21">
        <f t="shared" ref="F5:F13" si="0">Sum_Insured*VLOOKUP(B5,surrender_factors,2)*VLOOKUP(B5,Decrement,6)</f>
        <v>0</v>
      </c>
      <c r="G5" s="21">
        <f>C5-D5-E5-F5</f>
        <v>777.58400000000006</v>
      </c>
      <c r="H5" s="21">
        <f>(C5-D5)*Investment_rate</f>
        <v>24.06672</v>
      </c>
      <c r="I5" s="21">
        <f>G5+H5</f>
        <v>801.65072000000009</v>
      </c>
      <c r="K5" s="30"/>
    </row>
    <row r="6" spans="2:13" x14ac:dyDescent="0.25">
      <c r="B6" s="6">
        <f>1+B5</f>
        <v>2</v>
      </c>
      <c r="C6" s="21">
        <f t="shared" ref="C6:C14" si="1">C5*VLOOKUP(B5,Decrement,8)</f>
        <v>762.43671552000012</v>
      </c>
      <c r="D6" s="21">
        <f t="shared" ref="D6:D14" si="2">Renewal_expense*(1+Inflation)^(B6-2)*VLOOKUP(B5,Decrement,7) + Renewal_comm_rate *C6</f>
        <v>65.268381465600001</v>
      </c>
      <c r="E6" s="21">
        <f t="shared" ref="E6:E13" si="3">Sum_Insured*VLOOKUP(Age+B6-1,IA95_97UltM,2)*Factor*VLOOKUP(B5,Decrement,7)</f>
        <v>23.325883056000002</v>
      </c>
      <c r="F6" s="21">
        <f t="shared" si="0"/>
        <v>93.613388124687035</v>
      </c>
      <c r="G6" s="21">
        <f t="shared" ref="G6:G14" si="4">C6-D6-E6-F6</f>
        <v>580.22906287371313</v>
      </c>
      <c r="H6" s="21">
        <f t="shared" ref="H6:H14" si="5">(I5+C6-D6)*Investment_rate</f>
        <v>44.964571621632011</v>
      </c>
      <c r="I6" s="21">
        <f>I5+G6+H6</f>
        <v>1426.8443544953454</v>
      </c>
      <c r="J6" s="8"/>
      <c r="K6" s="30"/>
    </row>
    <row r="7" spans="2:13" x14ac:dyDescent="0.25">
      <c r="B7" s="6">
        <f t="shared" ref="B7:B14" si="6">1+B6</f>
        <v>3</v>
      </c>
      <c r="C7" s="21">
        <f t="shared" si="1"/>
        <v>684.30532690404414</v>
      </c>
      <c r="D7" s="21">
        <f t="shared" si="2"/>
        <v>59.340961043894282</v>
      </c>
      <c r="E7" s="21">
        <f t="shared" si="3"/>
        <v>23.386012784432019</v>
      </c>
      <c r="F7" s="21">
        <f t="shared" si="0"/>
        <v>75.162141213052422</v>
      </c>
      <c r="G7" s="21">
        <f>C7-D7-E7-F7</f>
        <v>526.41621186266536</v>
      </c>
      <c r="H7" s="21">
        <f t="shared" si="5"/>
        <v>61.554261610664852</v>
      </c>
      <c r="I7" s="21">
        <f t="shared" ref="I7:I13" si="7">I6+G7+H7</f>
        <v>2014.8148279686754</v>
      </c>
      <c r="J7" s="8"/>
      <c r="K7" s="30"/>
    </row>
    <row r="8" spans="2:13" x14ac:dyDescent="0.25">
      <c r="B8" s="6">
        <f t="shared" si="6"/>
        <v>4</v>
      </c>
      <c r="C8" s="21">
        <f t="shared" si="1"/>
        <v>648.09233380274463</v>
      </c>
      <c r="D8" s="21">
        <f t="shared" si="2"/>
        <v>56.935834075935944</v>
      </c>
      <c r="E8" s="21">
        <f t="shared" si="3"/>
        <v>24.771945632562641</v>
      </c>
      <c r="F8" s="21">
        <f t="shared" si="0"/>
        <v>104.5148942772382</v>
      </c>
      <c r="G8" s="21">
        <f t="shared" si="4"/>
        <v>461.8696598170078</v>
      </c>
      <c r="H8" s="21">
        <f t="shared" si="5"/>
        <v>78.179139830864514</v>
      </c>
      <c r="I8" s="21">
        <f t="shared" si="7"/>
        <v>2554.863627616548</v>
      </c>
      <c r="J8" s="8"/>
      <c r="K8" s="30"/>
    </row>
    <row r="9" spans="2:13" x14ac:dyDescent="0.25">
      <c r="B9" s="6">
        <f t="shared" si="6"/>
        <v>5</v>
      </c>
      <c r="C9" s="21">
        <f t="shared" si="1"/>
        <v>613.57159842889143</v>
      </c>
      <c r="D9" s="21">
        <f t="shared" si="2"/>
        <v>54.613058141118898</v>
      </c>
      <c r="E9" s="21">
        <f t="shared" si="3"/>
        <v>26.318345808943878</v>
      </c>
      <c r="F9" s="21">
        <f t="shared" si="0"/>
        <v>132.48440484445263</v>
      </c>
      <c r="G9" s="21">
        <f t="shared" si="4"/>
        <v>400.15578963437605</v>
      </c>
      <c r="H9" s="21">
        <f t="shared" si="5"/>
        <v>93.414665037129609</v>
      </c>
      <c r="I9" s="21">
        <f t="shared" si="7"/>
        <v>3048.4340822880536</v>
      </c>
      <c r="J9" s="8"/>
      <c r="K9" s="30"/>
    </row>
    <row r="10" spans="2:13" x14ac:dyDescent="0.25">
      <c r="B10" s="6">
        <f t="shared" si="6"/>
        <v>6</v>
      </c>
      <c r="C10" s="21">
        <f t="shared" si="1"/>
        <v>580.64480013506363</v>
      </c>
      <c r="D10" s="21">
        <f t="shared" si="2"/>
        <v>52.36755381293564</v>
      </c>
      <c r="E10" s="21">
        <f t="shared" si="3"/>
        <v>28.024893600824903</v>
      </c>
      <c r="F10" s="21">
        <f t="shared" si="0"/>
        <v>159.16755619825821</v>
      </c>
      <c r="G10" s="21">
        <f t="shared" si="4"/>
        <v>341.08479652304493</v>
      </c>
      <c r="H10" s="21">
        <f t="shared" si="5"/>
        <v>107.30133985830544</v>
      </c>
      <c r="I10" s="21">
        <f t="shared" si="7"/>
        <v>3496.8202186694039</v>
      </c>
      <c r="J10" s="8"/>
      <c r="K10" s="30"/>
    </row>
    <row r="11" spans="2:13" x14ac:dyDescent="0.25">
      <c r="B11" s="6">
        <f t="shared" si="6"/>
        <v>7</v>
      </c>
      <c r="C11" s="21">
        <f t="shared" si="1"/>
        <v>549.21856161735354</v>
      </c>
      <c r="D11" s="21">
        <f t="shared" si="2"/>
        <v>50.194398854906069</v>
      </c>
      <c r="E11" s="21">
        <f t="shared" si="3"/>
        <v>29.928502579237446</v>
      </c>
      <c r="F11" s="21">
        <f t="shared" si="0"/>
        <v>184.72650116208141</v>
      </c>
      <c r="G11" s="21">
        <f t="shared" si="4"/>
        <v>284.36915902112867</v>
      </c>
      <c r="H11" s="21">
        <f t="shared" si="5"/>
        <v>119.87533144295553</v>
      </c>
      <c r="I11" s="21">
        <f t="shared" si="7"/>
        <v>3901.0647091334881</v>
      </c>
      <c r="J11" s="8"/>
      <c r="K11" s="30"/>
    </row>
    <row r="12" spans="2:13" x14ac:dyDescent="0.25">
      <c r="B12" s="6">
        <f t="shared" si="6"/>
        <v>8</v>
      </c>
      <c r="C12" s="21">
        <f t="shared" si="1"/>
        <v>519.20102113215717</v>
      </c>
      <c r="D12" s="21">
        <f t="shared" si="2"/>
        <v>48.08852385252171</v>
      </c>
      <c r="E12" s="21">
        <f t="shared" si="3"/>
        <v>32.011237334927465</v>
      </c>
      <c r="F12" s="21">
        <f t="shared" si="0"/>
        <v>209.23639139196968</v>
      </c>
      <c r="G12" s="21">
        <f t="shared" si="4"/>
        <v>229.86486855273836</v>
      </c>
      <c r="H12" s="21">
        <f t="shared" si="5"/>
        <v>131.1653161923937</v>
      </c>
      <c r="I12" s="21">
        <f t="shared" si="7"/>
        <v>4262.0948938786205</v>
      </c>
      <c r="J12" s="8"/>
      <c r="K12" s="30"/>
    </row>
    <row r="13" spans="2:13" x14ac:dyDescent="0.25">
      <c r="B13" s="6">
        <f t="shared" si="6"/>
        <v>9</v>
      </c>
      <c r="C13" s="21">
        <f t="shared" si="1"/>
        <v>490.50644213745045</v>
      </c>
      <c r="D13" s="21">
        <f t="shared" si="2"/>
        <v>46.045137657636062</v>
      </c>
      <c r="E13" s="21">
        <f t="shared" si="3"/>
        <v>34.251445175500997</v>
      </c>
      <c r="F13" s="21">
        <f t="shared" si="0"/>
        <v>232.83128317197153</v>
      </c>
      <c r="G13" s="21">
        <f t="shared" si="4"/>
        <v>177.37857613234186</v>
      </c>
      <c r="H13" s="21">
        <f t="shared" si="5"/>
        <v>141.19668595075305</v>
      </c>
      <c r="I13" s="21">
        <f t="shared" si="7"/>
        <v>4580.670155961715</v>
      </c>
      <c r="J13" s="8"/>
      <c r="K13" s="30"/>
      <c r="L13" s="22"/>
      <c r="M13" s="22"/>
    </row>
    <row r="14" spans="2:13" x14ac:dyDescent="0.25">
      <c r="B14" s="6">
        <f t="shared" si="6"/>
        <v>10</v>
      </c>
      <c r="C14" s="21">
        <f t="shared" si="1"/>
        <v>463.05522457790596</v>
      </c>
      <c r="D14" s="21">
        <f t="shared" si="2"/>
        <v>44.059750476150235</v>
      </c>
      <c r="E14" s="21">
        <f>Sum_Insured*VLOOKUP(B13,Decrement,7)</f>
        <v>5149.6355046475273</v>
      </c>
      <c r="F14" s="21"/>
      <c r="G14" s="21">
        <f t="shared" si="4"/>
        <v>-4730.6400305457719</v>
      </c>
      <c r="H14" s="21">
        <f t="shared" si="5"/>
        <v>149.98996890190412</v>
      </c>
      <c r="I14" s="21">
        <f>I13+G14+H14</f>
        <v>2.0094317847195953E-2</v>
      </c>
      <c r="J14" s="8"/>
      <c r="K14" s="30"/>
    </row>
    <row r="15" spans="2:13" x14ac:dyDescent="0.25">
      <c r="B15" s="42"/>
      <c r="C15" s="43"/>
      <c r="D15" s="43"/>
      <c r="E15" s="43"/>
      <c r="F15" s="43"/>
      <c r="G15" s="43"/>
      <c r="H15" s="43"/>
      <c r="I15" s="43"/>
      <c r="K15" s="30"/>
    </row>
    <row r="16" spans="2:13" x14ac:dyDescent="0.25">
      <c r="B16" s="42" t="s">
        <v>106</v>
      </c>
      <c r="C16" s="43"/>
      <c r="D16" s="43"/>
      <c r="E16" s="43"/>
      <c r="F16" s="43"/>
      <c r="G16" s="43"/>
      <c r="H16" s="43"/>
      <c r="I16" s="43"/>
      <c r="K16" s="30"/>
    </row>
    <row r="17" spans="2:16" ht="12.75" customHeight="1" x14ac:dyDescent="0.25">
      <c r="B17" s="2" t="s">
        <v>107</v>
      </c>
    </row>
    <row r="18" spans="2:16" ht="12.75" customHeight="1" x14ac:dyDescent="0.25">
      <c r="B18" s="2" t="s">
        <v>99</v>
      </c>
    </row>
    <row r="19" spans="2:16" ht="12.75" customHeight="1" x14ac:dyDescent="0.25">
      <c r="B19" s="2" t="s">
        <v>79</v>
      </c>
    </row>
    <row r="21" spans="2:16" ht="17.25" customHeight="1" x14ac:dyDescent="0.25">
      <c r="B21" s="68" t="s">
        <v>83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</row>
    <row r="22" spans="2:16" ht="55.5" customHeight="1" x14ac:dyDescent="0.25">
      <c r="B22" s="19" t="s">
        <v>25</v>
      </c>
      <c r="C22" s="20" t="s">
        <v>47</v>
      </c>
      <c r="D22" s="20" t="s">
        <v>48</v>
      </c>
      <c r="E22" s="20" t="s">
        <v>49</v>
      </c>
      <c r="F22" s="20" t="s">
        <v>73</v>
      </c>
      <c r="G22" s="20" t="s">
        <v>50</v>
      </c>
      <c r="H22" s="20" t="s">
        <v>51</v>
      </c>
      <c r="I22" s="20" t="s">
        <v>52</v>
      </c>
      <c r="J22" s="20" t="s">
        <v>53</v>
      </c>
      <c r="K22" s="20" t="s">
        <v>54</v>
      </c>
      <c r="L22" s="20" t="s">
        <v>55</v>
      </c>
      <c r="N22" s="20" t="s">
        <v>97</v>
      </c>
    </row>
    <row r="23" spans="2:16" x14ac:dyDescent="0.25">
      <c r="B23" s="23">
        <f>1</f>
        <v>1</v>
      </c>
      <c r="C23" s="24">
        <f>Annual_premium</f>
        <v>899.2</v>
      </c>
      <c r="D23" s="24">
        <f>Initial_expense+Initial_comm_rate*Annual_premium</f>
        <v>96.975999999999999</v>
      </c>
      <c r="E23" s="24">
        <f t="shared" ref="E23:F31" si="8">E5</f>
        <v>24.64</v>
      </c>
      <c r="F23" s="24">
        <f t="shared" si="8"/>
        <v>0</v>
      </c>
      <c r="G23" s="24">
        <f>C23-D23-E23-F23</f>
        <v>777.58400000000006</v>
      </c>
      <c r="H23" s="24">
        <f t="shared" ref="H23:H32" si="9">(C23-D23)*Val_int_rate</f>
        <v>16.04448</v>
      </c>
      <c r="I23" s="25">
        <f>G23+H23</f>
        <v>793.62848000000008</v>
      </c>
      <c r="J23" s="26">
        <f>'Liability calculation'!D6</f>
        <v>278.12682645878738</v>
      </c>
      <c r="K23" s="26">
        <f>(J23+C23-D23)*Val_int_rate</f>
        <v>21.607016529175745</v>
      </c>
      <c r="L23" s="26">
        <f>K23+J23+C23-D23-E23-F23</f>
        <v>1077.3178429879629</v>
      </c>
      <c r="M23" s="8"/>
      <c r="N23" s="26">
        <f>(J23+C23-D23)*Investment_rate</f>
        <v>32.410524793763614</v>
      </c>
      <c r="O23" s="78"/>
      <c r="P23" s="22"/>
    </row>
    <row r="24" spans="2:16" x14ac:dyDescent="0.25">
      <c r="B24" s="6">
        <f>1+B23</f>
        <v>2</v>
      </c>
      <c r="C24" s="21">
        <f t="shared" ref="C24:C32" si="10">C23*VLOOKUP(B23,Decrement,8)</f>
        <v>762.43671552000012</v>
      </c>
      <c r="D24" s="21">
        <f t="shared" ref="D24:D32" si="11">Renewal_expense*(1+Inflation)^(B24-2)*VLOOKUP(B23,Decrement,7) + Renewal_comm_rate*C24</f>
        <v>65.268381465600001</v>
      </c>
      <c r="E24" s="24">
        <f t="shared" si="8"/>
        <v>23.325883056000002</v>
      </c>
      <c r="F24" s="24">
        <f t="shared" si="8"/>
        <v>93.613388124687035</v>
      </c>
      <c r="G24" s="24">
        <f t="shared" ref="G24:G32" si="12">C24-D24-E24-F24</f>
        <v>580.22906287371313</v>
      </c>
      <c r="H24" s="24">
        <f>(I23+C24-D24)*Val_int_rate</f>
        <v>29.815936281088003</v>
      </c>
      <c r="I24" s="27">
        <f>I23+G24+H24</f>
        <v>1403.673479154801</v>
      </c>
      <c r="J24" s="10"/>
      <c r="K24" s="26">
        <f>(L23+C24-D24)*Val_int_rate</f>
        <v>35.489723540847258</v>
      </c>
      <c r="L24" s="10">
        <f>L23+C24-D24-E24+K24-F24</f>
        <v>1693.0366294025232</v>
      </c>
      <c r="M24" s="8"/>
      <c r="N24" s="26">
        <f t="shared" ref="N24:N32" si="13">(L23+C24-D24)*Investment_rate</f>
        <v>53.234585311270884</v>
      </c>
    </row>
    <row r="25" spans="2:16" x14ac:dyDescent="0.25">
      <c r="B25" s="6">
        <f t="shared" ref="B25:B32" si="14">1+B24</f>
        <v>3</v>
      </c>
      <c r="C25" s="21">
        <f t="shared" si="10"/>
        <v>684.30532690404414</v>
      </c>
      <c r="D25" s="21">
        <f t="shared" si="11"/>
        <v>59.340961043894282</v>
      </c>
      <c r="E25" s="24">
        <f t="shared" si="8"/>
        <v>23.386012784432019</v>
      </c>
      <c r="F25" s="24">
        <f t="shared" si="8"/>
        <v>75.162141213052422</v>
      </c>
      <c r="G25" s="24">
        <f t="shared" si="12"/>
        <v>526.41621186266536</v>
      </c>
      <c r="H25" s="24">
        <f>(I24+C25-D25)*Val_int_rate</f>
        <v>40.572756900299019</v>
      </c>
      <c r="I25" s="27">
        <f t="shared" ref="I25:I31" si="15">I24+G25+H25</f>
        <v>1970.6624479177656</v>
      </c>
      <c r="J25" s="10"/>
      <c r="K25" s="26">
        <f t="shared" ref="K25:K32" si="16">(L24+C25-D25)*Val_int_rate</f>
        <v>46.360019905253459</v>
      </c>
      <c r="L25" s="10">
        <f t="shared" ref="L25:L32" si="17">L24+C25-D25-E25+K25-F25</f>
        <v>2265.8128611704419</v>
      </c>
      <c r="M25" s="8"/>
      <c r="N25" s="26">
        <f t="shared" si="13"/>
        <v>69.540029857880185</v>
      </c>
    </row>
    <row r="26" spans="2:16" x14ac:dyDescent="0.25">
      <c r="B26" s="6">
        <f t="shared" si="14"/>
        <v>4</v>
      </c>
      <c r="C26" s="21">
        <f t="shared" si="10"/>
        <v>648.09233380274463</v>
      </c>
      <c r="D26" s="21">
        <f t="shared" si="11"/>
        <v>56.935834075935944</v>
      </c>
      <c r="E26" s="24">
        <f t="shared" si="8"/>
        <v>24.771945632562641</v>
      </c>
      <c r="F26" s="24">
        <f t="shared" si="8"/>
        <v>104.5148942772382</v>
      </c>
      <c r="G26" s="24">
        <f t="shared" si="12"/>
        <v>461.8696598170078</v>
      </c>
      <c r="H26" s="24">
        <f>(I25+C26-D26)*Val_int_rate</f>
        <v>51.236378952891492</v>
      </c>
      <c r="I26" s="27">
        <f t="shared" si="15"/>
        <v>2483.7684866876648</v>
      </c>
      <c r="J26" s="10"/>
      <c r="K26" s="26">
        <f t="shared" si="16"/>
        <v>57.139387217945014</v>
      </c>
      <c r="L26" s="10">
        <f t="shared" si="17"/>
        <v>2784.8219082053952</v>
      </c>
      <c r="M26" s="8"/>
      <c r="N26" s="26">
        <f t="shared" si="13"/>
        <v>85.709080826917514</v>
      </c>
    </row>
    <row r="27" spans="2:16" x14ac:dyDescent="0.25">
      <c r="B27" s="6">
        <f t="shared" si="14"/>
        <v>5</v>
      </c>
      <c r="C27" s="21">
        <f t="shared" si="10"/>
        <v>613.57159842889143</v>
      </c>
      <c r="D27" s="21">
        <f t="shared" si="11"/>
        <v>54.613058141118898</v>
      </c>
      <c r="E27" s="24">
        <f t="shared" si="8"/>
        <v>26.318345808943878</v>
      </c>
      <c r="F27" s="24">
        <f t="shared" si="8"/>
        <v>132.48440484445263</v>
      </c>
      <c r="G27" s="24">
        <f t="shared" si="12"/>
        <v>400.15578963437605</v>
      </c>
      <c r="H27" s="24">
        <f>(I26+C27-D27)*Val_int_rate</f>
        <v>60.854540539508747</v>
      </c>
      <c r="I27" s="27">
        <f t="shared" si="15"/>
        <v>2944.7788168615498</v>
      </c>
      <c r="J27" s="10"/>
      <c r="K27" s="26">
        <f t="shared" si="16"/>
        <v>66.87560896986335</v>
      </c>
      <c r="L27" s="10">
        <f t="shared" si="17"/>
        <v>3251.8533068096344</v>
      </c>
      <c r="M27" s="8"/>
      <c r="N27" s="26">
        <f t="shared" si="13"/>
        <v>100.31341345479503</v>
      </c>
    </row>
    <row r="28" spans="2:16" x14ac:dyDescent="0.25">
      <c r="B28" s="6">
        <f t="shared" si="14"/>
        <v>6</v>
      </c>
      <c r="C28" s="21">
        <f t="shared" si="10"/>
        <v>580.64480013506363</v>
      </c>
      <c r="D28" s="21">
        <f t="shared" si="11"/>
        <v>52.36755381293564</v>
      </c>
      <c r="E28" s="24">
        <f t="shared" si="8"/>
        <v>28.024893600824903</v>
      </c>
      <c r="F28" s="24">
        <f t="shared" si="8"/>
        <v>159.16755619825821</v>
      </c>
      <c r="G28" s="24">
        <f t="shared" si="12"/>
        <v>341.08479652304493</v>
      </c>
      <c r="H28" s="24">
        <f>(I27+C28-D28)*Val_int_rate</f>
        <v>69.461121263673562</v>
      </c>
      <c r="I28" s="27">
        <f t="shared" si="15"/>
        <v>3355.3247346482685</v>
      </c>
      <c r="J28" s="10"/>
      <c r="K28" s="26">
        <f t="shared" si="16"/>
        <v>75.602611062635248</v>
      </c>
      <c r="L28" s="10">
        <f t="shared" si="17"/>
        <v>3668.5407143953148</v>
      </c>
      <c r="M28" s="8"/>
      <c r="N28" s="26">
        <f t="shared" si="13"/>
        <v>113.40391659395287</v>
      </c>
    </row>
    <row r="29" spans="2:16" x14ac:dyDescent="0.25">
      <c r="B29" s="6">
        <f t="shared" si="14"/>
        <v>7</v>
      </c>
      <c r="C29" s="21">
        <f t="shared" si="10"/>
        <v>549.21856161735354</v>
      </c>
      <c r="D29" s="21">
        <f t="shared" si="11"/>
        <v>50.194398854906069</v>
      </c>
      <c r="E29" s="24">
        <f t="shared" si="8"/>
        <v>29.928502579237446</v>
      </c>
      <c r="F29" s="24">
        <f t="shared" si="8"/>
        <v>184.72650116208141</v>
      </c>
      <c r="G29" s="24">
        <f t="shared" si="12"/>
        <v>284.36915902112867</v>
      </c>
      <c r="H29" s="24">
        <f>(I28+C29-D29)*Val_int_rate</f>
        <v>77.086977948214326</v>
      </c>
      <c r="I29" s="27">
        <f t="shared" si="15"/>
        <v>3716.7808716176114</v>
      </c>
      <c r="J29" s="10"/>
      <c r="K29" s="26">
        <f t="shared" si="16"/>
        <v>83.351297543155241</v>
      </c>
      <c r="L29" s="10">
        <f t="shared" si="17"/>
        <v>4036.2611709595972</v>
      </c>
      <c r="M29" s="8"/>
      <c r="N29" s="26">
        <f t="shared" si="13"/>
        <v>125.02694631473284</v>
      </c>
    </row>
    <row r="30" spans="2:16" x14ac:dyDescent="0.25">
      <c r="B30" s="6">
        <f t="shared" si="14"/>
        <v>8</v>
      </c>
      <c r="C30" s="21">
        <f t="shared" si="10"/>
        <v>519.20102113215717</v>
      </c>
      <c r="D30" s="21">
        <f t="shared" si="11"/>
        <v>48.08852385252171</v>
      </c>
      <c r="E30" s="24">
        <f t="shared" si="8"/>
        <v>32.011237334927465</v>
      </c>
      <c r="F30" s="24">
        <f t="shared" si="8"/>
        <v>209.23639139196968</v>
      </c>
      <c r="G30" s="24">
        <f t="shared" si="12"/>
        <v>229.86486855273836</v>
      </c>
      <c r="H30" s="24">
        <f>(I29+C30-D30)*Val_int_rate</f>
        <v>83.757867377944947</v>
      </c>
      <c r="I30" s="27">
        <f t="shared" si="15"/>
        <v>4030.4036075482945</v>
      </c>
      <c r="J30" s="10"/>
      <c r="K30" s="26">
        <f t="shared" si="16"/>
        <v>90.147473364784659</v>
      </c>
      <c r="L30" s="10">
        <f t="shared" si="17"/>
        <v>4356.2735128771201</v>
      </c>
      <c r="M30" s="8"/>
      <c r="N30" s="26">
        <f t="shared" si="13"/>
        <v>135.22121004717698</v>
      </c>
    </row>
    <row r="31" spans="2:16" x14ac:dyDescent="0.25">
      <c r="B31" s="6">
        <f t="shared" si="14"/>
        <v>9</v>
      </c>
      <c r="C31" s="21">
        <f t="shared" si="10"/>
        <v>490.50644213745045</v>
      </c>
      <c r="D31" s="21">
        <f t="shared" si="11"/>
        <v>46.045137657636062</v>
      </c>
      <c r="E31" s="24">
        <f t="shared" si="8"/>
        <v>34.251445175500997</v>
      </c>
      <c r="F31" s="24">
        <f t="shared" si="8"/>
        <v>232.83128317197153</v>
      </c>
      <c r="G31" s="24">
        <f t="shared" si="12"/>
        <v>177.37857613234186</v>
      </c>
      <c r="H31" s="24">
        <f>(I30+C31-D31)*Val_int_rate</f>
        <v>89.497298240562174</v>
      </c>
      <c r="I31" s="27">
        <f t="shared" si="15"/>
        <v>4297.2794819211986</v>
      </c>
      <c r="J31" s="10"/>
      <c r="K31" s="26">
        <f t="shared" si="16"/>
        <v>96.014696347138695</v>
      </c>
      <c r="L31" s="10">
        <f t="shared" si="17"/>
        <v>4629.6667853566005</v>
      </c>
      <c r="M31" s="8"/>
      <c r="N31" s="26">
        <f t="shared" si="13"/>
        <v>144.02204452070802</v>
      </c>
    </row>
    <row r="32" spans="2:16" x14ac:dyDescent="0.25">
      <c r="B32" s="6">
        <f t="shared" si="14"/>
        <v>10</v>
      </c>
      <c r="C32" s="21">
        <f t="shared" si="10"/>
        <v>463.05522457790596</v>
      </c>
      <c r="D32" s="21">
        <f t="shared" si="11"/>
        <v>44.059750476150235</v>
      </c>
      <c r="E32" s="24">
        <f>E14</f>
        <v>5149.6355046475273</v>
      </c>
      <c r="F32" s="21"/>
      <c r="G32" s="24">
        <f t="shared" si="12"/>
        <v>-4730.6400305457719</v>
      </c>
      <c r="H32" s="24">
        <f>(I31+C32-D32)*Val_int_rate</f>
        <v>94.325499120459099</v>
      </c>
      <c r="I32" s="27">
        <f>I31+G32+H32</f>
        <v>-339.03504950411423</v>
      </c>
      <c r="J32" s="10"/>
      <c r="K32" s="26">
        <f t="shared" si="16"/>
        <v>100.97324518916714</v>
      </c>
      <c r="L32" s="10">
        <f t="shared" si="17"/>
        <v>-3.3395508580724709E-12</v>
      </c>
      <c r="M32" s="8"/>
      <c r="N32" s="26">
        <f t="shared" si="13"/>
        <v>151.4598677837507</v>
      </c>
    </row>
    <row r="33" spans="2:15" x14ac:dyDescent="0.25">
      <c r="J33" s="8"/>
    </row>
    <row r="34" spans="2:15" x14ac:dyDescent="0.25">
      <c r="B34" s="2" t="s">
        <v>45</v>
      </c>
    </row>
    <row r="37" spans="2:15" x14ac:dyDescent="0.25">
      <c r="B37" s="68" t="s">
        <v>85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</row>
    <row r="38" spans="2:15" ht="54" x14ac:dyDescent="0.25">
      <c r="B38" s="19" t="s">
        <v>25</v>
      </c>
      <c r="C38" s="20" t="s">
        <v>47</v>
      </c>
      <c r="D38" s="20" t="s">
        <v>48</v>
      </c>
      <c r="E38" s="20" t="s">
        <v>49</v>
      </c>
      <c r="F38" s="20" t="s">
        <v>73</v>
      </c>
      <c r="G38" s="20" t="s">
        <v>50</v>
      </c>
      <c r="H38" s="20" t="s">
        <v>51</v>
      </c>
      <c r="I38" s="20" t="s">
        <v>52</v>
      </c>
      <c r="J38" s="20" t="s">
        <v>53</v>
      </c>
      <c r="K38" s="20" t="s">
        <v>54</v>
      </c>
      <c r="L38" s="20" t="s">
        <v>55</v>
      </c>
    </row>
    <row r="39" spans="2:15" x14ac:dyDescent="0.25">
      <c r="B39" s="23">
        <f>1</f>
        <v>1</v>
      </c>
      <c r="C39" s="24">
        <f>Annual_premium</f>
        <v>899.2</v>
      </c>
      <c r="D39" s="24">
        <f>Initial_expense*(1+CB2_factor)+Initial_comm_rate*Annual_premium</f>
        <v>163.476</v>
      </c>
      <c r="E39" s="24">
        <f>E23</f>
        <v>24.64</v>
      </c>
      <c r="F39" s="24">
        <f>F23</f>
        <v>0</v>
      </c>
      <c r="G39" s="24">
        <f>C39-D39-E39-F39</f>
        <v>711.08400000000006</v>
      </c>
      <c r="H39" s="24">
        <f>(C39-D39)*Investment_rate</f>
        <v>22.071719999999999</v>
      </c>
      <c r="I39" s="25">
        <f>G39+H39</f>
        <v>733.15572000000009</v>
      </c>
      <c r="J39" s="26">
        <f>'Liability calculation'!F6</f>
        <v>329.53830405238875</v>
      </c>
      <c r="K39" s="26">
        <f>(J39+C39-D39)*Investment_rate</f>
        <v>31.957869121571655</v>
      </c>
      <c r="L39" s="26">
        <f>K39+J39+C39-D39-E39</f>
        <v>1072.5801731739605</v>
      </c>
      <c r="M39" s="29"/>
      <c r="N39" s="30"/>
      <c r="O39" s="30"/>
    </row>
    <row r="40" spans="2:15" x14ac:dyDescent="0.25">
      <c r="B40" s="6">
        <f>1+B39</f>
        <v>2</v>
      </c>
      <c r="C40" s="21">
        <f t="shared" ref="C40:C48" si="18">C39*VLOOKUP(B39,Decrement,8)</f>
        <v>762.43671552000012</v>
      </c>
      <c r="D40" s="21">
        <f t="shared" ref="D40:D48" si="19">Renewal_expense*(1+Inflation)^(B40-2)*(1+CB2_factor) *VLOOKUP(B39,Decrement,7)+ Renewal_comm_rate*C40</f>
        <v>105.54389746560001</v>
      </c>
      <c r="E40" s="24">
        <f t="shared" ref="E40:F40" si="20">E24</f>
        <v>23.325883056000002</v>
      </c>
      <c r="F40" s="24">
        <f t="shared" si="20"/>
        <v>93.613388124687035</v>
      </c>
      <c r="G40" s="24">
        <f>C40-D40-E40-F40</f>
        <v>539.95354687371309</v>
      </c>
      <c r="H40" s="21">
        <f t="shared" ref="H40:H48" si="21">(I39+C40-D40)*Investment_rate</f>
        <v>41.701456141632008</v>
      </c>
      <c r="I40" s="27">
        <f>I39+G40+H40</f>
        <v>1314.8107230153453</v>
      </c>
      <c r="J40" s="10"/>
      <c r="K40" s="10">
        <f t="shared" ref="K40:K48" si="22">(L39+C40-D40)*Investment_rate</f>
        <v>51.884189736850814</v>
      </c>
      <c r="L40" s="44">
        <f>L39+C40-D40-E40 - F40+K40</f>
        <v>1664.4179097845245</v>
      </c>
      <c r="M40" s="29"/>
      <c r="N40" s="30"/>
      <c r="O40" s="30"/>
    </row>
    <row r="41" spans="2:15" x14ac:dyDescent="0.25">
      <c r="B41" s="6">
        <f t="shared" ref="B41:B48" si="23">1+B40</f>
        <v>3</v>
      </c>
      <c r="C41" s="21">
        <f t="shared" si="18"/>
        <v>684.30532690404414</v>
      </c>
      <c r="D41" s="21">
        <f t="shared" si="19"/>
        <v>96.212172218828584</v>
      </c>
      <c r="E41" s="24">
        <f t="shared" ref="E41:F41" si="24">E25</f>
        <v>23.386012784432019</v>
      </c>
      <c r="F41" s="24">
        <f t="shared" si="24"/>
        <v>75.162141213052422</v>
      </c>
      <c r="G41" s="24">
        <f t="shared" ref="G41:G48" si="25">C41-D41-E41-F41</f>
        <v>489.54500068773098</v>
      </c>
      <c r="H41" s="21">
        <f>(I40+C41-D41)*Investment_rate</f>
        <v>57.087116331016823</v>
      </c>
      <c r="I41" s="27">
        <f t="shared" ref="I41:I47" si="26">I40+G41+H41</f>
        <v>1861.4428400340933</v>
      </c>
      <c r="J41" s="10"/>
      <c r="K41" s="10">
        <f t="shared" si="22"/>
        <v>67.575331934092205</v>
      </c>
      <c r="L41" s="44">
        <f t="shared" ref="L41:L48" si="27">L40+C41-D41-E41 - F41+K41</f>
        <v>2221.5382424063478</v>
      </c>
      <c r="M41" s="29"/>
      <c r="N41" s="30"/>
      <c r="O41" s="30"/>
    </row>
    <row r="42" spans="2:15" x14ac:dyDescent="0.25">
      <c r="B42" s="6">
        <f t="shared" si="23"/>
        <v>4</v>
      </c>
      <c r="C42" s="21">
        <f t="shared" si="18"/>
        <v>648.09233380274463</v>
      </c>
      <c r="D42" s="21">
        <f t="shared" si="19"/>
        <v>92.554244934696882</v>
      </c>
      <c r="E42" s="24">
        <f t="shared" ref="E42:F42" si="28">E26</f>
        <v>24.771945632562641</v>
      </c>
      <c r="F42" s="24">
        <f t="shared" si="28"/>
        <v>104.5148942772382</v>
      </c>
      <c r="G42" s="24">
        <f t="shared" si="25"/>
        <v>426.25124895824695</v>
      </c>
      <c r="H42" s="21">
        <f t="shared" si="21"/>
        <v>72.509427867064232</v>
      </c>
      <c r="I42" s="27">
        <f t="shared" si="26"/>
        <v>2360.2035168594048</v>
      </c>
      <c r="J42" s="10"/>
      <c r="K42" s="10">
        <f t="shared" si="22"/>
        <v>83.312289938231871</v>
      </c>
      <c r="L42" s="44">
        <f t="shared" si="27"/>
        <v>2731.101781302827</v>
      </c>
      <c r="M42" s="29"/>
      <c r="N42" s="30"/>
      <c r="O42" s="30"/>
    </row>
    <row r="43" spans="2:15" x14ac:dyDescent="0.25">
      <c r="B43" s="6">
        <f t="shared" si="23"/>
        <v>5</v>
      </c>
      <c r="C43" s="21">
        <f t="shared" si="18"/>
        <v>613.57159842889143</v>
      </c>
      <c r="D43" s="21">
        <f t="shared" si="19"/>
        <v>89.008672819958434</v>
      </c>
      <c r="E43" s="24">
        <f t="shared" ref="E43:F43" si="29">E27</f>
        <v>26.318345808943878</v>
      </c>
      <c r="F43" s="24">
        <f t="shared" si="29"/>
        <v>132.48440484445263</v>
      </c>
      <c r="G43" s="24">
        <f t="shared" si="25"/>
        <v>365.76017495553651</v>
      </c>
      <c r="H43" s="21">
        <f t="shared" si="21"/>
        <v>86.542993274050119</v>
      </c>
      <c r="I43" s="27">
        <f t="shared" si="26"/>
        <v>2812.5066850889916</v>
      </c>
      <c r="J43" s="10"/>
      <c r="K43" s="10">
        <f t="shared" si="22"/>
        <v>97.669941207352792</v>
      </c>
      <c r="L43" s="44">
        <f t="shared" si="27"/>
        <v>3194.5318974657162</v>
      </c>
      <c r="M43" s="29"/>
      <c r="N43" s="30"/>
      <c r="O43" s="30"/>
    </row>
    <row r="44" spans="2:15" x14ac:dyDescent="0.25">
      <c r="B44" s="6">
        <f t="shared" si="23"/>
        <v>6</v>
      </c>
      <c r="C44" s="21">
        <f t="shared" si="18"/>
        <v>580.64480013506363</v>
      </c>
      <c r="D44" s="21">
        <f t="shared" si="19"/>
        <v>85.568353131375176</v>
      </c>
      <c r="E44" s="24">
        <f t="shared" ref="E44:F44" si="30">E28</f>
        <v>28.024893600824903</v>
      </c>
      <c r="F44" s="24">
        <f t="shared" si="30"/>
        <v>159.16755619825821</v>
      </c>
      <c r="G44" s="24">
        <f t="shared" si="25"/>
        <v>307.88399720460541</v>
      </c>
      <c r="H44" s="21">
        <f t="shared" si="21"/>
        <v>99.2274939627804</v>
      </c>
      <c r="I44" s="27">
        <f t="shared" si="26"/>
        <v>3219.6181762563774</v>
      </c>
      <c r="J44" s="10"/>
      <c r="K44" s="10">
        <f t="shared" si="22"/>
        <v>110.68825033408213</v>
      </c>
      <c r="L44" s="44">
        <f t="shared" si="27"/>
        <v>3613.1041450044036</v>
      </c>
      <c r="M44" s="29"/>
      <c r="N44" s="30"/>
      <c r="O44" s="30"/>
    </row>
    <row r="45" spans="2:15" x14ac:dyDescent="0.25">
      <c r="B45" s="6">
        <f t="shared" si="23"/>
        <v>7</v>
      </c>
      <c r="C45" s="21">
        <f t="shared" si="18"/>
        <v>549.21856161735354</v>
      </c>
      <c r="D45" s="21">
        <f t="shared" si="19"/>
        <v>82.226348760972243</v>
      </c>
      <c r="E45" s="24">
        <f t="shared" ref="E45:F45" si="31">E29</f>
        <v>29.928502579237446</v>
      </c>
      <c r="F45" s="24">
        <f t="shared" si="31"/>
        <v>184.72650116208141</v>
      </c>
      <c r="G45" s="24">
        <f t="shared" si="25"/>
        <v>252.33720911506245</v>
      </c>
      <c r="H45" s="21">
        <f t="shared" si="21"/>
        <v>110.59831167338277</v>
      </c>
      <c r="I45" s="27">
        <f t="shared" si="26"/>
        <v>3582.5536970448225</v>
      </c>
      <c r="J45" s="10"/>
      <c r="K45" s="10">
        <f t="shared" si="22"/>
        <v>122.40289073582353</v>
      </c>
      <c r="L45" s="44">
        <f t="shared" si="27"/>
        <v>3987.8442448552892</v>
      </c>
      <c r="M45" s="29"/>
      <c r="N45" s="30"/>
      <c r="O45" s="30"/>
    </row>
    <row r="46" spans="2:15" x14ac:dyDescent="0.25">
      <c r="B46" s="6">
        <f t="shared" si="23"/>
        <v>8</v>
      </c>
      <c r="C46" s="21">
        <f t="shared" si="18"/>
        <v>519.20102113215717</v>
      </c>
      <c r="D46" s="21">
        <f t="shared" si="19"/>
        <v>78.97539241015086</v>
      </c>
      <c r="E46" s="24">
        <f t="shared" ref="E46:F46" si="32">E30</f>
        <v>32.011237334927465</v>
      </c>
      <c r="F46" s="24">
        <f t="shared" si="32"/>
        <v>209.23639139196968</v>
      </c>
      <c r="G46" s="24">
        <f t="shared" si="25"/>
        <v>198.9779999951092</v>
      </c>
      <c r="H46" s="21">
        <f t="shared" si="21"/>
        <v>120.68337977300486</v>
      </c>
      <c r="I46" s="27">
        <f t="shared" si="26"/>
        <v>3902.2150768129368</v>
      </c>
      <c r="J46" s="10"/>
      <c r="K46" s="10">
        <f t="shared" si="22"/>
        <v>132.84209620731886</v>
      </c>
      <c r="L46" s="44">
        <f t="shared" si="27"/>
        <v>4319.6643410577171</v>
      </c>
      <c r="M46" s="29"/>
      <c r="N46" s="30"/>
      <c r="O46" s="30"/>
    </row>
    <row r="47" spans="2:15" x14ac:dyDescent="0.25">
      <c r="B47" s="6">
        <f t="shared" si="23"/>
        <v>9</v>
      </c>
      <c r="C47" s="21">
        <f t="shared" si="18"/>
        <v>490.50644213745045</v>
      </c>
      <c r="D47" s="21">
        <f t="shared" si="19"/>
        <v>75.808584831472984</v>
      </c>
      <c r="E47" s="24">
        <f t="shared" ref="E47:F47" si="33">E31</f>
        <v>34.251445175500997</v>
      </c>
      <c r="F47" s="24">
        <f t="shared" si="33"/>
        <v>232.83128317197153</v>
      </c>
      <c r="G47" s="24">
        <f t="shared" si="25"/>
        <v>147.61512895850493</v>
      </c>
      <c r="H47" s="21">
        <f t="shared" si="21"/>
        <v>129.50738802356744</v>
      </c>
      <c r="I47" s="27">
        <f t="shared" si="26"/>
        <v>4179.3375937950095</v>
      </c>
      <c r="J47" s="10"/>
      <c r="K47" s="10">
        <f t="shared" si="22"/>
        <v>142.03086595091085</v>
      </c>
      <c r="L47" s="44">
        <f t="shared" si="27"/>
        <v>4609.3103359671331</v>
      </c>
      <c r="M47" s="29"/>
      <c r="N47" s="30"/>
      <c r="O47" s="30"/>
    </row>
    <row r="48" spans="2:15" x14ac:dyDescent="0.25">
      <c r="B48" s="6">
        <f t="shared" si="23"/>
        <v>10</v>
      </c>
      <c r="C48" s="21">
        <f t="shared" si="18"/>
        <v>463.05522457790596</v>
      </c>
      <c r="D48" s="21">
        <f t="shared" si="19"/>
        <v>72.719439528022633</v>
      </c>
      <c r="E48" s="24">
        <f t="shared" ref="E48:F48" si="34">E32</f>
        <v>5149.6355046475273</v>
      </c>
      <c r="F48" s="24">
        <f t="shared" si="34"/>
        <v>0</v>
      </c>
      <c r="G48" s="24">
        <f t="shared" si="25"/>
        <v>-4759.2997195976441</v>
      </c>
      <c r="H48" s="21">
        <f t="shared" si="21"/>
        <v>137.09020136534679</v>
      </c>
      <c r="I48" s="27">
        <f>I47+G48+H48</f>
        <v>-442.87192443728776</v>
      </c>
      <c r="J48" s="10"/>
      <c r="K48" s="10">
        <f t="shared" si="22"/>
        <v>149.98938363051047</v>
      </c>
      <c r="L48" s="44">
        <f t="shared" si="27"/>
        <v>-4.5474735088646412E-13</v>
      </c>
      <c r="M48" s="29"/>
      <c r="N48" s="30"/>
      <c r="O48" s="30"/>
    </row>
    <row r="50" spans="2:2" x14ac:dyDescent="0.25">
      <c r="B50" s="2" t="s">
        <v>69</v>
      </c>
    </row>
  </sheetData>
  <mergeCells count="3">
    <mergeCell ref="B3:I3"/>
    <mergeCell ref="B21:L21"/>
    <mergeCell ref="B37:L3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workbookViewId="0">
      <selection activeCell="E7" sqref="E7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" style="2" customWidth="1"/>
    <col min="5" max="5" width="13.42578125" style="2" customWidth="1"/>
    <col min="6" max="6" width="11.5703125" style="2" customWidth="1"/>
    <col min="7" max="7" width="12.140625" style="2" customWidth="1"/>
    <col min="8" max="8" width="9.140625" style="2"/>
    <col min="9" max="10" width="9.7109375" style="2" bestFit="1" customWidth="1"/>
    <col min="11" max="16384" width="9.140625" style="2"/>
  </cols>
  <sheetData>
    <row r="1" spans="1:11" ht="15" x14ac:dyDescent="0.25">
      <c r="A1" s="1" t="s">
        <v>96</v>
      </c>
    </row>
    <row r="4" spans="1:11" x14ac:dyDescent="0.25">
      <c r="A4" s="71" t="s">
        <v>78</v>
      </c>
      <c r="B4" s="70" t="s">
        <v>43</v>
      </c>
      <c r="C4" s="70"/>
      <c r="D4" s="70" t="s">
        <v>38</v>
      </c>
      <c r="E4" s="70"/>
      <c r="F4" s="11" t="s">
        <v>39</v>
      </c>
      <c r="G4" s="11"/>
    </row>
    <row r="5" spans="1:11" x14ac:dyDescent="0.25">
      <c r="A5" s="72"/>
      <c r="B5" s="5" t="s">
        <v>41</v>
      </c>
      <c r="C5" s="5" t="s">
        <v>42</v>
      </c>
      <c r="D5" s="5" t="s">
        <v>41</v>
      </c>
      <c r="E5" s="5" t="s">
        <v>42</v>
      </c>
      <c r="F5" s="5" t="s">
        <v>46</v>
      </c>
      <c r="G5" s="5" t="s">
        <v>42</v>
      </c>
    </row>
    <row r="6" spans="1:11" x14ac:dyDescent="0.25">
      <c r="A6" s="9">
        <v>0</v>
      </c>
      <c r="B6" s="10">
        <f>(B7+'Cash flows'!E5 + 'Cash flows'!F5)/(1+Discount_rate)-'Cash flows'!C5+'Cash flows'!D5</f>
        <v>-1.4952059637607817E-2</v>
      </c>
      <c r="C6" s="10">
        <f>0-B6</f>
        <v>1.4952059637607817E-2</v>
      </c>
      <c r="D6" s="10">
        <f>(D7+'Cash flows'!E23 +'Cash flows'!F23)/(1+Val_disc_rate)-'Cash flows'!C23+'Cash flows'!D23</f>
        <v>278.12682645878738</v>
      </c>
      <c r="E6" s="10">
        <f>-D6</f>
        <v>-278.12682645878738</v>
      </c>
      <c r="F6" s="10">
        <f>(F7+'Cash flows'!E39 +'Cash flows'!F39)/(1+Discount_rate)-'Cash flows'!C39+'Cash flows'!D39</f>
        <v>329.53830405238875</v>
      </c>
      <c r="G6" s="10">
        <f>-F6</f>
        <v>-329.53830405238875</v>
      </c>
      <c r="H6" s="28"/>
      <c r="I6" s="28"/>
      <c r="J6" s="28"/>
      <c r="K6" s="28"/>
    </row>
    <row r="7" spans="1:11" x14ac:dyDescent="0.25">
      <c r="A7" s="9">
        <f>1+A6</f>
        <v>1</v>
      </c>
      <c r="B7" s="10">
        <f>(B8+'Cash flows'!E6 + 'Cash flows'!F6)/(1+Discount_rate)-'Cash flows'!C6+'Cash flows'!D6</f>
        <v>801.6353193785734</v>
      </c>
      <c r="C7" s="10">
        <f>'Cash flows'!G5 +'Cash flows'!H5 -('Liability calculation'!B7-'Liability calculation'!B6)</f>
        <v>4.4856178908503352E-4</v>
      </c>
      <c r="D7" s="10">
        <f>(D8+'Cash flows'!E24 +'Cash flows'!F24)/(1+Val_disc_rate)-'Cash flows'!C24+'Cash flows'!D24</f>
        <v>1077.3178429879631</v>
      </c>
      <c r="E7" s="10">
        <f>'Cash flows'!G5 +'Cash flows'!K23 * Investment_rate / Val_disc_rate -('Liability calculation'!D7-'Liability calculation'!D6)</f>
        <v>10.803508264588004</v>
      </c>
      <c r="F7" s="10">
        <f>(F8+'Cash flows'!E40 +'Cash flows'!F40)/(1+Discount_rate)-'Cash flows'!C40+'Cash flows'!D40</f>
        <v>1072.5801731739605</v>
      </c>
      <c r="G7" s="10">
        <f>'Cash flows'!G5+'Cash flows'!K39-('Liability calculation'!F7-'Liability calculation'!F6) +('Cash flows'!D39-'Cash flows'!D5)*Investment_rate</f>
        <v>68.495000000000005</v>
      </c>
      <c r="I7" s="28"/>
    </row>
    <row r="8" spans="1:11" x14ac:dyDescent="0.25">
      <c r="A8" s="9">
        <f t="shared" ref="A8:A16" si="0">1+A7</f>
        <v>2</v>
      </c>
      <c r="B8" s="10">
        <f>(B9+'Cash flows'!E7 + 'Cash flows'!F7)/(1+Discount_rate)-'Cash flows'!C7+'Cash flows'!D7</f>
        <v>1426.8284918552758</v>
      </c>
      <c r="C8" s="10">
        <f>'Cash flows'!G6 +'Cash flows'!H6 -('Liability calculation'!B8-'Liability calculation'!B7)</f>
        <v>4.6201864267914061E-4</v>
      </c>
      <c r="D8" s="10">
        <f>(D9+'Cash flows'!E25 +'Cash flows'!F25)/(1+Val_disc_rate)-'Cash flows'!C25+'Cash flows'!D25</f>
        <v>1693.0366294025234</v>
      </c>
      <c r="E8" s="10">
        <f>'Cash flows'!G6 +'Cash flows'!K24 * Investment_rate / Val_disc_rate -('Liability calculation'!D8-'Liability calculation'!D7)</f>
        <v>17.744861770423654</v>
      </c>
      <c r="F8" s="10">
        <f>(F9+'Cash flows'!E41 +'Cash flows'!F41)/(1+Discount_rate)-'Cash flows'!C41+'Cash flows'!D41</f>
        <v>1664.4179097845245</v>
      </c>
      <c r="G8" s="10">
        <f>'Cash flows'!G6+'Cash flows'!K40-('Liability calculation'!F8-'Liability calculation'!F7) +('Cash flows'!D40-'Cash flows'!D6)*Investment_rate</f>
        <v>41.483781479999926</v>
      </c>
    </row>
    <row r="9" spans="1:11" x14ac:dyDescent="0.25">
      <c r="A9" s="9">
        <f t="shared" si="0"/>
        <v>3</v>
      </c>
      <c r="B9" s="10">
        <f>(B10+'Cash flows'!E8 + 'Cash flows'!F8)/(1+Discount_rate)-'Cash flows'!C8+'Cash flows'!D8</f>
        <v>2014.7984894494043</v>
      </c>
      <c r="C9" s="10">
        <f>'Cash flows'!G7 +'Cash flows'!H7 -('Liability calculation'!B9-'Liability calculation'!B8)</f>
        <v>4.7587920175828913E-4</v>
      </c>
      <c r="D9" s="10">
        <f>(D10+'Cash flows'!E26 +'Cash flows'!F26)/(1+Val_disc_rate)-'Cash flows'!C26+'Cash flows'!D26</f>
        <v>2265.8128611704424</v>
      </c>
      <c r="E9" s="10">
        <f>'Cash flows'!G7 +'Cash flows'!K25 * Investment_rate / Val_disc_rate -('Liability calculation'!D9-'Liability calculation'!D8)</f>
        <v>23.180009952626619</v>
      </c>
      <c r="F9" s="10">
        <f>(F10+'Cash flows'!E42 +'Cash flows'!F42)/(1+Discount_rate)-'Cash flows'!C42+'Cash flows'!D42</f>
        <v>2221.5382424063482</v>
      </c>
      <c r="G9" s="10">
        <f>'Cash flows'!G7+'Cash flows'!K41-('Liability calculation'!F9-'Liability calculation'!F8) +('Cash flows'!D41-'Cash flows'!D7)*Investment_rate</f>
        <v>37.977347510181851</v>
      </c>
    </row>
    <row r="10" spans="1:11" x14ac:dyDescent="0.25">
      <c r="A10" s="9">
        <f t="shared" si="0"/>
        <v>4</v>
      </c>
      <c r="B10" s="10">
        <f>(B11+'Cash flows'!E9 + 'Cash flows'!F9)/(1+Discount_rate)-'Cash flows'!C9+'Cash flows'!D9</f>
        <v>2554.846798941699</v>
      </c>
      <c r="C10" s="10">
        <f>'Cash flows'!G8 +'Cash flows'!H8 -('Liability calculation'!B10-'Liability calculation'!B9)</f>
        <v>4.9015557760867523E-4</v>
      </c>
      <c r="D10" s="10">
        <f>(D11+'Cash flows'!E27 +'Cash flows'!F27)/(1+Val_disc_rate)-'Cash flows'!C27+'Cash flows'!D27</f>
        <v>2784.8219082053956</v>
      </c>
      <c r="E10" s="10">
        <f>'Cash flows'!G8 +'Cash flows'!K26 * Investment_rate / Val_disc_rate -('Liability calculation'!D10-'Liability calculation'!D9)</f>
        <v>28.569693608972102</v>
      </c>
      <c r="F10" s="10">
        <f>(F11+'Cash flows'!E43 +'Cash flows'!F43)/(1+Discount_rate)-'Cash flows'!C43+'Cash flows'!D43</f>
        <v>2731.1017813028275</v>
      </c>
      <c r="G10" s="10">
        <f>'Cash flows'!G8+'Cash flows'!K42-('Liability calculation'!F10-'Liability calculation'!F9) +('Cash flows'!D42-'Cash flows'!D8)*Investment_rate</f>
        <v>36.686963184523229</v>
      </c>
    </row>
    <row r="11" spans="1:11" x14ac:dyDescent="0.25">
      <c r="A11" s="9">
        <f t="shared" si="0"/>
        <v>5</v>
      </c>
      <c r="B11" s="10">
        <f>(B12+'Cash flows'!E10 + 'Cash flows'!F10)/(1+Discount_rate)-'Cash flows'!C10+'Cash flows'!D10</f>
        <v>3048.4167487529594</v>
      </c>
      <c r="C11" s="10">
        <f>'Cash flows'!G9 +'Cash flows'!H9 -('Liability calculation'!B11-'Liability calculation'!B10)</f>
        <v>5.0486024531437579E-4</v>
      </c>
      <c r="D11" s="10">
        <f>(D12+'Cash flows'!E28 +'Cash flows'!F28)/(1+Val_disc_rate)-'Cash flows'!C28+'Cash flows'!D28</f>
        <v>3251.8533068096353</v>
      </c>
      <c r="E11" s="10">
        <f>'Cash flows'!G9 +'Cash flows'!K27 * Investment_rate / Val_disc_rate -('Liability calculation'!D11-'Liability calculation'!D10)</f>
        <v>33.437804484931348</v>
      </c>
      <c r="F11" s="10">
        <f>(F12+'Cash flows'!E44 +'Cash flows'!F44)/(1+Discount_rate)-'Cash flows'!C44+'Cash flows'!D44</f>
        <v>3194.5318974657171</v>
      </c>
      <c r="G11" s="10">
        <f>'Cash flows'!G9+'Cash flows'!K43-('Liability calculation'!F11-'Liability calculation'!F10) +('Cash flows'!D43-'Cash flows'!D9)*Investment_rate</f>
        <v>35.427483119204439</v>
      </c>
    </row>
    <row r="12" spans="1:11" x14ac:dyDescent="0.25">
      <c r="A12" s="9">
        <f t="shared" si="0"/>
        <v>6</v>
      </c>
      <c r="B12" s="10">
        <f>(B13+'Cash flows'!E11 + 'Cash flows'!F11)/(1+Discount_rate)-'Cash flows'!C11+'Cash flows'!D11</f>
        <v>3496.802365128257</v>
      </c>
      <c r="C12" s="10">
        <f>'Cash flows'!G10 +'Cash flows'!H10 -('Liability calculation'!B12-'Liability calculation'!B11)</f>
        <v>5.2000605279545198E-4</v>
      </c>
      <c r="D12" s="10">
        <f>(D13+'Cash flows'!E29 +'Cash flows'!F29)/(1+Val_disc_rate)-'Cash flows'!C29+'Cash flows'!D29</f>
        <v>3668.5407143953157</v>
      </c>
      <c r="E12" s="10">
        <f>'Cash flows'!G10 +'Cash flows'!K28 * Investment_rate / Val_disc_rate -('Liability calculation'!D12-'Liability calculation'!D11)</f>
        <v>37.801305531317439</v>
      </c>
      <c r="F12" s="10">
        <f>(F13+'Cash flows'!E45 +'Cash flows'!F45)/(1+Discount_rate)-'Cash flows'!C45+'Cash flows'!D45</f>
        <v>3613.1041450044045</v>
      </c>
      <c r="G12" s="10">
        <f>'Cash flows'!G10+'Cash flows'!K44-('Liability calculation'!F12-'Liability calculation'!F11) +('Cash flows'!D44-'Cash flows'!D10)*Investment_rate</f>
        <v>34.196823297992822</v>
      </c>
    </row>
    <row r="13" spans="1:11" x14ac:dyDescent="0.25">
      <c r="A13" s="9">
        <f t="shared" si="0"/>
        <v>7</v>
      </c>
      <c r="B13" s="10">
        <f>(B14+'Cash flows'!E12 + 'Cash flows'!F12)/(1+Discount_rate)-'Cash flows'!C12+'Cash flows'!D12</f>
        <v>3901.0463199861074</v>
      </c>
      <c r="C13" s="10">
        <f>'Cash flows'!G11 +'Cash flows'!H11 -('Liability calculation'!B13-'Liability calculation'!B12)</f>
        <v>5.3560623376824879E-4</v>
      </c>
      <c r="D13" s="10">
        <f>(D14+'Cash flows'!E30 +'Cash flows'!F30)/(1+Val_disc_rate)-'Cash flows'!C30+'Cash flows'!D30</f>
        <v>4036.2611709595999</v>
      </c>
      <c r="E13" s="10">
        <f>'Cash flows'!G11 +'Cash flows'!K29 * Investment_rate / Val_disc_rate -('Liability calculation'!D13-'Liability calculation'!D12)</f>
        <v>41.675648771577357</v>
      </c>
      <c r="F13" s="10">
        <f>(F14+'Cash flows'!E46 +'Cash flows'!F46)/(1+Discount_rate)-'Cash flows'!C46+'Cash flows'!D46</f>
        <v>3987.8442448552905</v>
      </c>
      <c r="G13" s="10">
        <f>'Cash flows'!G11+'Cash flows'!K45-('Liability calculation'!F13-'Liability calculation'!F12) +('Cash flows'!D45-'Cash flows'!D11)*Investment_rate</f>
        <v>32.992908403248116</v>
      </c>
    </row>
    <row r="14" spans="1:11" x14ac:dyDescent="0.25">
      <c r="A14" s="9">
        <f t="shared" si="0"/>
        <v>8</v>
      </c>
      <c r="B14" s="10">
        <f>(B15+'Cash flows'!E13 + 'Cash flows'!F13)/(1+Discount_rate)-'Cash flows'!C13+'Cash flows'!D13</f>
        <v>4262.0759530568184</v>
      </c>
      <c r="C14" s="10">
        <f>'Cash flows'!G12 +'Cash flows'!H12 -('Liability calculation'!B14-'Liability calculation'!B13)</f>
        <v>5.516744209899116E-4</v>
      </c>
      <c r="D14" s="10">
        <f>(D15+'Cash flows'!E31 +'Cash flows'!F31)/(1+Val_disc_rate)-'Cash flows'!C31+'Cash flows'!D31</f>
        <v>4356.2735128771228</v>
      </c>
      <c r="E14" s="10">
        <f>'Cash flows'!G12 +'Cash flows'!K30 * Investment_rate / Val_disc_rate -('Liability calculation'!D14-'Liability calculation'!D13)</f>
        <v>45.07373668239245</v>
      </c>
      <c r="F14" s="10">
        <f>(F15+'Cash flows'!E47 +'Cash flows'!F47)/(1+Discount_rate)-'Cash flows'!C47+'Cash flows'!D47</f>
        <v>4319.664341057718</v>
      </c>
      <c r="G14" s="10">
        <f>'Cash flows'!G12+'Cash flows'!K46-('Liability calculation'!F14-'Liability calculation'!F13) +('Cash flows'!D46-'Cash flows'!D12)*Investment_rate</f>
        <v>31.813474614358544</v>
      </c>
    </row>
    <row r="15" spans="1:11" x14ac:dyDescent="0.25">
      <c r="A15" s="9">
        <f t="shared" si="0"/>
        <v>9</v>
      </c>
      <c r="B15" s="10">
        <f>(B16+'Cash flows'!E14 + 'Cash flows'!F14)/(1+Discount_rate)-'Cash flows'!C14+'Cash flows'!D14</f>
        <v>4580.65064691526</v>
      </c>
      <c r="C15" s="10">
        <f>'Cash flows'!G13 +'Cash flows'!H13 -('Liability calculation'!B15-'Liability calculation'!B14)</f>
        <v>5.6822465330697014E-4</v>
      </c>
      <c r="D15" s="10">
        <f>(D16+'Cash flows'!E32 +'Cash flows'!F32)/(1+Val_disc_rate)-'Cash flows'!C32+'Cash flows'!D32</f>
        <v>4629.6667853566041</v>
      </c>
      <c r="E15" s="10">
        <f>'Cash flows'!G13 +'Cash flows'!K31 * Investment_rate / Val_disc_rate -('Liability calculation'!D15-'Liability calculation'!D14)</f>
        <v>48.007348173568573</v>
      </c>
      <c r="F15" s="10">
        <f>(F16+'Cash flows'!E48 +'Cash flows'!F48)/(1+Discount_rate)-'Cash flows'!C48+'Cash flows'!D48</f>
        <v>4609.3103359671331</v>
      </c>
      <c r="G15" s="10">
        <f>'Cash flows'!G13+'Cash flows'!K47-('Liability calculation'!F15-'Liability calculation'!F14) +('Cash flows'!D47-'Cash flows'!D13)*Investment_rate</f>
        <v>30.656350589052728</v>
      </c>
    </row>
    <row r="16" spans="1:11" x14ac:dyDescent="0.25">
      <c r="A16" s="9">
        <f t="shared" si="0"/>
        <v>10</v>
      </c>
      <c r="B16" s="10">
        <f>(B17+'Cash flows'!E15 + 'Cash flows'!F15)/(1+Discount_rate)-'Cash flows'!C15+'Cash flows'!D15</f>
        <v>0</v>
      </c>
      <c r="C16" s="10">
        <f>'Cash flows'!G14 +'Cash flows'!H14 -('Liability calculation'!B16-'Liability calculation'!B15)</f>
        <v>5.8527139208308654E-4</v>
      </c>
      <c r="D16" s="10">
        <f>(D17+'Cash flows'!E33 +'Cash flows'!F33)/(1+Val_disc_rate)-'Cash flows'!C33+'Cash flows'!D33</f>
        <v>0</v>
      </c>
      <c r="E16" s="10">
        <f>'Cash flows'!G14 +'Cash flows'!K32 * Investment_rate / Val_disc_rate -('Liability calculation'!D16-'Liability calculation'!D15)</f>
        <v>50.486622594582514</v>
      </c>
      <c r="F16" s="10">
        <f>(F17+'Cash flows'!E49 +'Cash flows'!F49)/(1+Discount_rate)-'Cash flows'!C49+'Cash flows'!D49</f>
        <v>0</v>
      </c>
      <c r="G16" s="10">
        <f>'Cash flows'!G14+'Cash flows'!K48-('Liability calculation'!F16-'Liability calculation'!F15) +('Cash flows'!D48-'Cash flows'!D14)*Investment_rate</f>
        <v>29.519479723428365</v>
      </c>
    </row>
    <row r="18" spans="1:1" x14ac:dyDescent="0.25">
      <c r="A18" s="2" t="s">
        <v>108</v>
      </c>
    </row>
    <row r="19" spans="1:1" x14ac:dyDescent="0.25">
      <c r="A19" s="2" t="s">
        <v>64</v>
      </c>
    </row>
    <row r="20" spans="1:1" x14ac:dyDescent="0.25">
      <c r="A20" s="2" t="s">
        <v>65</v>
      </c>
    </row>
    <row r="21" spans="1:1" x14ac:dyDescent="0.25">
      <c r="A21" s="2" t="s">
        <v>67</v>
      </c>
    </row>
    <row r="22" spans="1:1" x14ac:dyDescent="0.25">
      <c r="A22" s="2" t="s">
        <v>68</v>
      </c>
    </row>
    <row r="23" spans="1:1" x14ac:dyDescent="0.25">
      <c r="A23" s="2" t="s">
        <v>66</v>
      </c>
    </row>
    <row r="24" spans="1:1" x14ac:dyDescent="0.25">
      <c r="A24" s="2" t="s">
        <v>95</v>
      </c>
    </row>
    <row r="25" spans="1:1" x14ac:dyDescent="0.25">
      <c r="A25" s="2" t="s">
        <v>109</v>
      </c>
    </row>
  </sheetData>
  <mergeCells count="3">
    <mergeCell ref="B4:C4"/>
    <mergeCell ref="D4:E4"/>
    <mergeCell ref="A4:A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31"/>
  <sheetViews>
    <sheetView workbookViewId="0">
      <selection activeCell="H33" sqref="H33"/>
    </sheetView>
  </sheetViews>
  <sheetFormatPr defaultRowHeight="15" x14ac:dyDescent="0.25"/>
  <sheetData>
    <row r="2" spans="1:6" x14ac:dyDescent="0.25">
      <c r="A2" s="49" t="s">
        <v>89</v>
      </c>
    </row>
    <row r="3" spans="1:6" ht="27" x14ac:dyDescent="0.25">
      <c r="A3" s="45" t="s">
        <v>25</v>
      </c>
      <c r="B3" s="46" t="s">
        <v>86</v>
      </c>
      <c r="C3" s="46" t="s">
        <v>87</v>
      </c>
      <c r="D3" s="46" t="s">
        <v>4</v>
      </c>
      <c r="E3" s="46" t="s">
        <v>88</v>
      </c>
    </row>
    <row r="4" spans="1:6" x14ac:dyDescent="0.25">
      <c r="A4" s="47">
        <v>1</v>
      </c>
      <c r="B4" s="58">
        <f>'Cash flows'!C5</f>
        <v>899.2</v>
      </c>
      <c r="C4" s="58">
        <f>-'Cash flows'!E5-'Cash flows'!F5</f>
        <v>-24.64</v>
      </c>
      <c r="D4" s="58">
        <f>-'Cash flows'!D5</f>
        <v>-96.975999999999999</v>
      </c>
      <c r="E4" s="58">
        <f>'Cash flows'!G5</f>
        <v>777.58400000000006</v>
      </c>
    </row>
    <row r="5" spans="1:6" x14ac:dyDescent="0.25">
      <c r="A5" s="48">
        <v>2</v>
      </c>
      <c r="B5" s="59">
        <f>'Cash flows'!C6</f>
        <v>762.43671552000012</v>
      </c>
      <c r="C5" s="59">
        <f>-'Cash flows'!E6-'Cash flows'!F6</f>
        <v>-116.93927118068703</v>
      </c>
      <c r="D5" s="59">
        <f>-'Cash flows'!D6</f>
        <v>-65.268381465600001</v>
      </c>
      <c r="E5" s="59">
        <f>'Cash flows'!G6</f>
        <v>580.22906287371313</v>
      </c>
      <c r="F5" s="79">
        <f>B5+C5+D5</f>
        <v>580.22906287371313</v>
      </c>
    </row>
    <row r="6" spans="1:6" x14ac:dyDescent="0.25">
      <c r="A6" s="47">
        <v>3</v>
      </c>
      <c r="B6" s="58">
        <f>'Cash flows'!C7</f>
        <v>684.30532690404414</v>
      </c>
      <c r="C6" s="58">
        <f>-'Cash flows'!E7-'Cash flows'!F7</f>
        <v>-98.548153997484434</v>
      </c>
      <c r="D6" s="58">
        <f>-'Cash flows'!D7</f>
        <v>-59.340961043894282</v>
      </c>
      <c r="E6" s="58">
        <f>'Cash flows'!G7</f>
        <v>526.41621186266536</v>
      </c>
    </row>
    <row r="7" spans="1:6" x14ac:dyDescent="0.25">
      <c r="A7" s="48">
        <v>4</v>
      </c>
      <c r="B7" s="59">
        <f>'Cash flows'!C8</f>
        <v>648.09233380274463</v>
      </c>
      <c r="C7" s="59">
        <f>-'Cash flows'!E8-'Cash flows'!F8</f>
        <v>-129.28683990980085</v>
      </c>
      <c r="D7" s="59">
        <f>-'Cash flows'!D8</f>
        <v>-56.935834075935944</v>
      </c>
      <c r="E7" s="59">
        <f>'Cash flows'!G8</f>
        <v>461.8696598170078</v>
      </c>
    </row>
    <row r="8" spans="1:6" x14ac:dyDescent="0.25">
      <c r="A8" s="47">
        <v>5</v>
      </c>
      <c r="B8" s="58">
        <f>'Cash flows'!C9</f>
        <v>613.57159842889143</v>
      </c>
      <c r="C8" s="58">
        <f>-'Cash flows'!E9-'Cash flows'!F9</f>
        <v>-158.80275065339652</v>
      </c>
      <c r="D8" s="58">
        <f>-'Cash flows'!D9</f>
        <v>-54.613058141118898</v>
      </c>
      <c r="E8" s="58">
        <f>'Cash flows'!G9</f>
        <v>400.15578963437605</v>
      </c>
    </row>
    <row r="9" spans="1:6" x14ac:dyDescent="0.25">
      <c r="A9" s="48">
        <v>6</v>
      </c>
      <c r="B9" s="59">
        <f>'Cash flows'!C10</f>
        <v>580.64480013506363</v>
      </c>
      <c r="C9" s="59">
        <f>-'Cash flows'!E10-'Cash flows'!F10</f>
        <v>-187.19244979908311</v>
      </c>
      <c r="D9" s="59">
        <f>-'Cash flows'!D10</f>
        <v>-52.36755381293564</v>
      </c>
      <c r="E9" s="59">
        <f>'Cash flows'!G10</f>
        <v>341.08479652304493</v>
      </c>
    </row>
    <row r="10" spans="1:6" x14ac:dyDescent="0.25">
      <c r="A10" s="47">
        <v>7</v>
      </c>
      <c r="B10" s="58">
        <f>'Cash flows'!C11</f>
        <v>549.21856161735354</v>
      </c>
      <c r="C10" s="58">
        <f>-'Cash flows'!E11-'Cash flows'!F11</f>
        <v>-214.65500374131886</v>
      </c>
      <c r="D10" s="58">
        <f>-'Cash flows'!D11</f>
        <v>-50.194398854906069</v>
      </c>
      <c r="E10" s="58">
        <f>'Cash flows'!G11</f>
        <v>284.36915902112867</v>
      </c>
    </row>
    <row r="11" spans="1:6" x14ac:dyDescent="0.25">
      <c r="A11" s="48">
        <v>8</v>
      </c>
      <c r="B11" s="59">
        <f>'Cash flows'!C12</f>
        <v>519.20102113215717</v>
      </c>
      <c r="C11" s="59">
        <f>-'Cash flows'!E12-'Cash flows'!F12</f>
        <v>-241.24762872689715</v>
      </c>
      <c r="D11" s="59">
        <f>-'Cash flows'!D12</f>
        <v>-48.08852385252171</v>
      </c>
      <c r="E11" s="59">
        <f>'Cash flows'!G12</f>
        <v>229.86486855273836</v>
      </c>
    </row>
    <row r="12" spans="1:6" x14ac:dyDescent="0.25">
      <c r="A12" s="47">
        <v>9</v>
      </c>
      <c r="B12" s="58">
        <f>'Cash flows'!C13</f>
        <v>490.50644213745045</v>
      </c>
      <c r="C12" s="58">
        <f>-'Cash flows'!E13-'Cash flows'!F13</f>
        <v>-267.08272834747254</v>
      </c>
      <c r="D12" s="58">
        <f>-'Cash flows'!D13</f>
        <v>-46.045137657636062</v>
      </c>
      <c r="E12" s="58">
        <f>'Cash flows'!G13</f>
        <v>177.37857613234186</v>
      </c>
    </row>
    <row r="13" spans="1:6" x14ac:dyDescent="0.25">
      <c r="A13" s="48">
        <v>10</v>
      </c>
      <c r="B13" s="59">
        <f>'Cash flows'!C14</f>
        <v>463.05522457790596</v>
      </c>
      <c r="C13" s="59">
        <f>-'Cash flows'!E14-'Cash flows'!F14</f>
        <v>-5149.6355046475273</v>
      </c>
      <c r="D13" s="59">
        <f>-'Cash flows'!D14</f>
        <v>-44.059750476150235</v>
      </c>
      <c r="E13" s="59">
        <f>'Cash flows'!G14</f>
        <v>-4730.6400305457719</v>
      </c>
    </row>
    <row r="16" spans="1:6" x14ac:dyDescent="0.25">
      <c r="A16" s="49" t="s">
        <v>90</v>
      </c>
    </row>
    <row r="17" spans="1:10" ht="15" customHeight="1" x14ac:dyDescent="0.25">
      <c r="A17" s="73" t="s">
        <v>25</v>
      </c>
      <c r="B17" s="74" t="s">
        <v>91</v>
      </c>
      <c r="C17" s="75"/>
      <c r="D17" s="76"/>
      <c r="E17" s="74" t="s">
        <v>92</v>
      </c>
      <c r="F17" s="75"/>
      <c r="G17" s="76"/>
      <c r="H17" s="74" t="s">
        <v>93</v>
      </c>
      <c r="I17" s="75"/>
      <c r="J17" s="76"/>
    </row>
    <row r="18" spans="1:10" x14ac:dyDescent="0.25">
      <c r="A18" s="73"/>
      <c r="B18" s="50" t="s">
        <v>41</v>
      </c>
      <c r="C18" s="50" t="s">
        <v>94</v>
      </c>
      <c r="D18" s="51" t="s">
        <v>42</v>
      </c>
      <c r="E18" s="50" t="s">
        <v>41</v>
      </c>
      <c r="F18" s="50" t="s">
        <v>94</v>
      </c>
      <c r="G18" s="51" t="s">
        <v>42</v>
      </c>
      <c r="H18" s="50" t="s">
        <v>41</v>
      </c>
      <c r="I18" s="50" t="s">
        <v>94</v>
      </c>
      <c r="J18" s="51" t="s">
        <v>42</v>
      </c>
    </row>
    <row r="19" spans="1:10" x14ac:dyDescent="0.25">
      <c r="A19" s="52">
        <v>0</v>
      </c>
      <c r="B19" s="53">
        <f>'Liability calculation'!B6</f>
        <v>-1.4952059637607817E-2</v>
      </c>
      <c r="C19" s="53">
        <v>0</v>
      </c>
      <c r="D19" s="54">
        <f>'Liability calculation'!C6</f>
        <v>1.4952059637607817E-2</v>
      </c>
      <c r="E19" s="53">
        <f>'Liability calculation'!D6</f>
        <v>278.12682645878738</v>
      </c>
      <c r="F19" s="53">
        <v>0</v>
      </c>
      <c r="G19" s="54">
        <f>'Liability calculation'!E6</f>
        <v>-278.12682645878738</v>
      </c>
      <c r="H19" s="53">
        <f>'Liability calculation'!F6</f>
        <v>329.53830405238875</v>
      </c>
      <c r="I19" s="53">
        <v>0</v>
      </c>
      <c r="J19" s="54">
        <f>'Liability calculation'!G6</f>
        <v>-329.53830405238875</v>
      </c>
    </row>
    <row r="20" spans="1:10" x14ac:dyDescent="0.25">
      <c r="A20" s="55">
        <v>1</v>
      </c>
      <c r="B20" s="56">
        <f>'Liability calculation'!B7</f>
        <v>801.6353193785734</v>
      </c>
      <c r="C20" s="56">
        <f>'Cash flows'!H5</f>
        <v>24.06672</v>
      </c>
      <c r="D20" s="57">
        <f>'Liability calculation'!C7</f>
        <v>4.4856178908503352E-4</v>
      </c>
      <c r="E20" s="56">
        <f>'Liability calculation'!D7</f>
        <v>1077.3178429879631</v>
      </c>
      <c r="F20" s="56">
        <f>'Cash flows'!N23</f>
        <v>32.410524793763614</v>
      </c>
      <c r="G20" s="57">
        <f>'Liability calculation'!E7</f>
        <v>10.803508264588004</v>
      </c>
      <c r="H20" s="56">
        <f>'Liability calculation'!F7</f>
        <v>1072.5801731739605</v>
      </c>
      <c r="I20" s="56">
        <f>'Cash flows'!K39</f>
        <v>31.957869121571655</v>
      </c>
      <c r="J20" s="57">
        <f>'Liability calculation'!G7</f>
        <v>68.495000000000005</v>
      </c>
    </row>
    <row r="21" spans="1:10" x14ac:dyDescent="0.25">
      <c r="A21" s="52">
        <v>2</v>
      </c>
      <c r="B21" s="53">
        <f>'Liability calculation'!B8</f>
        <v>1426.8284918552758</v>
      </c>
      <c r="C21" s="53">
        <f>'Cash flows'!H6</f>
        <v>44.964571621632011</v>
      </c>
      <c r="D21" s="54">
        <f>'Liability calculation'!C8</f>
        <v>4.6201864267914061E-4</v>
      </c>
      <c r="E21" s="53">
        <f>'Liability calculation'!D8</f>
        <v>1693.0366294025234</v>
      </c>
      <c r="F21" s="53">
        <f>'Cash flows'!N24</f>
        <v>53.234585311270884</v>
      </c>
      <c r="G21" s="54">
        <f>'Liability calculation'!E8</f>
        <v>17.744861770423654</v>
      </c>
      <c r="H21" s="53">
        <f>'Liability calculation'!F8</f>
        <v>1664.4179097845245</v>
      </c>
      <c r="I21" s="53">
        <f>'Cash flows'!K40</f>
        <v>51.884189736850814</v>
      </c>
      <c r="J21" s="54">
        <f>'Liability calculation'!G8</f>
        <v>41.483781479999926</v>
      </c>
    </row>
    <row r="22" spans="1:10" x14ac:dyDescent="0.25">
      <c r="A22" s="55">
        <v>3</v>
      </c>
      <c r="B22" s="56">
        <f>'Liability calculation'!B9</f>
        <v>2014.7984894494043</v>
      </c>
      <c r="C22" s="56">
        <f>'Cash flows'!H7</f>
        <v>61.554261610664852</v>
      </c>
      <c r="D22" s="57">
        <f>'Liability calculation'!C9</f>
        <v>4.7587920175828913E-4</v>
      </c>
      <c r="E22" s="56">
        <f>'Liability calculation'!D9</f>
        <v>2265.8128611704424</v>
      </c>
      <c r="F22" s="56">
        <f>'Cash flows'!N25</f>
        <v>69.540029857880185</v>
      </c>
      <c r="G22" s="57">
        <f>'Liability calculation'!E9</f>
        <v>23.180009952626619</v>
      </c>
      <c r="H22" s="56">
        <f>'Liability calculation'!F9</f>
        <v>2221.5382424063482</v>
      </c>
      <c r="I22" s="56">
        <f>'Cash flows'!K41</f>
        <v>67.575331934092205</v>
      </c>
      <c r="J22" s="57">
        <f>'Liability calculation'!G9</f>
        <v>37.977347510181851</v>
      </c>
    </row>
    <row r="23" spans="1:10" x14ac:dyDescent="0.25">
      <c r="A23" s="52">
        <v>4</v>
      </c>
      <c r="B23" s="53">
        <f>'Liability calculation'!B10</f>
        <v>2554.846798941699</v>
      </c>
      <c r="C23" s="53">
        <f>'Cash flows'!H8</f>
        <v>78.179139830864514</v>
      </c>
      <c r="D23" s="54">
        <f>'Liability calculation'!C10</f>
        <v>4.9015557760867523E-4</v>
      </c>
      <c r="E23" s="53">
        <f>'Liability calculation'!D10</f>
        <v>2784.8219082053956</v>
      </c>
      <c r="F23" s="53">
        <f>'Cash flows'!N26</f>
        <v>85.709080826917514</v>
      </c>
      <c r="G23" s="54">
        <f>'Liability calculation'!E10</f>
        <v>28.569693608972102</v>
      </c>
      <c r="H23" s="53">
        <f>'Liability calculation'!F10</f>
        <v>2731.1017813028275</v>
      </c>
      <c r="I23" s="53">
        <f>'Cash flows'!K42</f>
        <v>83.312289938231871</v>
      </c>
      <c r="J23" s="54">
        <f>'Liability calculation'!G10</f>
        <v>36.686963184523229</v>
      </c>
    </row>
    <row r="24" spans="1:10" x14ac:dyDescent="0.25">
      <c r="A24" s="55">
        <v>5</v>
      </c>
      <c r="B24" s="56">
        <f>'Liability calculation'!B11</f>
        <v>3048.4167487529594</v>
      </c>
      <c r="C24" s="56">
        <f>'Cash flows'!H9</f>
        <v>93.414665037129609</v>
      </c>
      <c r="D24" s="57">
        <f>'Liability calculation'!C11</f>
        <v>5.0486024531437579E-4</v>
      </c>
      <c r="E24" s="56">
        <f>'Liability calculation'!D11</f>
        <v>3251.8533068096353</v>
      </c>
      <c r="F24" s="56">
        <f>'Cash flows'!N27</f>
        <v>100.31341345479503</v>
      </c>
      <c r="G24" s="57">
        <f>'Liability calculation'!E11</f>
        <v>33.437804484931348</v>
      </c>
      <c r="H24" s="56">
        <f>'Liability calculation'!F11</f>
        <v>3194.5318974657171</v>
      </c>
      <c r="I24" s="56">
        <f>'Cash flows'!K43</f>
        <v>97.669941207352792</v>
      </c>
      <c r="J24" s="57">
        <f>'Liability calculation'!G11</f>
        <v>35.427483119204439</v>
      </c>
    </row>
    <row r="25" spans="1:10" x14ac:dyDescent="0.25">
      <c r="A25" s="52">
        <v>6</v>
      </c>
      <c r="B25" s="53">
        <f>'Liability calculation'!B12</f>
        <v>3496.802365128257</v>
      </c>
      <c r="C25" s="53">
        <f>'Cash flows'!H10</f>
        <v>107.30133985830544</v>
      </c>
      <c r="D25" s="54">
        <f>'Liability calculation'!C12</f>
        <v>5.2000605279545198E-4</v>
      </c>
      <c r="E25" s="53">
        <f>'Liability calculation'!D12</f>
        <v>3668.5407143953157</v>
      </c>
      <c r="F25" s="53">
        <f>'Cash flows'!N28</f>
        <v>113.40391659395287</v>
      </c>
      <c r="G25" s="54">
        <f>'Liability calculation'!E12</f>
        <v>37.801305531317439</v>
      </c>
      <c r="H25" s="53">
        <f>'Liability calculation'!F12</f>
        <v>3613.1041450044045</v>
      </c>
      <c r="I25" s="53">
        <f>'Cash flows'!K44</f>
        <v>110.68825033408213</v>
      </c>
      <c r="J25" s="54">
        <f>'Liability calculation'!G12</f>
        <v>34.196823297992822</v>
      </c>
    </row>
    <row r="26" spans="1:10" x14ac:dyDescent="0.25">
      <c r="A26" s="55">
        <v>7</v>
      </c>
      <c r="B26" s="56">
        <f>'Liability calculation'!B13</f>
        <v>3901.0463199861074</v>
      </c>
      <c r="C26" s="56">
        <f>'Cash flows'!H11</f>
        <v>119.87533144295553</v>
      </c>
      <c r="D26" s="57">
        <f>'Liability calculation'!C13</f>
        <v>5.3560623376824879E-4</v>
      </c>
      <c r="E26" s="56">
        <f>'Liability calculation'!D13</f>
        <v>4036.2611709595999</v>
      </c>
      <c r="F26" s="56">
        <f>'Cash flows'!N29</f>
        <v>125.02694631473284</v>
      </c>
      <c r="G26" s="57">
        <f>'Liability calculation'!E13</f>
        <v>41.675648771577357</v>
      </c>
      <c r="H26" s="56">
        <f>'Liability calculation'!F13</f>
        <v>3987.8442448552905</v>
      </c>
      <c r="I26" s="56">
        <f>'Cash flows'!K45</f>
        <v>122.40289073582353</v>
      </c>
      <c r="J26" s="57">
        <f>'Liability calculation'!G13</f>
        <v>32.992908403248116</v>
      </c>
    </row>
    <row r="27" spans="1:10" x14ac:dyDescent="0.25">
      <c r="A27" s="52">
        <v>8</v>
      </c>
      <c r="B27" s="53">
        <f>'Liability calculation'!B14</f>
        <v>4262.0759530568184</v>
      </c>
      <c r="C27" s="53">
        <f>'Cash flows'!H12</f>
        <v>131.1653161923937</v>
      </c>
      <c r="D27" s="54">
        <f>'Liability calculation'!C14</f>
        <v>5.516744209899116E-4</v>
      </c>
      <c r="E27" s="53">
        <f>'Liability calculation'!D14</f>
        <v>4356.2735128771228</v>
      </c>
      <c r="F27" s="53">
        <f>'Cash flows'!N30</f>
        <v>135.22121004717698</v>
      </c>
      <c r="G27" s="54">
        <f>'Liability calculation'!E14</f>
        <v>45.07373668239245</v>
      </c>
      <c r="H27" s="53">
        <f>'Liability calculation'!F14</f>
        <v>4319.664341057718</v>
      </c>
      <c r="I27" s="53">
        <f>'Cash flows'!K46</f>
        <v>132.84209620731886</v>
      </c>
      <c r="J27" s="54">
        <f>'Liability calculation'!G14</f>
        <v>31.813474614358544</v>
      </c>
    </row>
    <row r="28" spans="1:10" x14ac:dyDescent="0.25">
      <c r="A28" s="55">
        <v>9</v>
      </c>
      <c r="B28" s="56">
        <f>'Liability calculation'!B15</f>
        <v>4580.65064691526</v>
      </c>
      <c r="C28" s="56">
        <f>'Cash flows'!H13</f>
        <v>141.19668595075305</v>
      </c>
      <c r="D28" s="57">
        <f>'Liability calculation'!C15</f>
        <v>5.6822465330697014E-4</v>
      </c>
      <c r="E28" s="56">
        <f>'Liability calculation'!D15</f>
        <v>4629.6667853566041</v>
      </c>
      <c r="F28" s="56">
        <f>'Cash flows'!N31</f>
        <v>144.02204452070802</v>
      </c>
      <c r="G28" s="57">
        <f>'Liability calculation'!E15</f>
        <v>48.007348173568573</v>
      </c>
      <c r="H28" s="56">
        <f>'Liability calculation'!F15</f>
        <v>4609.3103359671331</v>
      </c>
      <c r="I28" s="56">
        <f>'Cash flows'!K47</f>
        <v>142.03086595091085</v>
      </c>
      <c r="J28" s="57">
        <f>'Liability calculation'!G15</f>
        <v>30.656350589052728</v>
      </c>
    </row>
    <row r="29" spans="1:10" x14ac:dyDescent="0.25">
      <c r="A29" s="52">
        <v>10</v>
      </c>
      <c r="B29" s="53">
        <f>'Liability calculation'!B16</f>
        <v>0</v>
      </c>
      <c r="C29" s="53">
        <f>'Cash flows'!H14</f>
        <v>149.98996890190412</v>
      </c>
      <c r="D29" s="54">
        <f>'Liability calculation'!C16</f>
        <v>5.8527139208308654E-4</v>
      </c>
      <c r="E29" s="53">
        <f>'Liability calculation'!D16</f>
        <v>0</v>
      </c>
      <c r="F29" s="53">
        <f>'Cash flows'!N32</f>
        <v>151.4598677837507</v>
      </c>
      <c r="G29" s="54">
        <f>'Liability calculation'!E16</f>
        <v>50.486622594582514</v>
      </c>
      <c r="H29" s="53">
        <f>'Liability calculation'!F16</f>
        <v>0</v>
      </c>
      <c r="I29" s="53">
        <f>'Cash flows'!K48</f>
        <v>149.98938363051047</v>
      </c>
      <c r="J29" s="54">
        <f>'Liability calculation'!G16</f>
        <v>29.519479723428365</v>
      </c>
    </row>
    <row r="31" spans="1:10" x14ac:dyDescent="0.25">
      <c r="G31" s="65"/>
      <c r="J31" s="65">
        <f>NPV(3%,J19:J29)</f>
        <v>1.4516562751609837E-2</v>
      </c>
    </row>
  </sheetData>
  <mergeCells count="4">
    <mergeCell ref="A17:A18"/>
    <mergeCell ref="B17:D17"/>
    <mergeCell ref="E17:G17"/>
    <mergeCell ref="H17:J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Notes</vt:lpstr>
      <vt:lpstr>Data</vt:lpstr>
      <vt:lpstr>Assumptions</vt:lpstr>
      <vt:lpstr>Decrements</vt:lpstr>
      <vt:lpstr>Cash flows</vt:lpstr>
      <vt:lpstr>Liability calculation</vt:lpstr>
      <vt:lpstr>Tables</vt:lpstr>
      <vt:lpstr>Age</vt:lpstr>
      <vt:lpstr>Annual_premium</vt:lpstr>
      <vt:lpstr>CB1_factor</vt:lpstr>
      <vt:lpstr>CB2_factor</vt:lpstr>
      <vt:lpstr>Decrement</vt:lpstr>
      <vt:lpstr>Discount_rate</vt:lpstr>
      <vt:lpstr>Factor</vt:lpstr>
      <vt:lpstr>IA95_97UltM</vt:lpstr>
      <vt:lpstr>IC_rate</vt:lpstr>
      <vt:lpstr>Inflation</vt:lpstr>
      <vt:lpstr>Initial_comm_rate</vt:lpstr>
      <vt:lpstr>Initial_expense</vt:lpstr>
      <vt:lpstr>Investment_rate</vt:lpstr>
      <vt:lpstr>lapse_rates</vt:lpstr>
      <vt:lpstr>RC_rate</vt:lpstr>
      <vt:lpstr>Renewal_comm_rate</vt:lpstr>
      <vt:lpstr>Renewal_expense</vt:lpstr>
      <vt:lpstr>Sum_Insured</vt:lpstr>
      <vt:lpstr>surrender_factors</vt:lpstr>
      <vt:lpstr>Val_disc_rate</vt:lpstr>
      <vt:lpstr>Val_int_rate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Mike Callan</cp:lastModifiedBy>
  <dcterms:created xsi:type="dcterms:W3CDTF">2018-12-13T02:59:47Z</dcterms:created>
  <dcterms:modified xsi:type="dcterms:W3CDTF">2020-03-05T23:21:01Z</dcterms:modified>
</cp:coreProperties>
</file>