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izhu\Desktop\LIRV\Textbook\"/>
    </mc:Choice>
  </mc:AlternateContent>
  <bookViews>
    <workbookView xWindow="0" yWindow="0" windowWidth="28800" windowHeight="12135" activeTab="5"/>
  </bookViews>
  <sheets>
    <sheet name="Notes" sheetId="1" r:id="rId1"/>
    <sheet name="Data" sheetId="7" r:id="rId2"/>
    <sheet name="Assumptions" sheetId="6" r:id="rId3"/>
    <sheet name="Decrements" sheetId="3" r:id="rId4"/>
    <sheet name="Cash flows" sheetId="4" r:id="rId5"/>
    <sheet name="Adjusted policy liability" sheetId="9" r:id="rId6"/>
    <sheet name="Tables" sheetId="8" r:id="rId7"/>
  </sheets>
  <definedNames>
    <definedName name="_Ref530049711" localSheetId="6">Tables!$A$4</definedName>
    <definedName name="Age">Data!$B$4</definedName>
    <definedName name="Annual_premium">Data!$B$6</definedName>
    <definedName name="CB1_factor">Assumptions!$G$7</definedName>
    <definedName name="CB2_factor">Assumptions!$M$7</definedName>
    <definedName name="Decrement">Decrements!$A$5:$H$14</definedName>
    <definedName name="Discount_rate">Assumptions!$B$34</definedName>
    <definedName name="Factor">Assumptions!$B$7</definedName>
    <definedName name="IA95_97UltM">Data!$A$13:$B$112</definedName>
    <definedName name="IC_rate">Assumptions!$B$29</definedName>
    <definedName name="Inflation">Assumptions!$B$26</definedName>
    <definedName name="Initial_comm_rate">Assumptions!$B$29</definedName>
    <definedName name="Initial_expense">Assumptions!$B$24</definedName>
    <definedName name="Investment_rate">Assumptions!$B$32</definedName>
    <definedName name="lapse_rates">Assumptions!$A$12:$B$21</definedName>
    <definedName name="planned_margin">#REF!</definedName>
    <definedName name="Profit_Margin">'Adjusted policy liability'!$I$5</definedName>
    <definedName name="RC_rate">Assumptions!$B$30</definedName>
    <definedName name="Renewal_comm_rate">Assumptions!$B$30</definedName>
    <definedName name="Renewal_expense">Assumptions!$B$25</definedName>
    <definedName name="Stepped_premium_loading">Data!$B$6</definedName>
    <definedName name="Sum_Insured">Data!$B$5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26" i="9" l="1"/>
  <c r="V27" i="9"/>
  <c r="V28" i="9"/>
  <c r="V29" i="9"/>
  <c r="V30" i="9"/>
  <c r="V31" i="9"/>
  <c r="V32" i="9"/>
  <c r="V33" i="9"/>
  <c r="V34" i="9"/>
  <c r="V25" i="9"/>
  <c r="U26" i="9"/>
  <c r="U27" i="9"/>
  <c r="U28" i="9"/>
  <c r="U29" i="9"/>
  <c r="U30" i="9"/>
  <c r="U31" i="9"/>
  <c r="U32" i="9"/>
  <c r="U33" i="9"/>
  <c r="U34" i="9"/>
  <c r="U25" i="9"/>
  <c r="T26" i="9"/>
  <c r="T27" i="9"/>
  <c r="T28" i="9"/>
  <c r="T29" i="9"/>
  <c r="T30" i="9"/>
  <c r="T31" i="9"/>
  <c r="T32" i="9"/>
  <c r="T33" i="9"/>
  <c r="T34" i="9"/>
  <c r="T25" i="9"/>
  <c r="Q25" i="9"/>
  <c r="Q26" i="9"/>
  <c r="Q27" i="9"/>
  <c r="Q28" i="9"/>
  <c r="Q29" i="9"/>
  <c r="Q30" i="9"/>
  <c r="Q31" i="9"/>
  <c r="Q32" i="9"/>
  <c r="Q33" i="9"/>
  <c r="Q34" i="9"/>
  <c r="Q24" i="9"/>
  <c r="P22" i="9"/>
  <c r="P25" i="9"/>
  <c r="P26" i="9"/>
  <c r="R26" i="9" s="1"/>
  <c r="P27" i="9"/>
  <c r="P28" i="9"/>
  <c r="P29" i="9"/>
  <c r="P30" i="9"/>
  <c r="R30" i="9" s="1"/>
  <c r="P31" i="9"/>
  <c r="P32" i="9"/>
  <c r="P33" i="9"/>
  <c r="P34" i="9"/>
  <c r="R34" i="9" s="1"/>
  <c r="P24" i="9"/>
  <c r="R24" i="9" s="1"/>
  <c r="O25" i="9"/>
  <c r="O26" i="9"/>
  <c r="O27" i="9"/>
  <c r="O28" i="9"/>
  <c r="O29" i="9"/>
  <c r="O30" i="9"/>
  <c r="O31" i="9"/>
  <c r="O32" i="9"/>
  <c r="O33" i="9"/>
  <c r="O34" i="9"/>
  <c r="O24" i="9"/>
  <c r="R31" i="9"/>
  <c r="R29" i="9"/>
  <c r="R27" i="9"/>
  <c r="R25" i="9"/>
  <c r="V11" i="9"/>
  <c r="V12" i="9"/>
  <c r="V13" i="9"/>
  <c r="V14" i="9"/>
  <c r="V15" i="9"/>
  <c r="V16" i="9"/>
  <c r="V17" i="9"/>
  <c r="V18" i="9"/>
  <c r="V19" i="9"/>
  <c r="V10" i="9"/>
  <c r="U11" i="9"/>
  <c r="U12" i="9"/>
  <c r="U13" i="9"/>
  <c r="U14" i="9"/>
  <c r="U15" i="9"/>
  <c r="U16" i="9"/>
  <c r="U17" i="9"/>
  <c r="U18" i="9"/>
  <c r="U19" i="9"/>
  <c r="U10" i="9"/>
  <c r="T11" i="9"/>
  <c r="T12" i="9"/>
  <c r="T13" i="9"/>
  <c r="T14" i="9"/>
  <c r="T15" i="9"/>
  <c r="T16" i="9"/>
  <c r="T17" i="9"/>
  <c r="T18" i="9"/>
  <c r="T19" i="9"/>
  <c r="T10" i="9"/>
  <c r="R10" i="9"/>
  <c r="R11" i="9"/>
  <c r="R12" i="9"/>
  <c r="R13" i="9"/>
  <c r="R14" i="9"/>
  <c r="R15" i="9"/>
  <c r="R16" i="9"/>
  <c r="R17" i="9"/>
  <c r="R18" i="9"/>
  <c r="R19" i="9"/>
  <c r="R9" i="9"/>
  <c r="Q9" i="9"/>
  <c r="Q11" i="9"/>
  <c r="Q12" i="9"/>
  <c r="Q13" i="9"/>
  <c r="Q14" i="9"/>
  <c r="Q15" i="9"/>
  <c r="Q16" i="9"/>
  <c r="Q17" i="9"/>
  <c r="Q18" i="9"/>
  <c r="Q19" i="9"/>
  <c r="Q10" i="9"/>
  <c r="P5" i="9"/>
  <c r="P19" i="9"/>
  <c r="O19" i="9"/>
  <c r="R33" i="9" l="1"/>
  <c r="R28" i="9"/>
  <c r="R32" i="9"/>
  <c r="H34" i="9"/>
  <c r="H19" i="9"/>
  <c r="B33" i="8" s="1"/>
  <c r="D34" i="9"/>
  <c r="D33" i="9"/>
  <c r="D32" i="9"/>
  <c r="D31" i="9"/>
  <c r="D30" i="9"/>
  <c r="D29" i="9"/>
  <c r="D28" i="9"/>
  <c r="D27" i="9"/>
  <c r="D26" i="9"/>
  <c r="I34" i="9"/>
  <c r="D25" i="9"/>
  <c r="B25" i="9"/>
  <c r="B26" i="9" s="1"/>
  <c r="B27" i="9" s="1"/>
  <c r="B28" i="9" s="1"/>
  <c r="B29" i="9" s="1"/>
  <c r="B30" i="9" s="1"/>
  <c r="B31" i="9" s="1"/>
  <c r="B32" i="9" s="1"/>
  <c r="B33" i="9" s="1"/>
  <c r="B34" i="9" s="1"/>
  <c r="D8" i="9"/>
  <c r="I19" i="9"/>
  <c r="C33" i="8" s="1"/>
  <c r="E5" i="4"/>
  <c r="E8" i="8" s="1"/>
  <c r="E10" i="9" l="1"/>
  <c r="E25" i="9" l="1"/>
  <c r="B10" i="9"/>
  <c r="B11" i="9" s="1"/>
  <c r="B12" i="9" l="1"/>
  <c r="B5" i="3"/>
  <c r="B5" i="4"/>
  <c r="B13" i="9" l="1"/>
  <c r="F5" i="4"/>
  <c r="C8" i="8" s="1"/>
  <c r="C5" i="4"/>
  <c r="B6" i="4"/>
  <c r="B7" i="4" s="1"/>
  <c r="C5" i="3"/>
  <c r="A13" i="6"/>
  <c r="A14" i="6" s="1"/>
  <c r="A15" i="6" s="1"/>
  <c r="A16" i="6" s="1"/>
  <c r="A17" i="6" s="1"/>
  <c r="A18" i="6" s="1"/>
  <c r="A19" i="6" s="1"/>
  <c r="A20" i="6" s="1"/>
  <c r="A21" i="6" s="1"/>
  <c r="E5" i="3"/>
  <c r="A6" i="3"/>
  <c r="B6" i="3" s="1"/>
  <c r="B8" i="8" l="1"/>
  <c r="D5" i="4"/>
  <c r="D8" i="8" s="1"/>
  <c r="F10" i="9"/>
  <c r="F25" i="9" s="1"/>
  <c r="C10" i="9"/>
  <c r="B14" i="9"/>
  <c r="B8" i="4"/>
  <c r="F5" i="3"/>
  <c r="G5" i="3" s="1"/>
  <c r="C6" i="3"/>
  <c r="A7" i="3"/>
  <c r="B7" i="3" s="1"/>
  <c r="G5" i="4" l="1"/>
  <c r="F8" i="8" s="1"/>
  <c r="C25" i="9"/>
  <c r="D10" i="9"/>
  <c r="B15" i="9"/>
  <c r="D6" i="3"/>
  <c r="E6" i="3" s="1"/>
  <c r="F6" i="3" s="1"/>
  <c r="H5" i="3"/>
  <c r="B9" i="4"/>
  <c r="A8" i="3"/>
  <c r="B8" i="3" s="1"/>
  <c r="C7" i="3"/>
  <c r="G25" i="9" l="1"/>
  <c r="G10" i="9"/>
  <c r="M24" i="9"/>
  <c r="E23" i="8" s="1"/>
  <c r="B16" i="9"/>
  <c r="B10" i="4"/>
  <c r="A9" i="3"/>
  <c r="C8" i="3"/>
  <c r="G6" i="3"/>
  <c r="B17" i="9" l="1"/>
  <c r="F6" i="4"/>
  <c r="C6" i="4"/>
  <c r="F7" i="4"/>
  <c r="C7" i="4"/>
  <c r="B9" i="3"/>
  <c r="D7" i="3"/>
  <c r="E7" i="3" s="1"/>
  <c r="F7" i="3" s="1"/>
  <c r="H6" i="3"/>
  <c r="B11" i="4"/>
  <c r="A10" i="3"/>
  <c r="B10" i="3" s="1"/>
  <c r="C9" i="3"/>
  <c r="C10" i="8" l="1"/>
  <c r="F12" i="9"/>
  <c r="F27" i="9" s="1"/>
  <c r="C9" i="8"/>
  <c r="F11" i="9"/>
  <c r="F26" i="9" s="1"/>
  <c r="B10" i="8"/>
  <c r="E7" i="4"/>
  <c r="G7" i="4" s="1"/>
  <c r="F10" i="8" s="1"/>
  <c r="B9" i="8"/>
  <c r="E6" i="4"/>
  <c r="G6" i="4" s="1"/>
  <c r="F9" i="8" s="1"/>
  <c r="C12" i="9"/>
  <c r="C11" i="9"/>
  <c r="B18" i="9"/>
  <c r="B12" i="4"/>
  <c r="A11" i="3"/>
  <c r="B11" i="3" s="1"/>
  <c r="C10" i="3"/>
  <c r="G7" i="3"/>
  <c r="C26" i="9" l="1"/>
  <c r="E9" i="8"/>
  <c r="E11" i="9"/>
  <c r="C27" i="9"/>
  <c r="E10" i="8"/>
  <c r="E12" i="9"/>
  <c r="D11" i="9"/>
  <c r="G11" i="9" s="1"/>
  <c r="D12" i="9"/>
  <c r="G12" i="9" s="1"/>
  <c r="B19" i="9"/>
  <c r="C8" i="4"/>
  <c r="F8" i="4"/>
  <c r="D8" i="3"/>
  <c r="E8" i="3" s="1"/>
  <c r="F8" i="3" s="1"/>
  <c r="G8" i="3" s="1"/>
  <c r="H7" i="3"/>
  <c r="B13" i="4"/>
  <c r="A12" i="3"/>
  <c r="C11" i="3"/>
  <c r="E26" i="9" l="1"/>
  <c r="E27" i="9"/>
  <c r="G27" i="9" s="1"/>
  <c r="B11" i="8"/>
  <c r="E8" i="4"/>
  <c r="G8" i="4" s="1"/>
  <c r="F11" i="8" s="1"/>
  <c r="G26" i="9"/>
  <c r="C11" i="8"/>
  <c r="F13" i="9"/>
  <c r="F28" i="9" s="1"/>
  <c r="C13" i="9"/>
  <c r="F9" i="4"/>
  <c r="C9" i="4"/>
  <c r="B12" i="3"/>
  <c r="D9" i="3"/>
  <c r="E9" i="3" s="1"/>
  <c r="F9" i="3" s="1"/>
  <c r="G9" i="3" s="1"/>
  <c r="H8" i="3"/>
  <c r="B14" i="4"/>
  <c r="A13" i="3"/>
  <c r="B13" i="3" s="1"/>
  <c r="C12" i="3"/>
  <c r="C12" i="8" l="1"/>
  <c r="F14" i="9"/>
  <c r="F29" i="9" s="1"/>
  <c r="B12" i="8"/>
  <c r="E9" i="4"/>
  <c r="G9" i="4" s="1"/>
  <c r="F12" i="8" s="1"/>
  <c r="C28" i="9"/>
  <c r="E11" i="8"/>
  <c r="E13" i="9"/>
  <c r="C14" i="9"/>
  <c r="D13" i="9"/>
  <c r="C10" i="4"/>
  <c r="F10" i="4"/>
  <c r="D10" i="3"/>
  <c r="H9" i="3"/>
  <c r="A14" i="3"/>
  <c r="B14" i="3" s="1"/>
  <c r="C13" i="3"/>
  <c r="E28" i="9" l="1"/>
  <c r="B13" i="8"/>
  <c r="E10" i="4"/>
  <c r="G10" i="4" s="1"/>
  <c r="F13" i="8" s="1"/>
  <c r="C29" i="9"/>
  <c r="C13" i="8"/>
  <c r="F15" i="9"/>
  <c r="F30" i="9" s="1"/>
  <c r="G13" i="9"/>
  <c r="G28" i="9"/>
  <c r="E12" i="8"/>
  <c r="E14" i="9"/>
  <c r="C15" i="9"/>
  <c r="D14" i="9"/>
  <c r="E10" i="3"/>
  <c r="F10" i="3" s="1"/>
  <c r="G10" i="3" s="1"/>
  <c r="C14" i="3"/>
  <c r="E29" i="9" l="1"/>
  <c r="G14" i="9"/>
  <c r="C30" i="9"/>
  <c r="E13" i="8"/>
  <c r="E15" i="9"/>
  <c r="G29" i="9"/>
  <c r="G15" i="9"/>
  <c r="D15" i="9"/>
  <c r="C11" i="4"/>
  <c r="F11" i="4"/>
  <c r="D11" i="3"/>
  <c r="E11" i="3" s="1"/>
  <c r="F11" i="3" s="1"/>
  <c r="G11" i="3" s="1"/>
  <c r="H10" i="3"/>
  <c r="E30" i="9" l="1"/>
  <c r="B14" i="8"/>
  <c r="E11" i="4"/>
  <c r="G11" i="4" s="1"/>
  <c r="F14" i="8" s="1"/>
  <c r="C14" i="8"/>
  <c r="F16" i="9"/>
  <c r="F31" i="9" s="1"/>
  <c r="G30" i="9"/>
  <c r="C16" i="9"/>
  <c r="C12" i="4"/>
  <c r="F12" i="4"/>
  <c r="D12" i="3"/>
  <c r="H11" i="3"/>
  <c r="C15" i="8" l="1"/>
  <c r="F17" i="9"/>
  <c r="F32" i="9" s="1"/>
  <c r="C31" i="9"/>
  <c r="B15" i="8"/>
  <c r="E12" i="4"/>
  <c r="E14" i="8"/>
  <c r="E16" i="9"/>
  <c r="C17" i="9"/>
  <c r="D16" i="9"/>
  <c r="E12" i="3"/>
  <c r="F12" i="3" s="1"/>
  <c r="G12" i="3" s="1"/>
  <c r="E31" i="9" l="1"/>
  <c r="E15" i="8"/>
  <c r="E17" i="9"/>
  <c r="G16" i="9"/>
  <c r="G12" i="4"/>
  <c r="F15" i="8" s="1"/>
  <c r="G31" i="9"/>
  <c r="C32" i="9"/>
  <c r="D17" i="9"/>
  <c r="C13" i="4"/>
  <c r="F13" i="4"/>
  <c r="D13" i="3"/>
  <c r="E13" i="3" s="1"/>
  <c r="F13" i="3" s="1"/>
  <c r="G13" i="3" s="1"/>
  <c r="H12" i="3"/>
  <c r="E32" i="9" l="1"/>
  <c r="G17" i="9"/>
  <c r="B16" i="8"/>
  <c r="E13" i="4"/>
  <c r="G13" i="4" s="1"/>
  <c r="F16" i="8" s="1"/>
  <c r="C16" i="8"/>
  <c r="F18" i="9"/>
  <c r="F33" i="9" s="1"/>
  <c r="G32" i="9"/>
  <c r="C18" i="9"/>
  <c r="C14" i="4"/>
  <c r="F14" i="4"/>
  <c r="D14" i="3"/>
  <c r="E14" i="3" s="1"/>
  <c r="F14" i="3" s="1"/>
  <c r="G14" i="3" s="1"/>
  <c r="H14" i="3" s="1"/>
  <c r="H13" i="3"/>
  <c r="P14" i="9" l="1"/>
  <c r="P16" i="9"/>
  <c r="C17" i="8"/>
  <c r="F19" i="9"/>
  <c r="B17" i="8"/>
  <c r="E14" i="4"/>
  <c r="G14" i="4" s="1"/>
  <c r="F17" i="8" s="1"/>
  <c r="C33" i="9"/>
  <c r="E16" i="8"/>
  <c r="E18" i="9"/>
  <c r="C19" i="9"/>
  <c r="P12" i="9" s="1"/>
  <c r="D18" i="9"/>
  <c r="E33" i="9" l="1"/>
  <c r="P18" i="9"/>
  <c r="P9" i="9"/>
  <c r="P11" i="9"/>
  <c r="P10" i="9"/>
  <c r="P13" i="9"/>
  <c r="P15" i="9"/>
  <c r="P17" i="9"/>
  <c r="G18" i="9"/>
  <c r="E17" i="8"/>
  <c r="E19" i="9"/>
  <c r="F34" i="9"/>
  <c r="C34" i="9"/>
  <c r="G33" i="9"/>
  <c r="I18" i="9"/>
  <c r="D19" i="9"/>
  <c r="E34" i="9" l="1"/>
  <c r="O18" i="9"/>
  <c r="O10" i="9"/>
  <c r="O9" i="9"/>
  <c r="O12" i="9"/>
  <c r="O11" i="9"/>
  <c r="O15" i="9"/>
  <c r="O14" i="9"/>
  <c r="O16" i="9"/>
  <c r="O17" i="9"/>
  <c r="G19" i="9"/>
  <c r="O13" i="9"/>
  <c r="H18" i="9"/>
  <c r="B32" i="8" s="1"/>
  <c r="I17" i="9"/>
  <c r="C32" i="8"/>
  <c r="G34" i="9"/>
  <c r="I33" i="9"/>
  <c r="I32" i="9" s="1"/>
  <c r="I31" i="9" s="1"/>
  <c r="I30" i="9" s="1"/>
  <c r="I29" i="9" s="1"/>
  <c r="I28" i="9" s="1"/>
  <c r="I27" i="9" s="1"/>
  <c r="I26" i="9" s="1"/>
  <c r="I25" i="9" s="1"/>
  <c r="I24" i="9" s="1"/>
  <c r="H33" i="9"/>
  <c r="H32" i="9" s="1"/>
  <c r="H31" i="9" s="1"/>
  <c r="H30" i="9" s="1"/>
  <c r="H29" i="9" s="1"/>
  <c r="H28" i="9" s="1"/>
  <c r="H27" i="9" s="1"/>
  <c r="H26" i="9" s="1"/>
  <c r="H25" i="9" s="1"/>
  <c r="H24" i="9" s="1"/>
  <c r="J24" i="9" s="1"/>
  <c r="H17" i="9"/>
  <c r="H16" i="9" l="1"/>
  <c r="B31" i="8"/>
  <c r="J27" i="9"/>
  <c r="D26" i="8" s="1"/>
  <c r="F36" i="9"/>
  <c r="J28" i="9"/>
  <c r="D27" i="8" s="1"/>
  <c r="J34" i="9"/>
  <c r="D33" i="8" s="1"/>
  <c r="J32" i="9"/>
  <c r="D31" i="8" s="1"/>
  <c r="J30" i="9"/>
  <c r="D29" i="8" s="1"/>
  <c r="J26" i="9"/>
  <c r="D25" i="8" s="1"/>
  <c r="J25" i="9"/>
  <c r="D24" i="8" s="1"/>
  <c r="D23" i="8"/>
  <c r="F23" i="8" s="1"/>
  <c r="J33" i="9"/>
  <c r="D32" i="8" s="1"/>
  <c r="J29" i="9"/>
  <c r="D28" i="8" s="1"/>
  <c r="J31" i="9"/>
  <c r="D30" i="8" s="1"/>
  <c r="I16" i="9"/>
  <c r="C31" i="8"/>
  <c r="K28" i="9"/>
  <c r="K26" i="9"/>
  <c r="K25" i="9"/>
  <c r="K24" i="9"/>
  <c r="G40" i="8" s="1"/>
  <c r="K30" i="9" l="1"/>
  <c r="K33" i="9"/>
  <c r="F48" i="8" s="1"/>
  <c r="K27" i="9"/>
  <c r="G43" i="8" s="1"/>
  <c r="H43" i="8" s="1"/>
  <c r="H40" i="8"/>
  <c r="I40" i="8" s="1"/>
  <c r="K31" i="9"/>
  <c r="F46" i="8" s="1"/>
  <c r="K34" i="9"/>
  <c r="F49" i="8" s="1"/>
  <c r="F43" i="8"/>
  <c r="G44" i="8"/>
  <c r="G49" i="8"/>
  <c r="H49" i="8" s="1"/>
  <c r="F40" i="8"/>
  <c r="G41" i="8"/>
  <c r="H41" i="8" s="1"/>
  <c r="K29" i="9"/>
  <c r="K32" i="9"/>
  <c r="F41" i="8"/>
  <c r="G42" i="8"/>
  <c r="H42" i="8" s="1"/>
  <c r="F45" i="8"/>
  <c r="G46" i="8"/>
  <c r="I15" i="9"/>
  <c r="C30" i="8"/>
  <c r="H15" i="9"/>
  <c r="B30" i="8"/>
  <c r="F42" i="8" l="1"/>
  <c r="G47" i="8"/>
  <c r="H47" i="8" s="1"/>
  <c r="H46" i="8"/>
  <c r="I14" i="9"/>
  <c r="C29" i="8"/>
  <c r="F44" i="8"/>
  <c r="G45" i="8"/>
  <c r="H45" i="8" s="1"/>
  <c r="H44" i="8"/>
  <c r="H14" i="9"/>
  <c r="B29" i="8"/>
  <c r="F47" i="8"/>
  <c r="G48" i="8"/>
  <c r="H48" i="8" s="1"/>
  <c r="I41" i="8"/>
  <c r="H13" i="9" l="1"/>
  <c r="B28" i="8"/>
  <c r="I13" i="9"/>
  <c r="C28" i="8"/>
  <c r="I42" i="8"/>
  <c r="I12" i="9" l="1"/>
  <c r="C27" i="8"/>
  <c r="H12" i="9"/>
  <c r="B27" i="8"/>
  <c r="I43" i="8"/>
  <c r="H11" i="9" l="1"/>
  <c r="B26" i="8"/>
  <c r="I11" i="9"/>
  <c r="C26" i="8"/>
  <c r="I44" i="8"/>
  <c r="I10" i="9" l="1"/>
  <c r="C25" i="8"/>
  <c r="H10" i="9"/>
  <c r="B25" i="8"/>
  <c r="I45" i="8"/>
  <c r="H9" i="9" l="1"/>
  <c r="B24" i="8"/>
  <c r="I9" i="9"/>
  <c r="C24" i="8"/>
  <c r="I46" i="8"/>
  <c r="C23" i="8" l="1"/>
  <c r="F37" i="9"/>
  <c r="B23" i="8"/>
  <c r="G23" i="8" s="1"/>
  <c r="I5" i="9"/>
  <c r="I47" i="8"/>
  <c r="M34" i="9" l="1"/>
  <c r="E33" i="8" s="1"/>
  <c r="F33" i="8" s="1"/>
  <c r="G33" i="8" s="1"/>
  <c r="M32" i="9"/>
  <c r="E31" i="8" s="1"/>
  <c r="F31" i="8" s="1"/>
  <c r="G31" i="8" s="1"/>
  <c r="M30" i="9"/>
  <c r="E29" i="8" s="1"/>
  <c r="F29" i="8" s="1"/>
  <c r="G29" i="8" s="1"/>
  <c r="M28" i="9"/>
  <c r="E27" i="8" s="1"/>
  <c r="F27" i="8" s="1"/>
  <c r="G27" i="8" s="1"/>
  <c r="M26" i="9"/>
  <c r="E25" i="8" s="1"/>
  <c r="F25" i="8" s="1"/>
  <c r="G25" i="8" s="1"/>
  <c r="M33" i="9"/>
  <c r="E32" i="8" s="1"/>
  <c r="F32" i="8" s="1"/>
  <c r="G32" i="8" s="1"/>
  <c r="M29" i="9"/>
  <c r="E28" i="8" s="1"/>
  <c r="F28" i="8" s="1"/>
  <c r="G28" i="8" s="1"/>
  <c r="M25" i="9"/>
  <c r="E24" i="8" s="1"/>
  <c r="F24" i="8" s="1"/>
  <c r="G24" i="8" s="1"/>
  <c r="M31" i="9"/>
  <c r="E30" i="8" s="1"/>
  <c r="F30" i="8" s="1"/>
  <c r="G30" i="8" s="1"/>
  <c r="M27" i="9"/>
  <c r="E26" i="8" s="1"/>
  <c r="F26" i="8" s="1"/>
  <c r="G26" i="8" s="1"/>
  <c r="F39" i="9"/>
  <c r="J16" i="9"/>
  <c r="K16" i="9" s="1"/>
  <c r="J19" i="9"/>
  <c r="K19" i="9" s="1"/>
  <c r="B49" i="8" s="1"/>
  <c r="J18" i="9"/>
  <c r="K18" i="9" s="1"/>
  <c r="J17" i="9"/>
  <c r="K17" i="9" s="1"/>
  <c r="J15" i="9"/>
  <c r="K15" i="9" s="1"/>
  <c r="J14" i="9"/>
  <c r="K14" i="9" s="1"/>
  <c r="J13" i="9"/>
  <c r="K13" i="9" s="1"/>
  <c r="J12" i="9"/>
  <c r="K12" i="9" s="1"/>
  <c r="J11" i="9"/>
  <c r="K11" i="9" s="1"/>
  <c r="J10" i="9"/>
  <c r="K10" i="9" s="1"/>
  <c r="J9" i="9"/>
  <c r="K9" i="9" s="1"/>
  <c r="C40" i="8" s="1"/>
  <c r="I48" i="8"/>
  <c r="D40" i="8" l="1"/>
  <c r="E40" i="8" s="1"/>
  <c r="B41" i="8"/>
  <c r="C42" i="8"/>
  <c r="D42" i="8" s="1"/>
  <c r="E42" i="8" s="1"/>
  <c r="B43" i="8"/>
  <c r="C44" i="8"/>
  <c r="D44" i="8" s="1"/>
  <c r="E44" i="8" s="1"/>
  <c r="B45" i="8"/>
  <c r="C46" i="8"/>
  <c r="D46" i="8" s="1"/>
  <c r="E46" i="8" s="1"/>
  <c r="B48" i="8"/>
  <c r="C49" i="8"/>
  <c r="D49" i="8" s="1"/>
  <c r="E49" i="8" s="1"/>
  <c r="B46" i="8"/>
  <c r="C47" i="8"/>
  <c r="D47" i="8" s="1"/>
  <c r="E47" i="8" s="1"/>
  <c r="B40" i="8"/>
  <c r="C41" i="8"/>
  <c r="D41" i="8" s="1"/>
  <c r="E41" i="8" s="1"/>
  <c r="B42" i="8"/>
  <c r="C43" i="8"/>
  <c r="D43" i="8" s="1"/>
  <c r="E43" i="8" s="1"/>
  <c r="B44" i="8"/>
  <c r="C45" i="8"/>
  <c r="D45" i="8" s="1"/>
  <c r="E45" i="8" s="1"/>
  <c r="B47" i="8"/>
  <c r="C48" i="8"/>
  <c r="D48" i="8" s="1"/>
  <c r="E48" i="8" s="1"/>
  <c r="I49" i="8"/>
</calcChain>
</file>

<file path=xl/sharedStrings.xml><?xml version="1.0" encoding="utf-8"?>
<sst xmlns="http://schemas.openxmlformats.org/spreadsheetml/2006/main" count="143" uniqueCount="107">
  <si>
    <t>Pricing basis</t>
  </si>
  <si>
    <t>Mortality</t>
  </si>
  <si>
    <t>IA95-97</t>
  </si>
  <si>
    <t>Lapse Rates</t>
  </si>
  <si>
    <t>Expenses</t>
  </si>
  <si>
    <t xml:space="preserve"> - Table</t>
  </si>
  <si>
    <t xml:space="preserve"> - Factor</t>
  </si>
  <si>
    <t xml:space="preserve">  - Select</t>
  </si>
  <si>
    <t>0 years i.e. Ult rates</t>
  </si>
  <si>
    <t xml:space="preserve"> - Initial </t>
  </si>
  <si>
    <t xml:space="preserve"> - Renewal</t>
  </si>
  <si>
    <t xml:space="preserve"> - Inflation</t>
  </si>
  <si>
    <t>Commission</t>
  </si>
  <si>
    <t xml:space="preserve"> - Initial</t>
  </si>
  <si>
    <t>of first year's premium</t>
  </si>
  <si>
    <t>of subsequent premiums</t>
  </si>
  <si>
    <t xml:space="preserve">Investment rate </t>
  </si>
  <si>
    <t>Discount rate</t>
  </si>
  <si>
    <t>Taxation</t>
  </si>
  <si>
    <t>Gender</t>
  </si>
  <si>
    <t>Male</t>
  </si>
  <si>
    <t>Age</t>
  </si>
  <si>
    <t>Sum Insured</t>
  </si>
  <si>
    <t>IA95_97 Ult Male</t>
  </si>
  <si>
    <t>Year</t>
  </si>
  <si>
    <t>lapse</t>
  </si>
  <si>
    <t xml:space="preserve"> Year </t>
  </si>
  <si>
    <t>Decrement table</t>
  </si>
  <si>
    <r>
      <t>q</t>
    </r>
    <r>
      <rPr>
        <vertAlign val="subscript"/>
        <sz val="10"/>
        <color theme="0"/>
        <rFont val="Century Gothic"/>
        <family val="2"/>
      </rPr>
      <t>x</t>
    </r>
  </si>
  <si>
    <r>
      <t>(al)</t>
    </r>
    <r>
      <rPr>
        <vertAlign val="subscript"/>
        <sz val="10"/>
        <color theme="0"/>
        <rFont val="Century Gothic"/>
        <family val="2"/>
      </rPr>
      <t>x</t>
    </r>
  </si>
  <si>
    <r>
      <t>(ad)</t>
    </r>
    <r>
      <rPr>
        <vertAlign val="subscript"/>
        <sz val="10"/>
        <color theme="0"/>
        <rFont val="Century Gothic"/>
        <family val="2"/>
      </rPr>
      <t>x</t>
    </r>
  </si>
  <si>
    <r>
      <t>(aw)</t>
    </r>
    <r>
      <rPr>
        <vertAlign val="subscript"/>
        <sz val="10"/>
        <color theme="0"/>
        <rFont val="Century Gothic"/>
        <family val="2"/>
      </rPr>
      <t>x</t>
    </r>
  </si>
  <si>
    <r>
      <t>(al)</t>
    </r>
    <r>
      <rPr>
        <vertAlign val="subscript"/>
        <sz val="10"/>
        <color theme="0"/>
        <rFont val="Century Gothic"/>
        <family val="2"/>
      </rPr>
      <t>x+1</t>
    </r>
  </si>
  <si>
    <t>Deaths uniform throughout the year</t>
  </si>
  <si>
    <t>Withdrawals at end of year</t>
  </si>
  <si>
    <r>
      <t>(ap)</t>
    </r>
    <r>
      <rPr>
        <vertAlign val="subscript"/>
        <sz val="10"/>
        <color theme="0"/>
        <rFont val="Century Gothic"/>
        <family val="2"/>
      </rPr>
      <t>x</t>
    </r>
  </si>
  <si>
    <t>This is best estimate basis</t>
  </si>
  <si>
    <t>in year 2</t>
  </si>
  <si>
    <t>Liability</t>
  </si>
  <si>
    <t>Profit</t>
  </si>
  <si>
    <t>Realistic basis</t>
  </si>
  <si>
    <t>Premiums (boy)</t>
  </si>
  <si>
    <t>Claims (eoy)</t>
  </si>
  <si>
    <t>Cash flow ex. Interest (eoy)</t>
  </si>
  <si>
    <r>
      <rPr>
        <sz val="10"/>
        <rFont val="Century Gothic"/>
        <family val="2"/>
      </rPr>
      <t xml:space="preserve">Attained Age ( </t>
    </r>
    <r>
      <rPr>
        <i/>
        <sz val="10"/>
        <rFont val="Century Gothic"/>
        <family val="2"/>
      </rPr>
      <t xml:space="preserve">x </t>
    </r>
    <r>
      <rPr>
        <sz val="10"/>
        <rFont val="Century Gothic"/>
        <family val="2"/>
      </rPr>
      <t>)</t>
    </r>
  </si>
  <si>
    <r>
      <rPr>
        <i/>
        <sz val="10"/>
        <rFont val="Century Gothic"/>
        <family val="2"/>
      </rPr>
      <t>qx</t>
    </r>
  </si>
  <si>
    <t>Notes</t>
  </si>
  <si>
    <t>Data</t>
  </si>
  <si>
    <t>There is one policyholder.</t>
  </si>
  <si>
    <t>The mortality rates for IA95_97 Ult Male are in the following table.</t>
  </si>
  <si>
    <t>Assumptions</t>
  </si>
  <si>
    <t>Policy data is in the 'Data' worksheet.</t>
  </si>
  <si>
    <t>Assumptions for different bases are in the 'Assumptions' worksheet.</t>
  </si>
  <si>
    <t>Stepped premium loading</t>
  </si>
  <si>
    <t>Interest</t>
  </si>
  <si>
    <t>Assumptions:</t>
  </si>
  <si>
    <t>Profit % Prem</t>
  </si>
  <si>
    <t>Cash flows</t>
  </si>
  <si>
    <t>Best estimate liability before profit margin</t>
  </si>
  <si>
    <t>Value of future premiums</t>
  </si>
  <si>
    <t>End of Year</t>
  </si>
  <si>
    <t>Value of expected future profit margins</t>
  </si>
  <si>
    <t>Profit Margin</t>
  </si>
  <si>
    <t>Acquisition expense</t>
  </si>
  <si>
    <t>Other Expenses</t>
  </si>
  <si>
    <t>Policy liability</t>
  </si>
  <si>
    <t xml:space="preserve">Adjusting for profit </t>
  </si>
  <si>
    <t>Other expenses</t>
  </si>
  <si>
    <t>Calculation of Policy Liability</t>
  </si>
  <si>
    <t>This worksheet calculates the policy liability and then splits it into parts representing profit deferral and acquisition cost recovery</t>
  </si>
  <si>
    <t>Calculation of Policy Liability, ignoring acquisition expenses</t>
  </si>
  <si>
    <t>Acqusition expense</t>
  </si>
  <si>
    <t xml:space="preserve">The gross margin ignoring acqusiiton costs is </t>
  </si>
  <si>
    <t xml:space="preserve">Acquisition cost margin is </t>
  </si>
  <si>
    <t xml:space="preserve"> -----------</t>
  </si>
  <si>
    <t>Profit margin</t>
  </si>
  <si>
    <t>Table 6.12: Deferral of acquisition costs by adjusting policy liabilities</t>
  </si>
  <si>
    <t>Liability before margins</t>
  </si>
  <si>
    <t>Planned margin (% premium)</t>
  </si>
  <si>
    <t>Gross 21.2%</t>
  </si>
  <si>
    <t>AC recovery -12.3%</t>
  </si>
  <si>
    <t>Net 8.9%</t>
  </si>
  <si>
    <t>Liability with all margins</t>
  </si>
  <si>
    <t>Calculation of liabilities including DAC</t>
  </si>
  <si>
    <t>Acquisiton cost Margin</t>
  </si>
  <si>
    <t>Table 6.13: Profits with and without deferral of acquisiton costs</t>
  </si>
  <si>
    <t>With DAC</t>
  </si>
  <si>
    <t>Without DAC</t>
  </si>
  <si>
    <t>Cash flow projection</t>
  </si>
  <si>
    <t>Premiums</t>
  </si>
  <si>
    <t>Claims</t>
  </si>
  <si>
    <t xml:space="preserve">Acquisition Expenses </t>
  </si>
  <si>
    <t>Ongoing Expenses</t>
  </si>
  <si>
    <t>Net Cash Flow</t>
  </si>
  <si>
    <t>Table 6.11: Deferral of acquisition costs by adjusting policy liabilities — cash flows</t>
  </si>
  <si>
    <t>These results demonstrate the deferral of acquisition costs by adjusting policy liabilities.</t>
  </si>
  <si>
    <t xml:space="preserve">This workbook derives the results shown in Table 6.11, 6.12 and 6.13.  Results are presented in the "Tables" worksheet. </t>
  </si>
  <si>
    <t xml:space="preserve">Cash flows are in the 'Cash flows' worksheet. </t>
  </si>
  <si>
    <t xml:space="preserve">The "Adjusted policy liability' worksheet calculates the policy liability and then splits it into parts representing profit deferral and acquisition cost recovery. </t>
  </si>
  <si>
    <t xml:space="preserve">Note the spreadsheet approach to calculating best estimate liabilities is to start with the final period, then work backwards through prior periods. </t>
  </si>
  <si>
    <t xml:space="preserve">The information in cells B3 to B6 is used in the premium calculation. The stepped premium loading is a loading applied to the theoretical risk premium to calculate the premium payable. </t>
  </si>
  <si>
    <t>The theoretical risk premium is based on the mortality rate for the age and gender as shown. The loading was obtained by trial and error to produce the required profit margin for the example</t>
  </si>
  <si>
    <t>BEL</t>
  </si>
  <si>
    <t>Vinc</t>
  </si>
  <si>
    <t>check</t>
  </si>
  <si>
    <t>Profit Margin ignoring acquisition expenses</t>
  </si>
  <si>
    <t>DAC written-off margin should be negative</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</si>
</sst>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6" formatCode="&quot;$&quot;#,##0_);[Red]\(&quot;$&quot;#,##0\)"/>
    <numFmt numFmtId="164" formatCode="###0;###0"/>
    <numFmt numFmtId="165" formatCode="###0.00000;###0.00000"/>
    <numFmt numFmtId="166" formatCode="0.00000"/>
    <numFmt numFmtId="167" formatCode="&quot;$&quot;#,##0"/>
    <numFmt numFmtId="168" formatCode="#,##0.00;[Red]\(#,##0.00\)"/>
    <numFmt numFmtId="169" formatCode="0.0%"/>
    <numFmt numFmtId="170" formatCode="&quot;$&quot;#,##0.00"/>
    <numFmt numFmtId="171" formatCode="0.0"/>
    <numFmt numFmtId="174" formatCode="&quot;$&quot;#,##0.0"/>
  </numFmts>
  <fonts count="21" x14ac:knownFonts="1">
    <font>
      <sz val="11"/>
      <color theme="1"/>
      <name val="Calibri"/>
      <family val="2"/>
      <scheme val="minor"/>
    </font>
    <font>
      <b/>
      <sz val="11"/>
      <color theme="1"/>
      <name val="Century Gothic"/>
      <family val="2"/>
    </font>
    <font>
      <sz val="10"/>
      <color theme="1"/>
      <name val="Century Gothic"/>
      <family val="2"/>
    </font>
    <font>
      <b/>
      <sz val="10"/>
      <color theme="1"/>
      <name val="Century Gothic"/>
      <family val="2"/>
    </font>
    <font>
      <b/>
      <sz val="10"/>
      <color theme="0"/>
      <name val="Century Gothic"/>
      <family val="2"/>
    </font>
    <font>
      <sz val="10"/>
      <name val="Century Gothic"/>
      <family val="2"/>
    </font>
    <font>
      <sz val="10"/>
      <color theme="0"/>
      <name val="Century Gothic"/>
      <family val="2"/>
    </font>
    <font>
      <vertAlign val="subscript"/>
      <sz val="10"/>
      <color theme="0"/>
      <name val="Century Gothic"/>
      <family val="2"/>
    </font>
    <font>
      <i/>
      <sz val="10"/>
      <name val="Century Gothic"/>
      <family val="2"/>
    </font>
    <font>
      <sz val="10"/>
      <color rgb="FF000000"/>
      <name val="Century Gothic"/>
      <family val="2"/>
    </font>
    <font>
      <sz val="10"/>
      <color rgb="FF00B050"/>
      <name val="Century Gothic"/>
      <family val="2"/>
    </font>
    <font>
      <b/>
      <sz val="10"/>
      <color rgb="FFFFFFFF"/>
      <name val="Century Gothic"/>
      <family val="2"/>
    </font>
    <font>
      <b/>
      <sz val="10"/>
      <color rgb="FF0098D0"/>
      <name val="Century Gothic"/>
      <family val="2"/>
    </font>
    <font>
      <b/>
      <sz val="9"/>
      <color rgb="FFFFFFFF"/>
      <name val="Century Gothic"/>
      <family val="2"/>
    </font>
    <font>
      <sz val="10"/>
      <color rgb="FF0070C0"/>
      <name val="Century Gothic"/>
      <family val="2"/>
    </font>
    <font>
      <sz val="10"/>
      <color rgb="FFFFFFFF"/>
      <name val="Century Gothic"/>
      <family val="2"/>
    </font>
    <font>
      <sz val="11"/>
      <color theme="1"/>
      <name val="Calibri"/>
      <family val="2"/>
      <scheme val="minor"/>
    </font>
    <font>
      <b/>
      <i/>
      <sz val="11"/>
      <color theme="1"/>
      <name val="Calibri"/>
      <family val="2"/>
      <scheme val="minor"/>
    </font>
    <font>
      <i/>
      <sz val="11"/>
      <color theme="1"/>
      <name val="Calibri"/>
      <family val="2"/>
      <scheme val="minor"/>
    </font>
    <font>
      <sz val="11"/>
      <color rgb="FFC00000"/>
      <name val="Calibri"/>
      <family val="2"/>
      <scheme val="minor"/>
    </font>
    <font>
      <i/>
      <sz val="11"/>
      <color rgb="FFC00000"/>
      <name val="Calibri"/>
      <family val="2"/>
      <scheme val="minor"/>
    </font>
  </fonts>
  <fills count="10">
    <fill>
      <patternFill patternType="none"/>
    </fill>
    <fill>
      <patternFill patternType="gray125"/>
    </fill>
    <fill>
      <patternFill patternType="solid">
        <fgColor rgb="FFCCCCCC"/>
      </patternFill>
    </fill>
    <fill>
      <patternFill patternType="solid">
        <fgColor rgb="FF0070C0"/>
        <bgColor indexed="64"/>
      </patternFill>
    </fill>
    <fill>
      <patternFill patternType="solid">
        <fgColor rgb="FF0098CD"/>
        <bgColor indexed="64"/>
      </patternFill>
    </fill>
    <fill>
      <patternFill patternType="solid">
        <fgColor rgb="FFCCEAF6"/>
        <bgColor indexed="64"/>
      </patternFill>
    </fill>
    <fill>
      <patternFill patternType="solid">
        <fgColor rgb="FF99D6EC"/>
        <bgColor indexed="64"/>
      </patternFill>
    </fill>
    <fill>
      <patternFill patternType="solid">
        <fgColor rgb="FF0079A7"/>
        <bgColor indexed="64"/>
      </patternFill>
    </fill>
    <fill>
      <patternFill patternType="solid">
        <fgColor rgb="FF92D050"/>
        <bgColor indexed="64"/>
      </patternFill>
    </fill>
    <fill>
      <patternFill patternType="solid">
        <fgColor theme="4" tint="0.79998168889431442"/>
        <bgColor indexed="64"/>
      </patternFill>
    </fill>
  </fills>
  <borders count="33">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rgb="FF000000"/>
      </top>
      <bottom style="thin">
        <color rgb="FF000000"/>
      </bottom>
      <diagonal/>
    </border>
    <border>
      <left/>
      <right style="thin">
        <color indexed="64"/>
      </right>
      <top style="thin">
        <color rgb="FF000000"/>
      </top>
      <bottom style="thin">
        <color rgb="FF000000"/>
      </bottom>
      <diagonal/>
    </border>
    <border>
      <left style="thin">
        <color indexed="64"/>
      </left>
      <right/>
      <top style="thin">
        <color rgb="FF000000"/>
      </top>
      <bottom/>
      <diagonal/>
    </border>
    <border>
      <left/>
      <right style="thin">
        <color indexed="64"/>
      </right>
      <top style="thin">
        <color rgb="FF000000"/>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theme="0"/>
      </right>
      <top/>
      <bottom/>
      <diagonal/>
    </border>
    <border>
      <left style="thin">
        <color theme="0"/>
      </left>
      <right/>
      <top/>
      <bottom/>
      <diagonal/>
    </border>
    <border>
      <left/>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style="thin">
        <color theme="0"/>
      </left>
      <right/>
      <top/>
      <bottom style="thin">
        <color theme="0"/>
      </bottom>
      <diagonal/>
    </border>
    <border>
      <left/>
      <right style="thin">
        <color theme="0"/>
      </right>
      <top/>
      <bottom style="thin">
        <color theme="0"/>
      </bottom>
      <diagonal/>
    </border>
    <border>
      <left/>
      <right/>
      <top/>
      <bottom style="thin">
        <color theme="0"/>
      </bottom>
      <diagonal/>
    </border>
    <border>
      <left style="thin">
        <color theme="0"/>
      </left>
      <right style="thin">
        <color theme="0"/>
      </right>
      <top/>
      <bottom/>
      <diagonal/>
    </border>
    <border>
      <left style="thin">
        <color theme="1"/>
      </left>
      <right style="thin">
        <color theme="1"/>
      </right>
      <top style="thin">
        <color theme="1"/>
      </top>
      <bottom style="thin">
        <color theme="1"/>
      </bottom>
      <diagonal/>
    </border>
    <border>
      <left style="thin">
        <color theme="0"/>
      </left>
      <right style="thin">
        <color theme="0"/>
      </right>
      <top/>
      <bottom style="thin">
        <color theme="0"/>
      </bottom>
      <diagonal/>
    </border>
    <border>
      <left style="thin">
        <color indexed="64"/>
      </left>
      <right style="thin">
        <color theme="0"/>
      </right>
      <top/>
      <bottom/>
      <diagonal/>
    </border>
  </borders>
  <cellStyleXfs count="2">
    <xf numFmtId="0" fontId="0" fillId="0" borderId="0"/>
    <xf numFmtId="9" fontId="16" fillId="0" borderId="0" applyFont="0" applyFill="0" applyBorder="0" applyAlignment="0" applyProtection="0"/>
  </cellStyleXfs>
  <cellXfs count="113">
    <xf numFmtId="0" fontId="0" fillId="0" borderId="0" xfId="0"/>
    <xf numFmtId="0" fontId="1" fillId="0" borderId="0" xfId="0" applyFont="1"/>
    <xf numFmtId="0" fontId="2" fillId="0" borderId="0" xfId="0" applyFont="1"/>
    <xf numFmtId="0" fontId="3" fillId="0" borderId="0" xfId="0" applyFont="1"/>
    <xf numFmtId="0" fontId="5" fillId="0" borderId="1" xfId="0" applyFont="1" applyBorder="1"/>
    <xf numFmtId="0" fontId="2" fillId="2" borderId="6" xfId="0" applyFont="1" applyFill="1" applyBorder="1" applyAlignment="1">
      <alignment vertical="top" wrapText="1"/>
    </xf>
    <xf numFmtId="0" fontId="6" fillId="3" borderId="17" xfId="0" applyFont="1" applyFill="1" applyBorder="1" applyAlignment="1">
      <alignment horizontal="center"/>
    </xf>
    <xf numFmtId="0" fontId="2" fillId="0" borderId="17" xfId="0" applyFont="1" applyBorder="1"/>
    <xf numFmtId="166" fontId="2" fillId="0" borderId="17" xfId="0" applyNumberFormat="1" applyFont="1" applyBorder="1"/>
    <xf numFmtId="0" fontId="2" fillId="0" borderId="2" xfId="0" applyFont="1" applyBorder="1"/>
    <xf numFmtId="0" fontId="2" fillId="0" borderId="3" xfId="0" applyFont="1" applyFill="1" applyBorder="1" applyAlignment="1">
      <alignment horizontal="left" vertical="top" wrapText="1"/>
    </xf>
    <xf numFmtId="0" fontId="2" fillId="0" borderId="4" xfId="0" applyFont="1" applyFill="1" applyBorder="1" applyAlignment="1">
      <alignment vertical="top" wrapText="1"/>
    </xf>
    <xf numFmtId="164" fontId="9" fillId="0" borderId="5" xfId="0" applyNumberFormat="1" applyFont="1" applyFill="1" applyBorder="1" applyAlignment="1">
      <alignment horizontal="center" vertical="top" wrapText="1"/>
    </xf>
    <xf numFmtId="164" fontId="9" fillId="0" borderId="7" xfId="0" applyNumberFormat="1" applyFont="1" applyFill="1" applyBorder="1" applyAlignment="1">
      <alignment horizontal="center" vertical="top" wrapText="1"/>
    </xf>
    <xf numFmtId="0" fontId="2" fillId="2" borderId="8" xfId="0" applyFont="1" applyFill="1" applyBorder="1" applyAlignment="1">
      <alignment vertical="top" wrapText="1"/>
    </xf>
    <xf numFmtId="164" fontId="9" fillId="0" borderId="9" xfId="0" applyNumberFormat="1" applyFont="1" applyFill="1" applyBorder="1" applyAlignment="1">
      <alignment horizontal="center" vertical="top" wrapText="1"/>
    </xf>
    <xf numFmtId="164" fontId="9" fillId="0" borderId="11" xfId="0" applyNumberFormat="1" applyFont="1" applyFill="1" applyBorder="1" applyAlignment="1">
      <alignment horizontal="center" vertical="top" wrapText="1"/>
    </xf>
    <xf numFmtId="164" fontId="9" fillId="0" borderId="13" xfId="0" applyNumberFormat="1" applyFont="1" applyFill="1" applyBorder="1" applyAlignment="1">
      <alignment horizontal="center" vertical="top" wrapText="1"/>
    </xf>
    <xf numFmtId="164" fontId="9" fillId="0" borderId="15" xfId="0" applyNumberFormat="1" applyFont="1" applyFill="1" applyBorder="1" applyAlignment="1">
      <alignment horizontal="center" vertical="top" wrapText="1"/>
    </xf>
    <xf numFmtId="167" fontId="2" fillId="0" borderId="17" xfId="0" applyNumberFormat="1" applyFont="1" applyBorder="1" applyAlignment="1">
      <alignment horizontal="center"/>
    </xf>
    <xf numFmtId="167" fontId="2" fillId="0" borderId="19" xfId="0" applyNumberFormat="1" applyFont="1" applyBorder="1" applyAlignment="1">
      <alignment horizontal="center"/>
    </xf>
    <xf numFmtId="168" fontId="2" fillId="0" borderId="0" xfId="0" applyNumberFormat="1" applyFont="1"/>
    <xf numFmtId="0" fontId="10" fillId="0" borderId="0" xfId="0" applyFont="1"/>
    <xf numFmtId="6" fontId="10" fillId="0" borderId="0" xfId="0" applyNumberFormat="1" applyFont="1"/>
    <xf numFmtId="165" fontId="10" fillId="0" borderId="8" xfId="0" applyNumberFormat="1" applyFont="1" applyFill="1" applyBorder="1" applyAlignment="1">
      <alignment vertical="top" wrapText="1"/>
    </xf>
    <xf numFmtId="165" fontId="10" fillId="0" borderId="10" xfId="0" applyNumberFormat="1" applyFont="1" applyFill="1" applyBorder="1" applyAlignment="1">
      <alignment vertical="top" wrapText="1"/>
    </xf>
    <xf numFmtId="165" fontId="10" fillId="0" borderId="12" xfId="0" applyNumberFormat="1" applyFont="1" applyFill="1" applyBorder="1" applyAlignment="1">
      <alignment horizontal="right" vertical="top" wrapText="1"/>
    </xf>
    <xf numFmtId="165" fontId="10" fillId="0" borderId="14" xfId="0" applyNumberFormat="1" applyFont="1" applyFill="1" applyBorder="1" applyAlignment="1">
      <alignment horizontal="right" vertical="top" wrapText="1"/>
    </xf>
    <xf numFmtId="165" fontId="10" fillId="0" borderId="16" xfId="0" applyNumberFormat="1" applyFont="1" applyFill="1" applyBorder="1" applyAlignment="1">
      <alignment horizontal="right" vertical="top" wrapText="1"/>
    </xf>
    <xf numFmtId="0" fontId="10" fillId="0" borderId="0" xfId="0" applyFont="1" applyAlignment="1">
      <alignment horizontal="right"/>
    </xf>
    <xf numFmtId="0" fontId="12" fillId="0" borderId="0" xfId="0" applyFont="1" applyAlignment="1">
      <alignment vertical="center"/>
    </xf>
    <xf numFmtId="0" fontId="6" fillId="3" borderId="19" xfId="0" applyFont="1" applyFill="1" applyBorder="1" applyAlignment="1">
      <alignment horizontal="left"/>
    </xf>
    <xf numFmtId="0" fontId="6" fillId="3" borderId="19" xfId="0" applyFont="1" applyFill="1" applyBorder="1" applyAlignment="1">
      <alignment horizontal="left" wrapText="1"/>
    </xf>
    <xf numFmtId="0" fontId="14" fillId="0" borderId="0" xfId="0" applyFont="1"/>
    <xf numFmtId="9" fontId="14" fillId="0" borderId="0" xfId="0" applyNumberFormat="1" applyFont="1"/>
    <xf numFmtId="6" fontId="14" fillId="0" borderId="0" xfId="0" applyNumberFormat="1" applyFont="1"/>
    <xf numFmtId="169" fontId="10" fillId="0" borderId="0" xfId="0" applyNumberFormat="1" applyFont="1"/>
    <xf numFmtId="0" fontId="2" fillId="0" borderId="0" xfId="0" applyFont="1" applyAlignment="1"/>
    <xf numFmtId="169" fontId="9" fillId="5" borderId="0" xfId="0" applyNumberFormat="1" applyFont="1" applyFill="1" applyBorder="1" applyAlignment="1">
      <alignment horizontal="center" vertical="center"/>
    </xf>
    <xf numFmtId="0" fontId="2" fillId="0" borderId="0" xfId="0" applyFont="1" applyBorder="1"/>
    <xf numFmtId="167" fontId="2" fillId="0" borderId="0" xfId="0" applyNumberFormat="1" applyFont="1" applyBorder="1" applyAlignment="1">
      <alignment horizontal="center"/>
    </xf>
    <xf numFmtId="0" fontId="6" fillId="3" borderId="19" xfId="0" applyFont="1" applyFill="1" applyBorder="1" applyAlignment="1">
      <alignment horizontal="center" wrapText="1"/>
    </xf>
    <xf numFmtId="10" fontId="0" fillId="0" borderId="0" xfId="0" applyNumberFormat="1"/>
    <xf numFmtId="1" fontId="9" fillId="5" borderId="0" xfId="0" applyNumberFormat="1" applyFont="1" applyFill="1" applyBorder="1" applyAlignment="1">
      <alignment horizontal="center" vertical="center"/>
    </xf>
    <xf numFmtId="1" fontId="9" fillId="6" borderId="0" xfId="0" applyNumberFormat="1" applyFont="1" applyFill="1" applyBorder="1" applyAlignment="1">
      <alignment horizontal="center" vertical="center"/>
    </xf>
    <xf numFmtId="169" fontId="9" fillId="6" borderId="0" xfId="0" applyNumberFormat="1" applyFont="1" applyFill="1" applyBorder="1" applyAlignment="1">
      <alignment horizontal="center" vertical="center"/>
    </xf>
    <xf numFmtId="0" fontId="9" fillId="5" borderId="7" xfId="0" applyFont="1" applyFill="1" applyBorder="1" applyAlignment="1">
      <alignment horizontal="center" vertical="center"/>
    </xf>
    <xf numFmtId="0" fontId="9" fillId="6" borderId="7" xfId="0" applyFont="1" applyFill="1" applyBorder="1" applyAlignment="1">
      <alignment horizontal="center" vertical="center"/>
    </xf>
    <xf numFmtId="1" fontId="9" fillId="5" borderId="22" xfId="0" applyNumberFormat="1" applyFont="1" applyFill="1" applyBorder="1" applyAlignment="1">
      <alignment horizontal="center" vertical="center"/>
    </xf>
    <xf numFmtId="0" fontId="9" fillId="6" borderId="0" xfId="0" applyFont="1" applyFill="1" applyBorder="1" applyAlignment="1">
      <alignment horizontal="center" vertical="center"/>
    </xf>
    <xf numFmtId="1" fontId="9" fillId="6" borderId="22" xfId="0" applyNumberFormat="1" applyFont="1" applyFill="1" applyBorder="1" applyAlignment="1">
      <alignment horizontal="center" vertical="center"/>
    </xf>
    <xf numFmtId="170" fontId="2" fillId="0" borderId="17" xfId="0" applyNumberFormat="1" applyFont="1" applyBorder="1" applyAlignment="1">
      <alignment horizontal="center"/>
    </xf>
    <xf numFmtId="0" fontId="6" fillId="3" borderId="24" xfId="0" applyFont="1" applyFill="1" applyBorder="1" applyAlignment="1">
      <alignment horizontal="center" wrapText="1"/>
    </xf>
    <xf numFmtId="3" fontId="2" fillId="0" borderId="17" xfId="0" applyNumberFormat="1" applyFont="1" applyBorder="1" applyAlignment="1">
      <alignment horizontal="center"/>
    </xf>
    <xf numFmtId="169" fontId="0" fillId="0" borderId="0" xfId="0" applyNumberFormat="1"/>
    <xf numFmtId="0" fontId="9" fillId="5" borderId="0" xfId="0" applyFont="1" applyFill="1" applyBorder="1" applyAlignment="1">
      <alignment horizontal="center" vertical="center"/>
    </xf>
    <xf numFmtId="1" fontId="9" fillId="5" borderId="21" xfId="0" applyNumberFormat="1" applyFont="1" applyFill="1" applyBorder="1" applyAlignment="1">
      <alignment horizontal="center" vertical="center"/>
    </xf>
    <xf numFmtId="1" fontId="9" fillId="6" borderId="21" xfId="0" applyNumberFormat="1" applyFont="1" applyFill="1" applyBorder="1" applyAlignment="1">
      <alignment horizontal="center" vertical="center"/>
    </xf>
    <xf numFmtId="1" fontId="9" fillId="6" borderId="26" xfId="0" applyNumberFormat="1" applyFont="1" applyFill="1" applyBorder="1" applyAlignment="1">
      <alignment horizontal="center" vertical="center"/>
    </xf>
    <xf numFmtId="1" fontId="9" fillId="6" borderId="27" xfId="0" applyNumberFormat="1" applyFont="1" applyFill="1" applyBorder="1" applyAlignment="1">
      <alignment horizontal="center" vertical="center"/>
    </xf>
    <xf numFmtId="0" fontId="15" fillId="8" borderId="22" xfId="0" applyFont="1" applyFill="1" applyBorder="1" applyAlignment="1">
      <alignment horizontal="center" vertical="center" wrapText="1"/>
    </xf>
    <xf numFmtId="0" fontId="15" fillId="8" borderId="0" xfId="0" applyFont="1" applyFill="1" applyBorder="1" applyAlignment="1">
      <alignment horizontal="center" vertical="center" wrapText="1"/>
    </xf>
    <xf numFmtId="0" fontId="15" fillId="8" borderId="21" xfId="0" applyFont="1" applyFill="1" applyBorder="1" applyAlignment="1">
      <alignment horizontal="center" vertical="center" wrapText="1"/>
    </xf>
    <xf numFmtId="1" fontId="9" fillId="6" borderId="28" xfId="0" applyNumberFormat="1" applyFont="1" applyFill="1" applyBorder="1" applyAlignment="1">
      <alignment horizontal="center" vertical="center"/>
    </xf>
    <xf numFmtId="0" fontId="6" fillId="3" borderId="7" xfId="0" applyFont="1" applyFill="1" applyBorder="1" applyAlignment="1">
      <alignment horizontal="center" wrapText="1"/>
    </xf>
    <xf numFmtId="3" fontId="0" fillId="0" borderId="30" xfId="0" applyNumberFormat="1" applyBorder="1"/>
    <xf numFmtId="171" fontId="9" fillId="6" borderId="0" xfId="0" applyNumberFormat="1" applyFont="1" applyFill="1" applyBorder="1" applyAlignment="1">
      <alignment horizontal="center" vertical="center"/>
    </xf>
    <xf numFmtId="171" fontId="9" fillId="5" borderId="0" xfId="0" applyNumberFormat="1" applyFont="1" applyFill="1" applyBorder="1" applyAlignment="1">
      <alignment horizontal="center" vertical="center"/>
    </xf>
    <xf numFmtId="1" fontId="9" fillId="6" borderId="29" xfId="0" applyNumberFormat="1" applyFont="1" applyFill="1" applyBorder="1" applyAlignment="1">
      <alignment horizontal="center" vertical="center"/>
    </xf>
    <xf numFmtId="1" fontId="9" fillId="5" borderId="29" xfId="0" applyNumberFormat="1" applyFont="1" applyFill="1" applyBorder="1" applyAlignment="1">
      <alignment horizontal="center" vertical="center"/>
    </xf>
    <xf numFmtId="1" fontId="9" fillId="6" borderId="31" xfId="0" applyNumberFormat="1" applyFont="1" applyFill="1" applyBorder="1" applyAlignment="1">
      <alignment horizontal="center" vertical="center"/>
    </xf>
    <xf numFmtId="0" fontId="0" fillId="0" borderId="22" xfId="0" applyBorder="1"/>
    <xf numFmtId="0" fontId="11" fillId="8" borderId="0" xfId="0" applyFont="1" applyFill="1" applyBorder="1" applyAlignment="1">
      <alignment horizontal="center" vertical="center" wrapText="1"/>
    </xf>
    <xf numFmtId="0" fontId="0" fillId="0" borderId="0" xfId="0" applyBorder="1"/>
    <xf numFmtId="0" fontId="9" fillId="6" borderId="32" xfId="0" applyFont="1" applyFill="1" applyBorder="1" applyAlignment="1">
      <alignment horizontal="center" vertical="center"/>
    </xf>
    <xf numFmtId="171" fontId="9" fillId="5" borderId="22" xfId="0" applyNumberFormat="1" applyFont="1" applyFill="1" applyBorder="1" applyAlignment="1">
      <alignment horizontal="center" vertical="center"/>
    </xf>
    <xf numFmtId="171" fontId="9" fillId="6" borderId="22" xfId="0" applyNumberFormat="1" applyFont="1" applyFill="1" applyBorder="1" applyAlignment="1">
      <alignment horizontal="center" vertical="center"/>
    </xf>
    <xf numFmtId="0" fontId="13" fillId="7" borderId="7" xfId="0" applyFont="1" applyFill="1" applyBorder="1" applyAlignment="1">
      <alignment vertical="center" wrapText="1"/>
    </xf>
    <xf numFmtId="0" fontId="11" fillId="8" borderId="22" xfId="0" applyFont="1" applyFill="1" applyBorder="1" applyAlignment="1">
      <alignment horizontal="center" vertical="center" wrapText="1"/>
    </xf>
    <xf numFmtId="169" fontId="9" fillId="5" borderId="21" xfId="0" applyNumberFormat="1" applyFont="1" applyFill="1" applyBorder="1" applyAlignment="1">
      <alignment horizontal="center" vertical="center"/>
    </xf>
    <xf numFmtId="0" fontId="9" fillId="5" borderId="32" xfId="0" applyFont="1" applyFill="1" applyBorder="1" applyAlignment="1">
      <alignment horizontal="center" vertical="center"/>
    </xf>
    <xf numFmtId="0" fontId="2" fillId="0" borderId="0" xfId="0" applyFont="1" applyAlignment="1">
      <alignment wrapText="1"/>
    </xf>
    <xf numFmtId="0" fontId="13" fillId="7" borderId="1" xfId="0" applyFont="1" applyFill="1" applyBorder="1" applyAlignment="1">
      <alignment vertical="center" wrapText="1"/>
    </xf>
    <xf numFmtId="0" fontId="13" fillId="7" borderId="0" xfId="0" applyFont="1" applyFill="1" applyBorder="1" applyAlignment="1">
      <alignment horizontal="center" vertical="center" wrapText="1"/>
    </xf>
    <xf numFmtId="0" fontId="13" fillId="7" borderId="8" xfId="0" applyFont="1" applyFill="1" applyBorder="1" applyAlignment="1">
      <alignment horizontal="center" vertical="center" wrapText="1"/>
    </xf>
    <xf numFmtId="0" fontId="9" fillId="0" borderId="0" xfId="0" applyFont="1" applyAlignment="1">
      <alignment vertical="center" wrapText="1"/>
    </xf>
    <xf numFmtId="0" fontId="3" fillId="0" borderId="18" xfId="0" applyFont="1" applyBorder="1" applyAlignment="1">
      <alignment horizontal="center"/>
    </xf>
    <xf numFmtId="0" fontId="3" fillId="0" borderId="23" xfId="0" applyFont="1" applyBorder="1" applyAlignment="1">
      <alignment horizontal="center"/>
    </xf>
    <xf numFmtId="0" fontId="3" fillId="0" borderId="20" xfId="0" applyFont="1" applyBorder="1" applyAlignment="1">
      <alignment horizontal="center"/>
    </xf>
    <xf numFmtId="0" fontId="6" fillId="3" borderId="9" xfId="0" applyFont="1" applyFill="1" applyBorder="1" applyAlignment="1">
      <alignment horizontal="center" wrapText="1"/>
    </xf>
    <xf numFmtId="0" fontId="6" fillId="3" borderId="25" xfId="0" applyFont="1" applyFill="1" applyBorder="1" applyAlignment="1">
      <alignment horizontal="center" wrapText="1"/>
    </xf>
    <xf numFmtId="0" fontId="6" fillId="3" borderId="10" xfId="0" applyFont="1" applyFill="1" applyBorder="1" applyAlignment="1">
      <alignment horizontal="center" wrapText="1"/>
    </xf>
    <xf numFmtId="0" fontId="13" fillId="7" borderId="0" xfId="0" applyFont="1" applyFill="1" applyBorder="1" applyAlignment="1">
      <alignment horizontal="center" vertical="center" wrapText="1"/>
    </xf>
    <xf numFmtId="0" fontId="13" fillId="7" borderId="7" xfId="0" applyFont="1" applyFill="1" applyBorder="1" applyAlignment="1">
      <alignment vertical="center" wrapText="1"/>
    </xf>
    <xf numFmtId="0" fontId="11" fillId="4" borderId="22" xfId="0" applyFont="1" applyFill="1" applyBorder="1" applyAlignment="1">
      <alignment horizontal="center" vertical="center" wrapText="1"/>
    </xf>
    <xf numFmtId="0" fontId="11" fillId="4" borderId="0" xfId="0" applyFont="1" applyFill="1" applyBorder="1" applyAlignment="1">
      <alignment horizontal="center" vertical="center" wrapText="1"/>
    </xf>
    <xf numFmtId="0" fontId="11" fillId="4" borderId="21" xfId="0" applyFont="1" applyFill="1" applyBorder="1" applyAlignment="1">
      <alignment horizontal="center" vertical="center" wrapText="1"/>
    </xf>
    <xf numFmtId="0" fontId="11" fillId="4" borderId="22" xfId="0" applyFont="1" applyFill="1" applyBorder="1" applyAlignment="1">
      <alignment horizontal="center" vertical="center"/>
    </xf>
    <xf numFmtId="0" fontId="11" fillId="4" borderId="0" xfId="0" applyFont="1" applyFill="1" applyBorder="1" applyAlignment="1">
      <alignment horizontal="center" vertical="center"/>
    </xf>
    <xf numFmtId="0" fontId="15" fillId="8" borderId="22" xfId="0" applyFont="1" applyFill="1" applyBorder="1" applyAlignment="1">
      <alignment horizontal="center" vertical="center" wrapText="1"/>
    </xf>
    <xf numFmtId="0" fontId="15" fillId="8" borderId="21" xfId="0" applyFont="1" applyFill="1" applyBorder="1" applyAlignment="1">
      <alignment horizontal="center" vertical="center" wrapText="1"/>
    </xf>
    <xf numFmtId="0" fontId="15" fillId="8" borderId="22" xfId="0" applyFont="1" applyFill="1" applyBorder="1" applyAlignment="1">
      <alignment horizontal="center" vertical="center"/>
    </xf>
    <xf numFmtId="0" fontId="15" fillId="8" borderId="0" xfId="0" applyFont="1" applyFill="1" applyBorder="1" applyAlignment="1">
      <alignment horizontal="center" vertical="center"/>
    </xf>
    <xf numFmtId="0" fontId="15" fillId="8" borderId="29" xfId="0" applyFont="1" applyFill="1" applyBorder="1" applyAlignment="1">
      <alignment horizontal="center" vertical="center" wrapText="1"/>
    </xf>
    <xf numFmtId="0" fontId="4" fillId="3" borderId="0" xfId="0" applyFont="1" applyFill="1" applyBorder="1" applyAlignment="1">
      <alignment horizontal="center"/>
    </xf>
    <xf numFmtId="0" fontId="17" fillId="0" borderId="0" xfId="0" applyFont="1"/>
    <xf numFmtId="0" fontId="6" fillId="3" borderId="17" xfId="0" applyFont="1" applyFill="1" applyBorder="1" applyAlignment="1">
      <alignment horizontal="center" vertical="center" wrapText="1"/>
    </xf>
    <xf numFmtId="174" fontId="2" fillId="0" borderId="17" xfId="0" applyNumberFormat="1" applyFont="1" applyBorder="1" applyAlignment="1">
      <alignment horizontal="center"/>
    </xf>
    <xf numFmtId="10" fontId="18" fillId="0" borderId="0" xfId="1" applyNumberFormat="1" applyFont="1"/>
    <xf numFmtId="0" fontId="0" fillId="0" borderId="25" xfId="0" applyBorder="1" applyAlignment="1">
      <alignment horizontal="left"/>
    </xf>
    <xf numFmtId="169" fontId="19" fillId="0" borderId="0" xfId="0" applyNumberFormat="1" applyFont="1"/>
    <xf numFmtId="0" fontId="0" fillId="9" borderId="0" xfId="0" applyFill="1"/>
    <xf numFmtId="0" fontId="20" fillId="0" borderId="0" xfId="0"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heetViews>
  <sheetFormatPr defaultRowHeight="13.5" x14ac:dyDescent="0.25"/>
  <cols>
    <col min="1" max="1" width="123.5703125" style="2" customWidth="1"/>
    <col min="2" max="16384" width="9.140625" style="2"/>
  </cols>
  <sheetData>
    <row r="1" spans="1:1" ht="15" x14ac:dyDescent="0.25">
      <c r="A1" s="1" t="s">
        <v>46</v>
      </c>
    </row>
    <row r="2" spans="1:1" x14ac:dyDescent="0.25">
      <c r="A2" s="85" t="s">
        <v>96</v>
      </c>
    </row>
    <row r="3" spans="1:1" x14ac:dyDescent="0.25">
      <c r="A3" s="85" t="s">
        <v>95</v>
      </c>
    </row>
    <row r="4" spans="1:1" x14ac:dyDescent="0.25">
      <c r="A4" s="85" t="s">
        <v>51</v>
      </c>
    </row>
    <row r="5" spans="1:1" x14ac:dyDescent="0.25">
      <c r="A5" s="85" t="s">
        <v>52</v>
      </c>
    </row>
    <row r="6" spans="1:1" x14ac:dyDescent="0.25">
      <c r="A6" s="85" t="s">
        <v>97</v>
      </c>
    </row>
    <row r="7" spans="1:1" ht="27" x14ac:dyDescent="0.25">
      <c r="A7" s="85" t="s">
        <v>98</v>
      </c>
    </row>
    <row r="8" spans="1:1" ht="27" x14ac:dyDescent="0.25">
      <c r="A8" s="81" t="s">
        <v>99</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2"/>
  <sheetViews>
    <sheetView workbookViewId="0"/>
  </sheetViews>
  <sheetFormatPr defaultRowHeight="13.5" x14ac:dyDescent="0.25"/>
  <cols>
    <col min="1" max="1" width="27.7109375" style="2" customWidth="1"/>
    <col min="2" max="2" width="10.28515625" style="2" bestFit="1" customWidth="1"/>
    <col min="3" max="16384" width="9.140625" style="2"/>
  </cols>
  <sheetData>
    <row r="1" spans="1:2" ht="15" x14ac:dyDescent="0.25">
      <c r="A1" s="1" t="s">
        <v>47</v>
      </c>
    </row>
    <row r="2" spans="1:2" x14ac:dyDescent="0.25">
      <c r="A2" s="2" t="s">
        <v>48</v>
      </c>
    </row>
    <row r="3" spans="1:2" x14ac:dyDescent="0.25">
      <c r="A3" s="2" t="s">
        <v>19</v>
      </c>
      <c r="B3" s="29" t="s">
        <v>20</v>
      </c>
    </row>
    <row r="4" spans="1:2" x14ac:dyDescent="0.25">
      <c r="A4" s="2" t="s">
        <v>21</v>
      </c>
      <c r="B4" s="22">
        <v>45</v>
      </c>
    </row>
    <row r="5" spans="1:2" x14ac:dyDescent="0.25">
      <c r="A5" s="2" t="s">
        <v>22</v>
      </c>
      <c r="B5" s="23">
        <v>400000</v>
      </c>
    </row>
    <row r="6" spans="1:2" x14ac:dyDescent="0.25">
      <c r="A6" s="2" t="s">
        <v>53</v>
      </c>
      <c r="B6" s="36">
        <v>0.32364999999999999</v>
      </c>
    </row>
    <row r="7" spans="1:2" x14ac:dyDescent="0.25">
      <c r="A7" s="37" t="s">
        <v>100</v>
      </c>
    </row>
    <row r="8" spans="1:2" x14ac:dyDescent="0.25">
      <c r="A8" s="37" t="s">
        <v>101</v>
      </c>
    </row>
    <row r="9" spans="1:2" x14ac:dyDescent="0.25">
      <c r="A9" s="37"/>
    </row>
    <row r="10" spans="1:2" x14ac:dyDescent="0.25">
      <c r="A10" s="2" t="s">
        <v>49</v>
      </c>
    </row>
    <row r="11" spans="1:2" x14ac:dyDescent="0.25">
      <c r="A11" s="4" t="s">
        <v>23</v>
      </c>
      <c r="B11" s="9"/>
    </row>
    <row r="12" spans="1:2" ht="27" x14ac:dyDescent="0.25">
      <c r="A12" s="10" t="s">
        <v>44</v>
      </c>
      <c r="B12" s="11" t="s">
        <v>45</v>
      </c>
    </row>
    <row r="13" spans="1:2" x14ac:dyDescent="0.25">
      <c r="A13" s="12">
        <v>0</v>
      </c>
      <c r="B13" s="5"/>
    </row>
    <row r="14" spans="1:2" x14ac:dyDescent="0.25">
      <c r="A14" s="13">
        <v>1</v>
      </c>
      <c r="B14" s="14"/>
    </row>
    <row r="15" spans="1:2" x14ac:dyDescent="0.25">
      <c r="A15" s="13">
        <v>2</v>
      </c>
      <c r="B15" s="14"/>
    </row>
    <row r="16" spans="1:2" x14ac:dyDescent="0.25">
      <c r="A16" s="13">
        <v>3</v>
      </c>
      <c r="B16" s="14"/>
    </row>
    <row r="17" spans="1:2" x14ac:dyDescent="0.25">
      <c r="A17" s="13">
        <v>4</v>
      </c>
      <c r="B17" s="14"/>
    </row>
    <row r="18" spans="1:2" x14ac:dyDescent="0.25">
      <c r="A18" s="13">
        <v>5</v>
      </c>
      <c r="B18" s="14"/>
    </row>
    <row r="19" spans="1:2" x14ac:dyDescent="0.25">
      <c r="A19" s="13">
        <v>6</v>
      </c>
      <c r="B19" s="14"/>
    </row>
    <row r="20" spans="1:2" x14ac:dyDescent="0.25">
      <c r="A20" s="13">
        <v>7</v>
      </c>
      <c r="B20" s="14"/>
    </row>
    <row r="21" spans="1:2" x14ac:dyDescent="0.25">
      <c r="A21" s="13">
        <v>8</v>
      </c>
      <c r="B21" s="14"/>
    </row>
    <row r="22" spans="1:2" x14ac:dyDescent="0.25">
      <c r="A22" s="13">
        <v>9</v>
      </c>
      <c r="B22" s="14"/>
    </row>
    <row r="23" spans="1:2" x14ac:dyDescent="0.25">
      <c r="A23" s="13">
        <v>10</v>
      </c>
      <c r="B23" s="14"/>
    </row>
    <row r="24" spans="1:2" x14ac:dyDescent="0.25">
      <c r="A24" s="13">
        <v>11</v>
      </c>
      <c r="B24" s="14"/>
    </row>
    <row r="25" spans="1:2" x14ac:dyDescent="0.25">
      <c r="A25" s="13">
        <v>12</v>
      </c>
      <c r="B25" s="14"/>
    </row>
    <row r="26" spans="1:2" x14ac:dyDescent="0.25">
      <c r="A26" s="13">
        <v>13</v>
      </c>
      <c r="B26" s="14"/>
    </row>
    <row r="27" spans="1:2" x14ac:dyDescent="0.25">
      <c r="A27" s="13">
        <v>14</v>
      </c>
      <c r="B27" s="14"/>
    </row>
    <row r="28" spans="1:2" x14ac:dyDescent="0.25">
      <c r="A28" s="13">
        <v>15</v>
      </c>
      <c r="B28" s="24">
        <v>4.0999999999999999E-4</v>
      </c>
    </row>
    <row r="29" spans="1:2" x14ac:dyDescent="0.25">
      <c r="A29" s="13">
        <v>16</v>
      </c>
      <c r="B29" s="24">
        <v>5.1999999999999995E-4</v>
      </c>
    </row>
    <row r="30" spans="1:2" x14ac:dyDescent="0.25">
      <c r="A30" s="13">
        <v>17</v>
      </c>
      <c r="B30" s="24">
        <v>6.2E-4</v>
      </c>
    </row>
    <row r="31" spans="1:2" x14ac:dyDescent="0.25">
      <c r="A31" s="13">
        <v>18</v>
      </c>
      <c r="B31" s="24">
        <v>6.9999999999999999E-4</v>
      </c>
    </row>
    <row r="32" spans="1:2" x14ac:dyDescent="0.25">
      <c r="A32" s="13">
        <v>19</v>
      </c>
      <c r="B32" s="24">
        <v>7.7999999999999999E-4</v>
      </c>
    </row>
    <row r="33" spans="1:2" x14ac:dyDescent="0.25">
      <c r="A33" s="13">
        <v>20</v>
      </c>
      <c r="B33" s="24">
        <v>8.3000000000000001E-4</v>
      </c>
    </row>
    <row r="34" spans="1:2" x14ac:dyDescent="0.25">
      <c r="A34" s="13">
        <v>21</v>
      </c>
      <c r="B34" s="24">
        <v>8.7000000000000001E-4</v>
      </c>
    </row>
    <row r="35" spans="1:2" x14ac:dyDescent="0.25">
      <c r="A35" s="13">
        <v>22</v>
      </c>
      <c r="B35" s="24">
        <v>8.8999999999999995E-4</v>
      </c>
    </row>
    <row r="36" spans="1:2" x14ac:dyDescent="0.25">
      <c r="A36" s="13">
        <v>23</v>
      </c>
      <c r="B36" s="24">
        <v>8.9999999999999998E-4</v>
      </c>
    </row>
    <row r="37" spans="1:2" x14ac:dyDescent="0.25">
      <c r="A37" s="15">
        <v>24</v>
      </c>
      <c r="B37" s="25">
        <v>8.9999999999999998E-4</v>
      </c>
    </row>
    <row r="38" spans="1:2" x14ac:dyDescent="0.25">
      <c r="A38" s="16">
        <v>25</v>
      </c>
      <c r="B38" s="26">
        <v>8.8999999999999995E-4</v>
      </c>
    </row>
    <row r="39" spans="1:2" x14ac:dyDescent="0.25">
      <c r="A39" s="16">
        <v>26</v>
      </c>
      <c r="B39" s="26">
        <v>8.8000000000000003E-4</v>
      </c>
    </row>
    <row r="40" spans="1:2" x14ac:dyDescent="0.25">
      <c r="A40" s="16">
        <v>27</v>
      </c>
      <c r="B40" s="26">
        <v>8.5999999999999998E-4</v>
      </c>
    </row>
    <row r="41" spans="1:2" x14ac:dyDescent="0.25">
      <c r="A41" s="16">
        <v>28</v>
      </c>
      <c r="B41" s="26">
        <v>8.4000000000000003E-4</v>
      </c>
    </row>
    <row r="42" spans="1:2" x14ac:dyDescent="0.25">
      <c r="A42" s="16">
        <v>29</v>
      </c>
      <c r="B42" s="26">
        <v>8.1999999999999998E-4</v>
      </c>
    </row>
    <row r="43" spans="1:2" x14ac:dyDescent="0.25">
      <c r="A43" s="16">
        <v>30</v>
      </c>
      <c r="B43" s="26">
        <v>8.0000000000000004E-4</v>
      </c>
    </row>
    <row r="44" spans="1:2" x14ac:dyDescent="0.25">
      <c r="A44" s="16">
        <v>31</v>
      </c>
      <c r="B44" s="26">
        <v>7.6999999999999996E-4</v>
      </c>
    </row>
    <row r="45" spans="1:2" x14ac:dyDescent="0.25">
      <c r="A45" s="16">
        <v>32</v>
      </c>
      <c r="B45" s="26">
        <v>7.5000000000000002E-4</v>
      </c>
    </row>
    <row r="46" spans="1:2" x14ac:dyDescent="0.25">
      <c r="A46" s="16">
        <v>33</v>
      </c>
      <c r="B46" s="26">
        <v>7.3999999999999999E-4</v>
      </c>
    </row>
    <row r="47" spans="1:2" x14ac:dyDescent="0.25">
      <c r="A47" s="16">
        <v>34</v>
      </c>
      <c r="B47" s="26">
        <v>7.3999999999999999E-4</v>
      </c>
    </row>
    <row r="48" spans="1:2" x14ac:dyDescent="0.25">
      <c r="A48" s="16">
        <v>35</v>
      </c>
      <c r="B48" s="26">
        <v>7.5000000000000002E-4</v>
      </c>
    </row>
    <row r="49" spans="1:2" x14ac:dyDescent="0.25">
      <c r="A49" s="16">
        <v>36</v>
      </c>
      <c r="B49" s="26">
        <v>7.6000000000000004E-4</v>
      </c>
    </row>
    <row r="50" spans="1:2" x14ac:dyDescent="0.25">
      <c r="A50" s="16">
        <v>37</v>
      </c>
      <c r="B50" s="26">
        <v>7.7999999999999999E-4</v>
      </c>
    </row>
    <row r="51" spans="1:2" x14ac:dyDescent="0.25">
      <c r="A51" s="16">
        <v>38</v>
      </c>
      <c r="B51" s="26">
        <v>8.0999999999999996E-4</v>
      </c>
    </row>
    <row r="52" spans="1:2" x14ac:dyDescent="0.25">
      <c r="A52" s="16">
        <v>39</v>
      </c>
      <c r="B52" s="26">
        <v>8.4999999999999995E-4</v>
      </c>
    </row>
    <row r="53" spans="1:2" x14ac:dyDescent="0.25">
      <c r="A53" s="16">
        <v>40</v>
      </c>
      <c r="B53" s="26">
        <v>8.8999999999999995E-4</v>
      </c>
    </row>
    <row r="54" spans="1:2" x14ac:dyDescent="0.25">
      <c r="A54" s="16">
        <v>41</v>
      </c>
      <c r="B54" s="26">
        <v>9.3999999999999997E-4</v>
      </c>
    </row>
    <row r="55" spans="1:2" x14ac:dyDescent="0.25">
      <c r="A55" s="16">
        <v>42</v>
      </c>
      <c r="B55" s="26">
        <v>1.01E-3</v>
      </c>
    </row>
    <row r="56" spans="1:2" x14ac:dyDescent="0.25">
      <c r="A56" s="16">
        <v>43</v>
      </c>
      <c r="B56" s="26">
        <v>1.08E-3</v>
      </c>
    </row>
    <row r="57" spans="1:2" x14ac:dyDescent="0.25">
      <c r="A57" s="16">
        <v>44</v>
      </c>
      <c r="B57" s="26">
        <v>1.16E-3</v>
      </c>
    </row>
    <row r="58" spans="1:2" x14ac:dyDescent="0.25">
      <c r="A58" s="16">
        <v>45</v>
      </c>
      <c r="B58" s="26">
        <v>1.2600000000000001E-3</v>
      </c>
    </row>
    <row r="59" spans="1:2" x14ac:dyDescent="0.25">
      <c r="A59" s="16">
        <v>46</v>
      </c>
      <c r="B59" s="26">
        <v>1.3699999999999999E-3</v>
      </c>
    </row>
    <row r="60" spans="1:2" x14ac:dyDescent="0.25">
      <c r="A60" s="16">
        <v>47</v>
      </c>
      <c r="B60" s="26">
        <v>1.5E-3</v>
      </c>
    </row>
    <row r="61" spans="1:2" x14ac:dyDescent="0.25">
      <c r="A61" s="16">
        <v>48</v>
      </c>
      <c r="B61" s="26">
        <v>1.65E-3</v>
      </c>
    </row>
    <row r="62" spans="1:2" x14ac:dyDescent="0.25">
      <c r="A62" s="17">
        <v>49</v>
      </c>
      <c r="B62" s="27">
        <v>1.83E-3</v>
      </c>
    </row>
    <row r="63" spans="1:2" x14ac:dyDescent="0.25">
      <c r="A63" s="18">
        <v>50</v>
      </c>
      <c r="B63" s="28">
        <v>2.0300000000000001E-3</v>
      </c>
    </row>
    <row r="64" spans="1:2" x14ac:dyDescent="0.25">
      <c r="A64" s="16">
        <v>51</v>
      </c>
      <c r="B64" s="26">
        <v>2.2599999999999999E-3</v>
      </c>
    </row>
    <row r="65" spans="1:2" x14ac:dyDescent="0.25">
      <c r="A65" s="16">
        <v>52</v>
      </c>
      <c r="B65" s="26">
        <v>2.5200000000000001E-3</v>
      </c>
    </row>
    <row r="66" spans="1:2" x14ac:dyDescent="0.25">
      <c r="A66" s="16">
        <v>53</v>
      </c>
      <c r="B66" s="26">
        <v>2.82E-3</v>
      </c>
    </row>
    <row r="67" spans="1:2" x14ac:dyDescent="0.25">
      <c r="A67" s="16">
        <v>54</v>
      </c>
      <c r="B67" s="26">
        <v>3.15E-3</v>
      </c>
    </row>
    <row r="68" spans="1:2" x14ac:dyDescent="0.25">
      <c r="A68" s="16">
        <v>55</v>
      </c>
      <c r="B68" s="26">
        <v>3.5200000000000001E-3</v>
      </c>
    </row>
    <row r="69" spans="1:2" x14ac:dyDescent="0.25">
      <c r="A69" s="16">
        <v>56</v>
      </c>
      <c r="B69" s="26">
        <v>3.9300000000000003E-3</v>
      </c>
    </row>
    <row r="70" spans="1:2" x14ac:dyDescent="0.25">
      <c r="A70" s="16">
        <v>57</v>
      </c>
      <c r="B70" s="26">
        <v>4.3899999999999998E-3</v>
      </c>
    </row>
    <row r="71" spans="1:2" x14ac:dyDescent="0.25">
      <c r="A71" s="16">
        <v>58</v>
      </c>
      <c r="B71" s="26">
        <v>4.9100000000000003E-3</v>
      </c>
    </row>
    <row r="72" spans="1:2" x14ac:dyDescent="0.25">
      <c r="A72" s="16">
        <v>59</v>
      </c>
      <c r="B72" s="26">
        <v>5.5100000000000001E-3</v>
      </c>
    </row>
    <row r="73" spans="1:2" x14ac:dyDescent="0.25">
      <c r="A73" s="16">
        <v>60</v>
      </c>
      <c r="B73" s="26">
        <v>6.1999999999999998E-3</v>
      </c>
    </row>
    <row r="74" spans="1:2" x14ac:dyDescent="0.25">
      <c r="A74" s="16">
        <v>61</v>
      </c>
      <c r="B74" s="26">
        <v>7.0000000000000001E-3</v>
      </c>
    </row>
    <row r="75" spans="1:2" x14ac:dyDescent="0.25">
      <c r="A75" s="16">
        <v>62</v>
      </c>
      <c r="B75" s="26">
        <v>7.92E-3</v>
      </c>
    </row>
    <row r="76" spans="1:2" x14ac:dyDescent="0.25">
      <c r="A76" s="16">
        <v>63</v>
      </c>
      <c r="B76" s="26">
        <v>8.9700000000000005E-3</v>
      </c>
    </row>
    <row r="77" spans="1:2" x14ac:dyDescent="0.25">
      <c r="A77" s="16">
        <v>64</v>
      </c>
      <c r="B77" s="26">
        <v>1.017E-2</v>
      </c>
    </row>
    <row r="78" spans="1:2" x14ac:dyDescent="0.25">
      <c r="A78" s="16">
        <v>65</v>
      </c>
      <c r="B78" s="26">
        <v>1.153E-2</v>
      </c>
    </row>
    <row r="79" spans="1:2" x14ac:dyDescent="0.25">
      <c r="A79" s="16">
        <v>66</v>
      </c>
      <c r="B79" s="26">
        <v>1.306E-2</v>
      </c>
    </row>
    <row r="80" spans="1:2" x14ac:dyDescent="0.25">
      <c r="A80" s="16">
        <v>67</v>
      </c>
      <c r="B80" s="26">
        <v>1.477E-2</v>
      </c>
    </row>
    <row r="81" spans="1:2" x14ac:dyDescent="0.25">
      <c r="A81" s="16">
        <v>68</v>
      </c>
      <c r="B81" s="26">
        <v>1.67E-2</v>
      </c>
    </row>
    <row r="82" spans="1:2" x14ac:dyDescent="0.25">
      <c r="A82" s="16">
        <v>69</v>
      </c>
      <c r="B82" s="26">
        <v>1.8849999999999999E-2</v>
      </c>
    </row>
    <row r="83" spans="1:2" x14ac:dyDescent="0.25">
      <c r="A83" s="16">
        <v>70</v>
      </c>
      <c r="B83" s="26">
        <v>2.1250000000000002E-2</v>
      </c>
    </row>
    <row r="84" spans="1:2" x14ac:dyDescent="0.25">
      <c r="A84" s="16">
        <v>71</v>
      </c>
      <c r="B84" s="26">
        <v>2.393E-2</v>
      </c>
    </row>
    <row r="85" spans="1:2" x14ac:dyDescent="0.25">
      <c r="A85" s="16">
        <v>72</v>
      </c>
      <c r="B85" s="26">
        <v>2.69E-2</v>
      </c>
    </row>
    <row r="86" spans="1:2" x14ac:dyDescent="0.25">
      <c r="A86" s="16">
        <v>73</v>
      </c>
      <c r="B86" s="26">
        <v>3.022E-2</v>
      </c>
    </row>
    <row r="87" spans="1:2" x14ac:dyDescent="0.25">
      <c r="A87" s="17">
        <v>74</v>
      </c>
      <c r="B87" s="27">
        <v>3.39E-2</v>
      </c>
    </row>
    <row r="88" spans="1:2" x14ac:dyDescent="0.25">
      <c r="A88" s="18">
        <v>75</v>
      </c>
      <c r="B88" s="28">
        <v>3.8010000000000002E-2</v>
      </c>
    </row>
    <row r="89" spans="1:2" x14ac:dyDescent="0.25">
      <c r="A89" s="16">
        <v>76</v>
      </c>
      <c r="B89" s="26">
        <v>4.2590000000000003E-2</v>
      </c>
    </row>
    <row r="90" spans="1:2" x14ac:dyDescent="0.25">
      <c r="A90" s="16">
        <v>77</v>
      </c>
      <c r="B90" s="26">
        <v>4.768E-2</v>
      </c>
    </row>
    <row r="91" spans="1:2" x14ac:dyDescent="0.25">
      <c r="A91" s="16">
        <v>78</v>
      </c>
      <c r="B91" s="26">
        <v>5.3350000000000002E-2</v>
      </c>
    </row>
    <row r="92" spans="1:2" x14ac:dyDescent="0.25">
      <c r="A92" s="16">
        <v>79</v>
      </c>
      <c r="B92" s="26">
        <v>5.9659999999999998E-2</v>
      </c>
    </row>
    <row r="93" spans="1:2" x14ac:dyDescent="0.25">
      <c r="A93" s="16">
        <v>80</v>
      </c>
      <c r="B93" s="26">
        <v>6.6650000000000001E-2</v>
      </c>
    </row>
    <row r="94" spans="1:2" x14ac:dyDescent="0.25">
      <c r="A94" s="16">
        <v>81</v>
      </c>
      <c r="B94" s="26">
        <v>7.4380000000000002E-2</v>
      </c>
    </row>
    <row r="95" spans="1:2" x14ac:dyDescent="0.25">
      <c r="A95" s="16">
        <v>82</v>
      </c>
      <c r="B95" s="26">
        <v>8.2839999999999997E-2</v>
      </c>
    </row>
    <row r="96" spans="1:2" x14ac:dyDescent="0.25">
      <c r="A96" s="16">
        <v>83</v>
      </c>
      <c r="B96" s="26">
        <v>9.2030000000000001E-2</v>
      </c>
    </row>
    <row r="97" spans="1:2" x14ac:dyDescent="0.25">
      <c r="A97" s="16">
        <v>84</v>
      </c>
      <c r="B97" s="26">
        <v>0.10188999999999999</v>
      </c>
    </row>
    <row r="98" spans="1:2" x14ac:dyDescent="0.25">
      <c r="A98" s="16">
        <v>85</v>
      </c>
      <c r="B98" s="26">
        <v>0.11239</v>
      </c>
    </row>
    <row r="99" spans="1:2" x14ac:dyDescent="0.25">
      <c r="A99" s="16">
        <v>86</v>
      </c>
      <c r="B99" s="26">
        <v>0.12346</v>
      </c>
    </row>
    <row r="100" spans="1:2" x14ac:dyDescent="0.25">
      <c r="A100" s="16">
        <v>87</v>
      </c>
      <c r="B100" s="26">
        <v>0.13503000000000001</v>
      </c>
    </row>
    <row r="101" spans="1:2" x14ac:dyDescent="0.25">
      <c r="A101" s="16">
        <v>88</v>
      </c>
      <c r="B101" s="26">
        <v>0.14704</v>
      </c>
    </row>
    <row r="102" spans="1:2" x14ac:dyDescent="0.25">
      <c r="A102" s="16">
        <v>89</v>
      </c>
      <c r="B102" s="26">
        <v>0.15939</v>
      </c>
    </row>
    <row r="103" spans="1:2" x14ac:dyDescent="0.25">
      <c r="A103" s="16">
        <v>90</v>
      </c>
      <c r="B103" s="26">
        <v>0.17194000000000001</v>
      </c>
    </row>
    <row r="104" spans="1:2" x14ac:dyDescent="0.25">
      <c r="A104" s="16">
        <v>91</v>
      </c>
      <c r="B104" s="26">
        <v>0.18453</v>
      </c>
    </row>
    <row r="105" spans="1:2" x14ac:dyDescent="0.25">
      <c r="A105" s="16">
        <v>92</v>
      </c>
      <c r="B105" s="26">
        <v>0.19694999999999999</v>
      </c>
    </row>
    <row r="106" spans="1:2" x14ac:dyDescent="0.25">
      <c r="A106" s="16">
        <v>93</v>
      </c>
      <c r="B106" s="26">
        <v>0.20899000000000001</v>
      </c>
    </row>
    <row r="107" spans="1:2" x14ac:dyDescent="0.25">
      <c r="A107" s="16">
        <v>94</v>
      </c>
      <c r="B107" s="26">
        <v>0.22037999999999999</v>
      </c>
    </row>
    <row r="108" spans="1:2" x14ac:dyDescent="0.25">
      <c r="A108" s="16">
        <v>95</v>
      </c>
      <c r="B108" s="26">
        <v>0.23077</v>
      </c>
    </row>
    <row r="109" spans="1:2" x14ac:dyDescent="0.25">
      <c r="A109" s="16">
        <v>96</v>
      </c>
      <c r="B109" s="26">
        <v>0.23987</v>
      </c>
    </row>
    <row r="110" spans="1:2" x14ac:dyDescent="0.25">
      <c r="A110" s="16">
        <v>97</v>
      </c>
      <c r="B110" s="26">
        <v>0.24747</v>
      </c>
    </row>
    <row r="111" spans="1:2" x14ac:dyDescent="0.25">
      <c r="A111" s="16">
        <v>98</v>
      </c>
      <c r="B111" s="26">
        <v>0.25355</v>
      </c>
    </row>
    <row r="112" spans="1:2" x14ac:dyDescent="0.25">
      <c r="A112" s="17">
        <v>99</v>
      </c>
      <c r="B112" s="27">
        <v>0.25835000000000002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workbookViewId="0"/>
  </sheetViews>
  <sheetFormatPr defaultRowHeight="13.5" x14ac:dyDescent="0.25"/>
  <cols>
    <col min="1" max="1" width="20.140625" style="2" customWidth="1"/>
    <col min="2" max="2" width="9.140625" style="2"/>
    <col min="3" max="3" width="9.140625" style="2" customWidth="1"/>
    <col min="4" max="5" width="9.140625" style="2"/>
    <col min="6" max="6" width="11" style="2" customWidth="1"/>
    <col min="7" max="11" width="9.140625" style="2"/>
    <col min="12" max="12" width="10.85546875" style="2" customWidth="1"/>
    <col min="13" max="16384" width="9.140625" style="2"/>
  </cols>
  <sheetData>
    <row r="1" spans="1:16" ht="15" x14ac:dyDescent="0.25">
      <c r="A1" s="1" t="s">
        <v>50</v>
      </c>
      <c r="F1"/>
      <c r="G1"/>
      <c r="H1"/>
      <c r="I1"/>
      <c r="J1"/>
      <c r="K1"/>
      <c r="L1"/>
      <c r="M1"/>
      <c r="N1"/>
      <c r="O1"/>
      <c r="P1"/>
    </row>
    <row r="2" spans="1:16" ht="15" x14ac:dyDescent="0.25">
      <c r="F2"/>
      <c r="G2"/>
      <c r="H2"/>
      <c r="I2"/>
      <c r="J2"/>
      <c r="K2"/>
      <c r="L2"/>
      <c r="M2"/>
      <c r="N2"/>
      <c r="O2"/>
      <c r="P2"/>
    </row>
    <row r="3" spans="1:16" ht="15" x14ac:dyDescent="0.25">
      <c r="A3" s="3" t="s">
        <v>0</v>
      </c>
      <c r="B3" s="2" t="s">
        <v>36</v>
      </c>
      <c r="F3"/>
      <c r="G3"/>
      <c r="H3"/>
      <c r="I3"/>
      <c r="J3"/>
      <c r="K3"/>
      <c r="L3"/>
      <c r="M3"/>
      <c r="N3"/>
      <c r="O3"/>
      <c r="P3"/>
    </row>
    <row r="4" spans="1:16" ht="15" x14ac:dyDescent="0.25">
      <c r="F4"/>
      <c r="G4"/>
      <c r="H4"/>
      <c r="I4"/>
      <c r="J4"/>
      <c r="K4"/>
      <c r="L4"/>
      <c r="M4"/>
      <c r="N4"/>
      <c r="O4"/>
      <c r="P4"/>
    </row>
    <row r="5" spans="1:16" ht="15" x14ac:dyDescent="0.25">
      <c r="A5" s="3" t="s">
        <v>1</v>
      </c>
      <c r="F5"/>
      <c r="G5"/>
      <c r="H5"/>
      <c r="I5"/>
      <c r="J5"/>
      <c r="K5"/>
      <c r="L5"/>
      <c r="M5"/>
      <c r="N5"/>
      <c r="O5"/>
      <c r="P5"/>
    </row>
    <row r="6" spans="1:16" ht="15" x14ac:dyDescent="0.25">
      <c r="A6" s="2" t="s">
        <v>5</v>
      </c>
      <c r="B6" s="33" t="s">
        <v>2</v>
      </c>
      <c r="F6"/>
      <c r="G6"/>
      <c r="H6"/>
      <c r="I6"/>
      <c r="J6"/>
      <c r="K6"/>
      <c r="L6"/>
      <c r="M6"/>
      <c r="N6"/>
      <c r="O6"/>
      <c r="P6"/>
    </row>
    <row r="7" spans="1:16" ht="15" x14ac:dyDescent="0.25">
      <c r="A7" s="2" t="s">
        <v>6</v>
      </c>
      <c r="B7" s="34">
        <v>0.85</v>
      </c>
      <c r="F7"/>
      <c r="G7"/>
      <c r="H7"/>
      <c r="I7"/>
      <c r="J7"/>
      <c r="K7"/>
      <c r="L7"/>
      <c r="M7"/>
      <c r="N7"/>
      <c r="O7"/>
      <c r="P7"/>
    </row>
    <row r="8" spans="1:16" ht="15" x14ac:dyDescent="0.25">
      <c r="A8" s="2" t="s">
        <v>7</v>
      </c>
      <c r="B8" s="33" t="s">
        <v>8</v>
      </c>
      <c r="F8"/>
      <c r="G8"/>
      <c r="H8"/>
      <c r="I8"/>
      <c r="J8"/>
      <c r="K8"/>
      <c r="L8"/>
      <c r="M8"/>
      <c r="N8"/>
      <c r="O8"/>
      <c r="P8"/>
    </row>
    <row r="9" spans="1:16" ht="15" x14ac:dyDescent="0.25">
      <c r="B9" s="33"/>
      <c r="F9"/>
      <c r="G9"/>
      <c r="H9"/>
      <c r="I9"/>
      <c r="J9"/>
      <c r="K9"/>
      <c r="L9"/>
      <c r="M9"/>
      <c r="N9"/>
      <c r="O9"/>
      <c r="P9"/>
    </row>
    <row r="10" spans="1:16" ht="15" x14ac:dyDescent="0.25">
      <c r="A10" s="3" t="s">
        <v>3</v>
      </c>
      <c r="B10" s="33"/>
      <c r="F10"/>
      <c r="G10"/>
      <c r="H10"/>
      <c r="I10"/>
      <c r="J10"/>
      <c r="K10"/>
      <c r="L10"/>
      <c r="M10"/>
      <c r="N10"/>
      <c r="O10"/>
      <c r="P10"/>
    </row>
    <row r="11" spans="1:16" ht="15" x14ac:dyDescent="0.25">
      <c r="A11" s="2" t="s">
        <v>26</v>
      </c>
      <c r="B11" s="33"/>
      <c r="F11"/>
      <c r="G11"/>
      <c r="H11"/>
      <c r="I11"/>
      <c r="J11"/>
      <c r="K11"/>
      <c r="L11"/>
      <c r="M11"/>
      <c r="N11"/>
      <c r="O11"/>
      <c r="P11"/>
    </row>
    <row r="12" spans="1:16" x14ac:dyDescent="0.25">
      <c r="A12" s="2">
        <v>1</v>
      </c>
      <c r="B12" s="34">
        <v>0.12</v>
      </c>
    </row>
    <row r="13" spans="1:16" x14ac:dyDescent="0.25">
      <c r="A13" s="2">
        <f>1+A12</f>
        <v>2</v>
      </c>
      <c r="B13" s="34">
        <v>0.12</v>
      </c>
    </row>
    <row r="14" spans="1:16" x14ac:dyDescent="0.25">
      <c r="A14" s="2">
        <f t="shared" ref="A14:A21" si="0">1+A13</f>
        <v>3</v>
      </c>
      <c r="B14" s="34">
        <v>0.1</v>
      </c>
    </row>
    <row r="15" spans="1:16" x14ac:dyDescent="0.25">
      <c r="A15" s="2">
        <f t="shared" si="0"/>
        <v>4</v>
      </c>
      <c r="B15" s="34">
        <v>0.1</v>
      </c>
    </row>
    <row r="16" spans="1:16" x14ac:dyDescent="0.25">
      <c r="A16" s="2">
        <f t="shared" si="0"/>
        <v>5</v>
      </c>
      <c r="B16" s="34">
        <v>0.1</v>
      </c>
    </row>
    <row r="17" spans="1:3" x14ac:dyDescent="0.25">
      <c r="A17" s="2">
        <f t="shared" si="0"/>
        <v>6</v>
      </c>
      <c r="B17" s="34">
        <v>0.1</v>
      </c>
    </row>
    <row r="18" spans="1:3" x14ac:dyDescent="0.25">
      <c r="A18" s="2">
        <f t="shared" si="0"/>
        <v>7</v>
      </c>
      <c r="B18" s="34">
        <v>0.1</v>
      </c>
    </row>
    <row r="19" spans="1:3" x14ac:dyDescent="0.25">
      <c r="A19" s="2">
        <f t="shared" si="0"/>
        <v>8</v>
      </c>
      <c r="B19" s="34">
        <v>0.1</v>
      </c>
    </row>
    <row r="20" spans="1:3" x14ac:dyDescent="0.25">
      <c r="A20" s="2">
        <f t="shared" si="0"/>
        <v>9</v>
      </c>
      <c r="B20" s="34">
        <v>0.1</v>
      </c>
    </row>
    <row r="21" spans="1:3" x14ac:dyDescent="0.25">
      <c r="A21" s="2">
        <f t="shared" si="0"/>
        <v>10</v>
      </c>
      <c r="B21" s="34">
        <v>0.1</v>
      </c>
    </row>
    <row r="22" spans="1:3" x14ac:dyDescent="0.25">
      <c r="B22" s="33"/>
    </row>
    <row r="23" spans="1:3" x14ac:dyDescent="0.25">
      <c r="A23" s="3" t="s">
        <v>4</v>
      </c>
      <c r="B23" s="33"/>
    </row>
    <row r="24" spans="1:3" x14ac:dyDescent="0.25">
      <c r="A24" s="2" t="s">
        <v>9</v>
      </c>
      <c r="B24" s="35">
        <v>70</v>
      </c>
    </row>
    <row r="25" spans="1:3" x14ac:dyDescent="0.25">
      <c r="A25" s="2" t="s">
        <v>10</v>
      </c>
      <c r="B25" s="35">
        <v>70</v>
      </c>
      <c r="C25" s="2" t="s">
        <v>37</v>
      </c>
    </row>
    <row r="26" spans="1:3" x14ac:dyDescent="0.25">
      <c r="A26" s="2" t="s">
        <v>11</v>
      </c>
      <c r="B26" s="34">
        <v>0.02</v>
      </c>
    </row>
    <row r="27" spans="1:3" x14ac:dyDescent="0.25">
      <c r="B27" s="33"/>
    </row>
    <row r="28" spans="1:3" x14ac:dyDescent="0.25">
      <c r="A28" s="3" t="s">
        <v>12</v>
      </c>
      <c r="B28" s="33"/>
    </row>
    <row r="29" spans="1:3" x14ac:dyDescent="0.25">
      <c r="A29" s="2" t="s">
        <v>13</v>
      </c>
      <c r="B29" s="34">
        <v>1</v>
      </c>
      <c r="C29" s="2" t="s">
        <v>14</v>
      </c>
    </row>
    <row r="30" spans="1:3" x14ac:dyDescent="0.25">
      <c r="A30" s="2" t="s">
        <v>10</v>
      </c>
      <c r="B30" s="34">
        <v>0.1</v>
      </c>
      <c r="C30" s="2" t="s">
        <v>15</v>
      </c>
    </row>
    <row r="31" spans="1:3" x14ac:dyDescent="0.25">
      <c r="B31" s="33"/>
    </row>
    <row r="32" spans="1:3" x14ac:dyDescent="0.25">
      <c r="A32" s="3" t="s">
        <v>16</v>
      </c>
      <c r="B32" s="34">
        <v>0.03</v>
      </c>
    </row>
    <row r="33" spans="1:2" x14ac:dyDescent="0.25">
      <c r="B33" s="33"/>
    </row>
    <row r="34" spans="1:2" x14ac:dyDescent="0.25">
      <c r="A34" s="3" t="s">
        <v>17</v>
      </c>
      <c r="B34" s="34">
        <v>0.03</v>
      </c>
    </row>
    <row r="35" spans="1:2" x14ac:dyDescent="0.25">
      <c r="B35" s="33"/>
    </row>
    <row r="36" spans="1:2" x14ac:dyDescent="0.25">
      <c r="A36" s="3" t="s">
        <v>18</v>
      </c>
      <c r="B36" s="34">
        <v>0</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heetViews>
  <sheetFormatPr defaultRowHeight="15" x14ac:dyDescent="0.25"/>
  <sheetData>
    <row r="1" spans="1:8" x14ac:dyDescent="0.25">
      <c r="A1" s="1" t="s">
        <v>27</v>
      </c>
      <c r="B1" s="1"/>
      <c r="C1" s="2"/>
      <c r="D1" s="2"/>
      <c r="E1" s="2"/>
      <c r="F1" s="2"/>
      <c r="G1" s="2"/>
    </row>
    <row r="2" spans="1:8" x14ac:dyDescent="0.25">
      <c r="A2" s="2"/>
      <c r="B2" s="2"/>
      <c r="C2" s="2"/>
      <c r="D2" s="2"/>
      <c r="E2" s="2"/>
      <c r="F2" s="2"/>
      <c r="G2" s="2"/>
    </row>
    <row r="3" spans="1:8" x14ac:dyDescent="0.25">
      <c r="A3" s="2"/>
      <c r="B3" s="2"/>
      <c r="C3" s="2"/>
      <c r="D3" s="2"/>
      <c r="E3" s="2"/>
      <c r="F3" s="2"/>
      <c r="G3" s="2"/>
    </row>
    <row r="4" spans="1:8" ht="15.75" x14ac:dyDescent="0.3">
      <c r="A4" s="6" t="s">
        <v>24</v>
      </c>
      <c r="B4" s="6" t="s">
        <v>28</v>
      </c>
      <c r="C4" s="6" t="s">
        <v>25</v>
      </c>
      <c r="D4" s="6" t="s">
        <v>29</v>
      </c>
      <c r="E4" s="6" t="s">
        <v>30</v>
      </c>
      <c r="F4" s="6" t="s">
        <v>31</v>
      </c>
      <c r="G4" s="6" t="s">
        <v>32</v>
      </c>
      <c r="H4" s="6" t="s">
        <v>35</v>
      </c>
    </row>
    <row r="5" spans="1:8" x14ac:dyDescent="0.25">
      <c r="A5" s="7">
        <v>1</v>
      </c>
      <c r="B5" s="7">
        <f>VLOOKUP(Data!$B$4 + Decrements!A5 - 1,IA95_97UltM,2)*Factor</f>
        <v>1.0710000000000001E-3</v>
      </c>
      <c r="C5" s="7">
        <f t="shared" ref="C5:C14" si="0">VLOOKUP(A5,lapse_rates,2)</f>
        <v>0.12</v>
      </c>
      <c r="D5" s="8">
        <v>1</v>
      </c>
      <c r="E5" s="8">
        <f>D5*B5</f>
        <v>1.0710000000000001E-3</v>
      </c>
      <c r="F5" s="8">
        <f>(D5-E5)*C5</f>
        <v>0.11987147999999999</v>
      </c>
      <c r="G5" s="8">
        <f>D5-E5-F5</f>
        <v>0.87905751999999993</v>
      </c>
      <c r="H5" s="8">
        <f>G5/D5</f>
        <v>0.87905751999999993</v>
      </c>
    </row>
    <row r="6" spans="1:8" x14ac:dyDescent="0.25">
      <c r="A6" s="7">
        <f>1+A5</f>
        <v>2</v>
      </c>
      <c r="B6" s="7">
        <f>VLOOKUP(Data!$B$4 + Decrements!A6 - 1,IA95_97UltM,2)*Factor</f>
        <v>1.1645E-3</v>
      </c>
      <c r="C6" s="7">
        <f t="shared" si="0"/>
        <v>0.12</v>
      </c>
      <c r="D6" s="8">
        <f>G5</f>
        <v>0.87905751999999993</v>
      </c>
      <c r="E6" s="8">
        <f>D6*B6</f>
        <v>1.0236624820399998E-3</v>
      </c>
      <c r="F6" s="8">
        <f>(D6-E6)*C6</f>
        <v>0.10536406290215519</v>
      </c>
      <c r="G6" s="8">
        <f>D6-E6-F6</f>
        <v>0.77266979461580476</v>
      </c>
      <c r="H6" s="8">
        <f t="shared" ref="H6:H14" si="1">G6/D6</f>
        <v>0.87897524000000005</v>
      </c>
    </row>
    <row r="7" spans="1:8" x14ac:dyDescent="0.25">
      <c r="A7" s="7">
        <f t="shared" ref="A7:A14" si="2">1+A6</f>
        <v>3</v>
      </c>
      <c r="B7" s="7">
        <f>VLOOKUP(Data!$B$4 + Decrements!A7 - 1,IA95_97UltM,2)*Factor</f>
        <v>1.2750000000000001E-3</v>
      </c>
      <c r="C7" s="7">
        <f t="shared" si="0"/>
        <v>0.1</v>
      </c>
      <c r="D7" s="8">
        <f t="shared" ref="D7:D14" si="3">G6</f>
        <v>0.77266979461580476</v>
      </c>
      <c r="E7" s="8">
        <f t="shared" ref="E7:E14" si="4">D7*B7</f>
        <v>9.8515398813515107E-4</v>
      </c>
      <c r="F7" s="8">
        <f t="shared" ref="F7:F14" si="5">(D7-E7)*C7</f>
        <v>7.7168464062766964E-2</v>
      </c>
      <c r="G7" s="8">
        <f t="shared" ref="G7:G14" si="6">D7-E7-F7</f>
        <v>0.69451617656490261</v>
      </c>
      <c r="H7" s="8">
        <f t="shared" si="1"/>
        <v>0.89885249999999994</v>
      </c>
    </row>
    <row r="8" spans="1:8" x14ac:dyDescent="0.25">
      <c r="A8" s="7">
        <f t="shared" si="2"/>
        <v>4</v>
      </c>
      <c r="B8" s="7">
        <f>VLOOKUP(Data!$B$4 + Decrements!A8 - 1,IA95_97UltM,2)*Factor</f>
        <v>1.4024999999999999E-3</v>
      </c>
      <c r="C8" s="7">
        <f t="shared" si="0"/>
        <v>0.1</v>
      </c>
      <c r="D8" s="8">
        <f t="shared" si="3"/>
        <v>0.69451617656490261</v>
      </c>
      <c r="E8" s="8">
        <f t="shared" si="4"/>
        <v>9.7405893763227583E-4</v>
      </c>
      <c r="F8" s="8">
        <f t="shared" si="5"/>
        <v>6.9354211762727033E-2</v>
      </c>
      <c r="G8" s="8">
        <f t="shared" si="6"/>
        <v>0.62418790586454331</v>
      </c>
      <c r="H8" s="8">
        <f t="shared" si="1"/>
        <v>0.89873775</v>
      </c>
    </row>
    <row r="9" spans="1:8" x14ac:dyDescent="0.25">
      <c r="A9" s="7">
        <f t="shared" si="2"/>
        <v>5</v>
      </c>
      <c r="B9" s="7">
        <f>VLOOKUP(Data!$B$4 + Decrements!A9 - 1,IA95_97UltM,2)*Factor</f>
        <v>1.5555E-3</v>
      </c>
      <c r="C9" s="7">
        <f t="shared" si="0"/>
        <v>0.1</v>
      </c>
      <c r="D9" s="8">
        <f t="shared" si="3"/>
        <v>0.62418790586454331</v>
      </c>
      <c r="E9" s="8">
        <f t="shared" si="4"/>
        <v>9.709242875722971E-4</v>
      </c>
      <c r="F9" s="8">
        <f t="shared" si="5"/>
        <v>6.2321698157697107E-2</v>
      </c>
      <c r="G9" s="8">
        <f t="shared" si="6"/>
        <v>0.56089528341927397</v>
      </c>
      <c r="H9" s="8">
        <f t="shared" si="1"/>
        <v>0.89860005000000009</v>
      </c>
    </row>
    <row r="10" spans="1:8" x14ac:dyDescent="0.25">
      <c r="A10" s="7">
        <f t="shared" si="2"/>
        <v>6</v>
      </c>
      <c r="B10" s="7">
        <f>VLOOKUP(Data!$B$4 + Decrements!A10 - 1,IA95_97UltM,2)*Factor</f>
        <v>1.7255E-3</v>
      </c>
      <c r="C10" s="7">
        <f t="shared" si="0"/>
        <v>0.1</v>
      </c>
      <c r="D10" s="8">
        <f t="shared" si="3"/>
        <v>0.56089528341927397</v>
      </c>
      <c r="E10" s="8">
        <f t="shared" si="4"/>
        <v>9.6782481153995725E-4</v>
      </c>
      <c r="F10" s="8">
        <f t="shared" si="5"/>
        <v>5.59927458607734E-2</v>
      </c>
      <c r="G10" s="8">
        <f t="shared" si="6"/>
        <v>0.50393471274696056</v>
      </c>
      <c r="H10" s="8">
        <f t="shared" si="1"/>
        <v>0.89844704999999991</v>
      </c>
    </row>
    <row r="11" spans="1:8" x14ac:dyDescent="0.25">
      <c r="A11" s="7">
        <f t="shared" si="2"/>
        <v>7</v>
      </c>
      <c r="B11" s="7">
        <f>VLOOKUP(Data!$B$4 + Decrements!A11 - 1,IA95_97UltM,2)*Factor</f>
        <v>1.9209999999999997E-3</v>
      </c>
      <c r="C11" s="7">
        <f t="shared" si="0"/>
        <v>0.1</v>
      </c>
      <c r="D11" s="8">
        <f t="shared" si="3"/>
        <v>0.50393471274696056</v>
      </c>
      <c r="E11" s="8">
        <f t="shared" si="4"/>
        <v>9.6805858318691114E-4</v>
      </c>
      <c r="F11" s="8">
        <f t="shared" si="5"/>
        <v>5.0296665416377367E-2</v>
      </c>
      <c r="G11" s="8">
        <f t="shared" si="6"/>
        <v>0.45266998874739628</v>
      </c>
      <c r="H11" s="8">
        <f t="shared" si="1"/>
        <v>0.89827109999999999</v>
      </c>
    </row>
    <row r="12" spans="1:8" x14ac:dyDescent="0.25">
      <c r="A12" s="7">
        <f t="shared" si="2"/>
        <v>8</v>
      </c>
      <c r="B12" s="7">
        <f>VLOOKUP(Data!$B$4 + Decrements!A12 - 1,IA95_97UltM,2)*Factor</f>
        <v>2.1420000000000002E-3</v>
      </c>
      <c r="C12" s="7">
        <f t="shared" si="0"/>
        <v>0.1</v>
      </c>
      <c r="D12" s="8">
        <f t="shared" si="3"/>
        <v>0.45266998874739628</v>
      </c>
      <c r="E12" s="8">
        <f t="shared" si="4"/>
        <v>9.6961911589692293E-4</v>
      </c>
      <c r="F12" s="8">
        <f t="shared" si="5"/>
        <v>4.5170036963149938E-2</v>
      </c>
      <c r="G12" s="8">
        <f t="shared" si="6"/>
        <v>0.40653033266834943</v>
      </c>
      <c r="H12" s="8">
        <f t="shared" si="1"/>
        <v>0.89807219999999999</v>
      </c>
    </row>
    <row r="13" spans="1:8" x14ac:dyDescent="0.25">
      <c r="A13" s="7">
        <f t="shared" si="2"/>
        <v>9</v>
      </c>
      <c r="B13" s="7">
        <f>VLOOKUP(Data!$B$4 + Decrements!A13 - 1,IA95_97UltM,2)*Factor</f>
        <v>2.3969999999999998E-3</v>
      </c>
      <c r="C13" s="7">
        <f t="shared" si="0"/>
        <v>0.1</v>
      </c>
      <c r="D13" s="8">
        <f t="shared" si="3"/>
        <v>0.40653033266834943</v>
      </c>
      <c r="E13" s="8">
        <f t="shared" si="4"/>
        <v>9.7445320740603355E-4</v>
      </c>
      <c r="F13" s="8">
        <f t="shared" si="5"/>
        <v>4.0555587946094346E-2</v>
      </c>
      <c r="G13" s="8">
        <f t="shared" si="6"/>
        <v>0.36500029151484903</v>
      </c>
      <c r="H13" s="8">
        <f t="shared" si="1"/>
        <v>0.89784269999999999</v>
      </c>
    </row>
    <row r="14" spans="1:8" x14ac:dyDescent="0.25">
      <c r="A14" s="7">
        <f t="shared" si="2"/>
        <v>10</v>
      </c>
      <c r="B14" s="7">
        <f>VLOOKUP(Data!$B$4 + Decrements!A14 - 1,IA95_97UltM,2)*Factor</f>
        <v>2.6774999999999998E-3</v>
      </c>
      <c r="C14" s="7">
        <f t="shared" si="0"/>
        <v>0.1</v>
      </c>
      <c r="D14" s="8">
        <f t="shared" si="3"/>
        <v>0.36500029151484903</v>
      </c>
      <c r="E14" s="8">
        <f t="shared" si="4"/>
        <v>9.7728828053100813E-4</v>
      </c>
      <c r="F14" s="8">
        <f t="shared" si="5"/>
        <v>3.6402300323431801E-2</v>
      </c>
      <c r="G14" s="8">
        <f t="shared" si="6"/>
        <v>0.32762070291088624</v>
      </c>
      <c r="H14" s="8">
        <f t="shared" si="1"/>
        <v>0.89759025000000003</v>
      </c>
    </row>
    <row r="16" spans="1:8" x14ac:dyDescent="0.25">
      <c r="A16" s="2" t="s">
        <v>55</v>
      </c>
      <c r="B16" s="2"/>
      <c r="C16" s="2" t="s">
        <v>33</v>
      </c>
      <c r="D16" s="2"/>
      <c r="E16" s="2"/>
      <c r="F16" s="2"/>
    </row>
    <row r="17" spans="1:6" x14ac:dyDescent="0.25">
      <c r="A17" s="2"/>
      <c r="B17" s="2"/>
      <c r="C17" s="2" t="s">
        <v>34</v>
      </c>
      <c r="D17" s="2"/>
      <c r="E17" s="2"/>
      <c r="F17" s="2"/>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7"/>
  <sheetViews>
    <sheetView workbookViewId="0">
      <selection activeCell="G6" sqref="G6"/>
    </sheetView>
  </sheetViews>
  <sheetFormatPr defaultRowHeight="13.5" x14ac:dyDescent="0.25"/>
  <cols>
    <col min="1" max="2" width="9.140625" style="2"/>
    <col min="3" max="3" width="11.140625" style="2" customWidth="1"/>
    <col min="4" max="5" width="11.7109375" style="2" customWidth="1"/>
    <col min="6" max="6" width="9.140625" style="2"/>
    <col min="7" max="7" width="11.85546875" style="2" customWidth="1"/>
    <col min="8" max="8" width="11.140625" style="2" bestFit="1" customWidth="1"/>
    <col min="9" max="9" width="11.85546875" style="2" customWidth="1"/>
    <col min="10" max="10" width="11.140625" style="2" customWidth="1"/>
    <col min="11" max="11" width="10.85546875" style="2" customWidth="1"/>
    <col min="12" max="12" width="12" style="2" customWidth="1"/>
    <col min="13" max="13" width="10.85546875" style="2" bestFit="1" customWidth="1"/>
    <col min="14" max="16384" width="9.140625" style="2"/>
  </cols>
  <sheetData>
    <row r="1" spans="1:15" ht="15" x14ac:dyDescent="0.25">
      <c r="A1" s="1" t="s">
        <v>57</v>
      </c>
    </row>
    <row r="3" spans="1:15" ht="15" x14ac:dyDescent="0.25">
      <c r="B3" s="86" t="s">
        <v>40</v>
      </c>
      <c r="C3" s="87"/>
      <c r="D3" s="87"/>
      <c r="E3" s="87"/>
      <c r="F3" s="87"/>
      <c r="G3" s="88"/>
      <c r="K3"/>
      <c r="L3"/>
    </row>
    <row r="4" spans="1:15" ht="57.75" customHeight="1" x14ac:dyDescent="0.25">
      <c r="B4" s="31" t="s">
        <v>24</v>
      </c>
      <c r="C4" s="32" t="s">
        <v>41</v>
      </c>
      <c r="D4" s="32" t="s">
        <v>63</v>
      </c>
      <c r="E4" s="32" t="s">
        <v>64</v>
      </c>
      <c r="F4" s="32" t="s">
        <v>42</v>
      </c>
      <c r="G4" s="32" t="s">
        <v>43</v>
      </c>
      <c r="H4"/>
      <c r="I4"/>
      <c r="J4"/>
      <c r="K4"/>
      <c r="L4"/>
      <c r="M4"/>
      <c r="N4"/>
      <c r="O4"/>
    </row>
    <row r="5" spans="1:15" ht="15" x14ac:dyDescent="0.25">
      <c r="B5" s="7">
        <f>1</f>
        <v>1</v>
      </c>
      <c r="C5" s="20">
        <f>(1+Stepped_premium_loading)*Sum_Insured*VLOOKUP(Age+'Cash flows'!B5-1,IA95_97UltM,2)</f>
        <v>667.11959999999999</v>
      </c>
      <c r="D5" s="51">
        <f>Initial_comm_rate*C5</f>
        <v>667.11959999999999</v>
      </c>
      <c r="E5" s="19">
        <f>Initial_expense</f>
        <v>70</v>
      </c>
      <c r="F5" s="19">
        <f>Sum_Insured*VLOOKUP(Age+B5-1,IA95_97UltM,2)*Factor</f>
        <v>428.4</v>
      </c>
      <c r="G5" s="19">
        <f>C5-D5-E5-F5</f>
        <v>-498.4</v>
      </c>
      <c r="H5"/>
      <c r="I5"/>
      <c r="J5"/>
      <c r="K5"/>
      <c r="L5"/>
      <c r="M5"/>
      <c r="N5"/>
      <c r="O5"/>
    </row>
    <row r="6" spans="1:15" ht="15" x14ac:dyDescent="0.25">
      <c r="B6" s="7">
        <f>1+B5</f>
        <v>2</v>
      </c>
      <c r="C6" s="20">
        <f>(1+Stepped_premium_loading)*Sum_Insured*VLOOKUP(Age+'Cash flows'!B6-1,IA95_97UltM,2)*VLOOKUP(B5,Decrement,7)</f>
        <v>637.63333851870391</v>
      </c>
      <c r="D6" s="19">
        <v>0</v>
      </c>
      <c r="E6" s="19">
        <f>Renewal_comm_rate*C6+Renewal_expense*(1+Inflation)^(B6-2)*Decrements!D6</f>
        <v>125.29736025187039</v>
      </c>
      <c r="F6" s="19">
        <f t="shared" ref="F6:F14" si="0">Sum_Insured*VLOOKUP(Age+B6-1,IA95_97UltM,2)*Factor*VLOOKUP(B5,Decrement,7)</f>
        <v>409.46499281599995</v>
      </c>
      <c r="G6" s="19">
        <f t="shared" ref="G6:G14" si="1">C6-D6-E6-F6</f>
        <v>102.87098545083359</v>
      </c>
      <c r="H6"/>
      <c r="I6"/>
      <c r="J6"/>
      <c r="K6"/>
      <c r="L6"/>
      <c r="M6"/>
      <c r="N6"/>
      <c r="O6"/>
    </row>
    <row r="7" spans="1:15" ht="15" x14ac:dyDescent="0.25">
      <c r="B7" s="7">
        <f t="shared" ref="B7:B14" si="2">1+B6</f>
        <v>3</v>
      </c>
      <c r="C7" s="20">
        <f>(1+Stepped_premium_loading)*Sum_Insured*VLOOKUP(Age+'Cash flows'!B7-1,IA95_97UltM,2)*VLOOKUP(B6,Decrement,7)</f>
        <v>613.64662418592604</v>
      </c>
      <c r="D7" s="19">
        <v>0</v>
      </c>
      <c r="E7" s="19">
        <f>Renewal_comm_rate*C7+Renewal_expense*(1+Inflation)^(B7-2)*Decrements!D7</f>
        <v>116.53328575416107</v>
      </c>
      <c r="F7" s="19">
        <f t="shared" si="0"/>
        <v>394.06159525406042</v>
      </c>
      <c r="G7" s="19">
        <f t="shared" si="1"/>
        <v>103.05174317770457</v>
      </c>
      <c r="H7"/>
      <c r="I7"/>
      <c r="J7"/>
      <c r="K7"/>
      <c r="L7"/>
      <c r="M7"/>
      <c r="N7"/>
      <c r="O7"/>
    </row>
    <row r="8" spans="1:15" ht="15" x14ac:dyDescent="0.25">
      <c r="B8" s="7">
        <f t="shared" si="2"/>
        <v>4</v>
      </c>
      <c r="C8" s="20">
        <f>(1+Stepped_premium_loading)*Sum_Insured*VLOOKUP(Age+'Cash flows'!B8-1,IA95_97UltM,2)*VLOOKUP(B7,Decrement,7)</f>
        <v>606.73558249268808</v>
      </c>
      <c r="D8" s="19">
        <v>0</v>
      </c>
      <c r="E8" s="19">
        <f>Renewal_comm_rate*C8+Renewal_expense*(1+Inflation)^(B8-2)*Decrements!D8</f>
        <v>111.25378235613753</v>
      </c>
      <c r="F8" s="19">
        <f t="shared" si="0"/>
        <v>389.62357505291038</v>
      </c>
      <c r="G8" s="19">
        <f t="shared" si="1"/>
        <v>105.85822508364015</v>
      </c>
      <c r="H8"/>
      <c r="I8"/>
      <c r="J8"/>
      <c r="K8"/>
      <c r="L8"/>
      <c r="M8"/>
      <c r="N8"/>
      <c r="O8"/>
    </row>
    <row r="9" spans="1:15" ht="15" x14ac:dyDescent="0.25">
      <c r="B9" s="7">
        <f t="shared" si="2"/>
        <v>5</v>
      </c>
      <c r="C9" s="20">
        <f>(1+Stepped_premium_loading)*Sum_Insured*VLOOKUP(Age+'Cash flows'!B9-1,IA95_97UltM,2)*VLOOKUP(B8,Decrement,7)</f>
        <v>604.78302740944525</v>
      </c>
      <c r="D9" s="19">
        <v>0</v>
      </c>
      <c r="E9" s="19">
        <f>Renewal_comm_rate*C9+Renewal_expense*(1+Inflation)^(B9-2)*Decrements!D9</f>
        <v>106.84582668541356</v>
      </c>
      <c r="F9" s="19">
        <f t="shared" si="0"/>
        <v>388.36971502891879</v>
      </c>
      <c r="G9" s="19">
        <f t="shared" si="1"/>
        <v>109.56748569511291</v>
      </c>
      <c r="H9"/>
      <c r="I9"/>
      <c r="J9"/>
      <c r="K9"/>
      <c r="L9"/>
      <c r="M9"/>
      <c r="N9"/>
      <c r="O9"/>
    </row>
    <row r="10" spans="1:15" ht="15" x14ac:dyDescent="0.25">
      <c r="B10" s="7">
        <f t="shared" si="2"/>
        <v>6</v>
      </c>
      <c r="C10" s="20">
        <f>(1+Stepped_premium_loading)*Sum_Insured*VLOOKUP(Age+'Cash flows'!B10-1,IA95_97UltM,2)*VLOOKUP(B9,Decrement,7)</f>
        <v>602.8523820211127</v>
      </c>
      <c r="D10" s="19">
        <v>0</v>
      </c>
      <c r="E10" s="19">
        <f>Renewal_comm_rate*C10+Renewal_expense*(1+Inflation)^(B10-2)*Decrements!D10</f>
        <v>102.78441472368486</v>
      </c>
      <c r="F10" s="19">
        <f t="shared" si="0"/>
        <v>387.12992461598287</v>
      </c>
      <c r="G10" s="19">
        <f t="shared" si="1"/>
        <v>112.93804268144498</v>
      </c>
      <c r="H10"/>
      <c r="I10"/>
      <c r="J10"/>
      <c r="K10"/>
      <c r="L10"/>
      <c r="M10"/>
      <c r="N10"/>
      <c r="O10"/>
    </row>
    <row r="11" spans="1:15" ht="15" x14ac:dyDescent="0.25">
      <c r="B11" s="7">
        <f t="shared" si="2"/>
        <v>7</v>
      </c>
      <c r="C11" s="20">
        <f>(1+Stepped_premium_loading)*Sum_Insured*VLOOKUP(Age+'Cash flows'!B11-1,IA95_97UltM,2)*VLOOKUP(B10,Decrement,7)</f>
        <v>602.99799700487301</v>
      </c>
      <c r="D11" s="19">
        <v>0</v>
      </c>
      <c r="E11" s="19">
        <f>Renewal_comm_rate*C11+Renewal_expense*(1+Inflation)^(B11-2)*Decrements!D11</f>
        <v>99.246724669189092</v>
      </c>
      <c r="F11" s="19">
        <f t="shared" si="0"/>
        <v>387.22343327476443</v>
      </c>
      <c r="G11" s="19">
        <f t="shared" si="1"/>
        <v>116.52783906091946</v>
      </c>
      <c r="H11"/>
      <c r="I11"/>
      <c r="J11"/>
      <c r="K11"/>
      <c r="L11"/>
      <c r="M11"/>
      <c r="N11"/>
      <c r="O11"/>
    </row>
    <row r="12" spans="1:15" ht="15" x14ac:dyDescent="0.25">
      <c r="B12" s="7">
        <f t="shared" si="2"/>
        <v>8</v>
      </c>
      <c r="C12" s="20">
        <f>(1+Stepped_premium_loading)*Sum_Insured*VLOOKUP(Age+'Cash flows'!B12-1,IA95_97UltM,2)*VLOOKUP(B11,Decrement,7)</f>
        <v>603.97004365033501</v>
      </c>
      <c r="D12" s="19">
        <v>0</v>
      </c>
      <c r="E12" s="19">
        <f>Renewal_comm_rate*C12+Renewal_expense*(1+Inflation)^(B12-2)*Decrements!D12</f>
        <v>96.081599440951791</v>
      </c>
      <c r="F12" s="19">
        <f t="shared" si="0"/>
        <v>387.84764635876911</v>
      </c>
      <c r="G12" s="19">
        <f t="shared" si="1"/>
        <v>120.04079785061413</v>
      </c>
      <c r="H12"/>
      <c r="I12"/>
      <c r="J12"/>
      <c r="K12"/>
      <c r="L12"/>
      <c r="M12"/>
      <c r="N12"/>
      <c r="O12"/>
    </row>
    <row r="13" spans="1:15" ht="15" x14ac:dyDescent="0.25">
      <c r="B13" s="7">
        <f t="shared" si="2"/>
        <v>9</v>
      </c>
      <c r="C13" s="20">
        <f>(1+Stepped_premium_loading)*Sum_Insured*VLOOKUP(Age+'Cash flows'!B13-1,IA95_97UltM,2)*VLOOKUP(B12,Decrement,7)</f>
        <v>606.98117081552766</v>
      </c>
      <c r="D13" s="19">
        <v>0</v>
      </c>
      <c r="E13" s="19">
        <f>Renewal_comm_rate*C13+Renewal_expense*(1+Inflation)^(B13-2)*Decrements!D13</f>
        <v>93.38640674361065</v>
      </c>
      <c r="F13" s="19">
        <f t="shared" si="0"/>
        <v>389.7812829624134</v>
      </c>
      <c r="G13" s="19">
        <f t="shared" si="1"/>
        <v>123.81348110950358</v>
      </c>
      <c r="H13"/>
      <c r="I13"/>
      <c r="J13"/>
      <c r="K13"/>
      <c r="L13"/>
      <c r="M13"/>
      <c r="N13"/>
      <c r="O13"/>
    </row>
    <row r="14" spans="1:15" ht="15" x14ac:dyDescent="0.25">
      <c r="B14" s="7">
        <f t="shared" si="2"/>
        <v>10</v>
      </c>
      <c r="C14" s="20">
        <f>(1+Stepped_premium_loading)*Sum_Insured*VLOOKUP(Age+'Cash flows'!B14-1,IA95_97UltM,2)*VLOOKUP(B13,Decrement,7)</f>
        <v>608.74712118817365</v>
      </c>
      <c r="D14" s="19">
        <v>0</v>
      </c>
      <c r="E14" s="19">
        <f>Renewal_comm_rate*C14+Renewal_expense*(1+Inflation)^(B14-2)*Decrements!D14</f>
        <v>90.810633212352784</v>
      </c>
      <c r="F14" s="19">
        <f t="shared" si="0"/>
        <v>390.91531221240331</v>
      </c>
      <c r="G14" s="19">
        <f t="shared" si="1"/>
        <v>127.0211757634176</v>
      </c>
      <c r="H14"/>
      <c r="I14"/>
      <c r="J14"/>
      <c r="K14"/>
      <c r="L14"/>
      <c r="M14"/>
      <c r="N14"/>
      <c r="O14"/>
    </row>
    <row r="15" spans="1:15" ht="15" x14ac:dyDescent="0.25">
      <c r="B15" s="39"/>
      <c r="C15" s="40"/>
      <c r="D15" s="40"/>
      <c r="E15" s="40"/>
      <c r="F15" s="40"/>
      <c r="G15" s="40"/>
      <c r="H15"/>
      <c r="I15"/>
      <c r="J15"/>
      <c r="K15"/>
      <c r="L15"/>
      <c r="M15"/>
      <c r="N15"/>
      <c r="O15"/>
    </row>
    <row r="16" spans="1:15" ht="15" x14ac:dyDescent="0.25">
      <c r="B16"/>
      <c r="C16"/>
      <c r="D16"/>
      <c r="E16"/>
      <c r="F16"/>
      <c r="G16"/>
      <c r="H16"/>
      <c r="I16"/>
      <c r="J16"/>
      <c r="K16"/>
      <c r="L16"/>
      <c r="M16"/>
    </row>
    <row r="17" spans="2:13" ht="15" x14ac:dyDescent="0.25">
      <c r="B17"/>
      <c r="C17"/>
      <c r="D17"/>
      <c r="E17"/>
      <c r="F17"/>
      <c r="G17"/>
      <c r="H17"/>
      <c r="I17"/>
      <c r="J17"/>
      <c r="K17"/>
      <c r="L17"/>
      <c r="M17"/>
    </row>
    <row r="18" spans="2:13" ht="17.25" customHeight="1" x14ac:dyDescent="0.25">
      <c r="B18"/>
      <c r="C18"/>
      <c r="D18"/>
      <c r="E18"/>
      <c r="F18"/>
      <c r="G18"/>
      <c r="H18"/>
      <c r="I18"/>
      <c r="J18"/>
      <c r="K18"/>
      <c r="L18"/>
      <c r="M18"/>
    </row>
    <row r="19" spans="2:13" ht="55.5" customHeight="1" x14ac:dyDescent="0.25">
      <c r="B19"/>
      <c r="C19"/>
      <c r="D19"/>
      <c r="E19"/>
      <c r="F19"/>
      <c r="G19"/>
      <c r="H19"/>
      <c r="I19"/>
      <c r="J19"/>
      <c r="K19"/>
      <c r="L19"/>
      <c r="M19"/>
    </row>
    <row r="20" spans="2:13" ht="15" x14ac:dyDescent="0.25">
      <c r="B20"/>
      <c r="C20"/>
      <c r="D20"/>
      <c r="E20"/>
      <c r="F20"/>
      <c r="G20"/>
      <c r="H20"/>
      <c r="I20"/>
      <c r="J20"/>
      <c r="K20"/>
      <c r="L20"/>
      <c r="M20"/>
    </row>
    <row r="21" spans="2:13" ht="15" x14ac:dyDescent="0.25">
      <c r="B21"/>
      <c r="C21"/>
      <c r="D21"/>
      <c r="E21"/>
      <c r="F21"/>
      <c r="G21"/>
      <c r="H21"/>
      <c r="I21"/>
      <c r="J21"/>
      <c r="K21"/>
      <c r="L21"/>
      <c r="M21"/>
    </row>
    <row r="22" spans="2:13" ht="15" x14ac:dyDescent="0.25">
      <c r="B22"/>
      <c r="C22"/>
      <c r="D22"/>
      <c r="E22"/>
      <c r="F22"/>
      <c r="G22"/>
      <c r="H22"/>
      <c r="I22"/>
      <c r="J22"/>
      <c r="K22"/>
      <c r="L22"/>
      <c r="M22"/>
    </row>
    <row r="23" spans="2:13" ht="15" x14ac:dyDescent="0.25">
      <c r="B23"/>
      <c r="C23"/>
      <c r="D23"/>
      <c r="E23"/>
      <c r="F23"/>
      <c r="G23"/>
      <c r="H23"/>
      <c r="I23"/>
      <c r="J23"/>
      <c r="K23"/>
      <c r="L23"/>
      <c r="M23"/>
    </row>
    <row r="24" spans="2:13" ht="15" x14ac:dyDescent="0.25">
      <c r="B24"/>
      <c r="C24"/>
      <c r="D24"/>
      <c r="E24"/>
      <c r="F24"/>
      <c r="G24"/>
      <c r="H24"/>
      <c r="I24"/>
      <c r="J24"/>
      <c r="K24"/>
      <c r="L24"/>
      <c r="M24"/>
    </row>
    <row r="25" spans="2:13" ht="15" x14ac:dyDescent="0.25">
      <c r="B25"/>
      <c r="C25"/>
      <c r="D25"/>
      <c r="E25"/>
      <c r="F25"/>
      <c r="G25"/>
      <c r="H25"/>
      <c r="I25"/>
      <c r="J25"/>
      <c r="K25"/>
      <c r="L25"/>
      <c r="M25"/>
    </row>
    <row r="26" spans="2:13" ht="15" x14ac:dyDescent="0.25">
      <c r="B26"/>
      <c r="C26"/>
      <c r="D26"/>
      <c r="E26"/>
      <c r="F26"/>
      <c r="G26"/>
      <c r="H26"/>
      <c r="I26"/>
      <c r="J26"/>
      <c r="K26"/>
      <c r="L26"/>
      <c r="M26"/>
    </row>
    <row r="27" spans="2:13" ht="15" x14ac:dyDescent="0.25">
      <c r="B27"/>
      <c r="C27"/>
      <c r="D27"/>
      <c r="E27"/>
      <c r="F27"/>
      <c r="G27"/>
      <c r="H27"/>
      <c r="I27"/>
      <c r="J27"/>
      <c r="K27"/>
      <c r="L27"/>
      <c r="M27"/>
    </row>
    <row r="28" spans="2:13" ht="15" x14ac:dyDescent="0.25">
      <c r="B28"/>
      <c r="C28"/>
      <c r="D28"/>
      <c r="E28"/>
      <c r="F28"/>
      <c r="G28"/>
      <c r="H28"/>
      <c r="I28"/>
      <c r="J28"/>
      <c r="K28"/>
      <c r="L28"/>
      <c r="M28"/>
    </row>
    <row r="29" spans="2:13" ht="15" x14ac:dyDescent="0.25">
      <c r="B29"/>
      <c r="C29"/>
      <c r="D29"/>
      <c r="E29"/>
      <c r="F29"/>
      <c r="G29"/>
      <c r="H29"/>
      <c r="I29"/>
      <c r="J29"/>
      <c r="K29"/>
      <c r="L29"/>
      <c r="M29"/>
    </row>
    <row r="30" spans="2:13" ht="15" x14ac:dyDescent="0.25">
      <c r="B30"/>
      <c r="C30"/>
      <c r="D30"/>
      <c r="E30"/>
      <c r="F30"/>
      <c r="G30"/>
      <c r="H30"/>
      <c r="I30"/>
      <c r="J30"/>
      <c r="K30"/>
      <c r="L30"/>
      <c r="M30"/>
    </row>
    <row r="31" spans="2:13" ht="15" x14ac:dyDescent="0.25">
      <c r="B31"/>
      <c r="C31"/>
      <c r="D31"/>
      <c r="E31"/>
      <c r="F31"/>
      <c r="G31"/>
      <c r="H31"/>
      <c r="I31"/>
      <c r="J31"/>
      <c r="K31"/>
      <c r="L31"/>
      <c r="M31"/>
    </row>
    <row r="32" spans="2:13" ht="15" x14ac:dyDescent="0.25">
      <c r="B32"/>
      <c r="C32"/>
      <c r="D32"/>
      <c r="E32"/>
      <c r="F32"/>
      <c r="G32"/>
      <c r="H32"/>
      <c r="I32"/>
      <c r="J32"/>
      <c r="K32"/>
      <c r="L32"/>
      <c r="M32"/>
    </row>
    <row r="33" spans="2:15" ht="15" x14ac:dyDescent="0.25">
      <c r="B33"/>
      <c r="C33"/>
      <c r="D33"/>
      <c r="E33"/>
      <c r="F33"/>
      <c r="G33"/>
      <c r="H33"/>
      <c r="I33"/>
      <c r="J33"/>
      <c r="K33"/>
      <c r="L33"/>
      <c r="M33"/>
    </row>
    <row r="34" spans="2:15" ht="15" x14ac:dyDescent="0.25">
      <c r="B34"/>
      <c r="C34"/>
      <c r="D34"/>
      <c r="E34"/>
      <c r="F34"/>
      <c r="G34"/>
      <c r="H34"/>
      <c r="I34"/>
      <c r="J34"/>
      <c r="K34"/>
      <c r="L34"/>
      <c r="M34"/>
    </row>
    <row r="35" spans="2:15" ht="15" x14ac:dyDescent="0.25">
      <c r="B35"/>
      <c r="C35"/>
      <c r="D35"/>
      <c r="E35"/>
      <c r="F35"/>
      <c r="G35"/>
      <c r="H35"/>
      <c r="I35"/>
      <c r="J35"/>
      <c r="K35"/>
      <c r="L35"/>
      <c r="M35"/>
    </row>
    <row r="36" spans="2:15" ht="15" x14ac:dyDescent="0.25">
      <c r="B36"/>
      <c r="C36"/>
      <c r="D36"/>
      <c r="E36"/>
      <c r="F36"/>
      <c r="G36"/>
      <c r="H36"/>
      <c r="I36"/>
      <c r="J36"/>
      <c r="K36"/>
      <c r="L36"/>
      <c r="M36"/>
      <c r="N36" s="21"/>
      <c r="O36" s="21"/>
    </row>
    <row r="37" spans="2:15" ht="15" x14ac:dyDescent="0.25">
      <c r="B37"/>
      <c r="C37"/>
      <c r="D37"/>
      <c r="E37"/>
      <c r="F37"/>
      <c r="G37"/>
      <c r="H37"/>
      <c r="I37"/>
      <c r="J37"/>
      <c r="K37"/>
      <c r="L37"/>
      <c r="M37"/>
      <c r="N37" s="21"/>
      <c r="O37" s="21"/>
    </row>
    <row r="38" spans="2:15" ht="15" x14ac:dyDescent="0.25">
      <c r="B38"/>
      <c r="C38"/>
      <c r="D38"/>
      <c r="E38"/>
      <c r="F38"/>
      <c r="G38"/>
      <c r="H38"/>
      <c r="I38"/>
      <c r="J38"/>
      <c r="K38"/>
      <c r="L38"/>
      <c r="M38"/>
      <c r="N38" s="21"/>
      <c r="O38" s="21"/>
    </row>
    <row r="39" spans="2:15" ht="15" x14ac:dyDescent="0.25">
      <c r="B39"/>
      <c r="C39"/>
      <c r="D39"/>
      <c r="E39"/>
      <c r="F39"/>
      <c r="G39"/>
      <c r="H39"/>
      <c r="I39"/>
      <c r="J39"/>
      <c r="K39"/>
      <c r="L39"/>
      <c r="M39"/>
      <c r="N39" s="21"/>
      <c r="O39" s="21"/>
    </row>
    <row r="40" spans="2:15" ht="15" x14ac:dyDescent="0.25">
      <c r="B40"/>
      <c r="C40"/>
      <c r="D40"/>
      <c r="E40"/>
      <c r="F40"/>
      <c r="G40"/>
      <c r="H40"/>
      <c r="I40"/>
      <c r="J40"/>
      <c r="K40"/>
      <c r="L40"/>
      <c r="M40"/>
      <c r="N40" s="21"/>
      <c r="O40" s="21"/>
    </row>
    <row r="41" spans="2:15" ht="15" x14ac:dyDescent="0.25">
      <c r="B41"/>
      <c r="C41"/>
      <c r="D41"/>
      <c r="E41"/>
      <c r="F41"/>
      <c r="G41"/>
      <c r="H41"/>
      <c r="I41"/>
      <c r="J41"/>
      <c r="K41"/>
      <c r="L41"/>
      <c r="M41"/>
      <c r="N41" s="21"/>
      <c r="O41" s="21"/>
    </row>
    <row r="42" spans="2:15" ht="15" x14ac:dyDescent="0.25">
      <c r="B42"/>
      <c r="C42"/>
      <c r="D42"/>
      <c r="E42"/>
      <c r="F42"/>
      <c r="G42"/>
      <c r="H42"/>
      <c r="I42"/>
      <c r="J42"/>
      <c r="K42"/>
      <c r="L42"/>
      <c r="M42"/>
      <c r="N42" s="21"/>
      <c r="O42" s="21"/>
    </row>
    <row r="43" spans="2:15" ht="15" x14ac:dyDescent="0.25">
      <c r="B43"/>
      <c r="C43"/>
      <c r="D43"/>
      <c r="E43"/>
      <c r="F43"/>
      <c r="G43"/>
      <c r="H43"/>
      <c r="I43"/>
      <c r="J43"/>
      <c r="K43"/>
      <c r="L43"/>
      <c r="M43"/>
      <c r="N43" s="21"/>
      <c r="O43" s="21"/>
    </row>
    <row r="44" spans="2:15" ht="15" x14ac:dyDescent="0.25">
      <c r="B44"/>
      <c r="C44"/>
      <c r="D44"/>
      <c r="E44"/>
      <c r="F44"/>
      <c r="G44"/>
      <c r="H44"/>
      <c r="I44"/>
      <c r="J44"/>
      <c r="K44"/>
      <c r="L44"/>
      <c r="M44"/>
      <c r="N44" s="21"/>
      <c r="O44" s="21"/>
    </row>
    <row r="45" spans="2:15" ht="15" x14ac:dyDescent="0.25">
      <c r="B45"/>
      <c r="C45"/>
      <c r="D45"/>
      <c r="E45"/>
      <c r="F45"/>
      <c r="G45"/>
      <c r="H45"/>
      <c r="I45"/>
      <c r="J45"/>
      <c r="K45"/>
      <c r="L45"/>
      <c r="M45"/>
      <c r="N45" s="21"/>
      <c r="O45" s="21"/>
    </row>
    <row r="46" spans="2:15" ht="15" x14ac:dyDescent="0.25">
      <c r="B46"/>
      <c r="C46"/>
      <c r="D46"/>
      <c r="E46"/>
      <c r="F46"/>
      <c r="G46"/>
      <c r="H46"/>
      <c r="I46"/>
      <c r="J46"/>
      <c r="K46"/>
      <c r="L46"/>
      <c r="M46"/>
    </row>
    <row r="47" spans="2:15" ht="15" x14ac:dyDescent="0.25">
      <c r="B47"/>
      <c r="C47"/>
      <c r="D47"/>
      <c r="E47"/>
      <c r="F47"/>
      <c r="G47"/>
      <c r="H47"/>
      <c r="I47"/>
      <c r="J47"/>
      <c r="K47"/>
      <c r="L47"/>
      <c r="M47"/>
    </row>
  </sheetData>
  <mergeCells count="1">
    <mergeCell ref="B3:G3"/>
  </mergeCell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1"/>
  <sheetViews>
    <sheetView tabSelected="1" topLeftCell="A10" zoomScaleNormal="100" workbookViewId="0">
      <selection activeCell="G37" sqref="G37"/>
    </sheetView>
  </sheetViews>
  <sheetFormatPr defaultRowHeight="15" x14ac:dyDescent="0.25"/>
  <cols>
    <col min="3" max="3" width="10.85546875" customWidth="1"/>
    <col min="4" max="5" width="10.7109375" customWidth="1"/>
    <col min="8" max="8" width="14.42578125" customWidth="1"/>
    <col min="9" max="9" width="12.42578125" customWidth="1"/>
    <col min="10" max="10" width="12.5703125" customWidth="1"/>
    <col min="13" max="13" width="11" customWidth="1"/>
    <col min="14" max="14" width="2.85546875" customWidth="1"/>
    <col min="16" max="16" width="12.5703125" customWidth="1"/>
    <col min="17" max="17" width="12" customWidth="1"/>
    <col min="21" max="21" width="12.7109375" customWidth="1"/>
  </cols>
  <sheetData>
    <row r="1" spans="1:22" x14ac:dyDescent="0.25">
      <c r="A1" s="1" t="s">
        <v>66</v>
      </c>
      <c r="N1" s="111"/>
    </row>
    <row r="2" spans="1:22" x14ac:dyDescent="0.25">
      <c r="A2" s="1"/>
      <c r="N2" s="111"/>
    </row>
    <row r="3" spans="1:22" x14ac:dyDescent="0.25">
      <c r="A3" s="2" t="s">
        <v>69</v>
      </c>
      <c r="N3" s="111"/>
    </row>
    <row r="4" spans="1:22" x14ac:dyDescent="0.25">
      <c r="N4" s="111"/>
      <c r="P4" t="s">
        <v>62</v>
      </c>
    </row>
    <row r="5" spans="1:22" x14ac:dyDescent="0.25">
      <c r="A5" s="2"/>
      <c r="H5" t="s">
        <v>62</v>
      </c>
      <c r="I5" s="42">
        <f>-H9/I9</f>
        <v>8.8927254866351071E-2</v>
      </c>
      <c r="N5" s="111"/>
      <c r="P5" s="42">
        <f>-O9/P9</f>
        <v>8.8927254866350891E-2</v>
      </c>
    </row>
    <row r="6" spans="1:22" x14ac:dyDescent="0.25">
      <c r="N6" s="111"/>
    </row>
    <row r="7" spans="1:22" ht="24.75" customHeight="1" x14ac:dyDescent="0.25">
      <c r="B7" s="89" t="s">
        <v>68</v>
      </c>
      <c r="C7" s="90"/>
      <c r="D7" s="90"/>
      <c r="E7" s="90"/>
      <c r="F7" s="90"/>
      <c r="G7" s="90"/>
      <c r="H7" s="90"/>
      <c r="I7" s="90"/>
      <c r="J7" s="90"/>
      <c r="K7" s="91"/>
      <c r="N7" s="111"/>
      <c r="O7" s="105" t="s">
        <v>103</v>
      </c>
    </row>
    <row r="8" spans="1:22" ht="54.75" customHeight="1" x14ac:dyDescent="0.25">
      <c r="B8" s="41" t="s">
        <v>60</v>
      </c>
      <c r="C8" s="41" t="s">
        <v>41</v>
      </c>
      <c r="D8" s="41" t="str">
        <f>'Cash flows'!D4</f>
        <v>Acquisition expense</v>
      </c>
      <c r="E8" s="41" t="s">
        <v>67</v>
      </c>
      <c r="F8" s="41" t="s">
        <v>42</v>
      </c>
      <c r="G8" s="41" t="s">
        <v>43</v>
      </c>
      <c r="H8" s="41" t="s">
        <v>58</v>
      </c>
      <c r="I8" s="41" t="s">
        <v>59</v>
      </c>
      <c r="J8" s="41" t="s">
        <v>61</v>
      </c>
      <c r="K8" s="52" t="s">
        <v>65</v>
      </c>
      <c r="N8" s="111"/>
      <c r="O8" s="106" t="s">
        <v>102</v>
      </c>
      <c r="P8" s="106" t="s">
        <v>59</v>
      </c>
      <c r="Q8" s="106" t="s">
        <v>61</v>
      </c>
      <c r="R8" s="106" t="s">
        <v>65</v>
      </c>
      <c r="T8" s="106" t="s">
        <v>54</v>
      </c>
      <c r="U8" s="106" t="s">
        <v>39</v>
      </c>
    </row>
    <row r="9" spans="1:22" x14ac:dyDescent="0.25">
      <c r="B9" s="7">
        <v>0</v>
      </c>
      <c r="C9" s="20"/>
      <c r="D9" s="20"/>
      <c r="E9" s="20"/>
      <c r="F9" s="20"/>
      <c r="G9" s="20"/>
      <c r="H9" s="19">
        <f t="shared" ref="H9:H19" si="0">(H10+F10)/(1+Discount_rate)-C10+D10 + E10</f>
        <v>-481.89797790106786</v>
      </c>
      <c r="I9" s="19">
        <f t="shared" ref="I9:I19" si="1">C10+I10/(1+Discount_rate)</f>
        <v>5419.0133117829082</v>
      </c>
      <c r="J9" s="19">
        <f t="shared" ref="J9:J19" si="2">I9*Profit_Margin</f>
        <v>481.89797790106786</v>
      </c>
      <c r="K9" s="19">
        <f>J9+H9</f>
        <v>0</v>
      </c>
      <c r="N9" s="111"/>
      <c r="O9" s="19">
        <f>NPV(Discount_rate,E10:$E$20)*(1+Discount_rate)
+NPV(Discount_rate,D10:$D$20)*(1+Discount_rate)
+NPV(Discount_rate,F10:$F$20)
-NPV(Discount_rate,C10:$C$20)*(1+Discount_rate)</f>
        <v>-481.89797790106695</v>
      </c>
      <c r="P9" s="19">
        <f>NPV(Discount_rate,C10:$C$20)*(1+Discount_rate)</f>
        <v>5419.0133117829091</v>
      </c>
      <c r="Q9" s="19">
        <f>P9*$P$5</f>
        <v>481.89797790106695</v>
      </c>
      <c r="R9" s="19">
        <f>Q9+O9</f>
        <v>0</v>
      </c>
      <c r="T9" s="107"/>
      <c r="U9" s="19"/>
      <c r="V9" t="s">
        <v>104</v>
      </c>
    </row>
    <row r="10" spans="1:22" x14ac:dyDescent="0.25">
      <c r="B10" s="7">
        <f>1</f>
        <v>1</v>
      </c>
      <c r="C10" s="20">
        <f>'Cash flows'!C5</f>
        <v>667.11959999999999</v>
      </c>
      <c r="D10" s="20">
        <f>'Cash flows'!D5</f>
        <v>667.11959999999999</v>
      </c>
      <c r="E10" s="20">
        <f>'Cash flows'!E5</f>
        <v>70</v>
      </c>
      <c r="F10" s="20">
        <f>'Cash flows'!F5</f>
        <v>428.4</v>
      </c>
      <c r="G10" s="20">
        <f>C10-D10-E10-F10</f>
        <v>-498.4</v>
      </c>
      <c r="H10" s="19">
        <f t="shared" si="0"/>
        <v>-996.8549172380998</v>
      </c>
      <c r="I10" s="19">
        <f t="shared" si="1"/>
        <v>4894.4505231363955</v>
      </c>
      <c r="J10" s="19">
        <f t="shared" si="2"/>
        <v>435.25004910169559</v>
      </c>
      <c r="K10" s="19">
        <f t="shared" ref="K10:K19" si="3">J10+H10</f>
        <v>-561.60486813640421</v>
      </c>
      <c r="N10" s="111"/>
      <c r="O10" s="19">
        <f>NPV(Discount_rate,E11:$E$20)*(1+Discount_rate)
+NPV(Discount_rate,D11:$D$20)*(1+Discount_rate)
+NPV(Discount_rate,F11:$F$20)
-NPV(Discount_rate,C11:$C$20)*(1+Discount_rate)</f>
        <v>-996.85491723809901</v>
      </c>
      <c r="P10" s="19">
        <f>NPV(Discount_rate,C11:$C$20)*(1+Discount_rate)</f>
        <v>4894.4505231363964</v>
      </c>
      <c r="Q10" s="19">
        <f>P10*$P$5</f>
        <v>435.2500491016948</v>
      </c>
      <c r="R10" s="19">
        <f t="shared" ref="R10:R19" si="4">Q10+O10</f>
        <v>-561.60486813640421</v>
      </c>
      <c r="T10" s="107">
        <f>(R9+C10-D10-E10)*Investment_rate</f>
        <v>-2.1</v>
      </c>
      <c r="U10" s="107">
        <f>G10+T10-(R10-R9)</f>
        <v>61.104868136404207</v>
      </c>
      <c r="V10" s="108">
        <f>U10/C10/(1+Discount_rate)</f>
        <v>8.8927254866350905E-2</v>
      </c>
    </row>
    <row r="11" spans="1:22" x14ac:dyDescent="0.25">
      <c r="B11" s="7">
        <f>1+B10</f>
        <v>2</v>
      </c>
      <c r="C11" s="20">
        <f>'Cash flows'!C6</f>
        <v>637.63333851870391</v>
      </c>
      <c r="D11" s="20">
        <f>'Cash flows'!D6</f>
        <v>0</v>
      </c>
      <c r="E11" s="20">
        <f>'Cash flows'!E6</f>
        <v>125.29736025187039</v>
      </c>
      <c r="F11" s="20">
        <f>'Cash flows'!F6</f>
        <v>409.46499281599995</v>
      </c>
      <c r="G11" s="20">
        <f t="shared" ref="G11:G19" si="5">C11-D11-E11-F11</f>
        <v>102.87098545083359</v>
      </c>
      <c r="H11" s="19">
        <f t="shared" si="0"/>
        <v>-908.51949995640427</v>
      </c>
      <c r="I11" s="19">
        <f t="shared" si="1"/>
        <v>4384.5217001562232</v>
      </c>
      <c r="J11" s="19">
        <f t="shared" si="2"/>
        <v>389.90347869683939</v>
      </c>
      <c r="K11" s="19">
        <f t="shared" si="3"/>
        <v>-518.61602125956483</v>
      </c>
      <c r="N11" s="111"/>
      <c r="O11" s="19">
        <f>NPV(Discount_rate,E12:$E$20)*(1+Discount_rate)
+NPV(Discount_rate,D12:$D$20)*(1+Discount_rate)
+NPV(Discount_rate,F12:$F$20)
-NPV(Discount_rate,C12:$C$20)*(1+Discount_rate)</f>
        <v>-908.51949995640507</v>
      </c>
      <c r="P11" s="19">
        <f>NPV(Discount_rate,C12:$C$20)*(1+Discount_rate)</f>
        <v>4384.5217001562241</v>
      </c>
      <c r="Q11" s="19">
        <f t="shared" ref="Q11:Q19" si="6">P11*$P$5</f>
        <v>389.90347869683865</v>
      </c>
      <c r="R11" s="19">
        <f t="shared" si="4"/>
        <v>-518.61602125956642</v>
      </c>
      <c r="T11" s="107">
        <f>(R10+C11-D11-E11)*Investment_rate</f>
        <v>-1.4780666960871205</v>
      </c>
      <c r="U11" s="107">
        <f t="shared" ref="U11:U19" si="7">G11+T11-(R11-R10)</f>
        <v>58.404071877908677</v>
      </c>
      <c r="V11" s="108">
        <f>U11/C11/(1+Discount_rate)</f>
        <v>8.8927254866353389E-2</v>
      </c>
    </row>
    <row r="12" spans="1:22" x14ac:dyDescent="0.25">
      <c r="B12" s="7">
        <f t="shared" ref="B12:B19" si="8">1+B11</f>
        <v>3</v>
      </c>
      <c r="C12" s="20">
        <f>'Cash flows'!C7</f>
        <v>613.64662418592604</v>
      </c>
      <c r="D12" s="20">
        <f>'Cash flows'!D7</f>
        <v>0</v>
      </c>
      <c r="E12" s="20">
        <f>'Cash flows'!E7</f>
        <v>116.53328575416107</v>
      </c>
      <c r="F12" s="20">
        <f>'Cash flows'!F7</f>
        <v>394.06159525406042</v>
      </c>
      <c r="G12" s="20">
        <f t="shared" si="5"/>
        <v>103.05174317770457</v>
      </c>
      <c r="H12" s="19">
        <f t="shared" si="0"/>
        <v>-817.80994162443892</v>
      </c>
      <c r="I12" s="19">
        <f t="shared" si="1"/>
        <v>3884.001328249406</v>
      </c>
      <c r="J12" s="19">
        <f t="shared" si="2"/>
        <v>345.39357601848104</v>
      </c>
      <c r="K12" s="19">
        <f t="shared" si="3"/>
        <v>-472.41636560595788</v>
      </c>
      <c r="N12" s="111"/>
      <c r="O12" s="19">
        <f>NPV(Discount_rate,E13:$E$20)*(1+Discount_rate)
+NPV(Discount_rate,D13:$D$20)*(1+Discount_rate)
+NPV(Discount_rate,F13:$F$20)
-NPV(Discount_rate,C13:$C$20)*(1+Discount_rate)</f>
        <v>-817.80994162443858</v>
      </c>
      <c r="P12" s="19">
        <f>NPV(Discount_rate,C13:$C$20)*(1+Discount_rate)</f>
        <v>3884.001328249406</v>
      </c>
      <c r="Q12" s="19">
        <f t="shared" si="6"/>
        <v>345.3935760184803</v>
      </c>
      <c r="R12" s="19">
        <f t="shared" si="4"/>
        <v>-472.41636560595828</v>
      </c>
      <c r="T12" s="107">
        <f>(R11+C12-D12-E12)*Investment_rate</f>
        <v>-0.64508048483404345</v>
      </c>
      <c r="U12" s="107">
        <f t="shared" si="7"/>
        <v>56.207007039262379</v>
      </c>
      <c r="V12" s="108">
        <f>U12/C12/(1+Discount_rate)</f>
        <v>8.892725486634924E-2</v>
      </c>
    </row>
    <row r="13" spans="1:22" x14ac:dyDescent="0.25">
      <c r="B13" s="7">
        <f t="shared" si="8"/>
        <v>4</v>
      </c>
      <c r="C13" s="20">
        <f>'Cash flows'!C8</f>
        <v>606.73558249268808</v>
      </c>
      <c r="D13" s="20">
        <f>'Cash flows'!D8</f>
        <v>0</v>
      </c>
      <c r="E13" s="20">
        <f>'Cash flows'!E8</f>
        <v>111.25378235613753</v>
      </c>
      <c r="F13" s="20">
        <f>'Cash flows'!F8</f>
        <v>389.62357505291038</v>
      </c>
      <c r="G13" s="20">
        <f t="shared" si="5"/>
        <v>105.85822508364015</v>
      </c>
      <c r="H13" s="19">
        <f t="shared" si="0"/>
        <v>-721.62156078543535</v>
      </c>
      <c r="I13" s="19">
        <f t="shared" si="1"/>
        <v>3375.5837181294196</v>
      </c>
      <c r="J13" s="19">
        <f t="shared" si="2"/>
        <v>300.18139362479985</v>
      </c>
      <c r="K13" s="19">
        <f t="shared" si="3"/>
        <v>-421.4401671606355</v>
      </c>
      <c r="N13" s="111"/>
      <c r="O13" s="19">
        <f>NPV(Discount_rate,E14:$E$20)*(1+Discount_rate)
+NPV(Discount_rate,D14:$D$20)*(1+Discount_rate)
+NPV(Discount_rate,F14:$F$20)
-NPV(Discount_rate,C14:$C$20)*(1+Discount_rate)</f>
        <v>-721.62156078543558</v>
      </c>
      <c r="P13" s="19">
        <f>NPV(Discount_rate,C14:$C$20)*(1+Discount_rate)</f>
        <v>3375.58371812942</v>
      </c>
      <c r="Q13" s="19">
        <f t="shared" si="6"/>
        <v>300.18139362479928</v>
      </c>
      <c r="R13" s="19">
        <f t="shared" si="4"/>
        <v>-421.44016716063629</v>
      </c>
      <c r="T13" s="107">
        <f>(R12+C13-D13-E13)*Investment_rate</f>
        <v>0.69196303591776809</v>
      </c>
      <c r="U13" s="107">
        <f t="shared" si="7"/>
        <v>55.573989674235932</v>
      </c>
      <c r="V13" s="108">
        <f>U13/C13/(1+Discount_rate)</f>
        <v>8.8927254866351613E-2</v>
      </c>
    </row>
    <row r="14" spans="1:22" x14ac:dyDescent="0.25">
      <c r="B14" s="7">
        <f t="shared" si="8"/>
        <v>5</v>
      </c>
      <c r="C14" s="20">
        <f>'Cash flows'!C9</f>
        <v>604.78302740944525</v>
      </c>
      <c r="D14" s="20">
        <f>'Cash flows'!D9</f>
        <v>0</v>
      </c>
      <c r="E14" s="20">
        <f>'Cash flows'!E9</f>
        <v>106.84582668541356</v>
      </c>
      <c r="F14" s="20">
        <f>'Cash flows'!F9</f>
        <v>388.36971502891879</v>
      </c>
      <c r="G14" s="20">
        <f t="shared" si="5"/>
        <v>109.56748569511291</v>
      </c>
      <c r="H14" s="19">
        <f t="shared" si="0"/>
        <v>-618.76460589216458</v>
      </c>
      <c r="I14" s="19">
        <f t="shared" si="1"/>
        <v>2853.9247114415734</v>
      </c>
      <c r="J14" s="19">
        <f t="shared" si="2"/>
        <v>253.79169018374225</v>
      </c>
      <c r="K14" s="19">
        <f t="shared" si="3"/>
        <v>-364.97291570842231</v>
      </c>
      <c r="N14" s="111"/>
      <c r="O14" s="19">
        <f>NPV(Discount_rate,E15:$E$20)*(1+Discount_rate)
+NPV(Discount_rate,D15:$D$20)*(1+Discount_rate)
+NPV(Discount_rate,F15:$F$20)
-NPV(Discount_rate,C15:$C$20)*(1+Discount_rate)</f>
        <v>-618.76460589216458</v>
      </c>
      <c r="P14" s="19">
        <f>NPV(Discount_rate,C15:$C$20)*(1+Discount_rate)</f>
        <v>2853.9247114415739</v>
      </c>
      <c r="Q14" s="19">
        <f t="shared" si="6"/>
        <v>253.79169018374176</v>
      </c>
      <c r="R14" s="19">
        <f t="shared" si="4"/>
        <v>-364.97291570842282</v>
      </c>
      <c r="T14" s="107">
        <f>(R13+C14-D14-E14)*Investment_rate</f>
        <v>2.2949110069018621</v>
      </c>
      <c r="U14" s="107">
        <f t="shared" si="7"/>
        <v>55.395145249801288</v>
      </c>
      <c r="V14" s="108">
        <f>U14/C14/(1+Discount_rate)</f>
        <v>8.8927254866350544E-2</v>
      </c>
    </row>
    <row r="15" spans="1:22" x14ac:dyDescent="0.25">
      <c r="B15" s="7">
        <f t="shared" si="8"/>
        <v>6</v>
      </c>
      <c r="C15" s="20">
        <f>'Cash flows'!C10</f>
        <v>602.8523820211127</v>
      </c>
      <c r="D15" s="20">
        <f>'Cash flows'!D10</f>
        <v>0</v>
      </c>
      <c r="E15" s="20">
        <f>'Cash flows'!E10</f>
        <v>102.78441472368486</v>
      </c>
      <c r="F15" s="20">
        <f>'Cash flows'!F10</f>
        <v>387.12992461598287</v>
      </c>
      <c r="G15" s="20">
        <f t="shared" si="5"/>
        <v>112.93804268144498</v>
      </c>
      <c r="H15" s="19">
        <f t="shared" si="0"/>
        <v>-509.38746236856173</v>
      </c>
      <c r="I15" s="19">
        <f t="shared" si="1"/>
        <v>2318.6044993030746</v>
      </c>
      <c r="J15" s="19">
        <f t="shared" si="2"/>
        <v>206.18713324379283</v>
      </c>
      <c r="K15" s="19">
        <f t="shared" si="3"/>
        <v>-303.20032912476893</v>
      </c>
      <c r="N15" s="111"/>
      <c r="O15" s="19">
        <f>NPV(Discount_rate,E16:$E$20)*(1+Discount_rate)
+NPV(Discount_rate,D16:$D$20)*(1+Discount_rate)
+NPV(Discount_rate,F16:$F$20)
-NPV(Discount_rate,C16:$C$20)*(1+Discount_rate)</f>
        <v>-509.38746236856196</v>
      </c>
      <c r="P15" s="19">
        <f>NPV(Discount_rate,C16:$C$20)*(1+Discount_rate)</f>
        <v>2318.604499303075</v>
      </c>
      <c r="Q15" s="19">
        <f t="shared" si="6"/>
        <v>206.18713324379246</v>
      </c>
      <c r="R15" s="19">
        <f t="shared" si="4"/>
        <v>-303.2003291247695</v>
      </c>
      <c r="T15" s="107">
        <f>(R14+C15-D15-E15)*Investment_rate</f>
        <v>4.0528515476701514</v>
      </c>
      <c r="U15" s="107">
        <f t="shared" si="7"/>
        <v>55.218307645461806</v>
      </c>
      <c r="V15" s="108">
        <f>U15/C15/(1+Discount_rate)</f>
        <v>8.8927254866351266E-2</v>
      </c>
    </row>
    <row r="16" spans="1:22" x14ac:dyDescent="0.25">
      <c r="B16" s="7">
        <f t="shared" si="8"/>
        <v>7</v>
      </c>
      <c r="C16" s="20">
        <f>'Cash flows'!C11</f>
        <v>602.99799700487301</v>
      </c>
      <c r="D16" s="20">
        <f>'Cash flows'!D11</f>
        <v>0</v>
      </c>
      <c r="E16" s="20">
        <f>'Cash flows'!E11</f>
        <v>99.246724669189092</v>
      </c>
      <c r="F16" s="20">
        <f>'Cash flows'!F11</f>
        <v>387.22343327476443</v>
      </c>
      <c r="G16" s="20">
        <f t="shared" si="5"/>
        <v>116.52783906091946</v>
      </c>
      <c r="H16" s="19">
        <f t="shared" si="0"/>
        <v>-393.0287090086286</v>
      </c>
      <c r="I16" s="19">
        <f t="shared" si="1"/>
        <v>1767.074697367148</v>
      </c>
      <c r="J16" s="19">
        <f t="shared" si="2"/>
        <v>157.14110198064856</v>
      </c>
      <c r="K16" s="19">
        <f t="shared" si="3"/>
        <v>-235.88760702798004</v>
      </c>
      <c r="N16" s="111"/>
      <c r="O16" s="19">
        <f>NPV(Discount_rate,E17:$E$20)*(1+Discount_rate)
+NPV(Discount_rate,D17:$D$20)*(1+Discount_rate)
+NPV(Discount_rate,F17:$F$20)
-NPV(Discount_rate,C17:$C$20)*(1+Discount_rate)</f>
        <v>-393.02870900862877</v>
      </c>
      <c r="P16" s="19">
        <f>NPV(Discount_rate,C17:$C$20)*(1+Discount_rate)</f>
        <v>1767.0746973671482</v>
      </c>
      <c r="Q16" s="19">
        <f t="shared" si="6"/>
        <v>157.14110198064827</v>
      </c>
      <c r="R16" s="19">
        <f t="shared" si="4"/>
        <v>-235.88760702798049</v>
      </c>
      <c r="T16" s="107">
        <f>(R15+C16-D16-E16)*Investment_rate</f>
        <v>6.0165282963274329</v>
      </c>
      <c r="U16" s="107">
        <f t="shared" si="7"/>
        <v>55.231645260457896</v>
      </c>
      <c r="V16" s="108">
        <f>U16/C16/(1+Discount_rate)</f>
        <v>8.8927254866350752E-2</v>
      </c>
    </row>
    <row r="17" spans="2:22" x14ac:dyDescent="0.25">
      <c r="B17" s="7">
        <f t="shared" si="8"/>
        <v>8</v>
      </c>
      <c r="C17" s="20">
        <f>'Cash flows'!C12</f>
        <v>603.97004365033501</v>
      </c>
      <c r="D17" s="20">
        <f>'Cash flows'!D12</f>
        <v>0</v>
      </c>
      <c r="E17" s="20">
        <f>'Cash flows'!E12</f>
        <v>96.081599440951791</v>
      </c>
      <c r="F17" s="20">
        <f>'Cash flows'!F12</f>
        <v>387.84764635876911</v>
      </c>
      <c r="G17" s="20">
        <f t="shared" si="5"/>
        <v>120.04079785061413</v>
      </c>
      <c r="H17" s="19">
        <f t="shared" si="0"/>
        <v>-269.54211910199183</v>
      </c>
      <c r="I17" s="19">
        <f t="shared" si="1"/>
        <v>1197.9977933283176</v>
      </c>
      <c r="J17" s="19">
        <f t="shared" si="2"/>
        <v>106.53465509663347</v>
      </c>
      <c r="K17" s="19">
        <f t="shared" si="3"/>
        <v>-163.00746400535837</v>
      </c>
      <c r="N17" s="111"/>
      <c r="O17" s="19">
        <f>NPV(Discount_rate,E18:$E$20)*(1+Discount_rate)
+NPV(Discount_rate,D18:$D$20)*(1+Discount_rate)
+NPV(Discount_rate,F18:$F$20)
-NPV(Discount_rate,C18:$C$20)*(1+Discount_rate)</f>
        <v>-269.54211910199183</v>
      </c>
      <c r="P17" s="19">
        <f>NPV(Discount_rate,C18:$C$20)*(1+Discount_rate)</f>
        <v>1197.9977933283176</v>
      </c>
      <c r="Q17" s="19">
        <f t="shared" si="6"/>
        <v>106.53465509663326</v>
      </c>
      <c r="R17" s="19">
        <f t="shared" si="4"/>
        <v>-163.00746400535857</v>
      </c>
      <c r="T17" s="107">
        <f>(R16+C17-D17-E17)*Investment_rate</f>
        <v>8.1600251154420818</v>
      </c>
      <c r="U17" s="107">
        <f t="shared" si="7"/>
        <v>55.320679943434271</v>
      </c>
      <c r="V17" s="108">
        <f>U17/C17/(1+Discount_rate)</f>
        <v>8.8927254866350613E-2</v>
      </c>
    </row>
    <row r="18" spans="2:22" x14ac:dyDescent="0.25">
      <c r="B18" s="7">
        <f t="shared" si="8"/>
        <v>9</v>
      </c>
      <c r="C18" s="20">
        <f>'Cash flows'!C13</f>
        <v>606.98117081552766</v>
      </c>
      <c r="D18" s="20">
        <f>'Cash flows'!D13</f>
        <v>0</v>
      </c>
      <c r="E18" s="20">
        <f>'Cash flows'!E13</f>
        <v>93.38640674361065</v>
      </c>
      <c r="F18" s="20">
        <f>'Cash flows'!F13</f>
        <v>389.7812829624134</v>
      </c>
      <c r="G18" s="20">
        <f t="shared" si="5"/>
        <v>123.81348110950358</v>
      </c>
      <c r="H18" s="19">
        <f t="shared" si="0"/>
        <v>-138.40705864339049</v>
      </c>
      <c r="I18" s="19">
        <f t="shared" si="1"/>
        <v>608.74712118817365</v>
      </c>
      <c r="J18" s="19">
        <f t="shared" si="2"/>
        <v>54.134210395058219</v>
      </c>
      <c r="K18" s="19">
        <f t="shared" si="3"/>
        <v>-84.272848248332267</v>
      </c>
      <c r="N18" s="111"/>
      <c r="O18" s="19">
        <f>NPV(Discount_rate,E19:$E$20)*(1+Discount_rate)
+NPV(Discount_rate,D19:$D$20)*(1+Discount_rate)
+NPV(Discount_rate,F19:$F$20)
-NPV(Discount_rate,C19:$C$20)*(1+Discount_rate)</f>
        <v>-138.40705864339049</v>
      </c>
      <c r="P18" s="19">
        <f>NPV(Discount_rate,C19:$C$20)*(1+Discount_rate)</f>
        <v>608.74712118817365</v>
      </c>
      <c r="Q18" s="19">
        <f t="shared" si="6"/>
        <v>54.134210395058112</v>
      </c>
      <c r="R18" s="19">
        <f t="shared" si="4"/>
        <v>-84.272848248332366</v>
      </c>
      <c r="T18" s="107">
        <f>(R17+C18-D18-E18)*Investment_rate</f>
        <v>10.517619001996753</v>
      </c>
      <c r="U18" s="107">
        <f t="shared" si="7"/>
        <v>55.596484354474143</v>
      </c>
      <c r="V18" s="108">
        <f>U18/C18/(1+Discount_rate)</f>
        <v>8.8927254866350877E-2</v>
      </c>
    </row>
    <row r="19" spans="2:22" x14ac:dyDescent="0.25">
      <c r="B19" s="7">
        <f t="shared" si="8"/>
        <v>10</v>
      </c>
      <c r="C19" s="20">
        <f>'Cash flows'!C14</f>
        <v>608.74712118817365</v>
      </c>
      <c r="D19" s="20">
        <f>'Cash flows'!D14</f>
        <v>0</v>
      </c>
      <c r="E19" s="20">
        <f>'Cash flows'!E14</f>
        <v>90.810633212352784</v>
      </c>
      <c r="F19" s="20">
        <f>'Cash flows'!F14</f>
        <v>390.91531221240331</v>
      </c>
      <c r="G19" s="20">
        <f t="shared" si="5"/>
        <v>127.0211757634176</v>
      </c>
      <c r="H19" s="19">
        <f t="shared" si="0"/>
        <v>0</v>
      </c>
      <c r="I19" s="19">
        <f t="shared" si="1"/>
        <v>0</v>
      </c>
      <c r="J19" s="19">
        <f t="shared" si="2"/>
        <v>0</v>
      </c>
      <c r="K19" s="19">
        <f t="shared" si="3"/>
        <v>0</v>
      </c>
      <c r="N19" s="111"/>
      <c r="O19" s="19">
        <f>NPV(Discount_rate,E20:$E$20)*(1+Discount_rate)
+NPV(Discount_rate,D20:$D$20)*(1+Discount_rate)
+NPV(Discount_rate,F20:$F$20)
-NPV(Discount_rate,C20:$C$20)*(1+Discount_rate)</f>
        <v>0</v>
      </c>
      <c r="P19" s="19">
        <f>NPV(Discount_rate,C20:$C$20)*(1+Discount_rate)</f>
        <v>0</v>
      </c>
      <c r="Q19" s="19">
        <f t="shared" si="6"/>
        <v>0</v>
      </c>
      <c r="R19" s="19">
        <f t="shared" si="4"/>
        <v>0</v>
      </c>
      <c r="T19" s="107">
        <f>(R18+C19-D19-E19)*Investment_rate</f>
        <v>13.009909191824654</v>
      </c>
      <c r="U19" s="107">
        <f t="shared" si="7"/>
        <v>55.758236706909884</v>
      </c>
      <c r="V19" s="108">
        <f>U19/C19/(1+Discount_rate)</f>
        <v>8.8927254866350933E-2</v>
      </c>
    </row>
    <row r="20" spans="2:22" x14ac:dyDescent="0.25">
      <c r="N20" s="111"/>
    </row>
    <row r="21" spans="2:22" x14ac:dyDescent="0.25">
      <c r="N21" s="111"/>
      <c r="P21" t="s">
        <v>105</v>
      </c>
    </row>
    <row r="22" spans="2:22" x14ac:dyDescent="0.25">
      <c r="B22" s="89" t="s">
        <v>70</v>
      </c>
      <c r="C22" s="90"/>
      <c r="D22" s="90"/>
      <c r="E22" s="90"/>
      <c r="F22" s="90"/>
      <c r="G22" s="90"/>
      <c r="H22" s="90"/>
      <c r="I22" s="90"/>
      <c r="J22" s="90"/>
      <c r="K22" s="91"/>
      <c r="N22" s="111"/>
      <c r="O22" s="105" t="s">
        <v>103</v>
      </c>
      <c r="P22" s="42">
        <f>-O24/P24</f>
        <v>0.21203446306409418</v>
      </c>
      <c r="T22" s="109"/>
      <c r="U22" s="109"/>
    </row>
    <row r="23" spans="2:22" ht="54" x14ac:dyDescent="0.25">
      <c r="B23" s="41" t="s">
        <v>60</v>
      </c>
      <c r="C23" s="41" t="s">
        <v>41</v>
      </c>
      <c r="D23" s="41" t="s">
        <v>71</v>
      </c>
      <c r="E23" s="41" t="s">
        <v>67</v>
      </c>
      <c r="F23" s="41" t="s">
        <v>42</v>
      </c>
      <c r="G23" s="41" t="s">
        <v>43</v>
      </c>
      <c r="H23" s="41" t="s">
        <v>58</v>
      </c>
      <c r="I23" s="41" t="s">
        <v>59</v>
      </c>
      <c r="J23" s="41" t="s">
        <v>61</v>
      </c>
      <c r="K23" s="52" t="s">
        <v>65</v>
      </c>
      <c r="M23" s="64" t="s">
        <v>84</v>
      </c>
      <c r="N23" s="111"/>
      <c r="O23" s="106" t="s">
        <v>102</v>
      </c>
      <c r="P23" s="106" t="s">
        <v>59</v>
      </c>
      <c r="Q23" s="106" t="s">
        <v>61</v>
      </c>
      <c r="R23" s="106" t="s">
        <v>65</v>
      </c>
      <c r="T23" s="106" t="s">
        <v>54</v>
      </c>
      <c r="U23" s="106" t="s">
        <v>39</v>
      </c>
    </row>
    <row r="24" spans="2:22" x14ac:dyDescent="0.25">
      <c r="B24" s="7">
        <v>0</v>
      </c>
      <c r="C24" s="20"/>
      <c r="D24" s="20"/>
      <c r="E24" s="20"/>
      <c r="F24" s="20"/>
      <c r="G24" s="20"/>
      <c r="H24" s="19">
        <f t="shared" ref="H24:H34" si="9">(H25+F25)/(1+Discount_rate)-C25+D25 + E25</f>
        <v>-1149.0175779010679</v>
      </c>
      <c r="I24" s="19">
        <f t="shared" ref="I24:I34" si="10">C25+I25/(1+Discount_rate)</f>
        <v>5419.0133117829082</v>
      </c>
      <c r="J24" s="53">
        <f>-H24</f>
        <v>1149.0175779010679</v>
      </c>
      <c r="K24" s="19">
        <f>J24+H24</f>
        <v>0</v>
      </c>
      <c r="M24" s="65">
        <f>-D10</f>
        <v>-667.11959999999999</v>
      </c>
      <c r="N24" s="111"/>
      <c r="O24" s="19">
        <f>NPV(Discount_rate,E25:E$35)*(1+Discount_rate)
+NPV(Discount_rate,D25:D$35)*(1+Discount_rate)
+NPV(Discount_rate,F25:F$35)
-NPV(Discount_rate,C25:C$35)*(1+Discount_rate)</f>
        <v>-1149.0175779010679</v>
      </c>
      <c r="P24" s="19">
        <f>NPV(Discount_rate,C25:$C$35)*(1+Discount_rate)</f>
        <v>5419.0133117829091</v>
      </c>
      <c r="Q24" s="19">
        <f>P24*$P$22</f>
        <v>1149.0175779010679</v>
      </c>
      <c r="R24" s="19">
        <f>Q24+O24</f>
        <v>0</v>
      </c>
      <c r="T24" s="107"/>
      <c r="U24" s="19"/>
      <c r="V24" t="s">
        <v>104</v>
      </c>
    </row>
    <row r="25" spans="2:22" x14ac:dyDescent="0.25">
      <c r="B25" s="7">
        <f>1</f>
        <v>1</v>
      </c>
      <c r="C25" s="20">
        <f>C10</f>
        <v>667.11959999999999</v>
      </c>
      <c r="D25" s="20">
        <f>'Cash flows'!D20</f>
        <v>0</v>
      </c>
      <c r="E25" s="20">
        <f>E10</f>
        <v>70</v>
      </c>
      <c r="F25" s="20">
        <f>F10</f>
        <v>428.4</v>
      </c>
      <c r="G25" s="20">
        <f>C25-D25-E25-F25</f>
        <v>168.71960000000001</v>
      </c>
      <c r="H25" s="19">
        <f t="shared" si="9"/>
        <v>-996.8549172380998</v>
      </c>
      <c r="I25" s="19">
        <f t="shared" si="10"/>
        <v>4894.4505231363955</v>
      </c>
      <c r="J25" s="53">
        <f>($J$24/$I$24)*I25</f>
        <v>1037.7921886670006</v>
      </c>
      <c r="K25" s="19">
        <f t="shared" ref="K25:K34" si="11">J25+H25</f>
        <v>40.937271428900772</v>
      </c>
      <c r="M25" s="65">
        <f>$F$37*I25</f>
        <v>-602.54213956530509</v>
      </c>
      <c r="N25" s="111"/>
      <c r="O25" s="19">
        <f>NPV(Discount_rate,E26:E$35)*(1+Discount_rate)
+NPV(Discount_rate,D26:D$35)*(1+Discount_rate)
+NPV(Discount_rate,F26:F$35)
-NPV(Discount_rate,C26:C$35)*(1+Discount_rate)</f>
        <v>-996.85491723809901</v>
      </c>
      <c r="P25" s="19">
        <f>NPV(Discount_rate,C26:$C$35)*(1+Discount_rate)</f>
        <v>4894.4505231363964</v>
      </c>
      <c r="Q25" s="19">
        <f t="shared" ref="Q25:Q34" si="12">P25*$P$22</f>
        <v>1037.7921886670008</v>
      </c>
      <c r="R25" s="19">
        <f t="shared" ref="R25:R34" si="13">Q25+O25</f>
        <v>40.937271428901795</v>
      </c>
      <c r="T25" s="107">
        <f>(R24+C10-D10-E10)*Investment_rate</f>
        <v>-2.1</v>
      </c>
      <c r="U25" s="107">
        <f>G10+T25-(R25-R24)</f>
        <v>-541.43727142890179</v>
      </c>
      <c r="V25" s="108">
        <f>U25/C25/(1+Discount_rate)</f>
        <v>-0.78796553693590732</v>
      </c>
    </row>
    <row r="26" spans="2:22" x14ac:dyDescent="0.25">
      <c r="B26" s="7">
        <f>1+B25</f>
        <v>2</v>
      </c>
      <c r="C26" s="20">
        <f t="shared" ref="C26:C34" si="14">C11</f>
        <v>637.63333851870391</v>
      </c>
      <c r="D26" s="20">
        <f>'Cash flows'!D21</f>
        <v>0</v>
      </c>
      <c r="E26" s="20">
        <f t="shared" ref="E26:F26" si="15">E11</f>
        <v>125.29736025187039</v>
      </c>
      <c r="F26" s="20">
        <f t="shared" si="15"/>
        <v>409.46499281599995</v>
      </c>
      <c r="G26" s="20">
        <f t="shared" ref="G26:G34" si="16">C26-D26-E26-F26</f>
        <v>102.87098545083359</v>
      </c>
      <c r="H26" s="19">
        <f t="shared" si="9"/>
        <v>-908.51949995640427</v>
      </c>
      <c r="I26" s="19">
        <f t="shared" si="10"/>
        <v>4384.5217001562232</v>
      </c>
      <c r="J26" s="53">
        <f t="shared" ref="J26:J34" si="17">($J$24/$I$24)*I26</f>
        <v>929.66970448549421</v>
      </c>
      <c r="K26" s="19">
        <f t="shared" si="11"/>
        <v>21.150204529089933</v>
      </c>
      <c r="M26" s="65">
        <f t="shared" ref="M26:M34" si="18">$F$37*I26</f>
        <v>-539.76622578865488</v>
      </c>
      <c r="N26" s="111"/>
      <c r="O26" s="19">
        <f>NPV(Discount_rate,E27:E$35)*(1+Discount_rate)
+NPV(Discount_rate,D27:D$35)*(1+Discount_rate)
+NPV(Discount_rate,F27:F$35)
-NPV(Discount_rate,C27:C$35)*(1+Discount_rate)</f>
        <v>-908.51949995640507</v>
      </c>
      <c r="P26" s="19">
        <f>NPV(Discount_rate,C27:$C$35)*(1+Discount_rate)</f>
        <v>4384.5217001562241</v>
      </c>
      <c r="Q26" s="19">
        <f t="shared" si="12"/>
        <v>929.66970448549432</v>
      </c>
      <c r="R26" s="19">
        <f t="shared" si="13"/>
        <v>21.150204529089251</v>
      </c>
      <c r="T26" s="107">
        <f>(R25+C11-D11-E11)*Investment_rate</f>
        <v>16.59819749087206</v>
      </c>
      <c r="U26" s="107">
        <f t="shared" ref="U26:U34" si="19">G11+T26-(R26-R25)</f>
        <v>139.25624984151818</v>
      </c>
      <c r="V26" s="108">
        <f>U26/C26/(1+Discount_rate)</f>
        <v>0.21203446306409665</v>
      </c>
    </row>
    <row r="27" spans="2:22" x14ac:dyDescent="0.25">
      <c r="B27" s="7">
        <f t="shared" ref="B27:B34" si="20">1+B26</f>
        <v>3</v>
      </c>
      <c r="C27" s="20">
        <f t="shared" si="14"/>
        <v>613.64662418592604</v>
      </c>
      <c r="D27" s="20">
        <f>'Cash flows'!D22</f>
        <v>0</v>
      </c>
      <c r="E27" s="20">
        <f t="shared" ref="E27:F27" si="21">E12</f>
        <v>116.53328575416107</v>
      </c>
      <c r="F27" s="20">
        <f t="shared" si="21"/>
        <v>394.06159525406042</v>
      </c>
      <c r="G27" s="20">
        <f t="shared" si="16"/>
        <v>103.05174317770457</v>
      </c>
      <c r="H27" s="19">
        <f t="shared" si="9"/>
        <v>-817.80994162443892</v>
      </c>
      <c r="I27" s="19">
        <f t="shared" si="10"/>
        <v>3884.001328249406</v>
      </c>
      <c r="J27" s="53">
        <f>($J$24/$I$24)*I27</f>
        <v>823.54213617559151</v>
      </c>
      <c r="K27" s="19">
        <f t="shared" si="11"/>
        <v>5.7321945511525882</v>
      </c>
      <c r="M27" s="65">
        <f t="shared" si="18"/>
        <v>-478.14856015711052</v>
      </c>
      <c r="N27" s="111"/>
      <c r="O27" s="19">
        <f>NPV(Discount_rate,E28:E$35)*(1+Discount_rate)
+NPV(Discount_rate,D28:D$35)*(1+Discount_rate)
+NPV(Discount_rate,F28:F$35)
-NPV(Discount_rate,C28:C$35)*(1+Discount_rate)</f>
        <v>-817.80994162443858</v>
      </c>
      <c r="P27" s="19">
        <f>NPV(Discount_rate,C28:$C$35)*(1+Discount_rate)</f>
        <v>3884.001328249406</v>
      </c>
      <c r="Q27" s="19">
        <f t="shared" si="12"/>
        <v>823.54213617559139</v>
      </c>
      <c r="R27" s="19">
        <f t="shared" si="13"/>
        <v>5.7321945511528156</v>
      </c>
      <c r="T27" s="107">
        <f>(R26+C12-D12-E12)*Investment_rate</f>
        <v>15.547906288825626</v>
      </c>
      <c r="U27" s="107">
        <f t="shared" si="19"/>
        <v>134.01765944446663</v>
      </c>
      <c r="V27" s="108">
        <f>U27/C27/(1+Discount_rate)</f>
        <v>0.21203446306409274</v>
      </c>
    </row>
    <row r="28" spans="2:22" x14ac:dyDescent="0.25">
      <c r="B28" s="7">
        <f t="shared" si="20"/>
        <v>4</v>
      </c>
      <c r="C28" s="20">
        <f t="shared" si="14"/>
        <v>606.73558249268808</v>
      </c>
      <c r="D28" s="20">
        <f>'Cash flows'!D23</f>
        <v>0</v>
      </c>
      <c r="E28" s="20">
        <f t="shared" ref="E28:F28" si="22">E13</f>
        <v>111.25378235613753</v>
      </c>
      <c r="F28" s="20">
        <f t="shared" si="22"/>
        <v>389.62357505291038</v>
      </c>
      <c r="G28" s="20">
        <f t="shared" si="16"/>
        <v>105.85822508364015</v>
      </c>
      <c r="H28" s="19">
        <f t="shared" si="9"/>
        <v>-721.62156078543535</v>
      </c>
      <c r="I28" s="19">
        <f t="shared" si="10"/>
        <v>3375.5837181294196</v>
      </c>
      <c r="J28" s="53">
        <f>($J$24/$I$24)*I28</f>
        <v>715.74008120147016</v>
      </c>
      <c r="K28" s="19">
        <f t="shared" si="11"/>
        <v>-5.8814795839651879</v>
      </c>
      <c r="M28" s="65">
        <f t="shared" si="18"/>
        <v>-415.55868757667037</v>
      </c>
      <c r="N28" s="111"/>
      <c r="O28" s="19">
        <f>NPV(Discount_rate,E29:E$35)*(1+Discount_rate)
+NPV(Discount_rate,D29:D$35)*(1+Discount_rate)
+NPV(Discount_rate,F29:F$35)
-NPV(Discount_rate,C29:C$35)*(1+Discount_rate)</f>
        <v>-721.62156078543558</v>
      </c>
      <c r="P28" s="19">
        <f>NPV(Discount_rate,C29:$C$35)*(1+Discount_rate)</f>
        <v>3375.58371812942</v>
      </c>
      <c r="Q28" s="19">
        <f t="shared" si="12"/>
        <v>715.74008120147016</v>
      </c>
      <c r="R28" s="19">
        <f t="shared" si="13"/>
        <v>-5.8814795839654153</v>
      </c>
      <c r="T28" s="107">
        <f>(R27+C13-D13-E13)*Investment_rate</f>
        <v>15.036419840631099</v>
      </c>
      <c r="U28" s="107">
        <f t="shared" si="19"/>
        <v>132.50831905938946</v>
      </c>
      <c r="V28" s="108">
        <f>U28/C28/(1+Discount_rate)</f>
        <v>0.21203446306409482</v>
      </c>
    </row>
    <row r="29" spans="2:22" x14ac:dyDescent="0.25">
      <c r="B29" s="7">
        <f t="shared" si="20"/>
        <v>5</v>
      </c>
      <c r="C29" s="20">
        <f t="shared" si="14"/>
        <v>604.78302740944525</v>
      </c>
      <c r="D29" s="20">
        <f>'Cash flows'!D24</f>
        <v>0</v>
      </c>
      <c r="E29" s="20">
        <f t="shared" ref="E29:F29" si="23">E14</f>
        <v>106.84582668541356</v>
      </c>
      <c r="F29" s="20">
        <f t="shared" si="23"/>
        <v>388.36971502891879</v>
      </c>
      <c r="G29" s="20">
        <f t="shared" si="16"/>
        <v>109.56748569511291</v>
      </c>
      <c r="H29" s="19">
        <f t="shared" si="9"/>
        <v>-618.76460589216458</v>
      </c>
      <c r="I29" s="19">
        <f t="shared" si="10"/>
        <v>2853.9247114415734</v>
      </c>
      <c r="J29" s="53">
        <f t="shared" si="17"/>
        <v>605.13039381586407</v>
      </c>
      <c r="K29" s="19">
        <f t="shared" si="11"/>
        <v>-13.634212076300514</v>
      </c>
      <c r="M29" s="65">
        <f t="shared" si="18"/>
        <v>-351.33870363212179</v>
      </c>
      <c r="N29" s="111"/>
      <c r="O29" s="19">
        <f>NPV(Discount_rate,E30:E$35)*(1+Discount_rate)
+NPV(Discount_rate,D30:D$35)*(1+Discount_rate)
+NPV(Discount_rate,F30:F$35)
-NPV(Discount_rate,C30:C$35)*(1+Discount_rate)</f>
        <v>-618.76460589216458</v>
      </c>
      <c r="P29" s="19">
        <f>NPV(Discount_rate,C30:$C$35)*(1+Discount_rate)</f>
        <v>2853.9247114415739</v>
      </c>
      <c r="Q29" s="19">
        <f t="shared" si="12"/>
        <v>605.13039381586407</v>
      </c>
      <c r="R29" s="19">
        <f t="shared" si="13"/>
        <v>-13.634212076300514</v>
      </c>
      <c r="T29" s="107">
        <f>(R28+C14-D14-E14)*Investment_rate</f>
        <v>14.761671634201988</v>
      </c>
      <c r="U29" s="107">
        <f t="shared" si="19"/>
        <v>132.08188982165001</v>
      </c>
      <c r="V29" s="108">
        <f>U29/C29/(1+Discount_rate)</f>
        <v>0.21203446306409376</v>
      </c>
    </row>
    <row r="30" spans="2:22" x14ac:dyDescent="0.25">
      <c r="B30" s="7">
        <f t="shared" si="20"/>
        <v>6</v>
      </c>
      <c r="C30" s="20">
        <f t="shared" si="14"/>
        <v>602.8523820211127</v>
      </c>
      <c r="D30" s="20">
        <f>'Cash flows'!D25</f>
        <v>0</v>
      </c>
      <c r="E30" s="20">
        <f t="shared" ref="E30:F30" si="24">E15</f>
        <v>102.78441472368486</v>
      </c>
      <c r="F30" s="20">
        <f t="shared" si="24"/>
        <v>387.12992461598287</v>
      </c>
      <c r="G30" s="20">
        <f t="shared" si="16"/>
        <v>112.93804268144498</v>
      </c>
      <c r="H30" s="19">
        <f t="shared" si="9"/>
        <v>-509.38746236856173</v>
      </c>
      <c r="I30" s="19">
        <f t="shared" si="10"/>
        <v>2318.6044993030746</v>
      </c>
      <c r="J30" s="53">
        <f t="shared" si="17"/>
        <v>491.62406006772039</v>
      </c>
      <c r="K30" s="19">
        <f t="shared" si="11"/>
        <v>-17.763402300841335</v>
      </c>
      <c r="M30" s="65">
        <f t="shared" si="18"/>
        <v>-285.43692682392759</v>
      </c>
      <c r="N30" s="111"/>
      <c r="O30" s="19">
        <f>NPV(Discount_rate,E31:E$35)*(1+Discount_rate)
+NPV(Discount_rate,D31:D$35)*(1+Discount_rate)
+NPV(Discount_rate,F31:F$35)
-NPV(Discount_rate,C31:C$35)*(1+Discount_rate)</f>
        <v>-509.38746236856196</v>
      </c>
      <c r="P30" s="19">
        <f>NPV(Discount_rate,C31:$C$35)*(1+Discount_rate)</f>
        <v>2318.604499303075</v>
      </c>
      <c r="Q30" s="19">
        <f t="shared" si="12"/>
        <v>491.62406006772045</v>
      </c>
      <c r="R30" s="19">
        <f t="shared" si="13"/>
        <v>-17.763402300841506</v>
      </c>
      <c r="T30" s="107">
        <f>(R29+C15-D15-E15)*Investment_rate</f>
        <v>14.593012656633819</v>
      </c>
      <c r="U30" s="107">
        <f t="shared" si="19"/>
        <v>131.66024556261979</v>
      </c>
      <c r="V30" s="108">
        <f>U30/C30/(1+Discount_rate)</f>
        <v>0.2120344630640946</v>
      </c>
    </row>
    <row r="31" spans="2:22" x14ac:dyDescent="0.25">
      <c r="B31" s="7">
        <f t="shared" si="20"/>
        <v>7</v>
      </c>
      <c r="C31" s="20">
        <f t="shared" si="14"/>
        <v>602.99799700487301</v>
      </c>
      <c r="D31" s="20">
        <f>'Cash flows'!D26</f>
        <v>0</v>
      </c>
      <c r="E31" s="20">
        <f t="shared" ref="E31:F31" si="25">E16</f>
        <v>99.246724669189092</v>
      </c>
      <c r="F31" s="20">
        <f t="shared" si="25"/>
        <v>387.22343327476443</v>
      </c>
      <c r="G31" s="20">
        <f t="shared" si="16"/>
        <v>116.52783906091946</v>
      </c>
      <c r="H31" s="19">
        <f t="shared" si="9"/>
        <v>-393.0287090086286</v>
      </c>
      <c r="I31" s="19">
        <f t="shared" si="10"/>
        <v>1767.074697367148</v>
      </c>
      <c r="J31" s="53">
        <f t="shared" si="17"/>
        <v>374.68073465038998</v>
      </c>
      <c r="K31" s="19">
        <f t="shared" si="11"/>
        <v>-18.347974358238616</v>
      </c>
      <c r="M31" s="65">
        <f t="shared" si="18"/>
        <v>-217.53963266974145</v>
      </c>
      <c r="N31" s="111"/>
      <c r="O31" s="19">
        <f>NPV(Discount_rate,E32:E$35)*(1+Discount_rate)
+NPV(Discount_rate,D32:D$35)*(1+Discount_rate)
+NPV(Discount_rate,F32:F$35)
-NPV(Discount_rate,C32:C$35)*(1+Discount_rate)</f>
        <v>-393.02870900862877</v>
      </c>
      <c r="P31" s="19">
        <f>NPV(Discount_rate,C32:$C$35)*(1+Discount_rate)</f>
        <v>1767.0746973671482</v>
      </c>
      <c r="Q31" s="19">
        <f t="shared" si="12"/>
        <v>374.68073465038998</v>
      </c>
      <c r="R31" s="19">
        <f t="shared" si="13"/>
        <v>-18.347974358238787</v>
      </c>
      <c r="T31" s="107">
        <f>(R30+C16-D16-E16)*Investment_rate</f>
        <v>14.579636101045269</v>
      </c>
      <c r="U31" s="107">
        <f t="shared" si="19"/>
        <v>131.69204721936202</v>
      </c>
      <c r="V31" s="108">
        <f>U31/C31/(1+Discount_rate)</f>
        <v>0.21203446306409407</v>
      </c>
    </row>
    <row r="32" spans="2:22" x14ac:dyDescent="0.25">
      <c r="B32" s="7">
        <f t="shared" si="20"/>
        <v>8</v>
      </c>
      <c r="C32" s="20">
        <f t="shared" si="14"/>
        <v>603.97004365033501</v>
      </c>
      <c r="D32" s="20">
        <f>'Cash flows'!D27</f>
        <v>0</v>
      </c>
      <c r="E32" s="20">
        <f t="shared" ref="E32:F32" si="26">E17</f>
        <v>96.081599440951791</v>
      </c>
      <c r="F32" s="20">
        <f t="shared" si="26"/>
        <v>387.84764635876911</v>
      </c>
      <c r="G32" s="20">
        <f t="shared" si="16"/>
        <v>120.04079785061413</v>
      </c>
      <c r="H32" s="19">
        <f t="shared" si="9"/>
        <v>-269.54211910199183</v>
      </c>
      <c r="I32" s="19">
        <f t="shared" si="10"/>
        <v>1197.9977933283176</v>
      </c>
      <c r="J32" s="53">
        <f t="shared" si="17"/>
        <v>254.01681886033953</v>
      </c>
      <c r="K32" s="19">
        <f t="shared" si="11"/>
        <v>-15.525300241652303</v>
      </c>
      <c r="M32" s="65">
        <f t="shared" si="18"/>
        <v>-147.48216376370604</v>
      </c>
      <c r="N32" s="111"/>
      <c r="O32" s="19">
        <f>NPV(Discount_rate,E33:E$35)*(1+Discount_rate)
+NPV(Discount_rate,D33:D$35)*(1+Discount_rate)
+NPV(Discount_rate,F33:F$35)
-NPV(Discount_rate,C33:C$35)*(1+Discount_rate)</f>
        <v>-269.54211910199183</v>
      </c>
      <c r="P32" s="19">
        <f>NPV(Discount_rate,C33:$C$35)*(1+Discount_rate)</f>
        <v>1197.9977933283176</v>
      </c>
      <c r="Q32" s="19">
        <f t="shared" si="12"/>
        <v>254.0168188603395</v>
      </c>
      <c r="R32" s="19">
        <f t="shared" si="13"/>
        <v>-15.525300241652332</v>
      </c>
      <c r="T32" s="107">
        <f>(R31+C17-D17-E17)*Investment_rate</f>
        <v>14.686214095534334</v>
      </c>
      <c r="U32" s="107">
        <f t="shared" si="19"/>
        <v>131.904337829562</v>
      </c>
      <c r="V32" s="108">
        <f>U32/C32/(1+Discount_rate)</f>
        <v>0.21203446306409385</v>
      </c>
    </row>
    <row r="33" spans="2:22" x14ac:dyDescent="0.25">
      <c r="B33" s="7">
        <f t="shared" si="20"/>
        <v>9</v>
      </c>
      <c r="C33" s="20">
        <f t="shared" si="14"/>
        <v>606.98117081552766</v>
      </c>
      <c r="D33" s="20">
        <f>'Cash flows'!D28</f>
        <v>0</v>
      </c>
      <c r="E33" s="20">
        <f t="shared" ref="E33:F33" si="27">E18</f>
        <v>93.38640674361065</v>
      </c>
      <c r="F33" s="20">
        <f t="shared" si="27"/>
        <v>389.7812829624134</v>
      </c>
      <c r="G33" s="20">
        <f t="shared" si="16"/>
        <v>123.81348110950358</v>
      </c>
      <c r="H33" s="19">
        <f t="shared" si="9"/>
        <v>-138.40705864339049</v>
      </c>
      <c r="I33" s="19">
        <f t="shared" si="10"/>
        <v>608.74712118817365</v>
      </c>
      <c r="J33" s="53">
        <f t="shared" si="17"/>
        <v>129.07536898294748</v>
      </c>
      <c r="K33" s="19">
        <f t="shared" si="11"/>
        <v>-9.3316896604430042</v>
      </c>
      <c r="M33" s="65">
        <f t="shared" si="18"/>
        <v>-74.941158587889262</v>
      </c>
      <c r="N33" s="111"/>
      <c r="O33" s="19">
        <f>NPV(Discount_rate,E34:E$35)*(1+Discount_rate)
+NPV(Discount_rate,D34:D$35)*(1+Discount_rate)
+NPV(Discount_rate,F34:F$35)
-NPV(Discount_rate,C34:C$35)*(1+Discount_rate)</f>
        <v>-138.40705864339049</v>
      </c>
      <c r="P33" s="19">
        <f>NPV(Discount_rate,C34:$C$35)*(1+Discount_rate)</f>
        <v>608.74712118817365</v>
      </c>
      <c r="Q33" s="19">
        <f t="shared" si="12"/>
        <v>129.07536898294748</v>
      </c>
      <c r="R33" s="19">
        <f t="shared" si="13"/>
        <v>-9.3316896604430042</v>
      </c>
      <c r="T33" s="107">
        <f>(R32+C18-D18-E18)*Investment_rate</f>
        <v>14.94208391490794</v>
      </c>
      <c r="U33" s="107">
        <f t="shared" si="19"/>
        <v>132.56195444320218</v>
      </c>
      <c r="V33" s="108">
        <f>U33/C33/(1+Discount_rate)</f>
        <v>0.21203446306409413</v>
      </c>
    </row>
    <row r="34" spans="2:22" x14ac:dyDescent="0.25">
      <c r="B34" s="7">
        <f t="shared" si="20"/>
        <v>10</v>
      </c>
      <c r="C34" s="20">
        <f t="shared" si="14"/>
        <v>608.74712118817365</v>
      </c>
      <c r="D34" s="20">
        <f>'Cash flows'!D29</f>
        <v>0</v>
      </c>
      <c r="E34" s="20">
        <f t="shared" ref="E34:F34" si="28">E19</f>
        <v>90.810633212352784</v>
      </c>
      <c r="F34" s="20">
        <f t="shared" si="28"/>
        <v>390.91531221240331</v>
      </c>
      <c r="G34" s="20">
        <f t="shared" si="16"/>
        <v>127.0211757634176</v>
      </c>
      <c r="H34" s="19">
        <f t="shared" si="9"/>
        <v>0</v>
      </c>
      <c r="I34" s="19">
        <f t="shared" si="10"/>
        <v>0</v>
      </c>
      <c r="J34" s="53">
        <f t="shared" si="17"/>
        <v>0</v>
      </c>
      <c r="K34" s="19">
        <f t="shared" si="11"/>
        <v>0</v>
      </c>
      <c r="M34" s="65">
        <f t="shared" si="18"/>
        <v>0</v>
      </c>
      <c r="N34" s="111"/>
      <c r="O34" s="19">
        <f>NPV(Discount_rate,E35:E$35)*(1+Discount_rate)
+NPV(Discount_rate,D35:D$35)*(1+Discount_rate)
+NPV(Discount_rate,F35:F$35)
-NPV(Discount_rate,C35:C$35)*(1+Discount_rate)</f>
        <v>0</v>
      </c>
      <c r="P34" s="19">
        <f>NPV(Discount_rate,C35:$C$35)*(1+Discount_rate)</f>
        <v>0</v>
      </c>
      <c r="Q34" s="19">
        <f t="shared" si="12"/>
        <v>0</v>
      </c>
      <c r="R34" s="19">
        <f t="shared" si="13"/>
        <v>0</v>
      </c>
      <c r="T34" s="107">
        <f>(R33+C19-D19-E19)*Investment_rate</f>
        <v>15.258143949461335</v>
      </c>
      <c r="U34" s="107">
        <f t="shared" si="19"/>
        <v>132.94763005243593</v>
      </c>
      <c r="V34" s="108">
        <f>U34/C34/(1+Discount_rate)</f>
        <v>0.21203446306409424</v>
      </c>
    </row>
    <row r="35" spans="2:22" x14ac:dyDescent="0.25">
      <c r="N35" s="111"/>
    </row>
    <row r="36" spans="2:22" x14ac:dyDescent="0.25">
      <c r="B36" t="s">
        <v>72</v>
      </c>
      <c r="F36" s="54">
        <f>J24/I24</f>
        <v>0.21203446306409421</v>
      </c>
      <c r="N36" s="111"/>
    </row>
    <row r="37" spans="2:22" x14ac:dyDescent="0.25">
      <c r="B37" t="s">
        <v>73</v>
      </c>
      <c r="F37" s="110">
        <f>-D10/I9</f>
        <v>-0.12310720819774314</v>
      </c>
      <c r="G37" s="112" t="s">
        <v>106</v>
      </c>
      <c r="N37" s="111"/>
    </row>
    <row r="38" spans="2:22" x14ac:dyDescent="0.25">
      <c r="F38" t="s">
        <v>74</v>
      </c>
      <c r="N38" s="111"/>
    </row>
    <row r="39" spans="2:22" x14ac:dyDescent="0.25">
      <c r="B39" t="s">
        <v>75</v>
      </c>
      <c r="F39" s="54">
        <f>F36+F37</f>
        <v>8.8927254866351071E-2</v>
      </c>
      <c r="N39" s="111"/>
    </row>
    <row r="40" spans="2:22" x14ac:dyDescent="0.25">
      <c r="N40" s="111"/>
    </row>
    <row r="41" spans="2:22" x14ac:dyDescent="0.25">
      <c r="N41" s="111"/>
    </row>
  </sheetData>
  <mergeCells count="3">
    <mergeCell ref="B7:K7"/>
    <mergeCell ref="B22:K22"/>
    <mergeCell ref="T22:U22"/>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50"/>
  <sheetViews>
    <sheetView topLeftCell="A13" workbookViewId="0">
      <selection activeCell="I40" sqref="I40"/>
    </sheetView>
  </sheetViews>
  <sheetFormatPr defaultRowHeight="15" x14ac:dyDescent="0.25"/>
  <cols>
    <col min="1" max="3" width="13.7109375" customWidth="1"/>
    <col min="4" max="4" width="9.85546875" customWidth="1"/>
    <col min="5" max="5" width="8.85546875" customWidth="1"/>
    <col min="6" max="6" width="9.85546875" customWidth="1"/>
    <col min="7" max="7" width="9.28515625" customWidth="1"/>
    <col min="8" max="8" width="13.7109375" customWidth="1"/>
    <col min="9" max="9" width="11.7109375" customWidth="1"/>
    <col min="10" max="12" width="13.7109375" customWidth="1"/>
  </cols>
  <sheetData>
    <row r="2" spans="1:8" x14ac:dyDescent="0.25">
      <c r="A2" s="30"/>
      <c r="B2" s="30"/>
      <c r="C2" s="30"/>
      <c r="D2" s="30"/>
      <c r="E2" s="30"/>
      <c r="F2" s="30"/>
      <c r="G2" s="30"/>
      <c r="H2" s="30"/>
    </row>
    <row r="3" spans="1:8" x14ac:dyDescent="0.25">
      <c r="A3" s="30"/>
      <c r="B3" s="30"/>
      <c r="C3" s="30"/>
      <c r="D3" s="30"/>
      <c r="E3" s="30"/>
      <c r="F3" s="30"/>
      <c r="G3" s="30"/>
      <c r="H3" s="30"/>
    </row>
    <row r="4" spans="1:8" x14ac:dyDescent="0.25">
      <c r="A4" s="30" t="s">
        <v>94</v>
      </c>
      <c r="B4" s="30"/>
      <c r="C4" s="30"/>
      <c r="D4" s="30"/>
      <c r="E4" s="30"/>
      <c r="F4" s="30"/>
      <c r="G4" s="30"/>
      <c r="H4" s="30"/>
    </row>
    <row r="5" spans="1:8" x14ac:dyDescent="0.25">
      <c r="A5" s="82"/>
      <c r="B5" s="92" t="s">
        <v>88</v>
      </c>
      <c r="C5" s="92"/>
      <c r="D5" s="92"/>
      <c r="E5" s="92"/>
      <c r="F5" s="92"/>
      <c r="G5" s="30"/>
      <c r="H5" s="30"/>
    </row>
    <row r="6" spans="1:8" ht="40.5" x14ac:dyDescent="0.25">
      <c r="A6" s="77" t="s">
        <v>24</v>
      </c>
      <c r="B6" s="83" t="s">
        <v>89</v>
      </c>
      <c r="C6" s="83" t="s">
        <v>90</v>
      </c>
      <c r="D6" s="83" t="s">
        <v>91</v>
      </c>
      <c r="E6" s="83" t="s">
        <v>92</v>
      </c>
      <c r="F6" s="84" t="s">
        <v>93</v>
      </c>
      <c r="G6" s="30"/>
      <c r="H6" s="30"/>
    </row>
    <row r="7" spans="1:8" x14ac:dyDescent="0.25">
      <c r="A7" s="49"/>
      <c r="B7" s="50"/>
      <c r="C7" s="57"/>
      <c r="D7" s="50"/>
      <c r="E7" s="44"/>
      <c r="F7" s="57"/>
      <c r="G7" s="30"/>
      <c r="H7" s="30"/>
    </row>
    <row r="8" spans="1:8" x14ac:dyDescent="0.25">
      <c r="A8" s="55">
        <v>1</v>
      </c>
      <c r="B8" s="48">
        <f>'Cash flows'!C5</f>
        <v>667.11959999999999</v>
      </c>
      <c r="C8" s="56">
        <f>-'Cash flows'!F5</f>
        <v>-428.4</v>
      </c>
      <c r="D8" s="48">
        <f>-'Cash flows'!D5</f>
        <v>-667.11959999999999</v>
      </c>
      <c r="E8" s="43">
        <f>-'Cash flows'!E5</f>
        <v>-70</v>
      </c>
      <c r="F8" s="56">
        <f>'Cash flows'!G5</f>
        <v>-498.4</v>
      </c>
      <c r="G8" s="30"/>
      <c r="H8" s="30"/>
    </row>
    <row r="9" spans="1:8" x14ac:dyDescent="0.25">
      <c r="A9" s="49">
        <v>2</v>
      </c>
      <c r="B9" s="50">
        <f>'Cash flows'!C6</f>
        <v>637.63333851870391</v>
      </c>
      <c r="C9" s="57">
        <f>-'Cash flows'!F6</f>
        <v>-409.46499281599995</v>
      </c>
      <c r="D9" s="50">
        <v>0</v>
      </c>
      <c r="E9" s="44">
        <f>-'Cash flows'!E6</f>
        <v>-125.29736025187039</v>
      </c>
      <c r="F9" s="57">
        <f>'Cash flows'!G6</f>
        <v>102.87098545083359</v>
      </c>
      <c r="G9" s="30"/>
      <c r="H9" s="30"/>
    </row>
    <row r="10" spans="1:8" x14ac:dyDescent="0.25">
      <c r="A10" s="55">
        <v>3</v>
      </c>
      <c r="B10" s="48">
        <f>'Cash flows'!C7</f>
        <v>613.64662418592604</v>
      </c>
      <c r="C10" s="56">
        <f>-'Cash flows'!F7</f>
        <v>-394.06159525406042</v>
      </c>
      <c r="D10" s="48">
        <v>0</v>
      </c>
      <c r="E10" s="43">
        <f>-'Cash flows'!E7</f>
        <v>-116.53328575416107</v>
      </c>
      <c r="F10" s="56">
        <f>'Cash flows'!G7</f>
        <v>103.05174317770457</v>
      </c>
      <c r="G10" s="30"/>
      <c r="H10" s="30"/>
    </row>
    <row r="11" spans="1:8" x14ac:dyDescent="0.25">
      <c r="A11" s="49">
        <v>4</v>
      </c>
      <c r="B11" s="50">
        <f>'Cash flows'!C8</f>
        <v>606.73558249268808</v>
      </c>
      <c r="C11" s="57">
        <f>-'Cash flows'!F8</f>
        <v>-389.62357505291038</v>
      </c>
      <c r="D11" s="50">
        <v>0</v>
      </c>
      <c r="E11" s="44">
        <f>-'Cash flows'!E8</f>
        <v>-111.25378235613753</v>
      </c>
      <c r="F11" s="57">
        <f>'Cash flows'!G8</f>
        <v>105.85822508364015</v>
      </c>
      <c r="G11" s="30"/>
      <c r="H11" s="30"/>
    </row>
    <row r="12" spans="1:8" x14ac:dyDescent="0.25">
      <c r="A12" s="55">
        <v>5</v>
      </c>
      <c r="B12" s="48">
        <f>'Cash flows'!C9</f>
        <v>604.78302740944525</v>
      </c>
      <c r="C12" s="56">
        <f>-'Cash flows'!F9</f>
        <v>-388.36971502891879</v>
      </c>
      <c r="D12" s="48">
        <v>0</v>
      </c>
      <c r="E12" s="43">
        <f>-'Cash flows'!E9</f>
        <v>-106.84582668541356</v>
      </c>
      <c r="F12" s="56">
        <f>'Cash flows'!G9</f>
        <v>109.56748569511291</v>
      </c>
      <c r="G12" s="30"/>
      <c r="H12" s="30"/>
    </row>
    <row r="13" spans="1:8" x14ac:dyDescent="0.25">
      <c r="A13" s="49">
        <v>6</v>
      </c>
      <c r="B13" s="50">
        <f>'Cash flows'!C10</f>
        <v>602.8523820211127</v>
      </c>
      <c r="C13" s="57">
        <f>-'Cash flows'!F10</f>
        <v>-387.12992461598287</v>
      </c>
      <c r="D13" s="50">
        <v>0</v>
      </c>
      <c r="E13" s="44">
        <f>-'Cash flows'!E10</f>
        <v>-102.78441472368486</v>
      </c>
      <c r="F13" s="57">
        <f>'Cash flows'!G10</f>
        <v>112.93804268144498</v>
      </c>
      <c r="G13" s="30"/>
      <c r="H13" s="30"/>
    </row>
    <row r="14" spans="1:8" x14ac:dyDescent="0.25">
      <c r="A14" s="55">
        <v>7</v>
      </c>
      <c r="B14" s="48">
        <f>'Cash flows'!C11</f>
        <v>602.99799700487301</v>
      </c>
      <c r="C14" s="56">
        <f>-'Cash flows'!F11</f>
        <v>-387.22343327476443</v>
      </c>
      <c r="D14" s="48">
        <v>0</v>
      </c>
      <c r="E14" s="43">
        <f>-'Cash flows'!E11</f>
        <v>-99.246724669189092</v>
      </c>
      <c r="F14" s="56">
        <f>'Cash flows'!G11</f>
        <v>116.52783906091946</v>
      </c>
      <c r="G14" s="30"/>
      <c r="H14" s="30"/>
    </row>
    <row r="15" spans="1:8" x14ac:dyDescent="0.25">
      <c r="A15" s="49">
        <v>8</v>
      </c>
      <c r="B15" s="50">
        <f>'Cash flows'!C12</f>
        <v>603.97004365033501</v>
      </c>
      <c r="C15" s="57">
        <f>-'Cash flows'!F12</f>
        <v>-387.84764635876911</v>
      </c>
      <c r="D15" s="50">
        <v>0</v>
      </c>
      <c r="E15" s="44">
        <f>-'Cash flows'!E12</f>
        <v>-96.081599440951791</v>
      </c>
      <c r="F15" s="57">
        <f>'Cash flows'!G12</f>
        <v>120.04079785061413</v>
      </c>
      <c r="G15" s="30"/>
      <c r="H15" s="30"/>
    </row>
    <row r="16" spans="1:8" x14ac:dyDescent="0.25">
      <c r="A16" s="55">
        <v>9</v>
      </c>
      <c r="B16" s="48">
        <f>'Cash flows'!C13</f>
        <v>606.98117081552766</v>
      </c>
      <c r="C16" s="56">
        <f>-'Cash flows'!F13</f>
        <v>-389.7812829624134</v>
      </c>
      <c r="D16" s="48">
        <v>0</v>
      </c>
      <c r="E16" s="43">
        <f>-'Cash flows'!E13</f>
        <v>-93.38640674361065</v>
      </c>
      <c r="F16" s="56">
        <f>'Cash flows'!G13</f>
        <v>123.81348110950358</v>
      </c>
      <c r="G16" s="30"/>
      <c r="H16" s="30"/>
    </row>
    <row r="17" spans="1:8" x14ac:dyDescent="0.25">
      <c r="A17" s="49">
        <v>10</v>
      </c>
      <c r="B17" s="58">
        <f>'Cash flows'!C14</f>
        <v>608.74712118817365</v>
      </c>
      <c r="C17" s="59">
        <f>-'Cash flows'!F14</f>
        <v>-390.91531221240331</v>
      </c>
      <c r="D17" s="58">
        <v>0</v>
      </c>
      <c r="E17" s="63">
        <f>-'Cash flows'!E14</f>
        <v>-90.810633212352784</v>
      </c>
      <c r="F17" s="59">
        <f>'Cash flows'!G14</f>
        <v>127.0211757634176</v>
      </c>
    </row>
    <row r="19" spans="1:8" x14ac:dyDescent="0.25">
      <c r="A19" s="30" t="s">
        <v>76</v>
      </c>
    </row>
    <row r="20" spans="1:8" x14ac:dyDescent="0.25">
      <c r="A20" s="95" t="s">
        <v>24</v>
      </c>
      <c r="B20" s="104" t="s">
        <v>83</v>
      </c>
      <c r="C20" s="104"/>
      <c r="D20" s="104"/>
      <c r="E20" s="104"/>
      <c r="F20" s="104"/>
      <c r="G20" s="104"/>
    </row>
    <row r="21" spans="1:8" ht="15" customHeight="1" x14ac:dyDescent="0.25">
      <c r="A21" s="95"/>
      <c r="B21" s="99" t="s">
        <v>77</v>
      </c>
      <c r="C21" s="100" t="s">
        <v>59</v>
      </c>
      <c r="D21" s="101" t="s">
        <v>78</v>
      </c>
      <c r="E21" s="102"/>
      <c r="F21" s="102"/>
      <c r="G21" s="103" t="s">
        <v>82</v>
      </c>
    </row>
    <row r="22" spans="1:8" ht="38.25" customHeight="1" x14ac:dyDescent="0.25">
      <c r="A22" s="95"/>
      <c r="B22" s="99"/>
      <c r="C22" s="100"/>
      <c r="D22" s="60" t="s">
        <v>79</v>
      </c>
      <c r="E22" s="61" t="s">
        <v>80</v>
      </c>
      <c r="F22" s="62" t="s">
        <v>81</v>
      </c>
      <c r="G22" s="103"/>
      <c r="H22" s="71"/>
    </row>
    <row r="23" spans="1:8" x14ac:dyDescent="0.25">
      <c r="A23" s="49">
        <v>0</v>
      </c>
      <c r="B23" s="50">
        <f>'Adjusted policy liability'!H9</f>
        <v>-481.89797790106786</v>
      </c>
      <c r="C23" s="57">
        <f>'Adjusted policy liability'!I9</f>
        <v>5419.0133117829082</v>
      </c>
      <c r="D23" s="50">
        <f>'Adjusted policy liability'!J24</f>
        <v>1149.0175779010679</v>
      </c>
      <c r="E23" s="44">
        <f>'Adjusted policy liability'!M24</f>
        <v>-667.11959999999999</v>
      </c>
      <c r="F23" s="57">
        <f>D23+E23</f>
        <v>481.89797790106786</v>
      </c>
      <c r="G23" s="68">
        <f>F23+B23</f>
        <v>0</v>
      </c>
    </row>
    <row r="24" spans="1:8" x14ac:dyDescent="0.25">
      <c r="A24" s="55">
        <v>1</v>
      </c>
      <c r="B24" s="48">
        <f>'Adjusted policy liability'!H10</f>
        <v>-996.8549172380998</v>
      </c>
      <c r="C24" s="56">
        <f>'Adjusted policy liability'!I10</f>
        <v>4894.4505231363955</v>
      </c>
      <c r="D24" s="48">
        <f>'Adjusted policy liability'!J25</f>
        <v>1037.7921886670006</v>
      </c>
      <c r="E24" s="43">
        <f>'Adjusted policy liability'!M25</f>
        <v>-602.54213956530509</v>
      </c>
      <c r="F24" s="56">
        <f t="shared" ref="F24:F33" si="0">D24+E24</f>
        <v>435.25004910169548</v>
      </c>
      <c r="G24" s="69">
        <f t="shared" ref="G24:G33" si="1">F24+B24</f>
        <v>-561.60486813640432</v>
      </c>
    </row>
    <row r="25" spans="1:8" x14ac:dyDescent="0.25">
      <c r="A25" s="49">
        <v>2</v>
      </c>
      <c r="B25" s="50">
        <f>'Adjusted policy liability'!H11</f>
        <v>-908.51949995640427</v>
      </c>
      <c r="C25" s="57">
        <f>'Adjusted policy liability'!I11</f>
        <v>4384.5217001562232</v>
      </c>
      <c r="D25" s="50">
        <f>'Adjusted policy liability'!J26</f>
        <v>929.66970448549421</v>
      </c>
      <c r="E25" s="44">
        <f>'Adjusted policy liability'!M26</f>
        <v>-539.76622578865488</v>
      </c>
      <c r="F25" s="57">
        <f t="shared" si="0"/>
        <v>389.90347869683933</v>
      </c>
      <c r="G25" s="68">
        <f t="shared" si="1"/>
        <v>-518.61602125956495</v>
      </c>
    </row>
    <row r="26" spans="1:8" x14ac:dyDescent="0.25">
      <c r="A26" s="55">
        <v>3</v>
      </c>
      <c r="B26" s="48">
        <f>'Adjusted policy liability'!H12</f>
        <v>-817.80994162443892</v>
      </c>
      <c r="C26" s="56">
        <f>'Adjusted policy liability'!I12</f>
        <v>3884.001328249406</v>
      </c>
      <c r="D26" s="48">
        <f>'Adjusted policy liability'!J27</f>
        <v>823.54213617559151</v>
      </c>
      <c r="E26" s="43">
        <f>'Adjusted policy liability'!M27</f>
        <v>-478.14856015711052</v>
      </c>
      <c r="F26" s="56">
        <f t="shared" si="0"/>
        <v>345.39357601848099</v>
      </c>
      <c r="G26" s="69">
        <f t="shared" si="1"/>
        <v>-472.41636560595794</v>
      </c>
    </row>
    <row r="27" spans="1:8" x14ac:dyDescent="0.25">
      <c r="A27" s="49">
        <v>4</v>
      </c>
      <c r="B27" s="50">
        <f>'Adjusted policy liability'!H13</f>
        <v>-721.62156078543535</v>
      </c>
      <c r="C27" s="57">
        <f>'Adjusted policy liability'!I13</f>
        <v>3375.5837181294196</v>
      </c>
      <c r="D27" s="50">
        <f>'Adjusted policy liability'!J28</f>
        <v>715.74008120147016</v>
      </c>
      <c r="E27" s="44">
        <f>'Adjusted policy liability'!M28</f>
        <v>-415.55868757667037</v>
      </c>
      <c r="F27" s="57">
        <f t="shared" si="0"/>
        <v>300.1813936247998</v>
      </c>
      <c r="G27" s="68">
        <f t="shared" si="1"/>
        <v>-421.44016716063555</v>
      </c>
    </row>
    <row r="28" spans="1:8" x14ac:dyDescent="0.25">
      <c r="A28" s="55">
        <v>5</v>
      </c>
      <c r="B28" s="48">
        <f>'Adjusted policy liability'!H14</f>
        <v>-618.76460589216458</v>
      </c>
      <c r="C28" s="56">
        <f>'Adjusted policy liability'!I14</f>
        <v>2853.9247114415734</v>
      </c>
      <c r="D28" s="48">
        <f>'Adjusted policy liability'!J29</f>
        <v>605.13039381586407</v>
      </c>
      <c r="E28" s="43">
        <f>'Adjusted policy liability'!M29</f>
        <v>-351.33870363212179</v>
      </c>
      <c r="F28" s="56">
        <f t="shared" si="0"/>
        <v>253.79169018374228</v>
      </c>
      <c r="G28" s="69">
        <f t="shared" si="1"/>
        <v>-364.97291570842231</v>
      </c>
    </row>
    <row r="29" spans="1:8" x14ac:dyDescent="0.25">
      <c r="A29" s="49">
        <v>6</v>
      </c>
      <c r="B29" s="50">
        <f>'Adjusted policy liability'!H15</f>
        <v>-509.38746236856173</v>
      </c>
      <c r="C29" s="57">
        <f>'Adjusted policy liability'!I15</f>
        <v>2318.6044993030746</v>
      </c>
      <c r="D29" s="50">
        <f>'Adjusted policy liability'!J30</f>
        <v>491.62406006772039</v>
      </c>
      <c r="E29" s="44">
        <f>'Adjusted policy liability'!M30</f>
        <v>-285.43692682392759</v>
      </c>
      <c r="F29" s="57">
        <f t="shared" si="0"/>
        <v>206.1871332437928</v>
      </c>
      <c r="G29" s="68">
        <f t="shared" si="1"/>
        <v>-303.20032912476893</v>
      </c>
    </row>
    <row r="30" spans="1:8" x14ac:dyDescent="0.25">
      <c r="A30" s="55">
        <v>7</v>
      </c>
      <c r="B30" s="48">
        <f>'Adjusted policy liability'!H16</f>
        <v>-393.0287090086286</v>
      </c>
      <c r="C30" s="56">
        <f>'Adjusted policy liability'!I16</f>
        <v>1767.074697367148</v>
      </c>
      <c r="D30" s="48">
        <f>'Adjusted policy liability'!J31</f>
        <v>374.68073465038998</v>
      </c>
      <c r="E30" s="43">
        <f>'Adjusted policy liability'!M31</f>
        <v>-217.53963266974145</v>
      </c>
      <c r="F30" s="56">
        <f t="shared" si="0"/>
        <v>157.14110198064853</v>
      </c>
      <c r="G30" s="69">
        <f t="shared" si="1"/>
        <v>-235.88760702798007</v>
      </c>
    </row>
    <row r="31" spans="1:8" x14ac:dyDescent="0.25">
      <c r="A31" s="49">
        <v>8</v>
      </c>
      <c r="B31" s="50">
        <f>'Adjusted policy liability'!H17</f>
        <v>-269.54211910199183</v>
      </c>
      <c r="C31" s="57">
        <f>'Adjusted policy liability'!I17</f>
        <v>1197.9977933283176</v>
      </c>
      <c r="D31" s="50">
        <f>'Adjusted policy liability'!J32</f>
        <v>254.01681886033953</v>
      </c>
      <c r="E31" s="44">
        <f>'Adjusted policy liability'!M32</f>
        <v>-147.48216376370604</v>
      </c>
      <c r="F31" s="57">
        <f t="shared" si="0"/>
        <v>106.53465509663349</v>
      </c>
      <c r="G31" s="68">
        <f t="shared" si="1"/>
        <v>-163.00746400535834</v>
      </c>
    </row>
    <row r="32" spans="1:8" x14ac:dyDescent="0.25">
      <c r="A32" s="55">
        <v>9</v>
      </c>
      <c r="B32" s="48">
        <f>'Adjusted policy liability'!H18</f>
        <v>-138.40705864339049</v>
      </c>
      <c r="C32" s="56">
        <f>'Adjusted policy liability'!I18</f>
        <v>608.74712118817365</v>
      </c>
      <c r="D32" s="48">
        <f>'Adjusted policy liability'!J33</f>
        <v>129.07536898294748</v>
      </c>
      <c r="E32" s="43">
        <f>'Adjusted policy liability'!M33</f>
        <v>-74.941158587889262</v>
      </c>
      <c r="F32" s="56">
        <f t="shared" si="0"/>
        <v>54.134210395058219</v>
      </c>
      <c r="G32" s="69">
        <f t="shared" si="1"/>
        <v>-84.272848248332267</v>
      </c>
    </row>
    <row r="33" spans="1:9" x14ac:dyDescent="0.25">
      <c r="A33" s="49">
        <v>10</v>
      </c>
      <c r="B33" s="58">
        <f>'Adjusted policy liability'!H19</f>
        <v>0</v>
      </c>
      <c r="C33" s="59">
        <f>'Adjusted policy liability'!I19</f>
        <v>0</v>
      </c>
      <c r="D33" s="58">
        <f>'Adjusted policy liability'!J34</f>
        <v>0</v>
      </c>
      <c r="E33" s="63">
        <f>'Adjusted policy liability'!M34</f>
        <v>0</v>
      </c>
      <c r="F33" s="59">
        <f t="shared" si="0"/>
        <v>0</v>
      </c>
      <c r="G33" s="70">
        <f t="shared" si="1"/>
        <v>0</v>
      </c>
    </row>
    <row r="37" spans="1:9" ht="15" customHeight="1" x14ac:dyDescent="0.25">
      <c r="A37" s="30" t="s">
        <v>85</v>
      </c>
      <c r="C37" s="73"/>
    </row>
    <row r="38" spans="1:9" x14ac:dyDescent="0.25">
      <c r="A38" s="93" t="s">
        <v>24</v>
      </c>
      <c r="B38" s="94" t="s">
        <v>86</v>
      </c>
      <c r="C38" s="95"/>
      <c r="D38" s="95"/>
      <c r="E38" s="96"/>
      <c r="F38" s="97" t="s">
        <v>87</v>
      </c>
      <c r="G38" s="98"/>
      <c r="H38" s="98"/>
      <c r="I38" s="98"/>
    </row>
    <row r="39" spans="1:9" ht="25.5" x14ac:dyDescent="0.25">
      <c r="A39" s="93"/>
      <c r="B39" s="78" t="s">
        <v>38</v>
      </c>
      <c r="C39" s="72" t="s">
        <v>54</v>
      </c>
      <c r="D39" s="72" t="s">
        <v>39</v>
      </c>
      <c r="E39" s="72" t="s">
        <v>56</v>
      </c>
      <c r="F39" s="78" t="s">
        <v>38</v>
      </c>
      <c r="G39" s="72" t="s">
        <v>54</v>
      </c>
      <c r="H39" s="72" t="s">
        <v>39</v>
      </c>
      <c r="I39" s="72" t="s">
        <v>56</v>
      </c>
    </row>
    <row r="40" spans="1:9" x14ac:dyDescent="0.25">
      <c r="A40" s="47">
        <v>1</v>
      </c>
      <c r="B40" s="76">
        <f>'Adjusted policy liability'!K10</f>
        <v>-561.60486813640421</v>
      </c>
      <c r="C40" s="66">
        <f>Investment_rate*('Adjusted policy liability'!C10-'Adjusted policy liability'!D10-'Adjusted policy liability'!E10+'Adjusted policy liability'!K9)</f>
        <v>-2.1</v>
      </c>
      <c r="D40" s="66">
        <f>'Adjusted policy liability'!G10-('Adjusted policy liability'!K10-'Adjusted policy liability'!K9)+Tables!C40</f>
        <v>61.104868136404228</v>
      </c>
      <c r="E40" s="45">
        <f>D40/'Adjusted policy liability'!C10/(1+Discount_rate)</f>
        <v>8.8927254866350933E-2</v>
      </c>
      <c r="F40" s="76">
        <f>'Adjusted policy liability'!K25</f>
        <v>40.937271428900772</v>
      </c>
      <c r="G40" s="66">
        <f>Investment_rate*('Adjusted policy liability'!C25-'Adjusted policy liability'!D10-'Adjusted policy liability'!E10+'Adjusted policy liability'!K24)</f>
        <v>-2.1</v>
      </c>
      <c r="H40" s="66">
        <f>'Adjusted policy liability'!G10-('Adjusted policy liability'!K25-'Adjusted policy liability'!K24)+Tables!G40</f>
        <v>-541.43727142890077</v>
      </c>
      <c r="I40" s="45">
        <f>H40/'Cash flows'!C5/(1+Investment_rate)</f>
        <v>-0.78796553693590587</v>
      </c>
    </row>
    <row r="41" spans="1:9" x14ac:dyDescent="0.25">
      <c r="A41" s="46">
        <v>2</v>
      </c>
      <c r="B41" s="75">
        <f>'Adjusted policy liability'!K11</f>
        <v>-518.61602125956483</v>
      </c>
      <c r="C41" s="67">
        <f>Investment_rate*('Adjusted policy liability'!C11-'Adjusted policy liability'!D11-'Adjusted policy liability'!E11+'Adjusted policy liability'!K10)</f>
        <v>-1.47806669608712</v>
      </c>
      <c r="D41" s="67">
        <f>'Adjusted policy liability'!G11-('Adjusted policy liability'!K11-'Adjusted policy liability'!K10)+Tables!C41</f>
        <v>58.404071877907093</v>
      </c>
      <c r="E41" s="38">
        <f>D41/'Adjusted policy liability'!C11/(1+Discount_rate)</f>
        <v>8.8927254866350988E-2</v>
      </c>
      <c r="F41" s="75">
        <f>'Adjusted policy liability'!K26</f>
        <v>21.150204529089933</v>
      </c>
      <c r="G41" s="67">
        <f>Investment_rate*('Adjusted policy liability'!C26-'Adjusted policy liability'!D11-'Adjusted policy liability'!E11+'Adjusted policy liability'!K25)</f>
        <v>16.598197490872028</v>
      </c>
      <c r="H41" s="67">
        <f>'Adjusted policy liability'!G11-('Adjusted policy liability'!K26-'Adjusted policy liability'!K25)+Tables!G41</f>
        <v>139.25624984151645</v>
      </c>
      <c r="I41" s="38">
        <f>H41/'Cash flows'!C6/(1+Investment_rate)</f>
        <v>0.21203446306409401</v>
      </c>
    </row>
    <row r="42" spans="1:9" x14ac:dyDescent="0.25">
      <c r="A42" s="47">
        <v>3</v>
      </c>
      <c r="B42" s="76">
        <f>'Adjusted policy liability'!K12</f>
        <v>-472.41636560595788</v>
      </c>
      <c r="C42" s="66">
        <f>Investment_rate*('Adjusted policy liability'!C12-'Adjusted policy liability'!D12-'Adjusted policy liability'!E12+'Adjusted policy liability'!K11)</f>
        <v>-0.64508048483399527</v>
      </c>
      <c r="D42" s="66">
        <f>'Adjusted policy liability'!G12-('Adjusted policy liability'!K12-'Adjusted policy liability'!K11)+Tables!C42</f>
        <v>56.207007039263615</v>
      </c>
      <c r="E42" s="45">
        <f>D42/'Adjusted policy liability'!C12/(1+Discount_rate)</f>
        <v>8.8927254866351196E-2</v>
      </c>
      <c r="F42" s="76">
        <f>'Adjusted policy liability'!K27</f>
        <v>5.7321945511525882</v>
      </c>
      <c r="G42" s="66">
        <f>Investment_rate*('Adjusted policy liability'!C27-'Adjusted policy liability'!D12-'Adjusted policy liability'!E12+'Adjusted policy liability'!K26)</f>
        <v>15.547906288825647</v>
      </c>
      <c r="H42" s="66">
        <f>'Adjusted policy liability'!G12-('Adjusted policy liability'!K27-'Adjusted policy liability'!K26)+Tables!G42</f>
        <v>134.01765944446757</v>
      </c>
      <c r="I42" s="45">
        <f>H42/'Cash flows'!C7/(1+Investment_rate)</f>
        <v>0.21203446306409426</v>
      </c>
    </row>
    <row r="43" spans="1:9" x14ac:dyDescent="0.25">
      <c r="A43" s="46">
        <v>4</v>
      </c>
      <c r="B43" s="75">
        <f>'Adjusted policy liability'!K13</f>
        <v>-421.4401671606355</v>
      </c>
      <c r="C43" s="67">
        <f>Investment_rate*('Adjusted policy liability'!C13-'Adjusted policy liability'!D13-'Adjusted policy liability'!E13+'Adjusted policy liability'!K12)</f>
        <v>0.69196303591777963</v>
      </c>
      <c r="D43" s="67">
        <f>'Adjusted policy liability'!G13-('Adjusted policy liability'!K13-'Adjusted policy liability'!K12)+Tables!C43</f>
        <v>55.573989674235548</v>
      </c>
      <c r="E43" s="38">
        <f>D43/'Adjusted policy liability'!C13/(1+Discount_rate)</f>
        <v>8.8927254866351016E-2</v>
      </c>
      <c r="F43" s="75">
        <f>'Adjusted policy liability'!K28</f>
        <v>-5.8814795839651879</v>
      </c>
      <c r="G43" s="67">
        <f>Investment_rate*('Adjusted policy liability'!C28-'Adjusted policy liability'!D13-'Adjusted policy liability'!E13+'Adjusted policy liability'!K27)</f>
        <v>15.036419840631092</v>
      </c>
      <c r="H43" s="67">
        <f>'Adjusted policy liability'!G13-('Adjusted policy liability'!K28-'Adjusted policy liability'!K27)+Tables!G43</f>
        <v>132.50831905938901</v>
      </c>
      <c r="I43" s="38">
        <f>H43/'Cash flows'!C8/(1+Investment_rate)</f>
        <v>0.2120344630640941</v>
      </c>
    </row>
    <row r="44" spans="1:9" x14ac:dyDescent="0.25">
      <c r="A44" s="74">
        <v>5</v>
      </c>
      <c r="B44" s="66">
        <f>'Adjusted policy liability'!K14</f>
        <v>-364.97291570842231</v>
      </c>
      <c r="C44" s="66">
        <f>Investment_rate*('Adjusted policy liability'!C14-'Adjusted policy liability'!D14-'Adjusted policy liability'!E14+'Adjusted policy liability'!K13)</f>
        <v>2.2949110069018861</v>
      </c>
      <c r="D44" s="66">
        <f>'Adjusted policy liability'!G14-('Adjusted policy liability'!K14-'Adjusted policy liability'!K13)+Tables!C44</f>
        <v>55.395145249801601</v>
      </c>
      <c r="E44" s="45">
        <f>D44/'Adjusted policy liability'!C14/(1+Discount_rate)</f>
        <v>8.8927254866351044E-2</v>
      </c>
      <c r="F44" s="76">
        <f>'Adjusted policy liability'!K29</f>
        <v>-13.634212076300514</v>
      </c>
      <c r="G44" s="66">
        <f>Investment_rate*('Adjusted policy liability'!C29-'Adjusted policy liability'!D14-'Adjusted policy liability'!E14+'Adjusted policy liability'!K28)</f>
        <v>14.761671634201996</v>
      </c>
      <c r="H44" s="66">
        <f>'Adjusted policy liability'!G14-('Adjusted policy liability'!K29-'Adjusted policy liability'!K28)+Tables!G44</f>
        <v>132.08188982165024</v>
      </c>
      <c r="I44" s="45">
        <f>H44/'Cash flows'!C9/(1+Investment_rate)</f>
        <v>0.21203446306409415</v>
      </c>
    </row>
    <row r="45" spans="1:9" x14ac:dyDescent="0.25">
      <c r="A45" s="80">
        <v>6</v>
      </c>
      <c r="B45" s="67">
        <f>'Adjusted policy liability'!K15</f>
        <v>-303.20032912476893</v>
      </c>
      <c r="C45" s="67">
        <f>Investment_rate*('Adjusted policy liability'!C15-'Adjusted policy liability'!D15-'Adjusted policy liability'!E15+'Adjusted policy liability'!K14)</f>
        <v>4.0528515476701665</v>
      </c>
      <c r="D45" s="67">
        <f>'Adjusted policy liability'!G15-('Adjusted policy liability'!K15-'Adjusted policy liability'!K14)+Tables!C45</f>
        <v>55.218307645461771</v>
      </c>
      <c r="E45" s="79">
        <f>D45/'Adjusted policy liability'!C15/(1+Discount_rate)</f>
        <v>8.892725486635121E-2</v>
      </c>
      <c r="F45" s="67">
        <f>'Adjusted policy liability'!K30</f>
        <v>-17.763402300841335</v>
      </c>
      <c r="G45" s="67">
        <f>Investment_rate*('Adjusted policy liability'!C30-'Adjusted policy liability'!D15-'Adjusted policy liability'!E15+'Adjusted policy liability'!K29)</f>
        <v>14.593012656633819</v>
      </c>
      <c r="H45" s="67">
        <f>'Adjusted policy liability'!G15-('Adjusted policy liability'!K30-'Adjusted policy liability'!K29)+Tables!G45</f>
        <v>131.66024556261962</v>
      </c>
      <c r="I45" s="38">
        <f>H45/'Cash flows'!C10/(1+Investment_rate)</f>
        <v>0.21203446306409435</v>
      </c>
    </row>
    <row r="46" spans="1:9" x14ac:dyDescent="0.25">
      <c r="A46" s="74">
        <v>7</v>
      </c>
      <c r="B46" s="66">
        <f>'Adjusted policy liability'!K16</f>
        <v>-235.88760702798004</v>
      </c>
      <c r="C46" s="66">
        <f>Investment_rate*('Adjusted policy liability'!C16-'Adjusted policy liability'!D16-'Adjusted policy liability'!E16+'Adjusted policy liability'!K15)</f>
        <v>6.0165282963274489</v>
      </c>
      <c r="D46" s="66">
        <f>'Adjusted policy liability'!G16-('Adjusted policy liability'!K16-'Adjusted policy liability'!K15)+Tables!C46</f>
        <v>55.231645260458023</v>
      </c>
      <c r="E46" s="45">
        <f>D46/'Adjusted policy liability'!C16/(1+Discount_rate)</f>
        <v>8.8927254866350974E-2</v>
      </c>
      <c r="F46" s="76">
        <f>'Adjusted policy liability'!K31</f>
        <v>-18.347974358238616</v>
      </c>
      <c r="G46" s="66">
        <f>Investment_rate*('Adjusted policy liability'!C31-'Adjusted policy liability'!D16-'Adjusted policy liability'!E16+'Adjusted policy liability'!K30)</f>
        <v>14.579636101045276</v>
      </c>
      <c r="H46" s="66">
        <f>'Adjusted policy liability'!G16-('Adjusted policy liability'!K31-'Adjusted policy liability'!K30)+Tables!G46</f>
        <v>131.69204721936202</v>
      </c>
      <c r="I46" s="45">
        <f>H46/'Cash flows'!C11/(1+Investment_rate)</f>
        <v>0.21203446306409407</v>
      </c>
    </row>
    <row r="47" spans="1:9" x14ac:dyDescent="0.25">
      <c r="A47" s="46">
        <v>8</v>
      </c>
      <c r="B47" s="75">
        <f>'Adjusted policy liability'!K17</f>
        <v>-163.00746400535837</v>
      </c>
      <c r="C47" s="67">
        <f>Investment_rate*('Adjusted policy liability'!C17-'Adjusted policy liability'!D17-'Adjusted policy liability'!E17+'Adjusted policy liability'!K16)</f>
        <v>8.160025115442096</v>
      </c>
      <c r="D47" s="67">
        <f>'Adjusted policy liability'!G17-('Adjusted policy liability'!K17-'Adjusted policy liability'!K16)+Tables!C47</f>
        <v>55.320679943434556</v>
      </c>
      <c r="E47" s="38">
        <f>D47/'Adjusted policy liability'!C17/(1+Discount_rate)</f>
        <v>8.8927254866351071E-2</v>
      </c>
      <c r="F47" s="75">
        <f>'Adjusted policy liability'!K32</f>
        <v>-15.525300241652303</v>
      </c>
      <c r="G47" s="67">
        <f>Investment_rate*('Adjusted policy liability'!C32-'Adjusted policy liability'!D17-'Adjusted policy liability'!E17+'Adjusted policy liability'!K31)</f>
        <v>14.686214095534337</v>
      </c>
      <c r="H47" s="67">
        <f>'Adjusted policy liability'!G17-('Adjusted policy liability'!K32-'Adjusted policy liability'!K31)+Tables!G47</f>
        <v>131.90433782956214</v>
      </c>
      <c r="I47" s="38">
        <f>H47/'Cash flows'!C12/(1+Investment_rate)</f>
        <v>0.21203446306409407</v>
      </c>
    </row>
    <row r="48" spans="1:9" x14ac:dyDescent="0.25">
      <c r="A48" s="74">
        <v>9</v>
      </c>
      <c r="B48" s="66">
        <f>'Adjusted policy liability'!K18</f>
        <v>-84.272848248332267</v>
      </c>
      <c r="C48" s="66">
        <f>Investment_rate*('Adjusted policy liability'!C18-'Adjusted policy liability'!D18-'Adjusted policy liability'!E18+'Adjusted policy liability'!K17)</f>
        <v>10.517619001996758</v>
      </c>
      <c r="D48" s="66">
        <f>'Adjusted policy liability'!G18-('Adjusted policy liability'!K18-'Adjusted policy liability'!K17)+Tables!C48</f>
        <v>55.596484354474235</v>
      </c>
      <c r="E48" s="45">
        <f>D48/'Adjusted policy liability'!C18/(1+Discount_rate)</f>
        <v>8.892725486635103E-2</v>
      </c>
      <c r="F48" s="76">
        <f>'Adjusted policy liability'!K33</f>
        <v>-9.3316896604430042</v>
      </c>
      <c r="G48" s="66">
        <f>Investment_rate*('Adjusted policy liability'!C33-'Adjusted policy liability'!D18-'Adjusted policy liability'!E18+'Adjusted policy liability'!K32)</f>
        <v>14.94208391490794</v>
      </c>
      <c r="H48" s="66">
        <f>'Adjusted policy liability'!G18-('Adjusted policy liability'!K33-'Adjusted policy liability'!K32)+Tables!G48</f>
        <v>132.56195444320224</v>
      </c>
      <c r="I48" s="45">
        <f>H48/'Cash flows'!C13/(1+Investment_rate)</f>
        <v>0.21203446306409424</v>
      </c>
    </row>
    <row r="49" spans="1:9" x14ac:dyDescent="0.25">
      <c r="A49" s="80">
        <v>10</v>
      </c>
      <c r="B49" s="67">
        <f>'Adjusted policy liability'!K19</f>
        <v>0</v>
      </c>
      <c r="C49" s="67">
        <f>Investment_rate*('Adjusted policy liability'!C19-'Adjusted policy liability'!D19-'Adjusted policy liability'!E19+'Adjusted policy liability'!K18)</f>
        <v>13.00990919182466</v>
      </c>
      <c r="D49" s="67">
        <f>'Adjusted policy liability'!G19-('Adjusted policy liability'!K19-'Adjusted policy liability'!K18)+Tables!C49</f>
        <v>55.758236706909997</v>
      </c>
      <c r="E49" s="38">
        <f>D49/'Adjusted policy liability'!C19/(1+Discount_rate)</f>
        <v>8.8927254866351113E-2</v>
      </c>
      <c r="F49" s="75">
        <f>'Adjusted policy liability'!K34</f>
        <v>0</v>
      </c>
      <c r="G49" s="67">
        <f>Investment_rate*('Adjusted policy liability'!C34-'Adjusted policy liability'!D19-'Adjusted policy liability'!E19+'Adjusted policy liability'!K33)</f>
        <v>15.258143949461337</v>
      </c>
      <c r="H49" s="67">
        <f>'Adjusted policy liability'!G19-('Adjusted policy liability'!K34-'Adjusted policy liability'!K33)+Tables!G49</f>
        <v>132.94763005243593</v>
      </c>
      <c r="I49" s="38">
        <f>H49/'Cash flows'!C14/(1+Investment_rate)</f>
        <v>0.21203446306409424</v>
      </c>
    </row>
    <row r="50" spans="1:9" x14ac:dyDescent="0.25">
      <c r="A50" s="73"/>
      <c r="B50" s="73"/>
    </row>
  </sheetData>
  <mergeCells count="10">
    <mergeCell ref="B5:F5"/>
    <mergeCell ref="A38:A39"/>
    <mergeCell ref="B38:E38"/>
    <mergeCell ref="F38:I38"/>
    <mergeCell ref="B21:B22"/>
    <mergeCell ref="C21:C22"/>
    <mergeCell ref="D21:F21"/>
    <mergeCell ref="G21:G22"/>
    <mergeCell ref="A20:A22"/>
    <mergeCell ref="B20:G20"/>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21</vt:i4>
      </vt:variant>
    </vt:vector>
  </HeadingPairs>
  <TitlesOfParts>
    <vt:vector size="28" baseType="lpstr">
      <vt:lpstr>Notes</vt:lpstr>
      <vt:lpstr>Data</vt:lpstr>
      <vt:lpstr>Assumptions</vt:lpstr>
      <vt:lpstr>Decrements</vt:lpstr>
      <vt:lpstr>Cash flows</vt:lpstr>
      <vt:lpstr>Adjusted policy liability</vt:lpstr>
      <vt:lpstr>Tables</vt:lpstr>
      <vt:lpstr>Tables!_Ref530049711</vt:lpstr>
      <vt:lpstr>Age</vt:lpstr>
      <vt:lpstr>Annual_premium</vt:lpstr>
      <vt:lpstr>CB1_factor</vt:lpstr>
      <vt:lpstr>CB2_factor</vt:lpstr>
      <vt:lpstr>Decrement</vt:lpstr>
      <vt:lpstr>Discount_rate</vt:lpstr>
      <vt:lpstr>Factor</vt:lpstr>
      <vt:lpstr>IA95_97UltM</vt:lpstr>
      <vt:lpstr>IC_rate</vt:lpstr>
      <vt:lpstr>Inflation</vt:lpstr>
      <vt:lpstr>Initial_comm_rate</vt:lpstr>
      <vt:lpstr>Initial_expense</vt:lpstr>
      <vt:lpstr>Investment_rate</vt:lpstr>
      <vt:lpstr>lapse_rates</vt:lpstr>
      <vt:lpstr>Profit_Margin</vt:lpstr>
      <vt:lpstr>RC_rate</vt:lpstr>
      <vt:lpstr>Renewal_comm_rate</vt:lpstr>
      <vt:lpstr>Renewal_expense</vt:lpstr>
      <vt:lpstr>Stepped_premium_loading</vt:lpstr>
      <vt:lpstr>Sum_Insured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A</dc:creator>
  <cp:lastModifiedBy>Zhu, Vincent</cp:lastModifiedBy>
  <cp:lastPrinted>2020-01-16T14:28:18Z</cp:lastPrinted>
  <dcterms:created xsi:type="dcterms:W3CDTF">2018-12-13T02:59:47Z</dcterms:created>
  <dcterms:modified xsi:type="dcterms:W3CDTF">2020-01-16T14:31:55Z</dcterms:modified>
</cp:coreProperties>
</file>