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esktop\LIRV\Textbook\"/>
    </mc:Choice>
  </mc:AlternateContent>
  <bookViews>
    <workbookView xWindow="0" yWindow="0" windowWidth="28800" windowHeight="12135" activeTab="6"/>
  </bookViews>
  <sheets>
    <sheet name="Notes" sheetId="1" r:id="rId1"/>
    <sheet name="Data" sheetId="7" r:id="rId2"/>
    <sheet name="Assumptions" sheetId="6" r:id="rId3"/>
    <sheet name="Decrements" sheetId="3" r:id="rId4"/>
    <sheet name="Continuation factors" sheetId="9" r:id="rId5"/>
    <sheet name="Cash flows" sheetId="4" r:id="rId6"/>
    <sheet name="Liability calculation" sheetId="5" r:id="rId7"/>
    <sheet name="Tables" sheetId="10" r:id="rId8"/>
  </sheets>
  <definedNames>
    <definedName name="Age">Data!$B$4</definedName>
    <definedName name="Annual_premium">Data!$B$6</definedName>
    <definedName name="CB1_factor">Assumptions!$G$7</definedName>
    <definedName name="CB2_factor">Assumptions!$M$7</definedName>
    <definedName name="claim_inflation">Assumptions!$B$8</definedName>
    <definedName name="Decrement">Decrements!$A$5:$H$14</definedName>
    <definedName name="Decrement_assumptions">Assumptions!$A$14:$D$25</definedName>
    <definedName name="Discount_rate">Assumptions!$B$40</definedName>
    <definedName name="Factor">Assumptions!$B$7</definedName>
    <definedName name="IA95_97UltM">Data!$A$54:$B$153</definedName>
    <definedName name="IC_rate">Assumptions!$B$35</definedName>
    <definedName name="Incidence_rates">Assumptions!$A$14:$B$25</definedName>
    <definedName name="Inflation">Assumptions!$B$31</definedName>
    <definedName name="Initial_comm_rate">Assumptions!$B$35</definedName>
    <definedName name="Initial_expense">Assumptions!$B$29</definedName>
    <definedName name="Investment_rate">Assumptions!$B$38</definedName>
    <definedName name="lapse_rates">Assumptions!#REF!</definedName>
    <definedName name="Premium_rate">Data!$B$6</definedName>
    <definedName name="Premium_rate2">Data!#REF!</definedName>
    <definedName name="profit_margin">'Liability calculation'!$E$6</definedName>
    <definedName name="RC_rate">Assumptions!$B$36</definedName>
    <definedName name="Renewal_comm_rate">Assumptions!$B$36</definedName>
    <definedName name="Renewal_expense">Assumptions!$B$30</definedName>
    <definedName name="Sum_Insured">Data!$B$5</definedName>
    <definedName name="surrender_factors">Data!#REF!</definedName>
    <definedName name="Val_disc_rate">Assumptions!$G$8</definedName>
    <definedName name="Val_int_rate">Assumptions!$G$7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4" l="1"/>
  <c r="X8" i="4"/>
  <c r="X9" i="4"/>
  <c r="X10" i="4"/>
  <c r="X11" i="4"/>
  <c r="X12" i="4"/>
  <c r="X13" i="4"/>
  <c r="X14" i="4"/>
  <c r="X15" i="4"/>
  <c r="X6" i="4"/>
  <c r="W7" i="4"/>
  <c r="W8" i="4"/>
  <c r="W9" i="4"/>
  <c r="W10" i="4"/>
  <c r="W11" i="4"/>
  <c r="W12" i="4"/>
  <c r="W13" i="4"/>
  <c r="W14" i="4"/>
  <c r="W15" i="4"/>
  <c r="W6" i="4"/>
  <c r="S7" i="4" l="1"/>
  <c r="S8" i="4"/>
  <c r="S9" i="4"/>
  <c r="S10" i="4"/>
  <c r="T10" i="4" s="1"/>
  <c r="U10" i="4" s="1"/>
  <c r="S11" i="4"/>
  <c r="S12" i="4"/>
  <c r="S13" i="4"/>
  <c r="S14" i="4"/>
  <c r="T14" i="4" s="1"/>
  <c r="U14" i="4" s="1"/>
  <c r="S15" i="4"/>
  <c r="S6" i="4"/>
  <c r="T6" i="4" s="1"/>
  <c r="U6" i="4" s="1"/>
  <c r="U8" i="4"/>
  <c r="U9" i="4"/>
  <c r="U13" i="4"/>
  <c r="T7" i="4"/>
  <c r="U7" i="4" s="1"/>
  <c r="T8" i="4"/>
  <c r="T9" i="4"/>
  <c r="T11" i="4"/>
  <c r="U11" i="4" s="1"/>
  <c r="T12" i="4"/>
  <c r="U12" i="4" s="1"/>
  <c r="T13" i="4"/>
  <c r="T15" i="4"/>
  <c r="U15" i="4" s="1"/>
  <c r="R7" i="4"/>
  <c r="R8" i="4"/>
  <c r="R9" i="4"/>
  <c r="R10" i="4"/>
  <c r="R11" i="4"/>
  <c r="R12" i="4"/>
  <c r="R13" i="4"/>
  <c r="R14" i="4"/>
  <c r="R15" i="4"/>
  <c r="R6" i="4"/>
  <c r="Q6" i="4"/>
  <c r="Q7" i="4"/>
  <c r="Q8" i="4"/>
  <c r="Q9" i="4"/>
  <c r="Q10" i="4"/>
  <c r="Q11" i="4"/>
  <c r="Q12" i="4"/>
  <c r="Q13" i="4"/>
  <c r="Q14" i="4"/>
  <c r="Q15" i="4"/>
  <c r="Q5" i="4"/>
  <c r="P6" i="4"/>
  <c r="P7" i="4"/>
  <c r="P8" i="4"/>
  <c r="P9" i="4"/>
  <c r="P10" i="4"/>
  <c r="P11" i="4"/>
  <c r="P12" i="4"/>
  <c r="P13" i="4"/>
  <c r="P14" i="4"/>
  <c r="P15" i="4"/>
  <c r="P5" i="4"/>
  <c r="O5" i="4"/>
  <c r="M5" i="4"/>
  <c r="N6" i="4"/>
  <c r="N7" i="4"/>
  <c r="N8" i="4"/>
  <c r="N9" i="4"/>
  <c r="N10" i="4"/>
  <c r="N11" i="4"/>
  <c r="N12" i="4"/>
  <c r="N13" i="4"/>
  <c r="N14" i="4"/>
  <c r="N15" i="4"/>
  <c r="N5" i="4"/>
  <c r="L6" i="4"/>
  <c r="L7" i="4"/>
  <c r="L8" i="4"/>
  <c r="L9" i="4"/>
  <c r="L10" i="4"/>
  <c r="L11" i="4"/>
  <c r="L12" i="4"/>
  <c r="L13" i="4"/>
  <c r="L14" i="4"/>
  <c r="L15" i="4"/>
  <c r="L5" i="4"/>
  <c r="K6" i="4"/>
  <c r="K7" i="4" s="1"/>
  <c r="K8" i="4" l="1"/>
  <c r="C33" i="10"/>
  <c r="A24" i="10"/>
  <c r="A25" i="10" s="1"/>
  <c r="A26" i="10" s="1"/>
  <c r="A27" i="10" s="1"/>
  <c r="A28" i="10" s="1"/>
  <c r="A29" i="10" s="1"/>
  <c r="A30" i="10" s="1"/>
  <c r="A31" i="10" s="1"/>
  <c r="A32" i="10" s="1"/>
  <c r="A33" i="10" s="1"/>
  <c r="K9" i="4" l="1"/>
  <c r="A17" i="6"/>
  <c r="A18" i="6" s="1"/>
  <c r="A19" i="6" s="1"/>
  <c r="K10" i="4" l="1"/>
  <c r="A20" i="6"/>
  <c r="A21" i="6" s="1"/>
  <c r="A22" i="6" s="1"/>
  <c r="A23" i="6" s="1"/>
  <c r="A24" i="6" s="1"/>
  <c r="A25" i="6" s="1"/>
  <c r="C5" i="3"/>
  <c r="B5" i="3"/>
  <c r="C20" i="7"/>
  <c r="C21" i="7" s="1"/>
  <c r="C22" i="7" s="1"/>
  <c r="C23" i="7" s="1"/>
  <c r="C24" i="7" s="1"/>
  <c r="C25" i="7" s="1"/>
  <c r="C26" i="7" s="1"/>
  <c r="C27" i="7" s="1"/>
  <c r="C28" i="7" s="1"/>
  <c r="B20" i="7"/>
  <c r="B21" i="7" s="1"/>
  <c r="B22" i="7" s="1"/>
  <c r="B23" i="7" s="1"/>
  <c r="B24" i="7" s="1"/>
  <c r="B25" i="7" s="1"/>
  <c r="B26" i="7" s="1"/>
  <c r="B27" i="7" s="1"/>
  <c r="B28" i="7" s="1"/>
  <c r="K11" i="4" l="1"/>
  <c r="B16" i="5"/>
  <c r="K12" i="4" l="1"/>
  <c r="B33" i="10"/>
  <c r="I15" i="4"/>
  <c r="E6" i="4"/>
  <c r="D7" i="10" s="1"/>
  <c r="K13" i="4" l="1"/>
  <c r="A34" i="9"/>
  <c r="B34" i="9" s="1"/>
  <c r="B33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M11" i="9"/>
  <c r="C26" i="9" s="1"/>
  <c r="K14" i="4" l="1"/>
  <c r="A35" i="9"/>
  <c r="A36" i="9" s="1"/>
  <c r="A37" i="9" s="1"/>
  <c r="A38" i="9" s="1"/>
  <c r="A39" i="9" s="1"/>
  <c r="A40" i="9" s="1"/>
  <c r="A41" i="9" s="1"/>
  <c r="A42" i="9" s="1"/>
  <c r="B42" i="9" s="1"/>
  <c r="B35" i="9"/>
  <c r="B41" i="9"/>
  <c r="B36" i="9"/>
  <c r="B37" i="9"/>
  <c r="B38" i="9"/>
  <c r="B39" i="9"/>
  <c r="B40" i="9"/>
  <c r="J26" i="9"/>
  <c r="E26" i="9"/>
  <c r="G26" i="9"/>
  <c r="I26" i="9"/>
  <c r="B26" i="9"/>
  <c r="D26" i="9"/>
  <c r="F26" i="9"/>
  <c r="H26" i="9"/>
  <c r="K15" i="4" l="1"/>
  <c r="C38" i="9"/>
  <c r="C37" i="9"/>
  <c r="C36" i="9"/>
  <c r="C33" i="9"/>
  <c r="C35" i="9"/>
  <c r="C34" i="9"/>
  <c r="C42" i="9"/>
  <c r="C41" i="9"/>
  <c r="C40" i="9"/>
  <c r="C39" i="9"/>
  <c r="A7" i="5"/>
  <c r="A8" i="5" s="1"/>
  <c r="A9" i="5" s="1"/>
  <c r="A10" i="5" s="1"/>
  <c r="A11" i="5" s="1"/>
  <c r="A12" i="5" s="1"/>
  <c r="A13" i="5" s="1"/>
  <c r="A14" i="5" s="1"/>
  <c r="A15" i="5" s="1"/>
  <c r="A16" i="5" s="1"/>
  <c r="B6" i="4"/>
  <c r="B7" i="4" l="1"/>
  <c r="E5" i="3"/>
  <c r="F6" i="4" s="1"/>
  <c r="E7" i="10" s="1"/>
  <c r="A6" i="3"/>
  <c r="C6" i="3" l="1"/>
  <c r="B6" i="3"/>
  <c r="B8" i="4"/>
  <c r="F5" i="3"/>
  <c r="A7" i="3"/>
  <c r="C7" i="3" l="1"/>
  <c r="B7" i="3"/>
  <c r="B9" i="4"/>
  <c r="G5" i="3"/>
  <c r="B10" i="4"/>
  <c r="A8" i="3"/>
  <c r="C8" i="3" l="1"/>
  <c r="B8" i="3"/>
  <c r="D6" i="3"/>
  <c r="H5" i="3"/>
  <c r="B11" i="4"/>
  <c r="A9" i="3"/>
  <c r="C9" i="3" l="1"/>
  <c r="B9" i="3"/>
  <c r="C6" i="4"/>
  <c r="C7" i="4"/>
  <c r="D6" i="4"/>
  <c r="C7" i="10" s="1"/>
  <c r="E7" i="4"/>
  <c r="D8" i="10" s="1"/>
  <c r="E6" i="3"/>
  <c r="B12" i="4"/>
  <c r="A10" i="3"/>
  <c r="C10" i="3" l="1"/>
  <c r="B10" i="3"/>
  <c r="B7" i="10"/>
  <c r="G6" i="4"/>
  <c r="B8" i="10"/>
  <c r="D7" i="4"/>
  <c r="C8" i="10" s="1"/>
  <c r="F7" i="4"/>
  <c r="E8" i="10" s="1"/>
  <c r="F6" i="3"/>
  <c r="G6" i="3" s="1"/>
  <c r="B13" i="4"/>
  <c r="A11" i="3"/>
  <c r="C11" i="3" l="1"/>
  <c r="B11" i="3"/>
  <c r="F7" i="10"/>
  <c r="E8" i="4"/>
  <c r="D9" i="10" s="1"/>
  <c r="G7" i="4"/>
  <c r="D7" i="3"/>
  <c r="C8" i="4" s="1"/>
  <c r="H6" i="3"/>
  <c r="B14" i="4"/>
  <c r="A12" i="3"/>
  <c r="C12" i="3" l="1"/>
  <c r="B12" i="3"/>
  <c r="F8" i="10"/>
  <c r="E7" i="3"/>
  <c r="B15" i="4"/>
  <c r="A13" i="3"/>
  <c r="C13" i="3" l="1"/>
  <c r="B13" i="3"/>
  <c r="B9" i="10"/>
  <c r="D8" i="4"/>
  <c r="C9" i="10" s="1"/>
  <c r="F7" i="3"/>
  <c r="G7" i="3" s="1"/>
  <c r="H7" i="3" s="1"/>
  <c r="F8" i="4"/>
  <c r="E9" i="10" s="1"/>
  <c r="A14" i="3"/>
  <c r="C14" i="3" l="1"/>
  <c r="B14" i="3"/>
  <c r="D8" i="3"/>
  <c r="E9" i="4"/>
  <c r="D10" i="10" s="1"/>
  <c r="G8" i="4"/>
  <c r="E8" i="3" l="1"/>
  <c r="C9" i="4"/>
  <c r="F9" i="10"/>
  <c r="F8" i="3"/>
  <c r="G8" i="3" s="1"/>
  <c r="H8" i="3" s="1"/>
  <c r="F9" i="4"/>
  <c r="E10" i="10" s="1"/>
  <c r="D9" i="4" l="1"/>
  <c r="C10" i="10" s="1"/>
  <c r="B10" i="10"/>
  <c r="D9" i="3"/>
  <c r="E9" i="3" s="1"/>
  <c r="E10" i="4"/>
  <c r="D11" i="10" s="1"/>
  <c r="G9" i="4"/>
  <c r="F10" i="10" l="1"/>
  <c r="F9" i="3"/>
  <c r="F10" i="4"/>
  <c r="E11" i="10" s="1"/>
  <c r="G9" i="3"/>
  <c r="D10" i="3" s="1"/>
  <c r="C11" i="4" s="1"/>
  <c r="H9" i="3" l="1"/>
  <c r="E11" i="4"/>
  <c r="D12" i="10" s="1"/>
  <c r="E10" i="3"/>
  <c r="B12" i="10" l="1"/>
  <c r="D11" i="4"/>
  <c r="C12" i="10" s="1"/>
  <c r="F10" i="3"/>
  <c r="F11" i="4"/>
  <c r="E12" i="10" s="1"/>
  <c r="G10" i="3"/>
  <c r="E12" i="4" l="1"/>
  <c r="D13" i="10" s="1"/>
  <c r="G11" i="4"/>
  <c r="D11" i="3"/>
  <c r="C12" i="4" s="1"/>
  <c r="H10" i="3"/>
  <c r="F12" i="10" l="1"/>
  <c r="E11" i="3"/>
  <c r="B13" i="10" l="1"/>
  <c r="D12" i="4"/>
  <c r="C13" i="10" s="1"/>
  <c r="F11" i="3"/>
  <c r="G11" i="3" s="1"/>
  <c r="H11" i="3" s="1"/>
  <c r="F12" i="4"/>
  <c r="E13" i="10" s="1"/>
  <c r="D12" i="3" l="1"/>
  <c r="C13" i="4" s="1"/>
  <c r="E13" i="4"/>
  <c r="D14" i="10" s="1"/>
  <c r="G12" i="4"/>
  <c r="E12" i="3" l="1"/>
  <c r="F13" i="4" s="1"/>
  <c r="E14" i="10" s="1"/>
  <c r="F13" i="10"/>
  <c r="B14" i="10"/>
  <c r="D13" i="4"/>
  <c r="C14" i="10" s="1"/>
  <c r="F12" i="3"/>
  <c r="G12" i="3"/>
  <c r="E14" i="4" l="1"/>
  <c r="D15" i="10" s="1"/>
  <c r="G13" i="4"/>
  <c r="D13" i="3"/>
  <c r="C14" i="4" s="1"/>
  <c r="H12" i="3"/>
  <c r="F14" i="10" l="1"/>
  <c r="E13" i="3"/>
  <c r="B15" i="10" l="1"/>
  <c r="D14" i="4"/>
  <c r="C15" i="10" s="1"/>
  <c r="F13" i="3"/>
  <c r="G13" i="3" s="1"/>
  <c r="D14" i="3" s="1"/>
  <c r="C15" i="4" s="1"/>
  <c r="F14" i="4"/>
  <c r="E15" i="10" s="1"/>
  <c r="H13" i="3"/>
  <c r="D15" i="5" l="1"/>
  <c r="C32" i="10" s="1"/>
  <c r="D14" i="5"/>
  <c r="C31" i="10" s="1"/>
  <c r="D11" i="5"/>
  <c r="C28" i="10" s="1"/>
  <c r="D13" i="5"/>
  <c r="C30" i="10" s="1"/>
  <c r="D12" i="5"/>
  <c r="C29" i="10" s="1"/>
  <c r="E15" i="4"/>
  <c r="D16" i="10" s="1"/>
  <c r="G14" i="4"/>
  <c r="E14" i="3"/>
  <c r="F15" i="10" l="1"/>
  <c r="B16" i="10"/>
  <c r="D15" i="4"/>
  <c r="C16" i="10" s="1"/>
  <c r="F14" i="3"/>
  <c r="G14" i="3" s="1"/>
  <c r="H14" i="3" s="1"/>
  <c r="C10" i="4" s="1"/>
  <c r="F15" i="4"/>
  <c r="D10" i="5" l="1"/>
  <c r="C27" i="10" s="1"/>
  <c r="D9" i="5"/>
  <c r="C26" i="10" s="1"/>
  <c r="D6" i="5"/>
  <c r="C23" i="10" s="1"/>
  <c r="D8" i="5"/>
  <c r="C25" i="10" s="1"/>
  <c r="D7" i="5"/>
  <c r="C24" i="10" s="1"/>
  <c r="D10" i="4"/>
  <c r="C11" i="10" s="1"/>
  <c r="B11" i="10"/>
  <c r="E16" i="10"/>
  <c r="B15" i="5"/>
  <c r="G15" i="4"/>
  <c r="G10" i="4" l="1"/>
  <c r="F11" i="10" s="1"/>
  <c r="B32" i="10"/>
  <c r="I14" i="4"/>
  <c r="H15" i="4" s="1"/>
  <c r="C16" i="5" s="1"/>
  <c r="F16" i="10"/>
  <c r="B14" i="5"/>
  <c r="B31" i="10" l="1"/>
  <c r="I13" i="4"/>
  <c r="H14" i="4" s="1"/>
  <c r="C15" i="5" s="1"/>
  <c r="B13" i="5"/>
  <c r="B30" i="10" l="1"/>
  <c r="I12" i="4"/>
  <c r="H13" i="4" s="1"/>
  <c r="C14" i="5" s="1"/>
  <c r="B12" i="5"/>
  <c r="B29" i="10" l="1"/>
  <c r="I11" i="4"/>
  <c r="H12" i="4" s="1"/>
  <c r="C13" i="5" s="1"/>
  <c r="B11" i="5"/>
  <c r="B28" i="10" l="1"/>
  <c r="I10" i="4"/>
  <c r="H11" i="4" s="1"/>
  <c r="C12" i="5" s="1"/>
  <c r="B10" i="5"/>
  <c r="B27" i="10" l="1"/>
  <c r="I9" i="4"/>
  <c r="H10" i="4" s="1"/>
  <c r="C11" i="5" s="1"/>
  <c r="B9" i="5"/>
  <c r="B26" i="10" l="1"/>
  <c r="I8" i="4"/>
  <c r="H9" i="4" s="1"/>
  <c r="C10" i="5" s="1"/>
  <c r="B8" i="5"/>
  <c r="B25" i="10" l="1"/>
  <c r="I7" i="4"/>
  <c r="H8" i="4" s="1"/>
  <c r="C9" i="5" s="1"/>
  <c r="B7" i="5"/>
  <c r="B24" i="10" l="1"/>
  <c r="I6" i="4"/>
  <c r="H7" i="4" s="1"/>
  <c r="C8" i="5" s="1"/>
  <c r="B6" i="5"/>
  <c r="I5" i="4" l="1"/>
  <c r="H6" i="4" s="1"/>
  <c r="C7" i="5" s="1"/>
  <c r="B23" i="10"/>
  <c r="C6" i="5"/>
  <c r="E6" i="5" s="1"/>
  <c r="F15" i="5" l="1"/>
  <c r="F11" i="5"/>
  <c r="F7" i="5"/>
  <c r="F16" i="5"/>
  <c r="F14" i="5"/>
  <c r="F12" i="5"/>
  <c r="F10" i="5"/>
  <c r="F8" i="5"/>
  <c r="F6" i="5"/>
  <c r="F13" i="5"/>
  <c r="F9" i="5"/>
  <c r="G13" i="5" l="1"/>
  <c r="D30" i="10"/>
  <c r="E30" i="10" s="1"/>
  <c r="G12" i="5"/>
  <c r="D29" i="10"/>
  <c r="E29" i="10" s="1"/>
  <c r="G16" i="5"/>
  <c r="D33" i="10"/>
  <c r="E33" i="10" s="1"/>
  <c r="G11" i="5"/>
  <c r="D28" i="10"/>
  <c r="E28" i="10" s="1"/>
  <c r="G9" i="5"/>
  <c r="D26" i="10"/>
  <c r="E26" i="10" s="1"/>
  <c r="G6" i="5"/>
  <c r="I7" i="5" s="1"/>
  <c r="D23" i="10"/>
  <c r="E23" i="10" s="1"/>
  <c r="G10" i="5"/>
  <c r="D27" i="10"/>
  <c r="E27" i="10" s="1"/>
  <c r="F27" i="10" s="1"/>
  <c r="G14" i="5"/>
  <c r="D31" i="10"/>
  <c r="E31" i="10" s="1"/>
  <c r="F31" i="10" s="1"/>
  <c r="G7" i="5"/>
  <c r="D24" i="10"/>
  <c r="E24" i="10" s="1"/>
  <c r="F24" i="10" s="1"/>
  <c r="G15" i="5"/>
  <c r="D32" i="10"/>
  <c r="E32" i="10" s="1"/>
  <c r="F32" i="10" s="1"/>
  <c r="G8" i="5"/>
  <c r="D25" i="10"/>
  <c r="E25" i="10" s="1"/>
  <c r="F25" i="10" s="1"/>
  <c r="H8" i="5" l="1"/>
  <c r="I9" i="5"/>
  <c r="H15" i="5"/>
  <c r="I16" i="5"/>
  <c r="G33" i="10" s="1"/>
  <c r="I15" i="5"/>
  <c r="G32" i="10" s="1"/>
  <c r="H32" i="10" s="1"/>
  <c r="I32" i="10" s="1"/>
  <c r="H14" i="5"/>
  <c r="I11" i="5"/>
  <c r="G28" i="10" s="1"/>
  <c r="H10" i="5"/>
  <c r="F26" i="10"/>
  <c r="F28" i="10"/>
  <c r="F33" i="10"/>
  <c r="H33" i="10" s="1"/>
  <c r="I33" i="10" s="1"/>
  <c r="F29" i="10"/>
  <c r="F30" i="10"/>
  <c r="I8" i="5"/>
  <c r="H7" i="5"/>
  <c r="G24" i="10"/>
  <c r="H24" i="10" s="1"/>
  <c r="I24" i="10" s="1"/>
  <c r="J7" i="5"/>
  <c r="K7" i="5" s="1"/>
  <c r="H9" i="5"/>
  <c r="I10" i="5"/>
  <c r="H11" i="5"/>
  <c r="I12" i="5"/>
  <c r="G29" i="10" s="1"/>
  <c r="H16" i="5"/>
  <c r="H12" i="5"/>
  <c r="I13" i="5"/>
  <c r="G30" i="10" s="1"/>
  <c r="I14" i="5"/>
  <c r="G31" i="10" s="1"/>
  <c r="H31" i="10" s="1"/>
  <c r="I31" i="10" s="1"/>
  <c r="H13" i="5"/>
  <c r="J11" i="5"/>
  <c r="K11" i="5" s="1"/>
  <c r="H30" i="10" l="1"/>
  <c r="I30" i="10" s="1"/>
  <c r="G27" i="10"/>
  <c r="H27" i="10" s="1"/>
  <c r="I27" i="10" s="1"/>
  <c r="J10" i="5"/>
  <c r="K10" i="5" s="1"/>
  <c r="G25" i="10"/>
  <c r="H25" i="10" s="1"/>
  <c r="I25" i="10" s="1"/>
  <c r="J8" i="5"/>
  <c r="K8" i="5" s="1"/>
  <c r="H29" i="10"/>
  <c r="I29" i="10" s="1"/>
  <c r="H28" i="10"/>
  <c r="I28" i="10" s="1"/>
  <c r="G26" i="10"/>
  <c r="J9" i="5"/>
  <c r="K9" i="5" s="1"/>
  <c r="H26" i="10"/>
  <c r="I26" i="10" s="1"/>
  <c r="J12" i="5"/>
  <c r="K12" i="5" s="1"/>
  <c r="J13" i="5" l="1"/>
  <c r="K13" i="5" s="1"/>
  <c r="J14" i="5" l="1"/>
  <c r="K14" i="5" s="1"/>
  <c r="J15" i="5" l="1"/>
  <c r="K15" i="5" s="1"/>
  <c r="J16" i="5" l="1"/>
  <c r="K16" i="5" s="1"/>
</calcChain>
</file>

<file path=xl/sharedStrings.xml><?xml version="1.0" encoding="utf-8"?>
<sst xmlns="http://schemas.openxmlformats.org/spreadsheetml/2006/main" count="160" uniqueCount="129">
  <si>
    <t>Pricing basis</t>
  </si>
  <si>
    <t>Expenses</t>
  </si>
  <si>
    <t xml:space="preserve"> - Initial </t>
  </si>
  <si>
    <t xml:space="preserve"> - Renewal</t>
  </si>
  <si>
    <t xml:space="preserve"> - Inflation</t>
  </si>
  <si>
    <t>Commission</t>
  </si>
  <si>
    <t xml:space="preserve"> - Initial</t>
  </si>
  <si>
    <t>of first year's premium</t>
  </si>
  <si>
    <t>of subsequent premiums</t>
  </si>
  <si>
    <t xml:space="preserve">Investment rate </t>
  </si>
  <si>
    <t>Discount rate</t>
  </si>
  <si>
    <t>Taxation</t>
  </si>
  <si>
    <t>Gender</t>
  </si>
  <si>
    <t>Male</t>
  </si>
  <si>
    <t>Age</t>
  </si>
  <si>
    <t>Sum Insured</t>
  </si>
  <si>
    <t>IA95_97 Ult Male</t>
  </si>
  <si>
    <t>Year</t>
  </si>
  <si>
    <t>lapse</t>
  </si>
  <si>
    <t>Decrement table</t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</si>
  <si>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</si>
  <si>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</si>
  <si>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t>Assumption:</t>
  </si>
  <si>
    <t>Deaths uniform throughout the year</t>
  </si>
  <si>
    <t>Withdrawals at end of year</t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</si>
  <si>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</si>
  <si>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Conservative basis 1</t>
  </si>
  <si>
    <t>Conservative basis 2</t>
  </si>
  <si>
    <t>in year 2</t>
  </si>
  <si>
    <t>Liability</t>
  </si>
  <si>
    <t>Profit</t>
  </si>
  <si>
    <t>Realistic basis</t>
  </si>
  <si>
    <t>Premiums (boy)</t>
  </si>
  <si>
    <t>Expenses (boy)</t>
  </si>
  <si>
    <t>Claims (eoy)</t>
  </si>
  <si>
    <t>Cash flow ex. Interest (eoy)</t>
  </si>
  <si>
    <t>CB2 factor</t>
  </si>
  <si>
    <t>Notes</t>
  </si>
  <si>
    <t>Data</t>
  </si>
  <si>
    <t>There is one policyholder.</t>
  </si>
  <si>
    <t>Assumptions</t>
  </si>
  <si>
    <t>Policy data is in the 'Data' worksheet.</t>
  </si>
  <si>
    <t xml:space="preserve">This is the pricing basis but expected internal expenses </t>
  </si>
  <si>
    <r>
      <rPr>
        <i/>
        <sz val="10"/>
        <color theme="0"/>
        <rFont val="Century Gothic"/>
        <family val="2"/>
      </rPr>
      <t>qx</t>
    </r>
  </si>
  <si>
    <r>
      <t xml:space="preserve">Exact age ( </t>
    </r>
    <r>
      <rPr>
        <i/>
        <sz val="10"/>
        <color theme="0"/>
        <rFont val="Century Gothic"/>
        <family val="2"/>
      </rPr>
      <t xml:space="preserve">x </t>
    </r>
    <r>
      <rPr>
        <sz val="10"/>
        <color theme="0"/>
        <rFont val="Century Gothic"/>
        <family val="2"/>
      </rPr>
      <t>)</t>
    </r>
  </si>
  <si>
    <t>End of Year</t>
  </si>
  <si>
    <t>discount rates are lower</t>
  </si>
  <si>
    <t>Val_int_rate</t>
  </si>
  <si>
    <t>Val_disc_rate</t>
  </si>
  <si>
    <t>are increased by 95%</t>
  </si>
  <si>
    <t>Age at date of incidence</t>
  </si>
  <si>
    <t>end of month</t>
  </si>
  <si>
    <t>Annuity factor</t>
  </si>
  <si>
    <t>Morbidity</t>
  </si>
  <si>
    <t>This amount is paid monthly on valid claims.</t>
  </si>
  <si>
    <t>per table in data tab</t>
  </si>
  <si>
    <t>termination rates</t>
  </si>
  <si>
    <t>incidence rates</t>
  </si>
  <si>
    <t>claim inflation</t>
  </si>
  <si>
    <t>Premium rate</t>
  </si>
  <si>
    <t>The development of premiums is discussed in the Product Development subject.</t>
  </si>
  <si>
    <t>The premium rate multiplied by the monthly benefit, which increases each year, represents the annual premium payable at the start of the year.</t>
  </si>
  <si>
    <t>Policy year</t>
  </si>
  <si>
    <t>The mortality rates for IA95_97 Ult Male are in the following table. Note that there is no mortality assumption.</t>
  </si>
  <si>
    <t>Mortality</t>
  </si>
  <si>
    <t>This model does not allow for decrements by death. You may want to consider adopting this model to all for mortality.</t>
  </si>
  <si>
    <r>
      <t>i</t>
    </r>
    <r>
      <rPr>
        <vertAlign val="subscript"/>
        <sz val="10"/>
        <color theme="0"/>
        <rFont val="Century Gothic"/>
        <family val="2"/>
      </rPr>
      <t>x</t>
    </r>
  </si>
  <si>
    <r>
      <t>w</t>
    </r>
    <r>
      <rPr>
        <vertAlign val="subscript"/>
        <sz val="10"/>
        <color theme="0"/>
        <rFont val="Century Gothic"/>
        <family val="2"/>
      </rPr>
      <t>x</t>
    </r>
  </si>
  <si>
    <t>In this example, renewal expenses are inflated from day 1. Always be careful and specify your assumptions.</t>
  </si>
  <si>
    <t>Claim Continuation by duration per 1000 claims - 1 month waiting period and benefit ceases before age 65</t>
  </si>
  <si>
    <t>and the value if benefits were paid in advance to survivors at the start of each period.</t>
  </si>
  <si>
    <t xml:space="preserve">There is no information here on how to derive the number of survivors to the end of each of the above periods. </t>
  </si>
  <si>
    <t>Continuation Factors</t>
  </si>
  <si>
    <t>The rates shown in the table in the assumptions tab need to be converted into annuity factors</t>
  </si>
  <si>
    <t>Discount factor to inception</t>
  </si>
  <si>
    <t>Number of months in interval</t>
  </si>
  <si>
    <t>Interpolation of the developed factors is required as the policyhodler is aged 31 exact at policy commencement.</t>
  </si>
  <si>
    <t xml:space="preserve">The interpolation assumes linear interpolation is a good approximation. </t>
  </si>
  <si>
    <t>EOY</t>
  </si>
  <si>
    <t xml:space="preserve">The formula for each annuity factor is an average of the value if benefits were paid in arrears to survivors at the end of each period </t>
  </si>
  <si>
    <t>We have to interpolate the factors to fit with the policy data. In this example, the policyholder is 31 at outset and hence 32 at the end of the first year.</t>
  </si>
  <si>
    <t>Assumptions are in the 'Assumptions' worksheet.</t>
  </si>
  <si>
    <t>Year End</t>
  </si>
  <si>
    <t>Premium</t>
  </si>
  <si>
    <t>Comm</t>
  </si>
  <si>
    <t>Total</t>
  </si>
  <si>
    <t>Interest</t>
  </si>
  <si>
    <t>Commission (boy)</t>
  </si>
  <si>
    <t>An additional worksheet would be required to calculate the cost of benefits payable for lives on claim at the valuation date</t>
  </si>
  <si>
    <t xml:space="preserve">For lives that are on claim at the valuation date, a similar approach is used to the approach  for the disability annuity value component in valuing liabilities for active lives. </t>
  </si>
  <si>
    <t>When a claim starts then it continues until the insured recovers, or in this example, they reach their 65th birthday.</t>
  </si>
  <si>
    <t>Annuity factors</t>
  </si>
  <si>
    <t>These results are active life liability calculations for disability income assurance.</t>
  </si>
  <si>
    <t>This workbook derives the results shown in Table 6.18 and Table 6.19 - see "Table" worksheet.</t>
  </si>
  <si>
    <t xml:space="preserve"> - Claims expense</t>
  </si>
  <si>
    <t>of the cost of claims</t>
  </si>
  <si>
    <t>Basic Data</t>
  </si>
  <si>
    <t xml:space="preserve">Premium </t>
  </si>
  <si>
    <t>Incidence</t>
  </si>
  <si>
    <t>Lapses</t>
  </si>
  <si>
    <t>Rate</t>
  </si>
  <si>
    <t>ix</t>
  </si>
  <si>
    <t>wx</t>
  </si>
  <si>
    <t>This is a best estimate basis</t>
  </si>
  <si>
    <t>Premium rates</t>
  </si>
  <si>
    <t>Independent decrements</t>
  </si>
  <si>
    <t>rates</t>
  </si>
  <si>
    <t>Incidence  rates</t>
  </si>
  <si>
    <t>Lapse rates</t>
  </si>
  <si>
    <t>Liability and profit calcuation</t>
  </si>
  <si>
    <t>Value of future premiums</t>
  </si>
  <si>
    <t>Profit margin</t>
  </si>
  <si>
    <t>Value of expected profit</t>
  </si>
  <si>
    <t>Best estimate liability</t>
  </si>
  <si>
    <t>Liability with profit margin</t>
  </si>
  <si>
    <t>Change in liability</t>
  </si>
  <si>
    <t>Profit as % of premium</t>
  </si>
  <si>
    <t>Table 6.18 Disability income policy (active lives) cash flows</t>
  </si>
  <si>
    <t>Disablity</t>
  </si>
  <si>
    <t>Liability before profit margin</t>
  </si>
  <si>
    <t>Value fo expected profit</t>
  </si>
  <si>
    <t>Table 6.19 Disability income policy liability (active lives) with DAC</t>
  </si>
  <si>
    <t>The profit result is the same provided the calculation flows through consistently</t>
  </si>
  <si>
    <r>
      <t xml:space="preserve">Note that in the example in the textbook the change in liability has been shown as </t>
    </r>
    <r>
      <rPr>
        <sz val="11"/>
        <color rgb="FF000000"/>
        <rFont val="Calibri"/>
        <family val="2"/>
        <scheme val="minor"/>
      </rPr>
      <t>L</t>
    </r>
    <r>
      <rPr>
        <vertAlign val="sub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- L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and this difference is added in the profit calculation.</t>
    </r>
  </si>
  <si>
    <r>
      <t>In the example presented in this spreadsheet, the change in liability has been shown as L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- L</t>
    </r>
    <r>
      <rPr>
        <vertAlign val="sub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 xml:space="preserve"> and this difference is subtracted in the profit calculation.</t>
    </r>
  </si>
  <si>
    <t xml:space="preserve">This is the pricing basis but interest and </t>
  </si>
  <si>
    <t>Vinc</t>
  </si>
  <si>
    <t>check 1</t>
  </si>
  <si>
    <t>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</si>
</sst>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###0;###0"/>
    <numFmt numFmtId="165" formatCode="###0.00000;###0.00000"/>
    <numFmt numFmtId="166" formatCode="0.00000"/>
    <numFmt numFmtId="167" formatCode="&quot;$&quot;#,##0"/>
    <numFmt numFmtId="168" formatCode="#,##0.00;[Red]\(#,##0.00\)"/>
    <numFmt numFmtId="169" formatCode="0.0000"/>
    <numFmt numFmtId="170" formatCode="0.000"/>
    <numFmt numFmtId="171" formatCode="_-* #,##0.0_-;\-* #,##0.0_-;_-* &quot;-&quot;??_-;_-@_-"/>
    <numFmt numFmtId="172" formatCode="_-* #,##0_-;\-* #,##0_-;_-* &quot;-&quot;??_-;_-@_-"/>
    <numFmt numFmtId="173" formatCode="_(* #,##0.00000_);_(* \(#,##0.00000\);_(* &quot;-&quot;??_);_(@_)"/>
    <numFmt numFmtId="17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color rgb="FF00B050"/>
      <name val="Century Gothic"/>
      <family val="2"/>
    </font>
    <font>
      <i/>
      <sz val="10"/>
      <color theme="0"/>
      <name val="Century Gothic"/>
      <family val="2"/>
    </font>
    <font>
      <sz val="10"/>
      <name val="Century Gothic"/>
      <family val="2"/>
    </font>
    <font>
      <b/>
      <sz val="10"/>
      <color rgb="FF0098D0"/>
      <name val="Century Gothic"/>
      <family val="2"/>
    </font>
    <font>
      <sz val="9"/>
      <color rgb="FF231F20"/>
      <name val="Century Gothic"/>
      <family val="2"/>
    </font>
    <font>
      <sz val="11"/>
      <color theme="1"/>
      <name val="Calibri"/>
      <family val="2"/>
      <scheme val="minor"/>
    </font>
    <font>
      <sz val="10"/>
      <color rgb="FF00B0F0"/>
      <name val="Century Gothic"/>
      <family val="2"/>
    </font>
    <font>
      <b/>
      <sz val="10"/>
      <name val="Century Gothic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i/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E4ED"/>
        <bgColor indexed="64"/>
      </patternFill>
    </fill>
    <fill>
      <patternFill patternType="solid">
        <fgColor rgb="FFACD7E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0" fontId="2" fillId="2" borderId="4" xfId="0" applyFont="1" applyFill="1" applyBorder="1" applyAlignment="1">
      <alignment vertical="top" wrapText="1"/>
    </xf>
    <xf numFmtId="0" fontId="4" fillId="3" borderId="15" xfId="0" applyFont="1" applyFill="1" applyBorder="1" applyAlignment="1">
      <alignment horizontal="center"/>
    </xf>
    <xf numFmtId="0" fontId="2" fillId="0" borderId="15" xfId="0" applyFont="1" applyBorder="1"/>
    <xf numFmtId="166" fontId="2" fillId="0" borderId="15" xfId="0" applyNumberFormat="1" applyFont="1" applyBorder="1"/>
    <xf numFmtId="167" fontId="2" fillId="0" borderId="0" xfId="0" applyNumberFormat="1" applyFont="1"/>
    <xf numFmtId="0" fontId="3" fillId="0" borderId="15" xfId="0" applyFont="1" applyBorder="1"/>
    <xf numFmtId="167" fontId="2" fillId="0" borderId="15" xfId="0" applyNumberFormat="1" applyFont="1" applyBorder="1"/>
    <xf numFmtId="164" fontId="6" fillId="0" borderId="3" xfId="0" applyNumberFormat="1" applyFont="1" applyFill="1" applyBorder="1" applyAlignment="1">
      <alignment horizontal="center" vertical="top" wrapText="1"/>
    </xf>
    <xf numFmtId="164" fontId="6" fillId="0" borderId="5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vertical="top" wrapText="1"/>
    </xf>
    <xf numFmtId="164" fontId="6" fillId="0" borderId="7" xfId="0" applyNumberFormat="1" applyFont="1" applyFill="1" applyBorder="1" applyAlignment="1">
      <alignment horizontal="center" vertical="top" wrapText="1"/>
    </xf>
    <xf numFmtId="164" fontId="6" fillId="0" borderId="9" xfId="0" applyNumberFormat="1" applyFont="1" applyFill="1" applyBorder="1" applyAlignment="1">
      <alignment horizontal="center" vertical="top" wrapText="1"/>
    </xf>
    <xf numFmtId="164" fontId="6" fillId="0" borderId="11" xfId="0" applyNumberFormat="1" applyFont="1" applyFill="1" applyBorder="1" applyAlignment="1">
      <alignment horizontal="center" vertical="top" wrapText="1"/>
    </xf>
    <xf numFmtId="164" fontId="6" fillId="0" borderId="13" xfId="0" applyNumberFormat="1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wrapText="1"/>
    </xf>
    <xf numFmtId="167" fontId="2" fillId="0" borderId="15" xfId="0" applyNumberFormat="1" applyFont="1" applyBorder="1" applyAlignment="1">
      <alignment horizontal="center"/>
    </xf>
    <xf numFmtId="0" fontId="2" fillId="0" borderId="16" xfId="0" applyFont="1" applyBorder="1"/>
    <xf numFmtId="167" fontId="2" fillId="0" borderId="16" xfId="0" applyNumberFormat="1" applyFont="1" applyBorder="1" applyAlignment="1">
      <alignment horizontal="center"/>
    </xf>
    <xf numFmtId="168" fontId="2" fillId="0" borderId="0" xfId="0" applyNumberFormat="1" applyFont="1"/>
    <xf numFmtId="0" fontId="7" fillId="0" borderId="0" xfId="0" applyFont="1"/>
    <xf numFmtId="165" fontId="7" fillId="0" borderId="6" xfId="0" applyNumberFormat="1" applyFont="1" applyFill="1" applyBorder="1" applyAlignment="1">
      <alignment vertical="top" wrapText="1"/>
    </xf>
    <xf numFmtId="165" fontId="7" fillId="0" borderId="8" xfId="0" applyNumberFormat="1" applyFont="1" applyFill="1" applyBorder="1" applyAlignment="1">
      <alignment vertical="top" wrapText="1"/>
    </xf>
    <xf numFmtId="165" fontId="7" fillId="0" borderId="10" xfId="0" applyNumberFormat="1" applyFont="1" applyFill="1" applyBorder="1" applyAlignment="1">
      <alignment horizontal="right" vertical="top" wrapText="1"/>
    </xf>
    <xf numFmtId="165" fontId="7" fillId="0" borderId="12" xfId="0" applyNumberFormat="1" applyFont="1" applyFill="1" applyBorder="1" applyAlignment="1">
      <alignment horizontal="right" vertical="top" wrapText="1"/>
    </xf>
    <xf numFmtId="165" fontId="7" fillId="0" borderId="14" xfId="0" applyNumberFormat="1" applyFont="1" applyFill="1" applyBorder="1" applyAlignment="1">
      <alignment horizontal="right" vertical="top" wrapText="1"/>
    </xf>
    <xf numFmtId="6" fontId="7" fillId="0" borderId="0" xfId="0" applyNumberFormat="1" applyFont="1"/>
    <xf numFmtId="0" fontId="4" fillId="3" borderId="2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169" fontId="2" fillId="0" borderId="15" xfId="0" applyNumberFormat="1" applyFont="1" applyBorder="1"/>
    <xf numFmtId="0" fontId="2" fillId="0" borderId="0" xfId="0" applyFont="1" applyBorder="1"/>
    <xf numFmtId="167" fontId="2" fillId="0" borderId="0" xfId="0" applyNumberFormat="1" applyFont="1" applyBorder="1" applyAlignment="1">
      <alignment horizontal="center"/>
    </xf>
    <xf numFmtId="0" fontId="9" fillId="0" borderId="22" xfId="0" applyFont="1" applyBorder="1"/>
    <xf numFmtId="0" fontId="9" fillId="0" borderId="16" xfId="0" applyFont="1" applyBorder="1"/>
    <xf numFmtId="0" fontId="9" fillId="0" borderId="0" xfId="0" applyFont="1"/>
    <xf numFmtId="2" fontId="9" fillId="0" borderId="0" xfId="0" applyNumberFormat="1" applyFont="1"/>
    <xf numFmtId="0" fontId="4" fillId="3" borderId="23" xfId="0" applyFont="1" applyFill="1" applyBorder="1"/>
    <xf numFmtId="0" fontId="4" fillId="3" borderId="24" xfId="0" applyFont="1" applyFill="1" applyBorder="1"/>
    <xf numFmtId="0" fontId="4" fillId="3" borderId="8" xfId="0" applyFont="1" applyFill="1" applyBorder="1"/>
    <xf numFmtId="0" fontId="4" fillId="3" borderId="24" xfId="0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1" fillId="5" borderId="25" xfId="0" applyFont="1" applyFill="1" applyBorder="1" applyAlignment="1">
      <alignment vertical="center" wrapText="1"/>
    </xf>
    <xf numFmtId="1" fontId="11" fillId="5" borderId="0" xfId="0" applyNumberFormat="1" applyFont="1" applyFill="1" applyBorder="1" applyAlignment="1">
      <alignment vertical="center" wrapText="1"/>
    </xf>
    <xf numFmtId="1" fontId="11" fillId="5" borderId="6" xfId="0" applyNumberFormat="1" applyFont="1" applyFill="1" applyBorder="1" applyAlignment="1">
      <alignment vertical="center" wrapText="1"/>
    </xf>
    <xf numFmtId="0" fontId="11" fillId="6" borderId="25" xfId="0" applyFont="1" applyFill="1" applyBorder="1" applyAlignment="1">
      <alignment vertical="center" wrapText="1"/>
    </xf>
    <xf numFmtId="1" fontId="11" fillId="6" borderId="0" xfId="0" applyNumberFormat="1" applyFont="1" applyFill="1" applyBorder="1" applyAlignment="1">
      <alignment vertical="center" wrapText="1"/>
    </xf>
    <xf numFmtId="1" fontId="11" fillId="6" borderId="6" xfId="0" applyNumberFormat="1" applyFont="1" applyFill="1" applyBorder="1" applyAlignment="1">
      <alignment vertical="center" wrapText="1"/>
    </xf>
    <xf numFmtId="0" fontId="11" fillId="5" borderId="26" xfId="0" applyFont="1" applyFill="1" applyBorder="1" applyAlignment="1">
      <alignment vertical="center" wrapText="1"/>
    </xf>
    <xf numFmtId="1" fontId="11" fillId="5" borderId="27" xfId="0" applyNumberFormat="1" applyFont="1" applyFill="1" applyBorder="1" applyAlignment="1">
      <alignment vertical="center" wrapText="1"/>
    </xf>
    <xf numFmtId="1" fontId="11" fillId="5" borderId="28" xfId="0" applyNumberFormat="1" applyFont="1" applyFill="1" applyBorder="1" applyAlignment="1">
      <alignment vertical="center" wrapText="1"/>
    </xf>
    <xf numFmtId="1" fontId="11" fillId="5" borderId="19" xfId="0" applyNumberFormat="1" applyFont="1" applyFill="1" applyBorder="1" applyAlignment="1">
      <alignment vertical="center" wrapText="1"/>
    </xf>
    <xf numFmtId="1" fontId="11" fillId="5" borderId="20" xfId="0" applyNumberFormat="1" applyFont="1" applyFill="1" applyBorder="1" applyAlignment="1">
      <alignment vertical="center" wrapText="1"/>
    </xf>
    <xf numFmtId="1" fontId="11" fillId="5" borderId="21" xfId="0" applyNumberFormat="1" applyFont="1" applyFill="1" applyBorder="1" applyAlignment="1">
      <alignment vertical="center" wrapText="1"/>
    </xf>
    <xf numFmtId="1" fontId="11" fillId="6" borderId="5" xfId="0" applyNumberFormat="1" applyFont="1" applyFill="1" applyBorder="1" applyAlignment="1">
      <alignment vertical="center" wrapText="1"/>
    </xf>
    <xf numFmtId="1" fontId="11" fillId="5" borderId="5" xfId="0" applyNumberFormat="1" applyFont="1" applyFill="1" applyBorder="1" applyAlignment="1">
      <alignment vertical="center" wrapText="1"/>
    </xf>
    <xf numFmtId="1" fontId="11" fillId="5" borderId="29" xfId="0" applyNumberFormat="1" applyFont="1" applyFill="1" applyBorder="1" applyAlignment="1">
      <alignment vertical="center" wrapText="1"/>
    </xf>
    <xf numFmtId="2" fontId="9" fillId="0" borderId="20" xfId="0" applyNumberFormat="1" applyFont="1" applyBorder="1"/>
    <xf numFmtId="2" fontId="9" fillId="0" borderId="21" xfId="0" applyNumberFormat="1" applyFont="1" applyBorder="1"/>
    <xf numFmtId="0" fontId="0" fillId="0" borderId="24" xfId="0" applyBorder="1"/>
    <xf numFmtId="0" fontId="2" fillId="0" borderId="24" xfId="0" applyFont="1" applyBorder="1"/>
    <xf numFmtId="0" fontId="2" fillId="0" borderId="8" xfId="0" applyFont="1" applyBorder="1"/>
    <xf numFmtId="0" fontId="4" fillId="3" borderId="3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9" fillId="0" borderId="24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70" fontId="9" fillId="0" borderId="5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3" fillId="0" borderId="0" xfId="0" applyFont="1"/>
    <xf numFmtId="9" fontId="13" fillId="0" borderId="0" xfId="0" applyNumberFormat="1" applyFont="1"/>
    <xf numFmtId="6" fontId="13" fillId="0" borderId="0" xfId="0" applyNumberFormat="1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1" fontId="13" fillId="0" borderId="5" xfId="0" applyNumberFormat="1" applyFont="1" applyBorder="1"/>
    <xf numFmtId="1" fontId="13" fillId="0" borderId="0" xfId="0" applyNumberFormat="1" applyFont="1" applyBorder="1"/>
    <xf numFmtId="1" fontId="13" fillId="0" borderId="6" xfId="0" applyNumberFormat="1" applyFont="1" applyBorder="1"/>
    <xf numFmtId="0" fontId="13" fillId="0" borderId="6" xfId="0" applyFont="1" applyBorder="1"/>
    <xf numFmtId="1" fontId="13" fillId="0" borderId="7" xfId="0" applyNumberFormat="1" applyFont="1" applyBorder="1"/>
    <xf numFmtId="1" fontId="13" fillId="0" borderId="24" xfId="0" applyNumberFormat="1" applyFont="1" applyBorder="1"/>
    <xf numFmtId="0" fontId="13" fillId="0" borderId="8" xfId="0" applyFont="1" applyBorder="1"/>
    <xf numFmtId="166" fontId="7" fillId="0" borderId="0" xfId="0" applyNumberFormat="1" applyFont="1" applyFill="1" applyBorder="1"/>
    <xf numFmtId="9" fontId="13" fillId="0" borderId="21" xfId="0" applyNumberFormat="1" applyFont="1" applyBorder="1" applyAlignment="1">
      <alignment horizontal="center"/>
    </xf>
    <xf numFmtId="9" fontId="13" fillId="0" borderId="6" xfId="0" applyNumberFormat="1" applyFont="1" applyBorder="1" applyAlignment="1">
      <alignment horizontal="center"/>
    </xf>
    <xf numFmtId="9" fontId="13" fillId="0" borderId="8" xfId="0" applyNumberFormat="1" applyFont="1" applyBorder="1" applyAlignment="1">
      <alignment horizontal="center"/>
    </xf>
    <xf numFmtId="170" fontId="13" fillId="0" borderId="20" xfId="0" applyNumberFormat="1" applyFont="1" applyBorder="1" applyAlignment="1">
      <alignment horizontal="center"/>
    </xf>
    <xf numFmtId="170" fontId="13" fillId="0" borderId="0" xfId="0" applyNumberFormat="1" applyFont="1" applyBorder="1" applyAlignment="1">
      <alignment horizontal="center"/>
    </xf>
    <xf numFmtId="170" fontId="13" fillId="0" borderId="24" xfId="0" applyNumberFormat="1" applyFont="1" applyBorder="1" applyAlignment="1">
      <alignment horizontal="center"/>
    </xf>
    <xf numFmtId="169" fontId="13" fillId="0" borderId="19" xfId="0" applyNumberFormat="1" applyFont="1" applyBorder="1" applyAlignment="1">
      <alignment horizontal="center"/>
    </xf>
    <xf numFmtId="169" fontId="13" fillId="0" borderId="5" xfId="0" applyNumberFormat="1" applyFont="1" applyBorder="1" applyAlignment="1">
      <alignment horizontal="center"/>
    </xf>
    <xf numFmtId="169" fontId="13" fillId="0" borderId="7" xfId="0" applyNumberFormat="1" applyFont="1" applyBorder="1" applyAlignment="1">
      <alignment horizontal="center"/>
    </xf>
    <xf numFmtId="6" fontId="2" fillId="0" borderId="15" xfId="0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10" fontId="2" fillId="0" borderId="15" xfId="0" applyNumberFormat="1" applyFont="1" applyBorder="1"/>
    <xf numFmtId="0" fontId="4" fillId="3" borderId="22" xfId="0" applyFont="1" applyFill="1" applyBorder="1" applyAlignment="1">
      <alignment wrapText="1"/>
    </xf>
    <xf numFmtId="167" fontId="0" fillId="0" borderId="15" xfId="0" applyNumberFormat="1" applyBorder="1" applyAlignment="1">
      <alignment horizontal="center"/>
    </xf>
    <xf numFmtId="10" fontId="11" fillId="6" borderId="6" xfId="0" applyNumberFormat="1" applyFont="1" applyFill="1" applyBorder="1" applyAlignment="1">
      <alignment vertical="center" wrapText="1"/>
    </xf>
    <xf numFmtId="167" fontId="11" fillId="6" borderId="0" xfId="0" applyNumberFormat="1" applyFont="1" applyFill="1" applyBorder="1" applyAlignment="1">
      <alignment vertical="center" wrapText="1"/>
    </xf>
    <xf numFmtId="167" fontId="11" fillId="5" borderId="0" xfId="0" applyNumberFormat="1" applyFont="1" applyFill="1" applyBorder="1" applyAlignment="1">
      <alignment vertical="center" wrapText="1"/>
    </xf>
    <xf numFmtId="10" fontId="11" fillId="5" borderId="6" xfId="0" applyNumberFormat="1" applyFont="1" applyFill="1" applyBorder="1" applyAlignment="1">
      <alignment vertical="center" wrapText="1"/>
    </xf>
    <xf numFmtId="167" fontId="11" fillId="5" borderId="24" xfId="0" applyNumberFormat="1" applyFont="1" applyFill="1" applyBorder="1" applyAlignment="1">
      <alignment vertical="center" wrapText="1"/>
    </xf>
    <xf numFmtId="10" fontId="11" fillId="5" borderId="8" xfId="0" applyNumberFormat="1" applyFont="1" applyFill="1" applyBorder="1" applyAlignment="1">
      <alignment vertical="center" wrapText="1"/>
    </xf>
    <xf numFmtId="0" fontId="11" fillId="5" borderId="23" xfId="0" applyFont="1" applyFill="1" applyBorder="1" applyAlignment="1">
      <alignment vertical="center" wrapText="1"/>
    </xf>
    <xf numFmtId="0" fontId="11" fillId="6" borderId="22" xfId="0" applyFont="1" applyFill="1" applyBorder="1" applyAlignment="1">
      <alignment vertical="center" wrapText="1"/>
    </xf>
    <xf numFmtId="0" fontId="11" fillId="5" borderId="22" xfId="0" applyFont="1" applyFill="1" applyBorder="1" applyAlignment="1">
      <alignment vertical="center" wrapText="1"/>
    </xf>
    <xf numFmtId="0" fontId="11" fillId="5" borderId="16" xfId="0" applyFont="1" applyFill="1" applyBorder="1" applyAlignment="1">
      <alignment vertical="center" wrapText="1"/>
    </xf>
    <xf numFmtId="167" fontId="11" fillId="6" borderId="5" xfId="0" applyNumberFormat="1" applyFont="1" applyFill="1" applyBorder="1" applyAlignment="1">
      <alignment vertical="center" wrapText="1"/>
    </xf>
    <xf numFmtId="167" fontId="11" fillId="6" borderId="6" xfId="0" applyNumberFormat="1" applyFont="1" applyFill="1" applyBorder="1" applyAlignment="1">
      <alignment vertical="center" wrapText="1"/>
    </xf>
    <xf numFmtId="167" fontId="11" fillId="5" borderId="5" xfId="0" applyNumberFormat="1" applyFont="1" applyFill="1" applyBorder="1" applyAlignment="1">
      <alignment vertical="center" wrapText="1"/>
    </xf>
    <xf numFmtId="167" fontId="11" fillId="5" borderId="6" xfId="0" applyNumberFormat="1" applyFont="1" applyFill="1" applyBorder="1" applyAlignment="1">
      <alignment vertical="center" wrapText="1"/>
    </xf>
    <xf numFmtId="167" fontId="11" fillId="5" borderId="7" xfId="0" applyNumberFormat="1" applyFont="1" applyFill="1" applyBorder="1" applyAlignment="1">
      <alignment vertical="center" wrapText="1"/>
    </xf>
    <xf numFmtId="167" fontId="11" fillId="5" borderId="8" xfId="0" applyNumberFormat="1" applyFont="1" applyFill="1" applyBorder="1" applyAlignment="1">
      <alignment vertical="center" wrapText="1"/>
    </xf>
    <xf numFmtId="173" fontId="7" fillId="0" borderId="0" xfId="1" applyNumberFormat="1" applyFont="1"/>
    <xf numFmtId="0" fontId="14" fillId="0" borderId="19" xfId="0" applyFont="1" applyBorder="1"/>
    <xf numFmtId="0" fontId="14" fillId="0" borderId="20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5" xfId="0" applyFont="1" applyBorder="1"/>
    <xf numFmtId="0" fontId="9" fillId="0" borderId="0" xfId="0" applyFont="1" applyBorder="1"/>
    <xf numFmtId="171" fontId="9" fillId="0" borderId="0" xfId="1" applyNumberFormat="1" applyFont="1" applyBorder="1"/>
    <xf numFmtId="172" fontId="9" fillId="0" borderId="6" xfId="1" applyNumberFormat="1" applyFont="1" applyBorder="1"/>
    <xf numFmtId="0" fontId="9" fillId="0" borderId="6" xfId="0" applyFont="1" applyBorder="1"/>
    <xf numFmtId="0" fontId="9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/>
    <xf numFmtId="0" fontId="9" fillId="0" borderId="24" xfId="0" applyFont="1" applyBorder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73" fontId="7" fillId="0" borderId="0" xfId="1" applyNumberFormat="1" applyFont="1" applyBorder="1"/>
    <xf numFmtId="173" fontId="7" fillId="0" borderId="6" xfId="1" applyNumberFormat="1" applyFont="1" applyBorder="1"/>
    <xf numFmtId="173" fontId="7" fillId="0" borderId="24" xfId="1" applyNumberFormat="1" applyFont="1" applyBorder="1"/>
    <xf numFmtId="173" fontId="7" fillId="0" borderId="8" xfId="1" applyNumberFormat="1" applyFont="1" applyBorder="1"/>
    <xf numFmtId="0" fontId="4" fillId="3" borderId="23" xfId="0" applyFont="1" applyFill="1" applyBorder="1" applyAlignment="1">
      <alignment horizontal="center" wrapText="1"/>
    </xf>
    <xf numFmtId="0" fontId="17" fillId="0" borderId="0" xfId="0" applyFont="1"/>
    <xf numFmtId="17" fontId="2" fillId="0" borderId="0" xfId="0" applyNumberFormat="1" applyFon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4" borderId="2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 wrapText="1"/>
    </xf>
    <xf numFmtId="0" fontId="4" fillId="4" borderId="22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24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wrapText="1"/>
    </xf>
    <xf numFmtId="0" fontId="4" fillId="3" borderId="23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74" fontId="2" fillId="0" borderId="0" xfId="0" applyNumberFormat="1" applyFont="1"/>
    <xf numFmtId="174" fontId="2" fillId="0" borderId="15" xfId="0" applyNumberFormat="1" applyFont="1" applyBorder="1"/>
    <xf numFmtId="8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3.5" x14ac:dyDescent="0.25"/>
  <cols>
    <col min="1" max="16384" width="9.140625" style="2"/>
  </cols>
  <sheetData>
    <row r="1" spans="1:1" ht="15" x14ac:dyDescent="0.25">
      <c r="A1" s="1" t="s">
        <v>37</v>
      </c>
    </row>
    <row r="2" spans="1:1" x14ac:dyDescent="0.25">
      <c r="A2" s="2" t="s">
        <v>93</v>
      </c>
    </row>
    <row r="3" spans="1:1" x14ac:dyDescent="0.25">
      <c r="A3" s="2" t="s">
        <v>92</v>
      </c>
    </row>
    <row r="4" spans="1:1" x14ac:dyDescent="0.25">
      <c r="A4" s="2" t="s">
        <v>41</v>
      </c>
    </row>
    <row r="5" spans="1:1" x14ac:dyDescent="0.25">
      <c r="A5" s="2" t="s">
        <v>81</v>
      </c>
    </row>
    <row r="6" spans="1:1" x14ac:dyDescent="0.25">
      <c r="A6" s="2" t="s">
        <v>89</v>
      </c>
    </row>
    <row r="7" spans="1:1" x14ac:dyDescent="0.25">
      <c r="A7" s="2" t="s">
        <v>88</v>
      </c>
    </row>
    <row r="10" spans="1:1" ht="10.5" customHeigh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workbookViewId="0"/>
  </sheetViews>
  <sheetFormatPr defaultRowHeight="13.5" x14ac:dyDescent="0.25"/>
  <cols>
    <col min="1" max="1" width="16.42578125" style="2" customWidth="1"/>
    <col min="2" max="2" width="10.28515625" style="2" bestFit="1" customWidth="1"/>
    <col min="3" max="16384" width="9.140625" style="2"/>
  </cols>
  <sheetData>
    <row r="1" spans="1:6" ht="15" x14ac:dyDescent="0.25">
      <c r="A1" s="1" t="s">
        <v>38</v>
      </c>
    </row>
    <row r="2" spans="1:6" x14ac:dyDescent="0.25">
      <c r="A2" s="2" t="s">
        <v>39</v>
      </c>
    </row>
    <row r="3" spans="1:6" x14ac:dyDescent="0.25">
      <c r="A3" s="2" t="s">
        <v>12</v>
      </c>
      <c r="B3" s="44" t="s">
        <v>13</v>
      </c>
    </row>
    <row r="4" spans="1:6" x14ac:dyDescent="0.25">
      <c r="A4" s="2" t="s">
        <v>14</v>
      </c>
      <c r="B4" s="24">
        <v>31</v>
      </c>
    </row>
    <row r="5" spans="1:6" x14ac:dyDescent="0.25">
      <c r="A5" s="2" t="s">
        <v>15</v>
      </c>
      <c r="B5" s="30">
        <v>10000</v>
      </c>
      <c r="C5" s="2" t="s">
        <v>54</v>
      </c>
    </row>
    <row r="6" spans="1:6" x14ac:dyDescent="0.25">
      <c r="A6" s="2" t="s">
        <v>59</v>
      </c>
      <c r="B6" s="135">
        <v>5.3760000000000009E-2</v>
      </c>
      <c r="C6" s="2" t="s">
        <v>60</v>
      </c>
    </row>
    <row r="7" spans="1:6" x14ac:dyDescent="0.25">
      <c r="C7" s="2" t="s">
        <v>61</v>
      </c>
    </row>
    <row r="12" spans="1:6" x14ac:dyDescent="0.25">
      <c r="B12" s="136" t="s">
        <v>96</v>
      </c>
      <c r="C12" s="137"/>
      <c r="D12" s="138"/>
      <c r="E12" s="138"/>
      <c r="F12" s="139"/>
    </row>
    <row r="13" spans="1:6" x14ac:dyDescent="0.25">
      <c r="B13" s="140"/>
      <c r="C13" s="141"/>
      <c r="D13" s="141"/>
      <c r="E13" s="142"/>
      <c r="F13" s="143"/>
    </row>
    <row r="14" spans="1:6" x14ac:dyDescent="0.25">
      <c r="B14" s="140"/>
      <c r="C14" s="141"/>
      <c r="D14" s="141"/>
      <c r="E14" s="141"/>
      <c r="F14" s="144"/>
    </row>
    <row r="15" spans="1:6" x14ac:dyDescent="0.25">
      <c r="B15" s="140"/>
      <c r="C15" s="141"/>
      <c r="D15" s="141"/>
      <c r="E15" s="141"/>
      <c r="F15" s="144"/>
    </row>
    <row r="16" spans="1:6" x14ac:dyDescent="0.25">
      <c r="B16" s="75" t="s">
        <v>17</v>
      </c>
      <c r="C16" s="145" t="s">
        <v>14</v>
      </c>
      <c r="D16" s="145" t="s">
        <v>97</v>
      </c>
      <c r="E16" s="145" t="s">
        <v>98</v>
      </c>
      <c r="F16" s="146" t="s">
        <v>99</v>
      </c>
    </row>
    <row r="17" spans="1:6" x14ac:dyDescent="0.25">
      <c r="B17" s="75"/>
      <c r="C17" s="145"/>
      <c r="D17" s="145" t="s">
        <v>100</v>
      </c>
      <c r="E17" s="145" t="s">
        <v>101</v>
      </c>
      <c r="F17" s="146" t="s">
        <v>102</v>
      </c>
    </row>
    <row r="18" spans="1:6" x14ac:dyDescent="0.25">
      <c r="B18" s="140"/>
      <c r="C18" s="141"/>
      <c r="D18" s="141"/>
      <c r="E18" s="141"/>
      <c r="F18" s="144"/>
    </row>
    <row r="19" spans="1:6" x14ac:dyDescent="0.25">
      <c r="B19" s="140">
        <v>1</v>
      </c>
      <c r="C19" s="141">
        <v>31</v>
      </c>
      <c r="D19" s="151">
        <v>4.8000000000000001E-2</v>
      </c>
      <c r="E19" s="151">
        <v>4.7999999999999996E-3</v>
      </c>
      <c r="F19" s="152">
        <v>0.15</v>
      </c>
    </row>
    <row r="20" spans="1:6" x14ac:dyDescent="0.25">
      <c r="B20" s="140">
        <f t="shared" ref="B20:C28" si="0">B19+1</f>
        <v>2</v>
      </c>
      <c r="C20" s="141">
        <f t="shared" si="0"/>
        <v>32</v>
      </c>
      <c r="D20" s="151">
        <v>4.9000000000000002E-2</v>
      </c>
      <c r="E20" s="151">
        <v>5.0000000000000001E-3</v>
      </c>
      <c r="F20" s="152">
        <v>0.1</v>
      </c>
    </row>
    <row r="21" spans="1:6" x14ac:dyDescent="0.25">
      <c r="B21" s="140">
        <f t="shared" si="0"/>
        <v>3</v>
      </c>
      <c r="C21" s="141">
        <f t="shared" si="0"/>
        <v>33</v>
      </c>
      <c r="D21" s="151">
        <v>5.1999999999999998E-2</v>
      </c>
      <c r="E21" s="151">
        <v>5.1999999999999998E-3</v>
      </c>
      <c r="F21" s="152">
        <v>0.05</v>
      </c>
    </row>
    <row r="22" spans="1:6" x14ac:dyDescent="0.25">
      <c r="B22" s="140">
        <f t="shared" si="0"/>
        <v>4</v>
      </c>
      <c r="C22" s="141">
        <f t="shared" si="0"/>
        <v>34</v>
      </c>
      <c r="D22" s="151">
        <v>5.6000000000000001E-2</v>
      </c>
      <c r="E22" s="151">
        <v>5.4999999999999997E-3</v>
      </c>
      <c r="F22" s="152">
        <v>0.05</v>
      </c>
    </row>
    <row r="23" spans="1:6" x14ac:dyDescent="0.25">
      <c r="B23" s="140">
        <f t="shared" si="0"/>
        <v>5</v>
      </c>
      <c r="C23" s="141">
        <f t="shared" si="0"/>
        <v>35</v>
      </c>
      <c r="D23" s="151">
        <v>6.0999999999999999E-2</v>
      </c>
      <c r="E23" s="151">
        <v>5.7999999999999996E-3</v>
      </c>
      <c r="F23" s="152">
        <v>0.05</v>
      </c>
    </row>
    <row r="24" spans="1:6" x14ac:dyDescent="0.25">
      <c r="B24" s="140">
        <f t="shared" si="0"/>
        <v>6</v>
      </c>
      <c r="C24" s="141">
        <f t="shared" si="0"/>
        <v>36</v>
      </c>
      <c r="D24" s="151">
        <v>6.7000000000000004E-2</v>
      </c>
      <c r="E24" s="151">
        <v>6.1999999999999998E-3</v>
      </c>
      <c r="F24" s="152">
        <v>0.05</v>
      </c>
    </row>
    <row r="25" spans="1:6" x14ac:dyDescent="0.25">
      <c r="B25" s="140">
        <f t="shared" si="0"/>
        <v>7</v>
      </c>
      <c r="C25" s="141">
        <f t="shared" si="0"/>
        <v>37</v>
      </c>
      <c r="D25" s="151">
        <v>7.6999999999999999E-2</v>
      </c>
      <c r="E25" s="151">
        <v>6.6E-3</v>
      </c>
      <c r="F25" s="152">
        <v>0.05</v>
      </c>
    </row>
    <row r="26" spans="1:6" ht="15" x14ac:dyDescent="0.25">
      <c r="A26"/>
      <c r="B26" s="140">
        <f t="shared" si="0"/>
        <v>8</v>
      </c>
      <c r="C26" s="141">
        <f t="shared" si="0"/>
        <v>38</v>
      </c>
      <c r="D26" s="151">
        <v>0.09</v>
      </c>
      <c r="E26" s="151">
        <v>7.0000000000000001E-3</v>
      </c>
      <c r="F26" s="152">
        <v>0.05</v>
      </c>
    </row>
    <row r="27" spans="1:6" x14ac:dyDescent="0.25">
      <c r="B27" s="140">
        <f t="shared" si="0"/>
        <v>9</v>
      </c>
      <c r="C27" s="141">
        <f t="shared" si="0"/>
        <v>39</v>
      </c>
      <c r="D27" s="151">
        <v>0.105</v>
      </c>
      <c r="E27" s="151">
        <v>7.4000000000000003E-3</v>
      </c>
      <c r="F27" s="152">
        <v>0.05</v>
      </c>
    </row>
    <row r="28" spans="1:6" x14ac:dyDescent="0.25">
      <c r="B28" s="147">
        <f t="shared" si="0"/>
        <v>10</v>
      </c>
      <c r="C28" s="148">
        <f t="shared" si="0"/>
        <v>40</v>
      </c>
      <c r="D28" s="153">
        <v>0.125</v>
      </c>
      <c r="E28" s="153">
        <v>7.7999999999999996E-3</v>
      </c>
      <c r="F28" s="154">
        <v>0.05</v>
      </c>
    </row>
    <row r="51" spans="1:2" x14ac:dyDescent="0.25">
      <c r="A51" s="2" t="s">
        <v>63</v>
      </c>
    </row>
    <row r="52" spans="1:2" x14ac:dyDescent="0.25">
      <c r="A52" s="158" t="s">
        <v>16</v>
      </c>
      <c r="B52" s="159"/>
    </row>
    <row r="53" spans="1:2" x14ac:dyDescent="0.25">
      <c r="A53" s="32" t="s">
        <v>44</v>
      </c>
      <c r="B53" s="31" t="s">
        <v>43</v>
      </c>
    </row>
    <row r="54" spans="1:2" x14ac:dyDescent="0.25">
      <c r="A54" s="12">
        <v>0</v>
      </c>
      <c r="B54" s="5"/>
    </row>
    <row r="55" spans="1:2" x14ac:dyDescent="0.25">
      <c r="A55" s="13">
        <v>1</v>
      </c>
      <c r="B55" s="14"/>
    </row>
    <row r="56" spans="1:2" x14ac:dyDescent="0.25">
      <c r="A56" s="13">
        <v>2</v>
      </c>
      <c r="B56" s="14"/>
    </row>
    <row r="57" spans="1:2" x14ac:dyDescent="0.25">
      <c r="A57" s="13">
        <v>3</v>
      </c>
      <c r="B57" s="14"/>
    </row>
    <row r="58" spans="1:2" x14ac:dyDescent="0.25">
      <c r="A58" s="13">
        <v>4</v>
      </c>
      <c r="B58" s="14"/>
    </row>
    <row r="59" spans="1:2" x14ac:dyDescent="0.25">
      <c r="A59" s="13">
        <v>5</v>
      </c>
      <c r="B59" s="14"/>
    </row>
    <row r="60" spans="1:2" x14ac:dyDescent="0.25">
      <c r="A60" s="13">
        <v>6</v>
      </c>
      <c r="B60" s="14"/>
    </row>
    <row r="61" spans="1:2" x14ac:dyDescent="0.25">
      <c r="A61" s="13">
        <v>7</v>
      </c>
      <c r="B61" s="14"/>
    </row>
    <row r="62" spans="1:2" x14ac:dyDescent="0.25">
      <c r="A62" s="13">
        <v>8</v>
      </c>
      <c r="B62" s="14"/>
    </row>
    <row r="63" spans="1:2" x14ac:dyDescent="0.25">
      <c r="A63" s="13">
        <v>9</v>
      </c>
      <c r="B63" s="14"/>
    </row>
    <row r="64" spans="1:2" x14ac:dyDescent="0.25">
      <c r="A64" s="13">
        <v>10</v>
      </c>
      <c r="B64" s="14"/>
    </row>
    <row r="65" spans="1:2" x14ac:dyDescent="0.25">
      <c r="A65" s="13">
        <v>11</v>
      </c>
      <c r="B65" s="14"/>
    </row>
    <row r="66" spans="1:2" x14ac:dyDescent="0.25">
      <c r="A66" s="13">
        <v>12</v>
      </c>
      <c r="B66" s="14"/>
    </row>
    <row r="67" spans="1:2" x14ac:dyDescent="0.25">
      <c r="A67" s="13">
        <v>13</v>
      </c>
      <c r="B67" s="14"/>
    </row>
    <row r="68" spans="1:2" x14ac:dyDescent="0.25">
      <c r="A68" s="13">
        <v>14</v>
      </c>
      <c r="B68" s="14"/>
    </row>
    <row r="69" spans="1:2" x14ac:dyDescent="0.25">
      <c r="A69" s="13">
        <v>15</v>
      </c>
      <c r="B69" s="25">
        <v>4.0999999999999999E-4</v>
      </c>
    </row>
    <row r="70" spans="1:2" x14ac:dyDescent="0.25">
      <c r="A70" s="13">
        <v>16</v>
      </c>
      <c r="B70" s="25">
        <v>5.1999999999999995E-4</v>
      </c>
    </row>
    <row r="71" spans="1:2" x14ac:dyDescent="0.25">
      <c r="A71" s="13">
        <v>17</v>
      </c>
      <c r="B71" s="25">
        <v>6.2E-4</v>
      </c>
    </row>
    <row r="72" spans="1:2" x14ac:dyDescent="0.25">
      <c r="A72" s="13">
        <v>18</v>
      </c>
      <c r="B72" s="25">
        <v>6.9999999999999999E-4</v>
      </c>
    </row>
    <row r="73" spans="1:2" x14ac:dyDescent="0.25">
      <c r="A73" s="13">
        <v>19</v>
      </c>
      <c r="B73" s="25">
        <v>7.7999999999999999E-4</v>
      </c>
    </row>
    <row r="74" spans="1:2" x14ac:dyDescent="0.25">
      <c r="A74" s="13">
        <v>20</v>
      </c>
      <c r="B74" s="25">
        <v>8.3000000000000001E-4</v>
      </c>
    </row>
    <row r="75" spans="1:2" x14ac:dyDescent="0.25">
      <c r="A75" s="13">
        <v>21</v>
      </c>
      <c r="B75" s="25">
        <v>8.7000000000000001E-4</v>
      </c>
    </row>
    <row r="76" spans="1:2" x14ac:dyDescent="0.25">
      <c r="A76" s="13">
        <v>22</v>
      </c>
      <c r="B76" s="25">
        <v>8.8999999999999995E-4</v>
      </c>
    </row>
    <row r="77" spans="1:2" x14ac:dyDescent="0.25">
      <c r="A77" s="13">
        <v>23</v>
      </c>
      <c r="B77" s="25">
        <v>8.9999999999999998E-4</v>
      </c>
    </row>
    <row r="78" spans="1:2" x14ac:dyDescent="0.25">
      <c r="A78" s="15">
        <v>24</v>
      </c>
      <c r="B78" s="26">
        <v>8.9999999999999998E-4</v>
      </c>
    </row>
    <row r="79" spans="1:2" x14ac:dyDescent="0.25">
      <c r="A79" s="16">
        <v>25</v>
      </c>
      <c r="B79" s="27">
        <v>8.8999999999999995E-4</v>
      </c>
    </row>
    <row r="80" spans="1:2" x14ac:dyDescent="0.25">
      <c r="A80" s="16">
        <v>26</v>
      </c>
      <c r="B80" s="27">
        <v>8.8000000000000003E-4</v>
      </c>
    </row>
    <row r="81" spans="1:2" x14ac:dyDescent="0.25">
      <c r="A81" s="16">
        <v>27</v>
      </c>
      <c r="B81" s="27">
        <v>8.5999999999999998E-4</v>
      </c>
    </row>
    <row r="82" spans="1:2" x14ac:dyDescent="0.25">
      <c r="A82" s="16">
        <v>28</v>
      </c>
      <c r="B82" s="27">
        <v>8.4000000000000003E-4</v>
      </c>
    </row>
    <row r="83" spans="1:2" x14ac:dyDescent="0.25">
      <c r="A83" s="16">
        <v>29</v>
      </c>
      <c r="B83" s="27">
        <v>8.1999999999999998E-4</v>
      </c>
    </row>
    <row r="84" spans="1:2" x14ac:dyDescent="0.25">
      <c r="A84" s="16">
        <v>30</v>
      </c>
      <c r="B84" s="27">
        <v>8.0000000000000004E-4</v>
      </c>
    </row>
    <row r="85" spans="1:2" x14ac:dyDescent="0.25">
      <c r="A85" s="16">
        <v>31</v>
      </c>
      <c r="B85" s="27">
        <v>7.6999999999999996E-4</v>
      </c>
    </row>
    <row r="86" spans="1:2" x14ac:dyDescent="0.25">
      <c r="A86" s="16">
        <v>32</v>
      </c>
      <c r="B86" s="27">
        <v>7.5000000000000002E-4</v>
      </c>
    </row>
    <row r="87" spans="1:2" x14ac:dyDescent="0.25">
      <c r="A87" s="16">
        <v>33</v>
      </c>
      <c r="B87" s="27">
        <v>7.3999999999999999E-4</v>
      </c>
    </row>
    <row r="88" spans="1:2" x14ac:dyDescent="0.25">
      <c r="A88" s="16">
        <v>34</v>
      </c>
      <c r="B88" s="27">
        <v>7.3999999999999999E-4</v>
      </c>
    </row>
    <row r="89" spans="1:2" x14ac:dyDescent="0.25">
      <c r="A89" s="16">
        <v>35</v>
      </c>
      <c r="B89" s="27">
        <v>7.5000000000000002E-4</v>
      </c>
    </row>
    <row r="90" spans="1:2" x14ac:dyDescent="0.25">
      <c r="A90" s="16">
        <v>36</v>
      </c>
      <c r="B90" s="27">
        <v>7.6000000000000004E-4</v>
      </c>
    </row>
    <row r="91" spans="1:2" x14ac:dyDescent="0.25">
      <c r="A91" s="16">
        <v>37</v>
      </c>
      <c r="B91" s="27">
        <v>7.7999999999999999E-4</v>
      </c>
    </row>
    <row r="92" spans="1:2" x14ac:dyDescent="0.25">
      <c r="A92" s="16">
        <v>38</v>
      </c>
      <c r="B92" s="27">
        <v>8.0999999999999996E-4</v>
      </c>
    </row>
    <row r="93" spans="1:2" x14ac:dyDescent="0.25">
      <c r="A93" s="16">
        <v>39</v>
      </c>
      <c r="B93" s="27">
        <v>8.4999999999999995E-4</v>
      </c>
    </row>
    <row r="94" spans="1:2" x14ac:dyDescent="0.25">
      <c r="A94" s="16">
        <v>40</v>
      </c>
      <c r="B94" s="27">
        <v>8.8999999999999995E-4</v>
      </c>
    </row>
    <row r="95" spans="1:2" x14ac:dyDescent="0.25">
      <c r="A95" s="16">
        <v>41</v>
      </c>
      <c r="B95" s="27">
        <v>9.3999999999999997E-4</v>
      </c>
    </row>
    <row r="96" spans="1:2" x14ac:dyDescent="0.25">
      <c r="A96" s="16">
        <v>42</v>
      </c>
      <c r="B96" s="27">
        <v>1.01E-3</v>
      </c>
    </row>
    <row r="97" spans="1:2" x14ac:dyDescent="0.25">
      <c r="A97" s="16">
        <v>43</v>
      </c>
      <c r="B97" s="27">
        <v>1.08E-3</v>
      </c>
    </row>
    <row r="98" spans="1:2" x14ac:dyDescent="0.25">
      <c r="A98" s="16">
        <v>44</v>
      </c>
      <c r="B98" s="27">
        <v>1.16E-3</v>
      </c>
    </row>
    <row r="99" spans="1:2" x14ac:dyDescent="0.25">
      <c r="A99" s="16">
        <v>45</v>
      </c>
      <c r="B99" s="27">
        <v>1.2600000000000001E-3</v>
      </c>
    </row>
    <row r="100" spans="1:2" x14ac:dyDescent="0.25">
      <c r="A100" s="16">
        <v>46</v>
      </c>
      <c r="B100" s="27">
        <v>1.3699999999999999E-3</v>
      </c>
    </row>
    <row r="101" spans="1:2" x14ac:dyDescent="0.25">
      <c r="A101" s="16">
        <v>47</v>
      </c>
      <c r="B101" s="27">
        <v>1.5E-3</v>
      </c>
    </row>
    <row r="102" spans="1:2" x14ac:dyDescent="0.25">
      <c r="A102" s="16">
        <v>48</v>
      </c>
      <c r="B102" s="27">
        <v>1.65E-3</v>
      </c>
    </row>
    <row r="103" spans="1:2" x14ac:dyDescent="0.25">
      <c r="A103" s="17">
        <v>49</v>
      </c>
      <c r="B103" s="28">
        <v>1.83E-3</v>
      </c>
    </row>
    <row r="104" spans="1:2" x14ac:dyDescent="0.25">
      <c r="A104" s="18">
        <v>50</v>
      </c>
      <c r="B104" s="29">
        <v>2.0300000000000001E-3</v>
      </c>
    </row>
    <row r="105" spans="1:2" x14ac:dyDescent="0.25">
      <c r="A105" s="16">
        <v>51</v>
      </c>
      <c r="B105" s="27">
        <v>2.2599999999999999E-3</v>
      </c>
    </row>
    <row r="106" spans="1:2" x14ac:dyDescent="0.25">
      <c r="A106" s="16">
        <v>52</v>
      </c>
      <c r="B106" s="27">
        <v>2.5200000000000001E-3</v>
      </c>
    </row>
    <row r="107" spans="1:2" x14ac:dyDescent="0.25">
      <c r="A107" s="16">
        <v>53</v>
      </c>
      <c r="B107" s="27">
        <v>2.82E-3</v>
      </c>
    </row>
    <row r="108" spans="1:2" x14ac:dyDescent="0.25">
      <c r="A108" s="16">
        <v>54</v>
      </c>
      <c r="B108" s="27">
        <v>3.15E-3</v>
      </c>
    </row>
    <row r="109" spans="1:2" x14ac:dyDescent="0.25">
      <c r="A109" s="16">
        <v>55</v>
      </c>
      <c r="B109" s="27">
        <v>3.5200000000000001E-3</v>
      </c>
    </row>
    <row r="110" spans="1:2" x14ac:dyDescent="0.25">
      <c r="A110" s="16">
        <v>56</v>
      </c>
      <c r="B110" s="27">
        <v>3.9300000000000003E-3</v>
      </c>
    </row>
    <row r="111" spans="1:2" x14ac:dyDescent="0.25">
      <c r="A111" s="16">
        <v>57</v>
      </c>
      <c r="B111" s="27">
        <v>4.3899999999999998E-3</v>
      </c>
    </row>
    <row r="112" spans="1:2" x14ac:dyDescent="0.25">
      <c r="A112" s="16">
        <v>58</v>
      </c>
      <c r="B112" s="27">
        <v>4.9100000000000003E-3</v>
      </c>
    </row>
    <row r="113" spans="1:2" x14ac:dyDescent="0.25">
      <c r="A113" s="16">
        <v>59</v>
      </c>
      <c r="B113" s="27">
        <v>5.5100000000000001E-3</v>
      </c>
    </row>
    <row r="114" spans="1:2" x14ac:dyDescent="0.25">
      <c r="A114" s="16">
        <v>60</v>
      </c>
      <c r="B114" s="27">
        <v>6.1999999999999998E-3</v>
      </c>
    </row>
    <row r="115" spans="1:2" x14ac:dyDescent="0.25">
      <c r="A115" s="16">
        <v>61</v>
      </c>
      <c r="B115" s="27">
        <v>7.0000000000000001E-3</v>
      </c>
    </row>
    <row r="116" spans="1:2" x14ac:dyDescent="0.25">
      <c r="A116" s="16">
        <v>62</v>
      </c>
      <c r="B116" s="27">
        <v>7.92E-3</v>
      </c>
    </row>
    <row r="117" spans="1:2" x14ac:dyDescent="0.25">
      <c r="A117" s="16">
        <v>63</v>
      </c>
      <c r="B117" s="27">
        <v>8.9700000000000005E-3</v>
      </c>
    </row>
    <row r="118" spans="1:2" x14ac:dyDescent="0.25">
      <c r="A118" s="16">
        <v>64</v>
      </c>
      <c r="B118" s="27">
        <v>1.017E-2</v>
      </c>
    </row>
    <row r="119" spans="1:2" x14ac:dyDescent="0.25">
      <c r="A119" s="16">
        <v>65</v>
      </c>
      <c r="B119" s="27">
        <v>1.153E-2</v>
      </c>
    </row>
    <row r="120" spans="1:2" x14ac:dyDescent="0.25">
      <c r="A120" s="16">
        <v>66</v>
      </c>
      <c r="B120" s="27">
        <v>1.306E-2</v>
      </c>
    </row>
    <row r="121" spans="1:2" x14ac:dyDescent="0.25">
      <c r="A121" s="16">
        <v>67</v>
      </c>
      <c r="B121" s="27">
        <v>1.477E-2</v>
      </c>
    </row>
    <row r="122" spans="1:2" x14ac:dyDescent="0.25">
      <c r="A122" s="16">
        <v>68</v>
      </c>
      <c r="B122" s="27">
        <v>1.67E-2</v>
      </c>
    </row>
    <row r="123" spans="1:2" x14ac:dyDescent="0.25">
      <c r="A123" s="16">
        <v>69</v>
      </c>
      <c r="B123" s="27">
        <v>1.8849999999999999E-2</v>
      </c>
    </row>
    <row r="124" spans="1:2" x14ac:dyDescent="0.25">
      <c r="A124" s="16">
        <v>70</v>
      </c>
      <c r="B124" s="27">
        <v>2.1250000000000002E-2</v>
      </c>
    </row>
    <row r="125" spans="1:2" x14ac:dyDescent="0.25">
      <c r="A125" s="16">
        <v>71</v>
      </c>
      <c r="B125" s="27">
        <v>2.393E-2</v>
      </c>
    </row>
    <row r="126" spans="1:2" x14ac:dyDescent="0.25">
      <c r="A126" s="16">
        <v>72</v>
      </c>
      <c r="B126" s="27">
        <v>2.69E-2</v>
      </c>
    </row>
    <row r="127" spans="1:2" x14ac:dyDescent="0.25">
      <c r="A127" s="16">
        <v>73</v>
      </c>
      <c r="B127" s="27">
        <v>3.022E-2</v>
      </c>
    </row>
    <row r="128" spans="1:2" x14ac:dyDescent="0.25">
      <c r="A128" s="17">
        <v>74</v>
      </c>
      <c r="B128" s="28">
        <v>3.39E-2</v>
      </c>
    </row>
    <row r="129" spans="1:2" x14ac:dyDescent="0.25">
      <c r="A129" s="18">
        <v>75</v>
      </c>
      <c r="B129" s="29">
        <v>3.8010000000000002E-2</v>
      </c>
    </row>
    <row r="130" spans="1:2" x14ac:dyDescent="0.25">
      <c r="A130" s="16">
        <v>76</v>
      </c>
      <c r="B130" s="27">
        <v>4.2590000000000003E-2</v>
      </c>
    </row>
    <row r="131" spans="1:2" x14ac:dyDescent="0.25">
      <c r="A131" s="16">
        <v>77</v>
      </c>
      <c r="B131" s="27">
        <v>4.768E-2</v>
      </c>
    </row>
    <row r="132" spans="1:2" x14ac:dyDescent="0.25">
      <c r="A132" s="16">
        <v>78</v>
      </c>
      <c r="B132" s="27">
        <v>5.3350000000000002E-2</v>
      </c>
    </row>
    <row r="133" spans="1:2" x14ac:dyDescent="0.25">
      <c r="A133" s="16">
        <v>79</v>
      </c>
      <c r="B133" s="27">
        <v>5.9659999999999998E-2</v>
      </c>
    </row>
    <row r="134" spans="1:2" x14ac:dyDescent="0.25">
      <c r="A134" s="16">
        <v>80</v>
      </c>
      <c r="B134" s="27">
        <v>6.6650000000000001E-2</v>
      </c>
    </row>
    <row r="135" spans="1:2" x14ac:dyDescent="0.25">
      <c r="A135" s="16">
        <v>81</v>
      </c>
      <c r="B135" s="27">
        <v>7.4380000000000002E-2</v>
      </c>
    </row>
    <row r="136" spans="1:2" x14ac:dyDescent="0.25">
      <c r="A136" s="16">
        <v>82</v>
      </c>
      <c r="B136" s="27">
        <v>8.2839999999999997E-2</v>
      </c>
    </row>
    <row r="137" spans="1:2" x14ac:dyDescent="0.25">
      <c r="A137" s="16">
        <v>83</v>
      </c>
      <c r="B137" s="27">
        <v>9.2030000000000001E-2</v>
      </c>
    </row>
    <row r="138" spans="1:2" x14ac:dyDescent="0.25">
      <c r="A138" s="16">
        <v>84</v>
      </c>
      <c r="B138" s="27">
        <v>0.10188999999999999</v>
      </c>
    </row>
    <row r="139" spans="1:2" x14ac:dyDescent="0.25">
      <c r="A139" s="16">
        <v>85</v>
      </c>
      <c r="B139" s="27">
        <v>0.11239</v>
      </c>
    </row>
    <row r="140" spans="1:2" x14ac:dyDescent="0.25">
      <c r="A140" s="16">
        <v>86</v>
      </c>
      <c r="B140" s="27">
        <v>0.12346</v>
      </c>
    </row>
    <row r="141" spans="1:2" x14ac:dyDescent="0.25">
      <c r="A141" s="16">
        <v>87</v>
      </c>
      <c r="B141" s="27">
        <v>0.13503000000000001</v>
      </c>
    </row>
    <row r="142" spans="1:2" x14ac:dyDescent="0.25">
      <c r="A142" s="16">
        <v>88</v>
      </c>
      <c r="B142" s="27">
        <v>0.14704</v>
      </c>
    </row>
    <row r="143" spans="1:2" x14ac:dyDescent="0.25">
      <c r="A143" s="16">
        <v>89</v>
      </c>
      <c r="B143" s="27">
        <v>0.15939</v>
      </c>
    </row>
    <row r="144" spans="1:2" x14ac:dyDescent="0.25">
      <c r="A144" s="16">
        <v>90</v>
      </c>
      <c r="B144" s="27">
        <v>0.17194000000000001</v>
      </c>
    </row>
    <row r="145" spans="1:2" x14ac:dyDescent="0.25">
      <c r="A145" s="16">
        <v>91</v>
      </c>
      <c r="B145" s="27">
        <v>0.18453</v>
      </c>
    </row>
    <row r="146" spans="1:2" x14ac:dyDescent="0.25">
      <c r="A146" s="16">
        <v>92</v>
      </c>
      <c r="B146" s="27">
        <v>0.19694999999999999</v>
      </c>
    </row>
    <row r="147" spans="1:2" x14ac:dyDescent="0.25">
      <c r="A147" s="16">
        <v>93</v>
      </c>
      <c r="B147" s="27">
        <v>0.20899000000000001</v>
      </c>
    </row>
    <row r="148" spans="1:2" x14ac:dyDescent="0.25">
      <c r="A148" s="16">
        <v>94</v>
      </c>
      <c r="B148" s="27">
        <v>0.22037999999999999</v>
      </c>
    </row>
    <row r="149" spans="1:2" x14ac:dyDescent="0.25">
      <c r="A149" s="16">
        <v>95</v>
      </c>
      <c r="B149" s="27">
        <v>0.23077</v>
      </c>
    </row>
    <row r="150" spans="1:2" x14ac:dyDescent="0.25">
      <c r="A150" s="16">
        <v>96</v>
      </c>
      <c r="B150" s="27">
        <v>0.23987</v>
      </c>
    </row>
    <row r="151" spans="1:2" x14ac:dyDescent="0.25">
      <c r="A151" s="16">
        <v>97</v>
      </c>
      <c r="B151" s="27">
        <v>0.24747</v>
      </c>
    </row>
    <row r="152" spans="1:2" x14ac:dyDescent="0.25">
      <c r="A152" s="16">
        <v>98</v>
      </c>
      <c r="B152" s="27">
        <v>0.25355</v>
      </c>
    </row>
    <row r="153" spans="1:2" x14ac:dyDescent="0.25">
      <c r="A153" s="17">
        <v>99</v>
      </c>
      <c r="B153" s="28">
        <v>0.25835000000000002</v>
      </c>
    </row>
  </sheetData>
  <mergeCells count="1">
    <mergeCell ref="A52:B5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/>
  </sheetViews>
  <sheetFormatPr defaultRowHeight="13.5" x14ac:dyDescent="0.25"/>
  <cols>
    <col min="1" max="1" width="20.140625" style="2" customWidth="1"/>
    <col min="2" max="2" width="10.42578125" style="2" customWidth="1"/>
    <col min="3" max="3" width="9.140625" style="2" customWidth="1"/>
    <col min="4" max="5" width="9.140625" style="2"/>
    <col min="6" max="6" width="12.28515625" style="2" customWidth="1"/>
    <col min="7" max="11" width="9.140625" style="2"/>
    <col min="12" max="12" width="10.85546875" style="2" customWidth="1"/>
    <col min="13" max="13" width="9.7109375" style="2" customWidth="1"/>
    <col min="14" max="14" width="10.140625" style="2" customWidth="1"/>
    <col min="15" max="16384" width="9.140625" style="2"/>
  </cols>
  <sheetData>
    <row r="1" spans="1:13" ht="15" x14ac:dyDescent="0.25">
      <c r="A1" s="1" t="s">
        <v>40</v>
      </c>
    </row>
    <row r="3" spans="1:13" x14ac:dyDescent="0.25">
      <c r="A3" s="3" t="s">
        <v>0</v>
      </c>
      <c r="B3" s="2" t="s">
        <v>103</v>
      </c>
      <c r="F3" s="3" t="s">
        <v>26</v>
      </c>
      <c r="L3" s="3" t="s">
        <v>27</v>
      </c>
    </row>
    <row r="5" spans="1:13" x14ac:dyDescent="0.25">
      <c r="A5" s="3" t="s">
        <v>53</v>
      </c>
      <c r="F5" s="2" t="s">
        <v>125</v>
      </c>
      <c r="L5" s="2" t="s">
        <v>42</v>
      </c>
    </row>
    <row r="6" spans="1:13" x14ac:dyDescent="0.25">
      <c r="A6" s="2" t="s">
        <v>57</v>
      </c>
      <c r="B6" s="91" t="s">
        <v>55</v>
      </c>
      <c r="F6" s="2" t="s">
        <v>46</v>
      </c>
      <c r="L6" s="2" t="s">
        <v>49</v>
      </c>
    </row>
    <row r="7" spans="1:13" x14ac:dyDescent="0.25">
      <c r="A7" s="2" t="s">
        <v>56</v>
      </c>
      <c r="B7" s="92" t="s">
        <v>55</v>
      </c>
      <c r="F7" s="2" t="s">
        <v>47</v>
      </c>
      <c r="G7" s="4">
        <v>0.02</v>
      </c>
      <c r="L7" s="2" t="s">
        <v>36</v>
      </c>
      <c r="M7" s="4">
        <v>0.95</v>
      </c>
    </row>
    <row r="8" spans="1:13" x14ac:dyDescent="0.25">
      <c r="A8" s="2" t="s">
        <v>58</v>
      </c>
      <c r="B8" s="92">
        <v>0.03</v>
      </c>
      <c r="F8" s="2" t="s">
        <v>48</v>
      </c>
      <c r="G8" s="4">
        <v>0.02</v>
      </c>
    </row>
    <row r="10" spans="1:13" x14ac:dyDescent="0.25">
      <c r="A10" s="3" t="s">
        <v>64</v>
      </c>
    </row>
    <row r="11" spans="1:13" x14ac:dyDescent="0.25">
      <c r="A11" s="2" t="s">
        <v>65</v>
      </c>
    </row>
    <row r="13" spans="1:13" x14ac:dyDescent="0.25">
      <c r="A13" s="3" t="s">
        <v>105</v>
      </c>
    </row>
    <row r="14" spans="1:13" x14ac:dyDescent="0.25">
      <c r="A14" s="165" t="s">
        <v>62</v>
      </c>
      <c r="B14" s="167" t="s">
        <v>107</v>
      </c>
      <c r="C14" s="167" t="s">
        <v>104</v>
      </c>
      <c r="D14" s="167" t="s">
        <v>108</v>
      </c>
    </row>
    <row r="15" spans="1:13" x14ac:dyDescent="0.25">
      <c r="A15" s="166"/>
      <c r="B15" s="168"/>
      <c r="C15" s="168"/>
      <c r="D15" s="168" t="s">
        <v>106</v>
      </c>
    </row>
    <row r="16" spans="1:13" x14ac:dyDescent="0.25">
      <c r="A16" s="7">
        <v>1</v>
      </c>
      <c r="B16" s="111">
        <v>4.7999999999999996E-3</v>
      </c>
      <c r="C16" s="108">
        <v>4.8000000000000001E-2</v>
      </c>
      <c r="D16" s="105">
        <v>0.15</v>
      </c>
    </row>
    <row r="17" spans="1:4" x14ac:dyDescent="0.25">
      <c r="A17" s="7">
        <f t="shared" ref="A17:A25" si="0">1+A16</f>
        <v>2</v>
      </c>
      <c r="B17" s="112">
        <v>5.0000000000000001E-3</v>
      </c>
      <c r="C17" s="109">
        <v>4.9000000000000002E-2</v>
      </c>
      <c r="D17" s="106">
        <v>0.1</v>
      </c>
    </row>
    <row r="18" spans="1:4" x14ac:dyDescent="0.25">
      <c r="A18" s="7">
        <f t="shared" si="0"/>
        <v>3</v>
      </c>
      <c r="B18" s="112">
        <v>5.1999999999999998E-3</v>
      </c>
      <c r="C18" s="109">
        <v>5.1999999999999998E-2</v>
      </c>
      <c r="D18" s="106">
        <v>0.05</v>
      </c>
    </row>
    <row r="19" spans="1:4" x14ac:dyDescent="0.25">
      <c r="A19" s="7">
        <f t="shared" si="0"/>
        <v>4</v>
      </c>
      <c r="B19" s="112">
        <v>5.4999999999999997E-3</v>
      </c>
      <c r="C19" s="109">
        <v>5.6000000000000001E-2</v>
      </c>
      <c r="D19" s="106">
        <v>0.05</v>
      </c>
    </row>
    <row r="20" spans="1:4" x14ac:dyDescent="0.25">
      <c r="A20" s="7">
        <f t="shared" si="0"/>
        <v>5</v>
      </c>
      <c r="B20" s="112">
        <v>5.7999999999999996E-3</v>
      </c>
      <c r="C20" s="109">
        <v>6.0999999999999999E-2</v>
      </c>
      <c r="D20" s="106">
        <v>0.05</v>
      </c>
    </row>
    <row r="21" spans="1:4" x14ac:dyDescent="0.25">
      <c r="A21" s="7">
        <f t="shared" si="0"/>
        <v>6</v>
      </c>
      <c r="B21" s="112">
        <v>6.1999999999999998E-3</v>
      </c>
      <c r="C21" s="109">
        <v>6.7000000000000004E-2</v>
      </c>
      <c r="D21" s="106">
        <v>0.05</v>
      </c>
    </row>
    <row r="22" spans="1:4" x14ac:dyDescent="0.25">
      <c r="A22" s="7">
        <f t="shared" si="0"/>
        <v>7</v>
      </c>
      <c r="B22" s="112">
        <v>6.6E-3</v>
      </c>
      <c r="C22" s="109">
        <v>7.6999999999999999E-2</v>
      </c>
      <c r="D22" s="106">
        <v>0.05</v>
      </c>
    </row>
    <row r="23" spans="1:4" x14ac:dyDescent="0.25">
      <c r="A23" s="7">
        <f t="shared" si="0"/>
        <v>8</v>
      </c>
      <c r="B23" s="112">
        <v>7.0000000000000001E-3</v>
      </c>
      <c r="C23" s="109">
        <v>0.09</v>
      </c>
      <c r="D23" s="106">
        <v>0.05</v>
      </c>
    </row>
    <row r="24" spans="1:4" x14ac:dyDescent="0.25">
      <c r="A24" s="7">
        <f t="shared" si="0"/>
        <v>9</v>
      </c>
      <c r="B24" s="112">
        <v>7.4000000000000003E-3</v>
      </c>
      <c r="C24" s="109">
        <v>0.105</v>
      </c>
      <c r="D24" s="106">
        <v>0.05</v>
      </c>
    </row>
    <row r="25" spans="1:4" x14ac:dyDescent="0.25">
      <c r="A25" s="7">
        <f t="shared" si="0"/>
        <v>10</v>
      </c>
      <c r="B25" s="113">
        <v>7.7999999999999996E-3</v>
      </c>
      <c r="C25" s="110">
        <v>0.125</v>
      </c>
      <c r="D25" s="107">
        <v>0.05</v>
      </c>
    </row>
    <row r="26" spans="1:4" x14ac:dyDescent="0.25">
      <c r="A26" s="34"/>
      <c r="B26" s="104"/>
      <c r="C26" s="104"/>
    </row>
    <row r="28" spans="1:4" x14ac:dyDescent="0.25">
      <c r="A28" s="3" t="s">
        <v>1</v>
      </c>
    </row>
    <row r="29" spans="1:4" x14ac:dyDescent="0.25">
      <c r="A29" s="2" t="s">
        <v>2</v>
      </c>
      <c r="B29" s="93">
        <v>380</v>
      </c>
    </row>
    <row r="30" spans="1:4" x14ac:dyDescent="0.25">
      <c r="A30" s="2" t="s">
        <v>3</v>
      </c>
      <c r="B30" s="93">
        <v>50</v>
      </c>
      <c r="C30" s="2" t="s">
        <v>28</v>
      </c>
    </row>
    <row r="31" spans="1:4" x14ac:dyDescent="0.25">
      <c r="A31" s="2" t="s">
        <v>4</v>
      </c>
      <c r="B31" s="92">
        <v>0.03</v>
      </c>
    </row>
    <row r="32" spans="1:4" x14ac:dyDescent="0.25">
      <c r="A32" s="2" t="s">
        <v>94</v>
      </c>
      <c r="B32" s="92">
        <v>0.03</v>
      </c>
      <c r="C32" s="2" t="s">
        <v>95</v>
      </c>
    </row>
    <row r="33" spans="1:10" x14ac:dyDescent="0.25">
      <c r="B33" s="92"/>
    </row>
    <row r="34" spans="1:10" x14ac:dyDescent="0.25">
      <c r="A34" s="3" t="s">
        <v>5</v>
      </c>
      <c r="B34" s="91"/>
    </row>
    <row r="35" spans="1:10" x14ac:dyDescent="0.25">
      <c r="A35" s="2" t="s">
        <v>6</v>
      </c>
      <c r="B35" s="92">
        <v>1</v>
      </c>
      <c r="C35" s="2" t="s">
        <v>7</v>
      </c>
    </row>
    <row r="36" spans="1:10" x14ac:dyDescent="0.25">
      <c r="A36" s="2" t="s">
        <v>3</v>
      </c>
      <c r="B36" s="92">
        <v>0.1</v>
      </c>
      <c r="C36" s="2" t="s">
        <v>8</v>
      </c>
    </row>
    <row r="37" spans="1:10" x14ac:dyDescent="0.25">
      <c r="B37" s="91"/>
    </row>
    <row r="38" spans="1:10" x14ac:dyDescent="0.25">
      <c r="A38" s="3" t="s">
        <v>9</v>
      </c>
      <c r="B38" s="92">
        <v>0.05</v>
      </c>
    </row>
    <row r="39" spans="1:10" x14ac:dyDescent="0.25">
      <c r="B39" s="91"/>
    </row>
    <row r="40" spans="1:10" x14ac:dyDescent="0.25">
      <c r="A40" s="3" t="s">
        <v>10</v>
      </c>
      <c r="B40" s="92">
        <v>0.05</v>
      </c>
    </row>
    <row r="41" spans="1:10" x14ac:dyDescent="0.25">
      <c r="B41" s="91"/>
    </row>
    <row r="42" spans="1:10" x14ac:dyDescent="0.25">
      <c r="A42" s="3" t="s">
        <v>11</v>
      </c>
      <c r="B42" s="92">
        <v>0</v>
      </c>
    </row>
    <row r="44" spans="1:10" ht="15" customHeight="1" x14ac:dyDescent="0.25">
      <c r="A44" s="40" t="s">
        <v>69</v>
      </c>
      <c r="B44" s="43"/>
      <c r="C44" s="43"/>
      <c r="D44" s="43"/>
      <c r="E44" s="43"/>
      <c r="F44" s="43"/>
      <c r="G44" s="43"/>
      <c r="H44" s="43"/>
      <c r="I44" s="43"/>
      <c r="J44" s="43"/>
    </row>
    <row r="45" spans="1:10" x14ac:dyDescent="0.25">
      <c r="A45" s="163" t="s">
        <v>51</v>
      </c>
      <c r="B45" s="160" t="s">
        <v>50</v>
      </c>
      <c r="C45" s="161"/>
      <c r="D45" s="161"/>
      <c r="E45" s="161"/>
      <c r="F45" s="161"/>
      <c r="G45" s="161"/>
      <c r="H45" s="161"/>
      <c r="I45" s="161"/>
      <c r="J45" s="162"/>
    </row>
    <row r="46" spans="1:10" ht="21.75" customHeight="1" x14ac:dyDescent="0.25">
      <c r="A46" s="164"/>
      <c r="B46" s="41">
        <v>22</v>
      </c>
      <c r="C46" s="41">
        <v>27</v>
      </c>
      <c r="D46" s="41">
        <v>32</v>
      </c>
      <c r="E46" s="41">
        <v>37</v>
      </c>
      <c r="F46" s="41">
        <v>42</v>
      </c>
      <c r="G46" s="41">
        <v>47</v>
      </c>
      <c r="H46" s="41">
        <v>52</v>
      </c>
      <c r="I46" s="41">
        <v>57</v>
      </c>
      <c r="J46" s="42">
        <v>62</v>
      </c>
    </row>
    <row r="47" spans="1:10" x14ac:dyDescent="0.25">
      <c r="A47" s="36">
        <v>1</v>
      </c>
      <c r="B47" s="94">
        <v>1000</v>
      </c>
      <c r="C47" s="95">
        <v>1000</v>
      </c>
      <c r="D47" s="95">
        <v>1000</v>
      </c>
      <c r="E47" s="95">
        <v>1000</v>
      </c>
      <c r="F47" s="95">
        <v>1000</v>
      </c>
      <c r="G47" s="95">
        <v>1000</v>
      </c>
      <c r="H47" s="95">
        <v>1000</v>
      </c>
      <c r="I47" s="95">
        <v>1000</v>
      </c>
      <c r="J47" s="96">
        <v>1000</v>
      </c>
    </row>
    <row r="48" spans="1:10" x14ac:dyDescent="0.25">
      <c r="A48" s="36">
        <v>3</v>
      </c>
      <c r="B48" s="97">
        <v>392.78350515463922</v>
      </c>
      <c r="C48" s="98">
        <v>412.621359223301</v>
      </c>
      <c r="D48" s="98">
        <v>430.12048192771078</v>
      </c>
      <c r="E48" s="98">
        <v>436.8421052631578</v>
      </c>
      <c r="F48" s="98">
        <v>446.42857142857139</v>
      </c>
      <c r="G48" s="98">
        <v>457.14285714285705</v>
      </c>
      <c r="H48" s="98">
        <v>463.33333333333337</v>
      </c>
      <c r="I48" s="98">
        <v>470.73170731707313</v>
      </c>
      <c r="J48" s="99">
        <v>478.75</v>
      </c>
    </row>
    <row r="49" spans="1:10" x14ac:dyDescent="0.25">
      <c r="A49" s="36">
        <v>6</v>
      </c>
      <c r="B49" s="97">
        <v>166.33179044813807</v>
      </c>
      <c r="C49" s="98">
        <v>176.37540453074436</v>
      </c>
      <c r="D49" s="98">
        <v>187.4764274489261</v>
      </c>
      <c r="E49" s="98">
        <v>196.57894736842098</v>
      </c>
      <c r="F49" s="98">
        <v>205.47161172161171</v>
      </c>
      <c r="G49" s="98">
        <v>222.04081632653055</v>
      </c>
      <c r="H49" s="98">
        <v>238.20085470085471</v>
      </c>
      <c r="I49" s="98">
        <v>258.43170731707312</v>
      </c>
      <c r="J49" s="99">
        <v>285.47685185185185</v>
      </c>
    </row>
    <row r="50" spans="1:10" x14ac:dyDescent="0.25">
      <c r="A50" s="36">
        <v>12</v>
      </c>
      <c r="B50" s="97">
        <v>79.043141443730562</v>
      </c>
      <c r="C50" s="98">
        <v>87.04452834711735</v>
      </c>
      <c r="D50" s="98">
        <v>97.52214161792763</v>
      </c>
      <c r="E50" s="98">
        <v>103.99660441426143</v>
      </c>
      <c r="F50" s="98">
        <v>114.34941869724476</v>
      </c>
      <c r="G50" s="98">
        <v>131.25477287689264</v>
      </c>
      <c r="H50" s="98">
        <v>151.0736964377904</v>
      </c>
      <c r="I50" s="98">
        <v>175.33121220972683</v>
      </c>
      <c r="J50" s="99">
        <v>207.66138739545997</v>
      </c>
    </row>
    <row r="51" spans="1:10" x14ac:dyDescent="0.25">
      <c r="A51" s="36">
        <v>18</v>
      </c>
      <c r="B51" s="97">
        <v>51.201079681461295</v>
      </c>
      <c r="C51" s="98">
        <v>59.288820251527099</v>
      </c>
      <c r="D51" s="98">
        <v>69.722726536035609</v>
      </c>
      <c r="E51" s="98">
        <v>78.307890935813276</v>
      </c>
      <c r="F51" s="98">
        <v>90.261925406852924</v>
      </c>
      <c r="G51" s="98">
        <v>108.32047116453238</v>
      </c>
      <c r="H51" s="98">
        <v>129.43151108763252</v>
      </c>
      <c r="I51" s="98">
        <v>154.03171680054518</v>
      </c>
      <c r="J51" s="99">
        <v>184.52468487286077</v>
      </c>
    </row>
    <row r="52" spans="1:10" x14ac:dyDescent="0.25">
      <c r="A52" s="36">
        <v>24</v>
      </c>
      <c r="B52" s="97">
        <v>39.247520222754375</v>
      </c>
      <c r="C52" s="98">
        <v>47.814516232699219</v>
      </c>
      <c r="D52" s="98">
        <v>58.961867372026454</v>
      </c>
      <c r="E52" s="98">
        <v>68.957695003178856</v>
      </c>
      <c r="F52" s="98">
        <v>82.056295824411748</v>
      </c>
      <c r="G52" s="98">
        <v>100.78618061464378</v>
      </c>
      <c r="H52" s="98">
        <v>122.12436501863452</v>
      </c>
      <c r="I52" s="98">
        <v>146.02041571225945</v>
      </c>
      <c r="J52" s="99">
        <v>174.39914259824891</v>
      </c>
    </row>
    <row r="53" spans="1:10" x14ac:dyDescent="0.25">
      <c r="A53" s="36">
        <v>36</v>
      </c>
      <c r="B53" s="97">
        <v>26.476980950273528</v>
      </c>
      <c r="C53" s="98">
        <v>36.089047729161777</v>
      </c>
      <c r="D53" s="98">
        <v>48.209997439480453</v>
      </c>
      <c r="E53" s="98">
        <v>59.376847113356661</v>
      </c>
      <c r="F53" s="98">
        <v>73.08427893797446</v>
      </c>
      <c r="G53" s="98">
        <v>91.766727669655126</v>
      </c>
      <c r="H53" s="98">
        <v>112.77398418775994</v>
      </c>
      <c r="I53" s="98">
        <v>136.02022966651077</v>
      </c>
      <c r="J53" s="99">
        <v>163.07285141843644</v>
      </c>
    </row>
    <row r="54" spans="1:10" x14ac:dyDescent="0.25">
      <c r="A54" s="36">
        <v>48</v>
      </c>
      <c r="B54" s="97">
        <v>17.861778687222987</v>
      </c>
      <c r="C54" s="98">
        <v>27.23899494578642</v>
      </c>
      <c r="D54" s="98">
        <v>39.418762612281078</v>
      </c>
      <c r="E54" s="98">
        <v>51.127143576368169</v>
      </c>
      <c r="F54" s="98">
        <v>65.093260355223308</v>
      </c>
      <c r="G54" s="98">
        <v>83.554434306771356</v>
      </c>
      <c r="H54" s="98">
        <v>104.1395098155928</v>
      </c>
      <c r="I54" s="98">
        <v>126.70490484692549</v>
      </c>
      <c r="J54" s="100"/>
    </row>
    <row r="55" spans="1:10" x14ac:dyDescent="0.25">
      <c r="A55" s="36">
        <v>60</v>
      </c>
      <c r="B55" s="97">
        <v>12.049830698995814</v>
      </c>
      <c r="C55" s="98">
        <v>20.559224815927593</v>
      </c>
      <c r="D55" s="98">
        <v>32.230635312394533</v>
      </c>
      <c r="E55" s="98">
        <v>44.023637787439142</v>
      </c>
      <c r="F55" s="98">
        <v>57.975977942792291</v>
      </c>
      <c r="G55" s="98">
        <v>76.077067033012653</v>
      </c>
      <c r="H55" s="98">
        <v>96.166128941368285</v>
      </c>
      <c r="I55" s="98">
        <v>118.02753863619665</v>
      </c>
      <c r="J55" s="100"/>
    </row>
    <row r="56" spans="1:10" x14ac:dyDescent="0.25">
      <c r="A56" s="36">
        <v>72</v>
      </c>
      <c r="B56" s="97">
        <v>8.1290011715533304</v>
      </c>
      <c r="C56" s="98">
        <v>15.517522796751988</v>
      </c>
      <c r="D56" s="98">
        <v>26.353284167193181</v>
      </c>
      <c r="E56" s="98">
        <v>37.907079262989633</v>
      </c>
      <c r="F56" s="98">
        <v>51.636897584796166</v>
      </c>
      <c r="G56" s="98">
        <v>69.268856600665856</v>
      </c>
      <c r="H56" s="98">
        <v>88.803225326716301</v>
      </c>
      <c r="I56" s="98">
        <v>109.94444053565712</v>
      </c>
      <c r="J56" s="100"/>
    </row>
    <row r="57" spans="1:10" x14ac:dyDescent="0.25">
      <c r="A57" s="36">
        <v>84</v>
      </c>
      <c r="B57" s="97">
        <v>5.4839492518863624</v>
      </c>
      <c r="C57" s="98">
        <v>11.712188368170899</v>
      </c>
      <c r="D57" s="98">
        <v>21.547685289646193</v>
      </c>
      <c r="E57" s="98">
        <v>32.640343471583108</v>
      </c>
      <c r="F57" s="98">
        <v>45.990930844043092</v>
      </c>
      <c r="G57" s="98">
        <v>63.069919515712989</v>
      </c>
      <c r="H57" s="98">
        <v>82.00405813605731</v>
      </c>
      <c r="I57" s="98">
        <v>102.4149121838212</v>
      </c>
      <c r="J57" s="100"/>
    </row>
    <row r="58" spans="1:10" x14ac:dyDescent="0.25">
      <c r="A58" s="36">
        <v>96</v>
      </c>
      <c r="B58" s="97">
        <v>3.6995565337725695</v>
      </c>
      <c r="C58" s="98">
        <v>8.8400293119099036</v>
      </c>
      <c r="D58" s="98">
        <v>17.618401501534244</v>
      </c>
      <c r="E58" s="98">
        <v>28.10535769721271</v>
      </c>
      <c r="F58" s="98">
        <v>40.962292833881222</v>
      </c>
      <c r="G58" s="98">
        <v>57.425731316030948</v>
      </c>
      <c r="H58" s="98">
        <v>75.72546521864632</v>
      </c>
      <c r="I58" s="98">
        <v>95.401042440323138</v>
      </c>
      <c r="J58" s="100"/>
    </row>
    <row r="59" spans="1:10" x14ac:dyDescent="0.25">
      <c r="A59" s="36">
        <v>108</v>
      </c>
      <c r="B59" s="97">
        <v>2.4957777539373414</v>
      </c>
      <c r="C59" s="98">
        <v>6.6722046964166459</v>
      </c>
      <c r="D59" s="98">
        <v>14.405634168901532</v>
      </c>
      <c r="E59" s="98">
        <v>24.20045401715749</v>
      </c>
      <c r="F59" s="98">
        <v>36.483484970080042</v>
      </c>
      <c r="G59" s="98">
        <v>52.2866469864354</v>
      </c>
      <c r="H59" s="98">
        <v>69.927589108654274</v>
      </c>
      <c r="I59" s="98"/>
      <c r="J59" s="100"/>
    </row>
    <row r="60" spans="1:10" x14ac:dyDescent="0.25">
      <c r="A60" s="37">
        <v>120</v>
      </c>
      <c r="B60" s="101">
        <v>1.6836900693869603</v>
      </c>
      <c r="C60" s="102">
        <v>5.0359918434779587</v>
      </c>
      <c r="D60" s="102">
        <v>11.77872440869008</v>
      </c>
      <c r="E60" s="102">
        <v>20.838090051941801</v>
      </c>
      <c r="F60" s="102">
        <v>32.494388948391745</v>
      </c>
      <c r="G60" s="102">
        <v>47.607464292247009</v>
      </c>
      <c r="H60" s="102">
        <v>64.573624003893528</v>
      </c>
      <c r="I60" s="102"/>
      <c r="J60" s="103"/>
    </row>
    <row r="61" spans="1:10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</row>
    <row r="62" spans="1:10" x14ac:dyDescent="0.25">
      <c r="A62" s="2" t="s">
        <v>71</v>
      </c>
      <c r="B62" s="39"/>
      <c r="C62" s="39"/>
      <c r="D62" s="39"/>
      <c r="E62" s="39"/>
      <c r="F62" s="39"/>
      <c r="G62" s="39"/>
      <c r="H62" s="39"/>
      <c r="I62" s="39"/>
      <c r="J62" s="39"/>
    </row>
  </sheetData>
  <mergeCells count="6">
    <mergeCell ref="B45:J45"/>
    <mergeCell ref="A45:A46"/>
    <mergeCell ref="A14:A15"/>
    <mergeCell ref="B14:B15"/>
    <mergeCell ref="C14:C15"/>
    <mergeCell ref="D14:D1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25" sqref="I25"/>
    </sheetView>
  </sheetViews>
  <sheetFormatPr defaultRowHeight="15" x14ac:dyDescent="0.25"/>
  <cols>
    <col min="9" max="9" width="13" customWidth="1"/>
  </cols>
  <sheetData>
    <row r="1" spans="1:8" x14ac:dyDescent="0.25">
      <c r="A1" s="1" t="s">
        <v>19</v>
      </c>
      <c r="B1" s="1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ht="15.75" x14ac:dyDescent="0.3">
      <c r="A4" s="6" t="s">
        <v>17</v>
      </c>
      <c r="B4" s="6" t="s">
        <v>66</v>
      </c>
      <c r="C4" s="6" t="s">
        <v>18</v>
      </c>
      <c r="D4" s="6" t="s">
        <v>20</v>
      </c>
      <c r="E4" s="6" t="s">
        <v>66</v>
      </c>
      <c r="F4" s="6" t="s">
        <v>67</v>
      </c>
      <c r="G4" s="6" t="s">
        <v>21</v>
      </c>
      <c r="H4" s="6" t="s">
        <v>25</v>
      </c>
    </row>
    <row r="5" spans="1:8" x14ac:dyDescent="0.25">
      <c r="A5" s="7">
        <v>1</v>
      </c>
      <c r="B5" s="7">
        <f t="shared" ref="B5:B14" si="0">VLOOKUP(A5,Decrement_assumptions,2)</f>
        <v>4.7999999999999996E-3</v>
      </c>
      <c r="C5" s="7">
        <f t="shared" ref="C5:C14" si="1">VLOOKUP(A5,Decrement_assumptions,4)</f>
        <v>0.15</v>
      </c>
      <c r="D5" s="33">
        <v>1</v>
      </c>
      <c r="E5" s="33">
        <f>D5*B5</f>
        <v>4.7999999999999996E-3</v>
      </c>
      <c r="F5" s="33">
        <f>(D5-E5)*C5</f>
        <v>0.14928</v>
      </c>
      <c r="G5" s="33">
        <f>D5-E5-F5</f>
        <v>0.84592000000000001</v>
      </c>
      <c r="H5" s="8">
        <f>G5/D5</f>
        <v>0.84592000000000001</v>
      </c>
    </row>
    <row r="6" spans="1:8" x14ac:dyDescent="0.25">
      <c r="A6" s="7">
        <f>1+A5</f>
        <v>2</v>
      </c>
      <c r="B6" s="7">
        <f t="shared" si="0"/>
        <v>5.0000000000000001E-3</v>
      </c>
      <c r="C6" s="7">
        <f t="shared" si="1"/>
        <v>0.1</v>
      </c>
      <c r="D6" s="33">
        <f>G5</f>
        <v>0.84592000000000001</v>
      </c>
      <c r="E6" s="33">
        <f>D6*B6</f>
        <v>4.2296E-3</v>
      </c>
      <c r="F6" s="33">
        <f>(D6-E6)*C6</f>
        <v>8.4169040000000014E-2</v>
      </c>
      <c r="G6" s="33">
        <f>D6-E6-F6</f>
        <v>0.75752136000000003</v>
      </c>
      <c r="H6" s="8">
        <f t="shared" ref="H6:H14" si="2">G6/D6</f>
        <v>0.89550000000000007</v>
      </c>
    </row>
    <row r="7" spans="1:8" x14ac:dyDescent="0.25">
      <c r="A7" s="7">
        <f t="shared" ref="A7:A14" si="3">1+A6</f>
        <v>3</v>
      </c>
      <c r="B7" s="7">
        <f t="shared" si="0"/>
        <v>5.1999999999999998E-3</v>
      </c>
      <c r="C7" s="7">
        <f t="shared" si="1"/>
        <v>0.05</v>
      </c>
      <c r="D7" s="33">
        <f t="shared" ref="D7:D14" si="4">G6</f>
        <v>0.75752136000000003</v>
      </c>
      <c r="E7" s="33">
        <f t="shared" ref="E7:E14" si="5">D7*B7</f>
        <v>3.9391110720000001E-3</v>
      </c>
      <c r="F7" s="33">
        <f t="shared" ref="F7:F13" si="6">(D7-E7)*C7</f>
        <v>3.7679112446400008E-2</v>
      </c>
      <c r="G7" s="33">
        <f t="shared" ref="G7:G14" si="7">D7-E7-F7</f>
        <v>0.71590313648160009</v>
      </c>
      <c r="H7" s="8">
        <f t="shared" si="2"/>
        <v>0.94506000000000012</v>
      </c>
    </row>
    <row r="8" spans="1:8" x14ac:dyDescent="0.25">
      <c r="A8" s="7">
        <f t="shared" si="3"/>
        <v>4</v>
      </c>
      <c r="B8" s="7">
        <f t="shared" si="0"/>
        <v>5.4999999999999997E-3</v>
      </c>
      <c r="C8" s="7">
        <f t="shared" si="1"/>
        <v>0.05</v>
      </c>
      <c r="D8" s="33">
        <f t="shared" si="4"/>
        <v>0.71590313648160009</v>
      </c>
      <c r="E8" s="33">
        <f t="shared" si="5"/>
        <v>3.9374672506488004E-3</v>
      </c>
      <c r="F8" s="33">
        <f t="shared" si="6"/>
        <v>3.5598283461547565E-2</v>
      </c>
      <c r="G8" s="33">
        <f t="shared" si="7"/>
        <v>0.6763673857694037</v>
      </c>
      <c r="H8" s="8">
        <f t="shared" si="2"/>
        <v>0.94477499999999992</v>
      </c>
    </row>
    <row r="9" spans="1:8" x14ac:dyDescent="0.25">
      <c r="A9" s="7">
        <f t="shared" si="3"/>
        <v>5</v>
      </c>
      <c r="B9" s="7">
        <f t="shared" si="0"/>
        <v>5.7999999999999996E-3</v>
      </c>
      <c r="C9" s="7">
        <f t="shared" si="1"/>
        <v>0.05</v>
      </c>
      <c r="D9" s="33">
        <f t="shared" si="4"/>
        <v>0.6763673857694037</v>
      </c>
      <c r="E9" s="33">
        <f t="shared" si="5"/>
        <v>3.922930837462541E-3</v>
      </c>
      <c r="F9" s="33">
        <f t="shared" si="6"/>
        <v>3.3622222746597062E-2</v>
      </c>
      <c r="G9" s="33">
        <f t="shared" si="7"/>
        <v>0.63882223218534406</v>
      </c>
      <c r="H9" s="8">
        <f t="shared" si="2"/>
        <v>0.94448999999999994</v>
      </c>
    </row>
    <row r="10" spans="1:8" x14ac:dyDescent="0.25">
      <c r="A10" s="7">
        <f t="shared" si="3"/>
        <v>6</v>
      </c>
      <c r="B10" s="7">
        <f t="shared" si="0"/>
        <v>6.1999999999999998E-3</v>
      </c>
      <c r="C10" s="7">
        <f t="shared" si="1"/>
        <v>0.05</v>
      </c>
      <c r="D10" s="33">
        <f t="shared" si="4"/>
        <v>0.63882223218534406</v>
      </c>
      <c r="E10" s="33">
        <f t="shared" si="5"/>
        <v>3.9606978395491333E-3</v>
      </c>
      <c r="F10" s="33">
        <f t="shared" si="6"/>
        <v>3.174307671728975E-2</v>
      </c>
      <c r="G10" s="33">
        <f t="shared" si="7"/>
        <v>0.60311845762850524</v>
      </c>
      <c r="H10" s="8">
        <f t="shared" si="2"/>
        <v>0.94411000000000012</v>
      </c>
    </row>
    <row r="11" spans="1:8" x14ac:dyDescent="0.25">
      <c r="A11" s="7">
        <f t="shared" si="3"/>
        <v>7</v>
      </c>
      <c r="B11" s="7">
        <f t="shared" si="0"/>
        <v>6.6E-3</v>
      </c>
      <c r="C11" s="7">
        <f t="shared" si="1"/>
        <v>0.05</v>
      </c>
      <c r="D11" s="33">
        <f t="shared" si="4"/>
        <v>0.60311845762850524</v>
      </c>
      <c r="E11" s="33">
        <f t="shared" si="5"/>
        <v>3.9805818203481344E-3</v>
      </c>
      <c r="F11" s="33">
        <f t="shared" si="6"/>
        <v>2.9956893790407859E-2</v>
      </c>
      <c r="G11" s="33">
        <f t="shared" si="7"/>
        <v>0.56918098201774925</v>
      </c>
      <c r="H11" s="8">
        <f t="shared" si="2"/>
        <v>0.94372999999999996</v>
      </c>
    </row>
    <row r="12" spans="1:8" x14ac:dyDescent="0.25">
      <c r="A12" s="7">
        <f t="shared" si="3"/>
        <v>8</v>
      </c>
      <c r="B12" s="7">
        <f t="shared" si="0"/>
        <v>7.0000000000000001E-3</v>
      </c>
      <c r="C12" s="7">
        <f t="shared" si="1"/>
        <v>0.05</v>
      </c>
      <c r="D12" s="33">
        <f t="shared" si="4"/>
        <v>0.56918098201774925</v>
      </c>
      <c r="E12" s="33">
        <f t="shared" si="5"/>
        <v>3.9842668741242445E-3</v>
      </c>
      <c r="F12" s="33">
        <f t="shared" si="6"/>
        <v>2.8259835757181252E-2</v>
      </c>
      <c r="G12" s="33">
        <f t="shared" si="7"/>
        <v>0.53693687938644374</v>
      </c>
      <c r="H12" s="8">
        <f t="shared" si="2"/>
        <v>0.94335000000000002</v>
      </c>
    </row>
    <row r="13" spans="1:8" x14ac:dyDescent="0.25">
      <c r="A13" s="7">
        <f t="shared" si="3"/>
        <v>9</v>
      </c>
      <c r="B13" s="7">
        <f t="shared" si="0"/>
        <v>7.4000000000000003E-3</v>
      </c>
      <c r="C13" s="7">
        <f t="shared" si="1"/>
        <v>0.05</v>
      </c>
      <c r="D13" s="33">
        <f t="shared" si="4"/>
        <v>0.53693687938644374</v>
      </c>
      <c r="E13" s="33">
        <f t="shared" si="5"/>
        <v>3.9733329074596842E-3</v>
      </c>
      <c r="F13" s="33">
        <f t="shared" si="6"/>
        <v>2.6648177323949203E-2</v>
      </c>
      <c r="G13" s="33">
        <f t="shared" si="7"/>
        <v>0.50631536915503483</v>
      </c>
      <c r="H13" s="8">
        <f t="shared" si="2"/>
        <v>0.94296999999999997</v>
      </c>
    </row>
    <row r="14" spans="1:8" x14ac:dyDescent="0.25">
      <c r="A14" s="7">
        <f t="shared" si="3"/>
        <v>10</v>
      </c>
      <c r="B14" s="7">
        <f t="shared" si="0"/>
        <v>7.7999999999999996E-3</v>
      </c>
      <c r="C14" s="7">
        <f t="shared" si="1"/>
        <v>0.05</v>
      </c>
      <c r="D14" s="33">
        <f t="shared" si="4"/>
        <v>0.50631536915503483</v>
      </c>
      <c r="E14" s="33">
        <f t="shared" si="5"/>
        <v>3.9492598794092712E-3</v>
      </c>
      <c r="F14" s="33">
        <f>(D14-E14)*C14</f>
        <v>2.5118305463781278E-2</v>
      </c>
      <c r="G14" s="33">
        <f t="shared" si="7"/>
        <v>0.47724780381184423</v>
      </c>
      <c r="H14" s="8">
        <f t="shared" si="2"/>
        <v>0.94258999999999993</v>
      </c>
    </row>
    <row r="16" spans="1:8" x14ac:dyDescent="0.25">
      <c r="A16" s="2" t="s">
        <v>22</v>
      </c>
      <c r="B16" s="2"/>
      <c r="C16" s="2" t="s">
        <v>23</v>
      </c>
      <c r="D16" s="2"/>
      <c r="E16" s="2"/>
      <c r="F16" s="2"/>
    </row>
    <row r="17" spans="1:6" x14ac:dyDescent="0.25">
      <c r="A17" s="2"/>
      <c r="B17" s="2"/>
      <c r="C17" s="2" t="s">
        <v>24</v>
      </c>
      <c r="D17" s="2"/>
      <c r="E17" s="2"/>
      <c r="F17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/>
  </sheetViews>
  <sheetFormatPr defaultRowHeight="15" x14ac:dyDescent="0.25"/>
  <cols>
    <col min="3" max="3" width="8" bestFit="1" customWidth="1"/>
    <col min="13" max="13" width="12" customWidth="1"/>
    <col min="14" max="14" width="10.140625" customWidth="1"/>
  </cols>
  <sheetData>
    <row r="1" spans="1:14" x14ac:dyDescent="0.25">
      <c r="A1" s="1" t="s">
        <v>72</v>
      </c>
    </row>
    <row r="3" spans="1:14" x14ac:dyDescent="0.25">
      <c r="A3" s="2" t="s">
        <v>90</v>
      </c>
      <c r="B3" s="2"/>
      <c r="C3" s="2"/>
      <c r="D3" s="2"/>
      <c r="E3" s="2"/>
      <c r="F3" s="2"/>
      <c r="G3" s="2"/>
      <c r="H3" s="2"/>
    </row>
    <row r="4" spans="1:14" x14ac:dyDescent="0.25">
      <c r="A4" s="2" t="s">
        <v>73</v>
      </c>
      <c r="B4" s="2"/>
      <c r="C4" s="2"/>
      <c r="D4" s="2"/>
      <c r="E4" s="2"/>
      <c r="F4" s="2"/>
      <c r="G4" s="2"/>
      <c r="H4" s="2"/>
    </row>
    <row r="5" spans="1:14" x14ac:dyDescent="0.25">
      <c r="A5" s="2" t="s">
        <v>76</v>
      </c>
      <c r="B5" s="2"/>
      <c r="C5" s="2"/>
      <c r="D5" s="2"/>
      <c r="E5" s="2"/>
      <c r="F5" s="2"/>
      <c r="G5" s="2"/>
      <c r="H5" s="2"/>
    </row>
    <row r="6" spans="1:14" x14ac:dyDescent="0.25">
      <c r="A6" s="2" t="s">
        <v>77</v>
      </c>
      <c r="B6" s="2"/>
      <c r="C6" s="2"/>
      <c r="D6" s="2"/>
      <c r="E6" s="2"/>
      <c r="F6" s="2"/>
      <c r="G6" s="2"/>
      <c r="H6" s="2"/>
    </row>
    <row r="8" spans="1:14" ht="32.25" customHeight="1" x14ac:dyDescent="0.25">
      <c r="A8" s="173" t="s">
        <v>69</v>
      </c>
      <c r="B8" s="174"/>
      <c r="C8" s="174"/>
      <c r="D8" s="174"/>
      <c r="E8" s="174"/>
      <c r="F8" s="174"/>
      <c r="G8" s="174"/>
      <c r="H8" s="174"/>
      <c r="I8" s="174"/>
      <c r="J8" s="174"/>
      <c r="K8" s="2"/>
      <c r="L8" s="2"/>
      <c r="M8" s="169" t="s">
        <v>74</v>
      </c>
      <c r="N8" s="169" t="s">
        <v>75</v>
      </c>
    </row>
    <row r="9" spans="1:14" x14ac:dyDescent="0.25">
      <c r="A9" s="163" t="s">
        <v>51</v>
      </c>
      <c r="B9" s="160" t="s">
        <v>50</v>
      </c>
      <c r="C9" s="161"/>
      <c r="D9" s="161"/>
      <c r="E9" s="161"/>
      <c r="F9" s="161"/>
      <c r="G9" s="161"/>
      <c r="H9" s="161"/>
      <c r="I9" s="161"/>
      <c r="J9" s="162"/>
      <c r="K9" s="2"/>
      <c r="L9" s="2"/>
      <c r="M9" s="169"/>
      <c r="N9" s="169"/>
    </row>
    <row r="10" spans="1:14" ht="24.75" customHeight="1" x14ac:dyDescent="0.25">
      <c r="A10" s="164"/>
      <c r="B10" s="86">
        <v>22</v>
      </c>
      <c r="C10" s="86">
        <v>27</v>
      </c>
      <c r="D10" s="86">
        <v>32</v>
      </c>
      <c r="E10" s="86">
        <v>37</v>
      </c>
      <c r="F10" s="86">
        <v>42</v>
      </c>
      <c r="G10" s="86">
        <v>47</v>
      </c>
      <c r="H10" s="86">
        <v>52</v>
      </c>
      <c r="I10" s="86">
        <v>57</v>
      </c>
      <c r="J10" s="87">
        <v>62</v>
      </c>
      <c r="K10" s="2"/>
      <c r="L10" s="2"/>
      <c r="M10" s="170"/>
      <c r="N10" s="170"/>
    </row>
    <row r="11" spans="1:14" x14ac:dyDescent="0.25">
      <c r="A11" s="75">
        <v>1</v>
      </c>
      <c r="B11" s="76">
        <f>Assumptions!B47</f>
        <v>1000</v>
      </c>
      <c r="C11" s="77">
        <f>Assumptions!C47</f>
        <v>1000</v>
      </c>
      <c r="D11" s="77">
        <f>Assumptions!D47</f>
        <v>1000</v>
      </c>
      <c r="E11" s="77">
        <f>Assumptions!E47</f>
        <v>1000</v>
      </c>
      <c r="F11" s="77">
        <f>Assumptions!F47</f>
        <v>1000</v>
      </c>
      <c r="G11" s="77">
        <f>Assumptions!G47</f>
        <v>1000</v>
      </c>
      <c r="H11" s="77">
        <f>Assumptions!H47</f>
        <v>1000</v>
      </c>
      <c r="I11" s="77">
        <f>Assumptions!I47</f>
        <v>1000</v>
      </c>
      <c r="J11" s="78">
        <f>Assumptions!J47</f>
        <v>1000</v>
      </c>
      <c r="K11" s="2"/>
      <c r="L11" s="2"/>
      <c r="M11" s="88">
        <f t="shared" ref="M11:M24" si="0">1/(1+Investment_rate)^(A11/12)</f>
        <v>0.99594240735106698</v>
      </c>
      <c r="N11" s="81">
        <v>0</v>
      </c>
    </row>
    <row r="12" spans="1:14" x14ac:dyDescent="0.25">
      <c r="A12" s="75">
        <v>3</v>
      </c>
      <c r="B12" s="79">
        <f>Assumptions!B48</f>
        <v>392.78350515463922</v>
      </c>
      <c r="C12" s="80">
        <f>Assumptions!C48</f>
        <v>412.621359223301</v>
      </c>
      <c r="D12" s="80">
        <f>Assumptions!D48</f>
        <v>430.12048192771078</v>
      </c>
      <c r="E12" s="80">
        <f>Assumptions!E48</f>
        <v>436.8421052631578</v>
      </c>
      <c r="F12" s="80">
        <f>Assumptions!F48</f>
        <v>446.42857142857139</v>
      </c>
      <c r="G12" s="80">
        <f>Assumptions!G48</f>
        <v>457.14285714285705</v>
      </c>
      <c r="H12" s="80">
        <f>Assumptions!H48</f>
        <v>463.33333333333337</v>
      </c>
      <c r="I12" s="80">
        <f>Assumptions!I48</f>
        <v>470.73170731707313</v>
      </c>
      <c r="J12" s="81">
        <f>Assumptions!J48</f>
        <v>478.75</v>
      </c>
      <c r="K12" s="2"/>
      <c r="L12" s="2"/>
      <c r="M12" s="88">
        <f t="shared" si="0"/>
        <v>0.98787654742307407</v>
      </c>
      <c r="N12" s="81">
        <f>A12-A11</f>
        <v>2</v>
      </c>
    </row>
    <row r="13" spans="1:14" x14ac:dyDescent="0.25">
      <c r="A13" s="75">
        <v>6</v>
      </c>
      <c r="B13" s="79">
        <f>Assumptions!B49</f>
        <v>166.33179044813807</v>
      </c>
      <c r="C13" s="80">
        <f>Assumptions!C49</f>
        <v>176.37540453074436</v>
      </c>
      <c r="D13" s="80">
        <f>Assumptions!D49</f>
        <v>187.4764274489261</v>
      </c>
      <c r="E13" s="80">
        <f>Assumptions!E49</f>
        <v>196.57894736842098</v>
      </c>
      <c r="F13" s="80">
        <f>Assumptions!F49</f>
        <v>205.47161172161171</v>
      </c>
      <c r="G13" s="80">
        <f>Assumptions!G49</f>
        <v>222.04081632653055</v>
      </c>
      <c r="H13" s="80">
        <f>Assumptions!H49</f>
        <v>238.20085470085471</v>
      </c>
      <c r="I13" s="80">
        <f>Assumptions!I49</f>
        <v>258.43170731707312</v>
      </c>
      <c r="J13" s="81">
        <f>Assumptions!J49</f>
        <v>285.47685185185185</v>
      </c>
      <c r="K13" s="2"/>
      <c r="L13" s="2"/>
      <c r="M13" s="88">
        <f t="shared" si="0"/>
        <v>0.97590007294853309</v>
      </c>
      <c r="N13" s="81">
        <f t="shared" ref="N13:N24" si="1">A13-A12</f>
        <v>3</v>
      </c>
    </row>
    <row r="14" spans="1:14" x14ac:dyDescent="0.25">
      <c r="A14" s="75">
        <v>12</v>
      </c>
      <c r="B14" s="79">
        <f>Assumptions!B50</f>
        <v>79.043141443730562</v>
      </c>
      <c r="C14" s="80">
        <f>Assumptions!C50</f>
        <v>87.04452834711735</v>
      </c>
      <c r="D14" s="80">
        <f>Assumptions!D50</f>
        <v>97.52214161792763</v>
      </c>
      <c r="E14" s="80">
        <f>Assumptions!E50</f>
        <v>103.99660441426143</v>
      </c>
      <c r="F14" s="80">
        <f>Assumptions!F50</f>
        <v>114.34941869724476</v>
      </c>
      <c r="G14" s="80">
        <f>Assumptions!G50</f>
        <v>131.25477287689264</v>
      </c>
      <c r="H14" s="80">
        <f>Assumptions!H50</f>
        <v>151.0736964377904</v>
      </c>
      <c r="I14" s="80">
        <f>Assumptions!I50</f>
        <v>175.33121220972683</v>
      </c>
      <c r="J14" s="81">
        <f>Assumptions!J50</f>
        <v>207.66138739545997</v>
      </c>
      <c r="K14" s="2"/>
      <c r="L14" s="2"/>
      <c r="M14" s="88">
        <f t="shared" si="0"/>
        <v>0.95238095238095233</v>
      </c>
      <c r="N14" s="81">
        <f t="shared" si="1"/>
        <v>6</v>
      </c>
    </row>
    <row r="15" spans="1:14" x14ac:dyDescent="0.25">
      <c r="A15" s="75">
        <v>18</v>
      </c>
      <c r="B15" s="79">
        <f>Assumptions!B51</f>
        <v>51.201079681461295</v>
      </c>
      <c r="C15" s="80">
        <f>Assumptions!C51</f>
        <v>59.288820251527099</v>
      </c>
      <c r="D15" s="80">
        <f>Assumptions!D51</f>
        <v>69.722726536035609</v>
      </c>
      <c r="E15" s="80">
        <f>Assumptions!E51</f>
        <v>78.307890935813276</v>
      </c>
      <c r="F15" s="80">
        <f>Assumptions!F51</f>
        <v>90.261925406852924</v>
      </c>
      <c r="G15" s="80">
        <f>Assumptions!G51</f>
        <v>108.32047116453238</v>
      </c>
      <c r="H15" s="80">
        <f>Assumptions!H51</f>
        <v>129.43151108763252</v>
      </c>
      <c r="I15" s="80">
        <f>Assumptions!I51</f>
        <v>154.03171680054518</v>
      </c>
      <c r="J15" s="81">
        <f>Assumptions!J51</f>
        <v>184.52468487286077</v>
      </c>
      <c r="K15" s="2"/>
      <c r="L15" s="2"/>
      <c r="M15" s="88">
        <f t="shared" si="0"/>
        <v>0.92942864090336497</v>
      </c>
      <c r="N15" s="81">
        <f t="shared" si="1"/>
        <v>6</v>
      </c>
    </row>
    <row r="16" spans="1:14" x14ac:dyDescent="0.25">
      <c r="A16" s="75">
        <v>24</v>
      </c>
      <c r="B16" s="79">
        <f>Assumptions!B52</f>
        <v>39.247520222754375</v>
      </c>
      <c r="C16" s="80">
        <f>Assumptions!C52</f>
        <v>47.814516232699219</v>
      </c>
      <c r="D16" s="80">
        <f>Assumptions!D52</f>
        <v>58.961867372026454</v>
      </c>
      <c r="E16" s="80">
        <f>Assumptions!E52</f>
        <v>68.957695003178856</v>
      </c>
      <c r="F16" s="80">
        <f>Assumptions!F52</f>
        <v>82.056295824411748</v>
      </c>
      <c r="G16" s="80">
        <f>Assumptions!G52</f>
        <v>100.78618061464378</v>
      </c>
      <c r="H16" s="80">
        <f>Assumptions!H52</f>
        <v>122.12436501863452</v>
      </c>
      <c r="I16" s="80">
        <f>Assumptions!I52</f>
        <v>146.02041571225945</v>
      </c>
      <c r="J16" s="81">
        <f>Assumptions!J52</f>
        <v>174.39914259824891</v>
      </c>
      <c r="K16" s="2"/>
      <c r="L16" s="2"/>
      <c r="M16" s="88">
        <f t="shared" si="0"/>
        <v>0.90702947845804982</v>
      </c>
      <c r="N16" s="81">
        <f t="shared" si="1"/>
        <v>6</v>
      </c>
    </row>
    <row r="17" spans="1:14" x14ac:dyDescent="0.25">
      <c r="A17" s="75">
        <v>36</v>
      </c>
      <c r="B17" s="79">
        <f>Assumptions!B53</f>
        <v>26.476980950273528</v>
      </c>
      <c r="C17" s="80">
        <f>Assumptions!C53</f>
        <v>36.089047729161777</v>
      </c>
      <c r="D17" s="80">
        <f>Assumptions!D53</f>
        <v>48.209997439480453</v>
      </c>
      <c r="E17" s="80">
        <f>Assumptions!E53</f>
        <v>59.376847113356661</v>
      </c>
      <c r="F17" s="80">
        <f>Assumptions!F53</f>
        <v>73.08427893797446</v>
      </c>
      <c r="G17" s="80">
        <f>Assumptions!G53</f>
        <v>91.766727669655126</v>
      </c>
      <c r="H17" s="80">
        <f>Assumptions!H53</f>
        <v>112.77398418775994</v>
      </c>
      <c r="I17" s="80">
        <f>Assumptions!I53</f>
        <v>136.02022966651077</v>
      </c>
      <c r="J17" s="81">
        <f>Assumptions!J53</f>
        <v>163.07285141843644</v>
      </c>
      <c r="K17" s="2"/>
      <c r="L17" s="2"/>
      <c r="M17" s="88">
        <f t="shared" si="0"/>
        <v>0.86383759853147601</v>
      </c>
      <c r="N17" s="81">
        <f t="shared" si="1"/>
        <v>12</v>
      </c>
    </row>
    <row r="18" spans="1:14" x14ac:dyDescent="0.25">
      <c r="A18" s="75">
        <v>48</v>
      </c>
      <c r="B18" s="79">
        <f>Assumptions!B54</f>
        <v>17.861778687222987</v>
      </c>
      <c r="C18" s="80">
        <f>Assumptions!C54</f>
        <v>27.23899494578642</v>
      </c>
      <c r="D18" s="80">
        <f>Assumptions!D54</f>
        <v>39.418762612281078</v>
      </c>
      <c r="E18" s="80">
        <f>Assumptions!E54</f>
        <v>51.127143576368169</v>
      </c>
      <c r="F18" s="80">
        <f>Assumptions!F54</f>
        <v>65.093260355223308</v>
      </c>
      <c r="G18" s="80">
        <f>Assumptions!G54</f>
        <v>83.554434306771356</v>
      </c>
      <c r="H18" s="80">
        <f>Assumptions!H54</f>
        <v>104.1395098155928</v>
      </c>
      <c r="I18" s="80">
        <f>Assumptions!I54</f>
        <v>126.70490484692549</v>
      </c>
      <c r="J18" s="81">
        <f>Assumptions!J54</f>
        <v>0</v>
      </c>
      <c r="K18" s="2"/>
      <c r="L18" s="2"/>
      <c r="M18" s="88">
        <f t="shared" si="0"/>
        <v>0.82270247479188197</v>
      </c>
      <c r="N18" s="81">
        <f t="shared" si="1"/>
        <v>12</v>
      </c>
    </row>
    <row r="19" spans="1:14" x14ac:dyDescent="0.25">
      <c r="A19" s="75">
        <v>60</v>
      </c>
      <c r="B19" s="79">
        <f>Assumptions!B55</f>
        <v>12.049830698995814</v>
      </c>
      <c r="C19" s="80">
        <f>Assumptions!C55</f>
        <v>20.559224815927593</v>
      </c>
      <c r="D19" s="80">
        <f>Assumptions!D55</f>
        <v>32.230635312394533</v>
      </c>
      <c r="E19" s="80">
        <f>Assumptions!E55</f>
        <v>44.023637787439142</v>
      </c>
      <c r="F19" s="80">
        <f>Assumptions!F55</f>
        <v>57.975977942792291</v>
      </c>
      <c r="G19" s="80">
        <f>Assumptions!G55</f>
        <v>76.077067033012653</v>
      </c>
      <c r="H19" s="80">
        <f>Assumptions!H55</f>
        <v>96.166128941368285</v>
      </c>
      <c r="I19" s="80">
        <f>Assumptions!I55</f>
        <v>118.02753863619665</v>
      </c>
      <c r="J19" s="81">
        <f>Assumptions!J55</f>
        <v>0</v>
      </c>
      <c r="K19" s="2"/>
      <c r="L19" s="2"/>
      <c r="M19" s="88">
        <f t="shared" si="0"/>
        <v>0.78352616646845896</v>
      </c>
      <c r="N19" s="81">
        <f t="shared" si="1"/>
        <v>12</v>
      </c>
    </row>
    <row r="20" spans="1:14" x14ac:dyDescent="0.25">
      <c r="A20" s="75">
        <v>72</v>
      </c>
      <c r="B20" s="79">
        <f>Assumptions!B56</f>
        <v>8.1290011715533304</v>
      </c>
      <c r="C20" s="80">
        <f>Assumptions!C56</f>
        <v>15.517522796751988</v>
      </c>
      <c r="D20" s="80">
        <f>Assumptions!D56</f>
        <v>26.353284167193181</v>
      </c>
      <c r="E20" s="80">
        <f>Assumptions!E56</f>
        <v>37.907079262989633</v>
      </c>
      <c r="F20" s="80">
        <f>Assumptions!F56</f>
        <v>51.636897584796166</v>
      </c>
      <c r="G20" s="80">
        <f>Assumptions!G56</f>
        <v>69.268856600665856</v>
      </c>
      <c r="H20" s="80">
        <f>Assumptions!H56</f>
        <v>88.803225326716301</v>
      </c>
      <c r="I20" s="80">
        <f>Assumptions!I56</f>
        <v>109.94444053565712</v>
      </c>
      <c r="J20" s="81">
        <f>Assumptions!J56</f>
        <v>0</v>
      </c>
      <c r="K20" s="2"/>
      <c r="L20" s="2"/>
      <c r="M20" s="88">
        <f t="shared" si="0"/>
        <v>0.74621539663662761</v>
      </c>
      <c r="N20" s="81">
        <f t="shared" si="1"/>
        <v>12</v>
      </c>
    </row>
    <row r="21" spans="1:14" x14ac:dyDescent="0.25">
      <c r="A21" s="75">
        <v>84</v>
      </c>
      <c r="B21" s="79">
        <f>Assumptions!B57</f>
        <v>5.4839492518863624</v>
      </c>
      <c r="C21" s="80">
        <f>Assumptions!C57</f>
        <v>11.712188368170899</v>
      </c>
      <c r="D21" s="80">
        <f>Assumptions!D57</f>
        <v>21.547685289646193</v>
      </c>
      <c r="E21" s="80">
        <f>Assumptions!E57</f>
        <v>32.640343471583108</v>
      </c>
      <c r="F21" s="80">
        <f>Assumptions!F57</f>
        <v>45.990930844043092</v>
      </c>
      <c r="G21" s="80">
        <f>Assumptions!G57</f>
        <v>63.069919515712989</v>
      </c>
      <c r="H21" s="80">
        <f>Assumptions!H57</f>
        <v>82.00405813605731</v>
      </c>
      <c r="I21" s="80">
        <f>Assumptions!I57</f>
        <v>102.4149121838212</v>
      </c>
      <c r="J21" s="81">
        <f>Assumptions!J57</f>
        <v>0</v>
      </c>
      <c r="K21" s="2"/>
      <c r="L21" s="2"/>
      <c r="M21" s="88">
        <f t="shared" si="0"/>
        <v>0.71068133013012147</v>
      </c>
      <c r="N21" s="81">
        <f t="shared" si="1"/>
        <v>12</v>
      </c>
    </row>
    <row r="22" spans="1:14" x14ac:dyDescent="0.25">
      <c r="A22" s="75">
        <v>96</v>
      </c>
      <c r="B22" s="79">
        <f>Assumptions!B58</f>
        <v>3.6995565337725695</v>
      </c>
      <c r="C22" s="80">
        <f>Assumptions!C58</f>
        <v>8.8400293119099036</v>
      </c>
      <c r="D22" s="80">
        <f>Assumptions!D58</f>
        <v>17.618401501534244</v>
      </c>
      <c r="E22" s="80">
        <f>Assumptions!E58</f>
        <v>28.10535769721271</v>
      </c>
      <c r="F22" s="80">
        <f>Assumptions!F58</f>
        <v>40.962292833881222</v>
      </c>
      <c r="G22" s="80">
        <f>Assumptions!G58</f>
        <v>57.425731316030948</v>
      </c>
      <c r="H22" s="80">
        <f>Assumptions!H58</f>
        <v>75.72546521864632</v>
      </c>
      <c r="I22" s="80">
        <f>Assumptions!I58</f>
        <v>95.401042440323138</v>
      </c>
      <c r="J22" s="81">
        <f>Assumptions!J58</f>
        <v>0</v>
      </c>
      <c r="K22" s="2"/>
      <c r="L22" s="2"/>
      <c r="M22" s="88">
        <f t="shared" si="0"/>
        <v>0.67683936202868722</v>
      </c>
      <c r="N22" s="81">
        <f t="shared" si="1"/>
        <v>12</v>
      </c>
    </row>
    <row r="23" spans="1:14" x14ac:dyDescent="0.25">
      <c r="A23" s="75">
        <v>108</v>
      </c>
      <c r="B23" s="79">
        <f>Assumptions!B59</f>
        <v>2.4957777539373414</v>
      </c>
      <c r="C23" s="80">
        <f>Assumptions!C59</f>
        <v>6.6722046964166459</v>
      </c>
      <c r="D23" s="80">
        <f>Assumptions!D59</f>
        <v>14.405634168901532</v>
      </c>
      <c r="E23" s="80">
        <f>Assumptions!E59</f>
        <v>24.20045401715749</v>
      </c>
      <c r="F23" s="80">
        <f>Assumptions!F59</f>
        <v>36.483484970080042</v>
      </c>
      <c r="G23" s="80">
        <f>Assumptions!G59</f>
        <v>52.2866469864354</v>
      </c>
      <c r="H23" s="80">
        <f>Assumptions!H59</f>
        <v>69.927589108654274</v>
      </c>
      <c r="I23" s="80">
        <f>Assumptions!I59</f>
        <v>0</v>
      </c>
      <c r="J23" s="81">
        <f>Assumptions!J59</f>
        <v>0</v>
      </c>
      <c r="K23" s="2"/>
      <c r="L23" s="2"/>
      <c r="M23" s="88">
        <f t="shared" si="0"/>
        <v>0.64460891621779726</v>
      </c>
      <c r="N23" s="81">
        <f t="shared" si="1"/>
        <v>12</v>
      </c>
    </row>
    <row r="24" spans="1:14" x14ac:dyDescent="0.25">
      <c r="A24" s="82">
        <v>120</v>
      </c>
      <c r="B24" s="83">
        <f>Assumptions!B60</f>
        <v>1.6836900693869603</v>
      </c>
      <c r="C24" s="84">
        <f>Assumptions!C60</f>
        <v>5.0359918434779587</v>
      </c>
      <c r="D24" s="84">
        <f>Assumptions!D60</f>
        <v>11.77872440869008</v>
      </c>
      <c r="E24" s="84">
        <f>Assumptions!E60</f>
        <v>20.838090051941801</v>
      </c>
      <c r="F24" s="84">
        <f>Assumptions!F60</f>
        <v>32.494388948391745</v>
      </c>
      <c r="G24" s="84">
        <f>Assumptions!G60</f>
        <v>47.607464292247009</v>
      </c>
      <c r="H24" s="84">
        <f>Assumptions!H60</f>
        <v>64.573624003893528</v>
      </c>
      <c r="I24" s="84">
        <f>Assumptions!I60</f>
        <v>0</v>
      </c>
      <c r="J24" s="85">
        <f>Assumptions!J60</f>
        <v>0</v>
      </c>
      <c r="K24" s="2"/>
      <c r="L24" s="2"/>
      <c r="M24" s="89">
        <f t="shared" si="0"/>
        <v>0.61391325354075932</v>
      </c>
      <c r="N24" s="85">
        <f t="shared" si="1"/>
        <v>12</v>
      </c>
    </row>
    <row r="25" spans="1:14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2"/>
      <c r="L25" s="2"/>
      <c r="M25" s="2"/>
      <c r="N25" s="2"/>
    </row>
    <row r="26" spans="1:14" x14ac:dyDescent="0.25">
      <c r="A26" s="171" t="s">
        <v>91</v>
      </c>
      <c r="B26" s="61">
        <f t="shared" ref="B26:J26" si="2">0.5*SUMPRODUCT($M11:$M24,$N11:$N24,B11:B24)/1000+0.5*SUMPRODUCT($M11:$M24,$N12:$N25,B11:B24)/1000</f>
        <v>4.4932529931447309</v>
      </c>
      <c r="C26" s="61">
        <f>0.5*SUMPRODUCT($M11:$M24,$N11:$N24,C11:C24)/1000+0.5*SUMPRODUCT($M11:$M24,$N12:$N25,C11:C24)/1000</f>
        <v>5.2250172587731205</v>
      </c>
      <c r="D26" s="61">
        <f t="shared" si="2"/>
        <v>6.2185345664047977</v>
      </c>
      <c r="E26" s="61">
        <f t="shared" si="2"/>
        <v>7.1761795221184306</v>
      </c>
      <c r="F26" s="61">
        <f t="shared" si="2"/>
        <v>8.3619869624860641</v>
      </c>
      <c r="G26" s="61">
        <f t="shared" si="2"/>
        <v>9.9726959865642328</v>
      </c>
      <c r="H26" s="61">
        <f t="shared" si="2"/>
        <v>11.757970525912603</v>
      </c>
      <c r="I26" s="61">
        <f t="shared" si="2"/>
        <v>12.749668539762396</v>
      </c>
      <c r="J26" s="62">
        <f t="shared" si="2"/>
        <v>8.7617327688103188</v>
      </c>
      <c r="K26" s="2"/>
      <c r="L26" s="2"/>
      <c r="M26" s="2"/>
      <c r="N26" s="2"/>
    </row>
    <row r="27" spans="1:14" x14ac:dyDescent="0.25">
      <c r="A27" s="172"/>
      <c r="B27" s="63"/>
      <c r="C27" s="64"/>
      <c r="D27" s="64"/>
      <c r="E27" s="64"/>
      <c r="F27" s="64"/>
      <c r="G27" s="64"/>
      <c r="H27" s="64"/>
      <c r="I27" s="64"/>
      <c r="J27" s="65"/>
      <c r="K27" s="2"/>
      <c r="L27" s="2"/>
      <c r="M27" s="2"/>
      <c r="N27" s="2"/>
    </row>
    <row r="28" spans="1:14" x14ac:dyDescent="0.25">
      <c r="A28" s="2" t="s">
        <v>79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70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1" spans="1:14" x14ac:dyDescent="0.25">
      <c r="A31" s="2" t="s">
        <v>80</v>
      </c>
      <c r="B31" s="2"/>
      <c r="C31" s="2"/>
    </row>
    <row r="32" spans="1:14" ht="27" x14ac:dyDescent="0.25">
      <c r="A32" s="66" t="s">
        <v>78</v>
      </c>
      <c r="B32" s="67" t="s">
        <v>14</v>
      </c>
      <c r="C32" s="68" t="s">
        <v>52</v>
      </c>
    </row>
    <row r="33" spans="1:3" x14ac:dyDescent="0.25">
      <c r="A33" s="69">
        <v>1</v>
      </c>
      <c r="B33" s="70">
        <f t="shared" ref="B33:B42" si="3">Age+A33</f>
        <v>32</v>
      </c>
      <c r="C33" s="71">
        <f>D$26*(37-B33)/5 + E$26*(B33-32)/5</f>
        <v>6.2185345664047977</v>
      </c>
    </row>
    <row r="34" spans="1:3" x14ac:dyDescent="0.25">
      <c r="A34" s="69">
        <f>1+A33</f>
        <v>2</v>
      </c>
      <c r="B34" s="70">
        <f t="shared" si="3"/>
        <v>33</v>
      </c>
      <c r="C34" s="71">
        <f t="shared" ref="C34:C38" si="4">D$26*(37-B34)/5 + E$26*(B34-32)/5</f>
        <v>6.4100635575475238</v>
      </c>
    </row>
    <row r="35" spans="1:3" x14ac:dyDescent="0.25">
      <c r="A35" s="69">
        <f t="shared" ref="A35:A42" si="5">1+A34</f>
        <v>3</v>
      </c>
      <c r="B35" s="70">
        <f t="shared" si="3"/>
        <v>34</v>
      </c>
      <c r="C35" s="71">
        <f t="shared" si="4"/>
        <v>6.6015925486902507</v>
      </c>
    </row>
    <row r="36" spans="1:3" x14ac:dyDescent="0.25">
      <c r="A36" s="69">
        <f t="shared" si="5"/>
        <v>4</v>
      </c>
      <c r="B36" s="70">
        <f t="shared" si="3"/>
        <v>35</v>
      </c>
      <c r="C36" s="71">
        <f t="shared" si="4"/>
        <v>6.7931215398329776</v>
      </c>
    </row>
    <row r="37" spans="1:3" x14ac:dyDescent="0.25">
      <c r="A37" s="69">
        <f t="shared" si="5"/>
        <v>5</v>
      </c>
      <c r="B37" s="70">
        <f t="shared" si="3"/>
        <v>36</v>
      </c>
      <c r="C37" s="71">
        <f t="shared" si="4"/>
        <v>6.9846505309757045</v>
      </c>
    </row>
    <row r="38" spans="1:3" x14ac:dyDescent="0.25">
      <c r="A38" s="69">
        <f t="shared" si="5"/>
        <v>6</v>
      </c>
      <c r="B38" s="70">
        <f t="shared" si="3"/>
        <v>37</v>
      </c>
      <c r="C38" s="71">
        <f t="shared" si="4"/>
        <v>7.1761795221184297</v>
      </c>
    </row>
    <row r="39" spans="1:3" x14ac:dyDescent="0.25">
      <c r="A39" s="69">
        <f t="shared" si="5"/>
        <v>7</v>
      </c>
      <c r="B39" s="70">
        <f t="shared" si="3"/>
        <v>38</v>
      </c>
      <c r="C39" s="71">
        <f>E$26*(42-B39)/5 + F$26*(B39-37)/5</f>
        <v>7.4133410101919575</v>
      </c>
    </row>
    <row r="40" spans="1:3" x14ac:dyDescent="0.25">
      <c r="A40" s="69">
        <f t="shared" si="5"/>
        <v>8</v>
      </c>
      <c r="B40" s="70">
        <f t="shared" si="3"/>
        <v>39</v>
      </c>
      <c r="C40" s="71">
        <f t="shared" ref="C40:C42" si="6">E$26*(42-B40)/5 + F$26*(B40-37)/5</f>
        <v>7.6505024982654835</v>
      </c>
    </row>
    <row r="41" spans="1:3" x14ac:dyDescent="0.25">
      <c r="A41" s="69">
        <f t="shared" si="5"/>
        <v>9</v>
      </c>
      <c r="B41" s="70">
        <f t="shared" si="3"/>
        <v>40</v>
      </c>
      <c r="C41" s="71">
        <f t="shared" si="6"/>
        <v>7.8876639863390112</v>
      </c>
    </row>
    <row r="42" spans="1:3" x14ac:dyDescent="0.25">
      <c r="A42" s="72">
        <f t="shared" si="5"/>
        <v>10</v>
      </c>
      <c r="B42" s="73">
        <f t="shared" si="3"/>
        <v>41</v>
      </c>
      <c r="C42" s="74">
        <f t="shared" si="6"/>
        <v>8.1248254744125372</v>
      </c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</sheetData>
  <mergeCells count="6">
    <mergeCell ref="M8:M10"/>
    <mergeCell ref="N8:N10"/>
    <mergeCell ref="A9:A10"/>
    <mergeCell ref="B9:J9"/>
    <mergeCell ref="A26:A27"/>
    <mergeCell ref="A8:J8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6"/>
  <sheetViews>
    <sheetView workbookViewId="0">
      <selection activeCell="J30" sqref="J30"/>
    </sheetView>
  </sheetViews>
  <sheetFormatPr defaultRowHeight="13.5" x14ac:dyDescent="0.25"/>
  <cols>
    <col min="1" max="2" width="9.140625" style="2"/>
    <col min="3" max="3" width="11.140625" style="2" customWidth="1"/>
    <col min="4" max="4" width="12.7109375" style="2" customWidth="1"/>
    <col min="5" max="6" width="9.140625" style="2"/>
    <col min="7" max="7" width="11.85546875" style="2" customWidth="1"/>
    <col min="8" max="8" width="13.42578125" style="2" customWidth="1"/>
    <col min="9" max="9" width="11.85546875" style="2" customWidth="1"/>
    <col min="10" max="10" width="11.140625" style="2" customWidth="1"/>
    <col min="11" max="11" width="10.85546875" style="2" customWidth="1"/>
    <col min="12" max="16384" width="9.140625" style="2"/>
  </cols>
  <sheetData>
    <row r="2" spans="2:24" x14ac:dyDescent="0.25">
      <c r="K2" s="156" t="s">
        <v>126</v>
      </c>
    </row>
    <row r="3" spans="2:24" x14ac:dyDescent="0.25">
      <c r="B3" s="180" t="s">
        <v>31</v>
      </c>
      <c r="C3" s="181"/>
      <c r="D3" s="181"/>
      <c r="E3" s="181"/>
      <c r="F3" s="181"/>
      <c r="G3" s="181"/>
      <c r="H3" s="181"/>
      <c r="I3" s="181"/>
      <c r="K3" s="175" t="s">
        <v>45</v>
      </c>
      <c r="L3" s="177" t="s">
        <v>113</v>
      </c>
      <c r="M3" s="178" t="s">
        <v>30</v>
      </c>
      <c r="N3" s="177" t="s">
        <v>110</v>
      </c>
      <c r="O3" s="177" t="s">
        <v>111</v>
      </c>
      <c r="P3" s="177" t="s">
        <v>112</v>
      </c>
      <c r="Q3" s="177" t="s">
        <v>114</v>
      </c>
      <c r="R3" s="177" t="s">
        <v>115</v>
      </c>
      <c r="S3" s="177" t="s">
        <v>86</v>
      </c>
      <c r="T3" s="177" t="s">
        <v>30</v>
      </c>
      <c r="U3" s="177" t="s">
        <v>116</v>
      </c>
    </row>
    <row r="4" spans="2:24" ht="42.75" customHeight="1" x14ac:dyDescent="0.25">
      <c r="B4" s="19" t="s">
        <v>17</v>
      </c>
      <c r="C4" s="19" t="s">
        <v>32</v>
      </c>
      <c r="D4" s="19" t="s">
        <v>87</v>
      </c>
      <c r="E4" s="19" t="s">
        <v>33</v>
      </c>
      <c r="F4" s="19" t="s">
        <v>34</v>
      </c>
      <c r="G4" s="19" t="s">
        <v>35</v>
      </c>
      <c r="H4" s="117" t="s">
        <v>86</v>
      </c>
      <c r="I4" s="117" t="s">
        <v>29</v>
      </c>
      <c r="K4" s="176"/>
      <c r="L4" s="164"/>
      <c r="M4" s="179"/>
      <c r="N4" s="164"/>
      <c r="O4" s="164"/>
      <c r="P4" s="164"/>
      <c r="Q4" s="164"/>
      <c r="R4" s="164"/>
      <c r="S4" s="164"/>
      <c r="T4" s="164"/>
      <c r="U4" s="164"/>
      <c r="W4" s="155" t="s">
        <v>127</v>
      </c>
      <c r="X4" s="155" t="s">
        <v>128</v>
      </c>
    </row>
    <row r="5" spans="2:24" ht="15" x14ac:dyDescent="0.25">
      <c r="B5" s="21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118"/>
      <c r="I5" s="118">
        <f>'Liability calculation'!B6</f>
        <v>-186.2300460630031</v>
      </c>
      <c r="K5" s="10">
        <v>0</v>
      </c>
      <c r="L5" s="20">
        <f>NPV(Discount_rate,D6:$D$16)*(1+Discount_rate)
+NPV(Discount_rate,E6:$E$16)*(1+Discount_rate)
+NPV(Discount_rate,F6:$F$16)
-NPV(Discount_rate,C6:$C$16)*(1+Discount_rate)</f>
        <v>-186.2300460630031</v>
      </c>
      <c r="M5" s="20">
        <f>-L5</f>
        <v>186.2300460630031</v>
      </c>
      <c r="N5" s="114">
        <f>NPV(Discount_rate,C6:$C$16)*(1+Discount_rate)</f>
        <v>4292.1201617182087</v>
      </c>
      <c r="O5" s="115">
        <f>M5/N5</f>
        <v>4.3388823948594217E-2</v>
      </c>
      <c r="P5" s="114">
        <f>$O$5*N5</f>
        <v>186.2300460630031</v>
      </c>
      <c r="Q5" s="11">
        <f>P5+L5</f>
        <v>0</v>
      </c>
      <c r="R5" s="7"/>
      <c r="S5" s="7"/>
      <c r="T5" s="7"/>
      <c r="U5" s="7"/>
    </row>
    <row r="6" spans="2:24" ht="15" x14ac:dyDescent="0.25">
      <c r="B6" s="7">
        <f>1</f>
        <v>1</v>
      </c>
      <c r="C6" s="20">
        <f>VLOOKUP(B6,Decrement_assumptions,3)*Sum_Insured*(1+claim_inflation)^('Cash flows'!B6-1)*VLOOKUP(B6,Decrement,4)</f>
        <v>480</v>
      </c>
      <c r="D6" s="20">
        <f>Initial_comm_rate*C6</f>
        <v>480</v>
      </c>
      <c r="E6" s="20">
        <f>Initial_expense</f>
        <v>380</v>
      </c>
      <c r="F6" s="20">
        <f>Sum_Insured*((1+claim_inflation)^B6) *'Continuation factors'!C33*Decrements!E5</f>
        <v>307.44434896305319</v>
      </c>
      <c r="G6" s="20">
        <f>C6-D6-E6-F6</f>
        <v>-687.44434896305324</v>
      </c>
      <c r="H6" s="118">
        <f t="shared" ref="H6:H15" si="0">(C6+I5-D6-E6)*Investment_rate</f>
        <v>-28.311502303150156</v>
      </c>
      <c r="I6" s="118">
        <f>'Liability calculation'!B7</f>
        <v>-901.98589732920652</v>
      </c>
      <c r="K6" s="10">
        <f>1+K5</f>
        <v>1</v>
      </c>
      <c r="L6" s="20">
        <f>NPV(Discount_rate,D7:$D$16)*(1+Discount_rate)
+NPV(Discount_rate,E7:$E$16)*(1+Discount_rate)
+NPV(Discount_rate,F7:$F$16)
-NPV(Discount_rate,C7:$C$16)*(1+Discount_rate)</f>
        <v>-901.98589732920709</v>
      </c>
      <c r="N6" s="114">
        <f>NPV(Discount_rate,C7:$C$16)*(1+Discount_rate)</f>
        <v>4002.7261698041198</v>
      </c>
      <c r="P6" s="114">
        <f t="shared" ref="P6:P15" si="1">$O$5*N6</f>
        <v>173.67358109606178</v>
      </c>
      <c r="Q6" s="11">
        <f t="shared" ref="Q6:Q15" si="2">P6+L6</f>
        <v>-728.31231623314534</v>
      </c>
      <c r="R6" s="11">
        <f>Q6-Q5</f>
        <v>-728.31231623314534</v>
      </c>
      <c r="S6" s="20">
        <f t="shared" ref="S6:S15" si="3">(Q5+C6-D6-E6)*Investment_rate</f>
        <v>-19</v>
      </c>
      <c r="T6" s="189">
        <f>G6+S6-R6</f>
        <v>21.867967270092095</v>
      </c>
      <c r="U6" s="116">
        <f t="shared" ref="U6:U15" si="4">T6/C6/(1+Discount_rate)</f>
        <v>4.3388823948595424E-2</v>
      </c>
      <c r="W6" s="188">
        <f>U6*C6*(1+Discount_rate)</f>
        <v>21.867967270092095</v>
      </c>
      <c r="X6" s="190">
        <f>P5*(1+Investment_rate)-P6</f>
        <v>21.867967270091469</v>
      </c>
    </row>
    <row r="7" spans="2:24" ht="15" x14ac:dyDescent="0.25">
      <c r="B7" s="7">
        <f>1+B6</f>
        <v>2</v>
      </c>
      <c r="C7" s="20">
        <f>VLOOKUP(B7,Decrement_assumptions,3)*Sum_Insured*(1+claim_inflation)^('Cash flows'!B7-1)*VLOOKUP(B7,Decrement,4)</f>
        <v>426.93582399999997</v>
      </c>
      <c r="D7" s="20">
        <f t="shared" ref="D7:D15" si="5">Renewal_comm_rate*C7</f>
        <v>42.693582399999997</v>
      </c>
      <c r="E7" s="20">
        <f t="shared" ref="E7:E15" si="6">Renewal_expense*(1+Inflation)^(B7-1)*VLOOKUP(B6,Decrement,7)</f>
        <v>43.564880000000002</v>
      </c>
      <c r="F7" s="20">
        <f>Sum_Insured*((1+claim_inflation)^B7) *'Continuation factors'!C34*Decrements!E6</f>
        <v>287.63125916723891</v>
      </c>
      <c r="G7" s="20">
        <f t="shared" ref="G7:G15" si="7">C7-D7-E7-F7</f>
        <v>53.046102432761018</v>
      </c>
      <c r="H7" s="118">
        <f t="shared" si="0"/>
        <v>-28.065426786460332</v>
      </c>
      <c r="I7" s="118">
        <f>'Liability calculation'!B8</f>
        <v>-877.00522168290581</v>
      </c>
      <c r="J7" s="9"/>
      <c r="K7" s="10">
        <f t="shared" ref="K7:K15" si="8">1+K6</f>
        <v>2</v>
      </c>
      <c r="L7" s="20">
        <f>NPV(Discount_rate,D8:$D$16)*(1+Discount_rate)
+NPV(Discount_rate,E8:$E$16)*(1+Discount_rate)
+NPV(Discount_rate,F8:$F$16)
-NPV(Discount_rate,C8:$C$16)*(1+Discount_rate)</f>
        <v>-877.00522168290627</v>
      </c>
      <c r="N7" s="114">
        <f>NPV(Discount_rate,C8:$C$16)*(1+Discount_rate)</f>
        <v>3754.5798630943264</v>
      </c>
      <c r="P7" s="114">
        <f t="shared" si="1"/>
        <v>162.90680468073671</v>
      </c>
      <c r="Q7" s="11">
        <f t="shared" si="2"/>
        <v>-714.09841700216953</v>
      </c>
      <c r="R7" s="11">
        <f t="shared" ref="R7:R15" si="9">Q7-Q6</f>
        <v>14.213899230975812</v>
      </c>
      <c r="S7" s="20">
        <f t="shared" si="3"/>
        <v>-19.381747731657271</v>
      </c>
      <c r="T7" s="189">
        <f t="shared" ref="T7:T15" si="10">G7+S7-R7</f>
        <v>19.450455470127935</v>
      </c>
      <c r="U7" s="116">
        <f t="shared" si="4"/>
        <v>4.3388823948593613E-2</v>
      </c>
      <c r="W7" s="188">
        <f>U7*C7*(1+Discount_rate)</f>
        <v>19.450455470127935</v>
      </c>
      <c r="X7" s="190">
        <f>P6*(1+Investment_rate)-P7</f>
        <v>19.450455470128162</v>
      </c>
    </row>
    <row r="8" spans="2:24" ht="15" x14ac:dyDescent="0.25">
      <c r="B8" s="7">
        <f t="shared" ref="B8:B15" si="11">1+B7</f>
        <v>3</v>
      </c>
      <c r="C8" s="20">
        <f>VLOOKUP(B8,Decrement_assumptions,3)*Sum_Insured*(1+claim_inflation)^('Cash flows'!B8-1)*VLOOKUP(B8,Decrement,4)</f>
        <v>417.90029362848003</v>
      </c>
      <c r="D8" s="20">
        <f t="shared" si="5"/>
        <v>41.790029362848003</v>
      </c>
      <c r="E8" s="20">
        <f t="shared" si="6"/>
        <v>40.182720541199998</v>
      </c>
      <c r="F8" s="20">
        <f>Sum_Insured*((1+claim_inflation)^B8) *'Continuation factors'!C35*Decrements!E7</f>
        <v>284.15716884486386</v>
      </c>
      <c r="G8" s="20">
        <f t="shared" si="7"/>
        <v>51.77037487956818</v>
      </c>
      <c r="H8" s="118">
        <f t="shared" si="0"/>
        <v>-27.053883897923686</v>
      </c>
      <c r="I8" s="118">
        <f>'Liability calculation'!B9</f>
        <v>-852.28873070126133</v>
      </c>
      <c r="J8" s="9"/>
      <c r="K8" s="10">
        <f t="shared" si="8"/>
        <v>3</v>
      </c>
      <c r="L8" s="20">
        <f>NPV(Discount_rate,D9:$D$16)*(1+Discount_rate)
+NPV(Discount_rate,E9:$E$16)*(1+Discount_rate)
+NPV(Discount_rate,F9:$F$16)
-NPV(Discount_rate,C9:$C$16)*(1+Discount_rate)</f>
        <v>-852.28873070126156</v>
      </c>
      <c r="N8" s="114">
        <f>NPV(Discount_rate,C9:$C$16)*(1+Discount_rate)</f>
        <v>3503.5135479391383</v>
      </c>
      <c r="P8" s="114">
        <f t="shared" si="1"/>
        <v>152.01333253304597</v>
      </c>
      <c r="Q8" s="11">
        <f t="shared" si="2"/>
        <v>-700.27539816821559</v>
      </c>
      <c r="R8" s="11">
        <f t="shared" si="9"/>
        <v>13.823018833953938</v>
      </c>
      <c r="S8" s="20">
        <f t="shared" si="3"/>
        <v>-18.908543663886874</v>
      </c>
      <c r="T8" s="189">
        <f t="shared" si="10"/>
        <v>19.038812381727368</v>
      </c>
      <c r="U8" s="116">
        <f t="shared" si="4"/>
        <v>4.3388823948593808E-2</v>
      </c>
      <c r="W8" s="188">
        <f>U8*C8*(1+Discount_rate)</f>
        <v>19.038812381727368</v>
      </c>
      <c r="X8" s="190">
        <f>P7*(1+Investment_rate)-P8</f>
        <v>19.038812381727581</v>
      </c>
    </row>
    <row r="9" spans="2:24" ht="15" x14ac:dyDescent="0.25">
      <c r="B9" s="7">
        <f t="shared" si="11"/>
        <v>4</v>
      </c>
      <c r="C9" s="20">
        <f>VLOOKUP(B9,Decrement_assumptions,3)*Sum_Insured*(1+claim_inflation)^('Cash flows'!B9-1)*VLOOKUP(B9,Decrement,4)</f>
        <v>438.08054450615253</v>
      </c>
      <c r="D9" s="20">
        <f t="shared" si="5"/>
        <v>43.808054450615259</v>
      </c>
      <c r="E9" s="20">
        <f t="shared" si="6"/>
        <v>39.114334330906473</v>
      </c>
      <c r="F9" s="20">
        <f>Sum_Insured*((1+claim_inflation)^B9) *'Continuation factors'!C36*Decrements!E8</f>
        <v>301.04764785842394</v>
      </c>
      <c r="G9" s="20">
        <f t="shared" si="7"/>
        <v>54.110507866206831</v>
      </c>
      <c r="H9" s="118">
        <f t="shared" si="0"/>
        <v>-24.856528748831529</v>
      </c>
      <c r="I9" s="118">
        <f>'Liability calculation'!B10</f>
        <v>-823.03475158388608</v>
      </c>
      <c r="J9" s="9"/>
      <c r="K9" s="10">
        <f t="shared" si="8"/>
        <v>4</v>
      </c>
      <c r="L9" s="20">
        <f>NPV(Discount_rate,D10:$D$16)*(1+Discount_rate)
+NPV(Discount_rate,E10:$E$16)*(1+Discount_rate)
+NPV(Discount_rate,F10:$F$16)
-NPV(Discount_rate,C10:$C$16)*(1+Discount_rate)</f>
        <v>-823.03475158388619</v>
      </c>
      <c r="N9" s="114">
        <f>NPV(Discount_rate,C10:$C$16)*(1+Discount_rate)</f>
        <v>3218.704653604635</v>
      </c>
      <c r="P9" s="114">
        <f t="shared" si="1"/>
        <v>139.65580955777244</v>
      </c>
      <c r="Q9" s="11">
        <f t="shared" si="2"/>
        <v>-683.37894202611369</v>
      </c>
      <c r="R9" s="11">
        <f t="shared" si="9"/>
        <v>16.896456142101897</v>
      </c>
      <c r="S9" s="20">
        <f t="shared" si="3"/>
        <v>-17.255862122179241</v>
      </c>
      <c r="T9" s="189">
        <f t="shared" si="10"/>
        <v>19.958189601925696</v>
      </c>
      <c r="U9" s="116">
        <f t="shared" si="4"/>
        <v>4.3388823948593919E-2</v>
      </c>
      <c r="W9" s="188">
        <f>U9*C9*(1+Discount_rate)</f>
        <v>19.958189601925699</v>
      </c>
      <c r="X9" s="190">
        <f>P8*(1+Investment_rate)-P9</f>
        <v>19.958189601925824</v>
      </c>
    </row>
    <row r="10" spans="2:24" ht="15" x14ac:dyDescent="0.25">
      <c r="B10" s="7">
        <f t="shared" si="11"/>
        <v>5</v>
      </c>
      <c r="C10" s="20">
        <f>VLOOKUP(B10,Decrement_assumptions,3)*Sum_Insured*(1+claim_inflation)^('Cash flows'!B10-1)*VLOOKUP(B10,Decrement,4)</f>
        <v>464.36704540288082</v>
      </c>
      <c r="D10" s="20">
        <f t="shared" si="5"/>
        <v>46.436704540288083</v>
      </c>
      <c r="E10" s="20">
        <f t="shared" si="6"/>
        <v>38.062872574006619</v>
      </c>
      <c r="F10" s="20">
        <f>Sum_Insured*((1+claim_inflation)^B10) *'Continuation factors'!C37*Decrements!E9</f>
        <v>317.64458527309569</v>
      </c>
      <c r="G10" s="20">
        <f t="shared" si="7"/>
        <v>62.222883015490424</v>
      </c>
      <c r="H10" s="118">
        <f t="shared" si="0"/>
        <v>-22.158364164765</v>
      </c>
      <c r="I10" s="118">
        <f>'Liability calculation'!B11</f>
        <v>-782.97023273316074</v>
      </c>
      <c r="J10" s="9"/>
      <c r="K10" s="10">
        <f t="shared" si="8"/>
        <v>5</v>
      </c>
      <c r="L10" s="20">
        <f>NPV(Discount_rate,D11:$D$16)*(1+Discount_rate)
+NPV(Discount_rate,E11:$E$16)*(1+Discount_rate)
+NPV(Discount_rate,F11:$F$16)
-NPV(Discount_rate,C11:$C$16)*(1+Discount_rate)</f>
        <v>-782.97023273316063</v>
      </c>
      <c r="N10" s="114">
        <f>NPV(Discount_rate,C11:$C$16)*(1+Discount_rate)</f>
        <v>2892.0544886118423</v>
      </c>
      <c r="P10" s="114">
        <f t="shared" si="1"/>
        <v>125.4828430561209</v>
      </c>
      <c r="Q10" s="11">
        <f t="shared" si="2"/>
        <v>-657.48738967703969</v>
      </c>
      <c r="R10" s="11">
        <f t="shared" si="9"/>
        <v>25.891552349074004</v>
      </c>
      <c r="S10" s="20">
        <f t="shared" si="3"/>
        <v>-15.17557368687638</v>
      </c>
      <c r="T10" s="189">
        <f t="shared" si="10"/>
        <v>21.155756979540044</v>
      </c>
      <c r="U10" s="116">
        <f t="shared" si="4"/>
        <v>4.3388823948593946E-2</v>
      </c>
      <c r="W10" s="188">
        <f>U10*C10*(1+Discount_rate)</f>
        <v>21.155756979540048</v>
      </c>
      <c r="X10" s="190">
        <f>P9*(1+Investment_rate)-P10</f>
        <v>21.155756979540186</v>
      </c>
    </row>
    <row r="11" spans="2:24" ht="15" x14ac:dyDescent="0.25">
      <c r="B11" s="7">
        <f t="shared" si="11"/>
        <v>6</v>
      </c>
      <c r="C11" s="20">
        <f>VLOOKUP(B11,Decrement_assumptions,3)*Sum_Insured*(1+claim_inflation)^('Cash flows'!B11-1)*VLOOKUP(B11,Decrement,4)</f>
        <v>496.18193474547928</v>
      </c>
      <c r="D11" s="20">
        <f t="shared" si="5"/>
        <v>49.61819347454793</v>
      </c>
      <c r="E11" s="20">
        <f t="shared" si="6"/>
        <v>37.028502592946218</v>
      </c>
      <c r="F11" s="20">
        <f>Sum_Insured*((1+claim_inflation)^B11) *'Continuation factors'!C38*Decrements!E10</f>
        <v>339.38164810431044</v>
      </c>
      <c r="G11" s="20">
        <f t="shared" si="7"/>
        <v>70.153590573674705</v>
      </c>
      <c r="H11" s="118">
        <f t="shared" si="0"/>
        <v>-18.671749702758781</v>
      </c>
      <c r="I11" s="118">
        <f>'Liability calculation'!B12</f>
        <v>-731.48839186224495</v>
      </c>
      <c r="J11" s="9"/>
      <c r="K11" s="10">
        <f t="shared" si="8"/>
        <v>6</v>
      </c>
      <c r="L11" s="20">
        <f>NPV(Discount_rate,D12:$D$16)*(1+Discount_rate)
+NPV(Discount_rate,E12:$E$16)*(1+Discount_rate)
+NPV(Discount_rate,F12:$F$16)
-NPV(Discount_rate,C12:$C$16)*(1+Discount_rate)</f>
        <v>-731.48839186224495</v>
      </c>
      <c r="N11" s="114">
        <f>NPV(Discount_rate,C12:$C$16)*(1+Discount_rate)</f>
        <v>2515.6661815596813</v>
      </c>
      <c r="P11" s="114">
        <f t="shared" si="1"/>
        <v>109.15179706512527</v>
      </c>
      <c r="Q11" s="11">
        <f t="shared" si="2"/>
        <v>-622.33659479711969</v>
      </c>
      <c r="R11" s="11">
        <f t="shared" si="9"/>
        <v>35.150794879919999</v>
      </c>
      <c r="S11" s="20">
        <f t="shared" si="3"/>
        <v>-12.397607549952728</v>
      </c>
      <c r="T11" s="189">
        <f t="shared" si="10"/>
        <v>22.605188143801982</v>
      </c>
      <c r="U11" s="116">
        <f t="shared" si="4"/>
        <v>4.3388823948594779E-2</v>
      </c>
      <c r="W11" s="188">
        <f>U11*C11*(1+Discount_rate)</f>
        <v>22.605188143801982</v>
      </c>
      <c r="X11" s="190">
        <f>P10*(1+Investment_rate)-P11</f>
        <v>22.605188143801684</v>
      </c>
    </row>
    <row r="12" spans="2:24" ht="15" x14ac:dyDescent="0.25">
      <c r="B12" s="7">
        <f t="shared" si="11"/>
        <v>7</v>
      </c>
      <c r="C12" s="20">
        <f>VLOOKUP(B12,Decrement_assumptions,3)*Sum_Insured*(1+claim_inflation)^('Cash flows'!B12-1)*VLOOKUP(B12,Decrement,4)</f>
        <v>554.51933414596567</v>
      </c>
      <c r="D12" s="20">
        <f t="shared" si="5"/>
        <v>55.451933414596567</v>
      </c>
      <c r="E12" s="20">
        <f t="shared" si="6"/>
        <v>36.007748970517248</v>
      </c>
      <c r="F12" s="20">
        <f>Sum_Insured*((1+claim_inflation)^B12) *'Continuation factors'!C39*Decrements!E11</f>
        <v>362.92852700500146</v>
      </c>
      <c r="G12" s="20">
        <f t="shared" si="7"/>
        <v>100.13112475585041</v>
      </c>
      <c r="H12" s="118">
        <f t="shared" si="0"/>
        <v>-13.421437005069656</v>
      </c>
      <c r="I12" s="118">
        <f>'Liability calculation'!B13</f>
        <v>-644.77870411146421</v>
      </c>
      <c r="J12" s="9"/>
      <c r="K12" s="10">
        <f t="shared" si="8"/>
        <v>7</v>
      </c>
      <c r="L12" s="20">
        <f>NPV(Discount_rate,D13:$D$16)*(1+Discount_rate)
+NPV(Discount_rate,E13:$E$16)*(1+Discount_rate)
+NPV(Discount_rate,F13:$F$16)
-NPV(Discount_rate,C13:$C$16)*(1+Discount_rate)</f>
        <v>-644.77870411146478</v>
      </c>
      <c r="N12" s="114">
        <f>NPV(Discount_rate,C13:$C$16)*(1+Discount_rate)</f>
        <v>2059.2041897844019</v>
      </c>
      <c r="P12" s="114">
        <f t="shared" si="1"/>
        <v>89.34644806476301</v>
      </c>
      <c r="Q12" s="11">
        <f t="shared" si="2"/>
        <v>-555.43225604670181</v>
      </c>
      <c r="R12" s="11">
        <f t="shared" si="9"/>
        <v>66.904338750417878</v>
      </c>
      <c r="S12" s="20">
        <f t="shared" si="3"/>
        <v>-7.9638471518133915</v>
      </c>
      <c r="T12" s="189">
        <f t="shared" si="10"/>
        <v>25.262938853619133</v>
      </c>
      <c r="U12" s="116">
        <f t="shared" si="4"/>
        <v>4.338882394859523E-2</v>
      </c>
      <c r="W12" s="188">
        <f>U12*C12*(1+Discount_rate)</f>
        <v>25.262938853619136</v>
      </c>
      <c r="X12" s="190">
        <f>P11*(1+Investment_rate)-P12</f>
        <v>25.262938853618522</v>
      </c>
    </row>
    <row r="13" spans="2:24" ht="15" x14ac:dyDescent="0.25">
      <c r="B13" s="7">
        <f t="shared" si="11"/>
        <v>8</v>
      </c>
      <c r="C13" s="20">
        <f>VLOOKUP(B13,Decrement_assumptions,3)*Sum_Insured*(1+claim_inflation)^('Cash flows'!B13-1)*VLOOKUP(B13,Decrement,4)</f>
        <v>630.01873303244338</v>
      </c>
      <c r="D13" s="20">
        <f t="shared" si="5"/>
        <v>63.001873303244338</v>
      </c>
      <c r="E13" s="20">
        <f t="shared" si="6"/>
        <v>35.001040724024634</v>
      </c>
      <c r="F13" s="20">
        <f>Sum_Insured*((1+claim_inflation)^B13) *'Continuation factors'!C40*Decrements!E12</f>
        <v>386.13234238050308</v>
      </c>
      <c r="G13" s="20">
        <f t="shared" si="7"/>
        <v>145.88347662467135</v>
      </c>
      <c r="H13" s="118">
        <f t="shared" si="0"/>
        <v>-5.63814425531449</v>
      </c>
      <c r="I13" s="118">
        <f>'Liability calculation'!B14</f>
        <v>-504.53337174210742</v>
      </c>
      <c r="J13" s="9"/>
      <c r="K13" s="10">
        <f t="shared" si="8"/>
        <v>8</v>
      </c>
      <c r="L13" s="20">
        <f>NPV(Discount_rate,D14:$D$16)*(1+Discount_rate)
+NPV(Discount_rate,E14:$E$16)*(1+Discount_rate)
+NPV(Discount_rate,F14:$F$16)
-NPV(Discount_rate,C14:$C$16)*(1+Discount_rate)</f>
        <v>-504.53337174210742</v>
      </c>
      <c r="N13" s="114">
        <f>NPV(Discount_rate,C14:$C$16)*(1+Discount_rate)</f>
        <v>1500.6447295895562</v>
      </c>
      <c r="P13" s="114">
        <f t="shared" si="1"/>
        <v>65.111209981547034</v>
      </c>
      <c r="Q13" s="11">
        <f t="shared" si="2"/>
        <v>-439.42216176056036</v>
      </c>
      <c r="R13" s="11">
        <f t="shared" si="9"/>
        <v>116.01009428614145</v>
      </c>
      <c r="S13" s="20">
        <f t="shared" si="3"/>
        <v>-1.1708218520763702</v>
      </c>
      <c r="T13" s="189">
        <f t="shared" si="10"/>
        <v>28.702560486453535</v>
      </c>
      <c r="U13" s="116">
        <f t="shared" si="4"/>
        <v>4.3388823948593329E-2</v>
      </c>
      <c r="W13" s="188">
        <f>U13*C13*(1+Discount_rate)</f>
        <v>28.702560486453532</v>
      </c>
      <c r="X13" s="190">
        <f>P12*(1+Investment_rate)-P13</f>
        <v>28.702560486454132</v>
      </c>
    </row>
    <row r="14" spans="2:24" ht="15" x14ac:dyDescent="0.25">
      <c r="B14" s="7">
        <f t="shared" si="11"/>
        <v>9</v>
      </c>
      <c r="C14" s="20">
        <f>VLOOKUP(B14,Decrement_assumptions,3)*Sum_Insured*(1+claim_inflation)^('Cash flows'!B14-1)*VLOOKUP(B14,Decrement,4)</f>
        <v>714.18435312039674</v>
      </c>
      <c r="D14" s="20">
        <f t="shared" si="5"/>
        <v>71.418435312039676</v>
      </c>
      <c r="E14" s="20">
        <f t="shared" si="6"/>
        <v>34.008778720018896</v>
      </c>
      <c r="F14" s="20">
        <f>Sum_Insured*((1+claim_inflation)^B14) *'Continuation factors'!C41*Decrements!E13</f>
        <v>408.92002428065246</v>
      </c>
      <c r="G14" s="20">
        <f t="shared" si="7"/>
        <v>199.83711480768568</v>
      </c>
      <c r="H14" s="118">
        <f t="shared" si="0"/>
        <v>5.2111883673115384</v>
      </c>
      <c r="I14" s="118">
        <f>'Liability calculation'!B15</f>
        <v>-299.48506856711026</v>
      </c>
      <c r="J14" s="9"/>
      <c r="K14" s="10">
        <f t="shared" si="8"/>
        <v>9</v>
      </c>
      <c r="L14" s="20">
        <f>NPV(Discount_rate,D15:$D$16)*(1+Discount_rate)
+NPV(Discount_rate,E15:$E$16)*(1+Discount_rate)
+NPV(Discount_rate,F15:$F$16)
-NPV(Discount_rate,C15:$C$16)*(1+Discount_rate)</f>
        <v>-299.48506856711026</v>
      </c>
      <c r="N14" s="114">
        <f>NPV(Discount_rate,C15:$C$16)*(1+Discount_rate)</f>
        <v>825.78339529261746</v>
      </c>
      <c r="P14" s="114">
        <f t="shared" si="1"/>
        <v>35.829770358023765</v>
      </c>
      <c r="Q14" s="11">
        <f t="shared" si="2"/>
        <v>-263.65529820908648</v>
      </c>
      <c r="R14" s="11">
        <f t="shared" si="9"/>
        <v>175.76686355147388</v>
      </c>
      <c r="S14" s="20">
        <f t="shared" si="3"/>
        <v>8.4667488663888921</v>
      </c>
      <c r="T14" s="189">
        <f t="shared" si="10"/>
        <v>32.537000122600688</v>
      </c>
      <c r="U14" s="116">
        <f t="shared" si="4"/>
        <v>4.3388823948594307E-2</v>
      </c>
      <c r="W14" s="188">
        <f>U14*C14*(1+Discount_rate)</f>
        <v>32.537000122600681</v>
      </c>
      <c r="X14" s="190">
        <f>P13*(1+Investment_rate)-P14</f>
        <v>32.537000122600631</v>
      </c>
    </row>
    <row r="15" spans="2:24" ht="15" x14ac:dyDescent="0.25">
      <c r="B15" s="7">
        <f t="shared" si="11"/>
        <v>10</v>
      </c>
      <c r="C15" s="20">
        <f>VLOOKUP(B15,Decrement_assumptions,3)*Sum_Insured*(1+claim_inflation)^('Cash flows'!B15-1)*VLOOKUP(B15,Decrement,4)</f>
        <v>825.78339529261746</v>
      </c>
      <c r="D15" s="20">
        <f t="shared" si="5"/>
        <v>82.578339529261754</v>
      </c>
      <c r="E15" s="20">
        <f t="shared" si="6"/>
        <v>33.0313358117047</v>
      </c>
      <c r="F15" s="20">
        <f>Sum_Insured*((1+claim_inflation)^B15) *'Continuation factors'!C42*Decrements!E14</f>
        <v>431.2230839537678</v>
      </c>
      <c r="G15" s="20">
        <f t="shared" si="7"/>
        <v>278.95063599788324</v>
      </c>
      <c r="H15" s="118">
        <f t="shared" si="0"/>
        <v>20.534432569227036</v>
      </c>
      <c r="I15" s="118">
        <f>'Liability calculation'!B16</f>
        <v>0</v>
      </c>
      <c r="J15" s="9"/>
      <c r="K15" s="10">
        <f t="shared" si="8"/>
        <v>10</v>
      </c>
      <c r="L15" s="20">
        <f>NPV(Discount_rate,D16:$D$16)*(1+Discount_rate)
+NPV(Discount_rate,E16:$E$16)*(1+Discount_rate)
+NPV(Discount_rate,F16:$F$16)
-NPV(Discount_rate,C16:$C$16)*(1+Discount_rate)</f>
        <v>0</v>
      </c>
      <c r="N15" s="114">
        <f>NPV(Discount_rate,C16:$C$16)*(1+Discount_rate)</f>
        <v>0</v>
      </c>
      <c r="P15" s="114">
        <f t="shared" si="1"/>
        <v>0</v>
      </c>
      <c r="Q15" s="11">
        <f t="shared" si="2"/>
        <v>0</v>
      </c>
      <c r="R15" s="11">
        <f t="shared" si="9"/>
        <v>263.65529820908648</v>
      </c>
      <c r="S15" s="20">
        <f t="shared" si="3"/>
        <v>22.325921087128226</v>
      </c>
      <c r="T15" s="189">
        <f t="shared" si="10"/>
        <v>37.62125887592498</v>
      </c>
      <c r="U15" s="116">
        <f t="shared" si="4"/>
        <v>4.3388823948594245E-2</v>
      </c>
      <c r="W15" s="188">
        <f>U15*C15*(1+Discount_rate)</f>
        <v>37.62125887592498</v>
      </c>
      <c r="X15" s="190">
        <f>P14*(1+Investment_rate)-P15</f>
        <v>37.621258875924958</v>
      </c>
    </row>
    <row r="16" spans="2:24" x14ac:dyDescent="0.25">
      <c r="B16" s="34"/>
      <c r="C16" s="35"/>
      <c r="D16" s="35"/>
      <c r="E16" s="35"/>
      <c r="F16" s="35"/>
      <c r="G16" s="35"/>
      <c r="H16" s="35"/>
      <c r="I16" s="35"/>
      <c r="K16" s="23"/>
    </row>
    <row r="17" spans="2:11" x14ac:dyDescent="0.25">
      <c r="B17" s="34" t="s">
        <v>68</v>
      </c>
      <c r="C17" s="35"/>
      <c r="D17" s="35"/>
      <c r="E17" s="35"/>
      <c r="F17" s="35"/>
      <c r="G17" s="35"/>
      <c r="H17" s="35"/>
      <c r="I17" s="35"/>
      <c r="K17" s="23"/>
    </row>
    <row r="18" spans="2:11" ht="12.75" customHeight="1" x14ac:dyDescent="0.25"/>
    <row r="22" spans="2:11" x14ac:dyDescent="0.25">
      <c r="B22" s="157"/>
    </row>
    <row r="23" spans="2:11" x14ac:dyDescent="0.25">
      <c r="B23" s="157"/>
    </row>
    <row r="24" spans="2:11" x14ac:dyDescent="0.25">
      <c r="B24" s="157"/>
    </row>
    <row r="25" spans="2:11" x14ac:dyDescent="0.25">
      <c r="B25" s="157"/>
    </row>
    <row r="26" spans="2:11" x14ac:dyDescent="0.25">
      <c r="B26" s="157"/>
    </row>
  </sheetData>
  <mergeCells count="12">
    <mergeCell ref="U3:U4"/>
    <mergeCell ref="B3:I3"/>
    <mergeCell ref="P3:P4"/>
    <mergeCell ref="Q3:Q4"/>
    <mergeCell ref="R3:R4"/>
    <mergeCell ref="S3:S4"/>
    <mergeCell ref="T3:T4"/>
    <mergeCell ref="K3:K4"/>
    <mergeCell ref="L3:L4"/>
    <mergeCell ref="M3:M4"/>
    <mergeCell ref="N3:N4"/>
    <mergeCell ref="O3:O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/>
  </sheetViews>
  <sheetFormatPr defaultRowHeight="13.5" x14ac:dyDescent="0.25"/>
  <cols>
    <col min="1" max="1" width="9.140625" style="2"/>
    <col min="2" max="2" width="9.5703125" style="2" bestFit="1" customWidth="1"/>
    <col min="3" max="3" width="9.85546875" style="2" customWidth="1"/>
    <col min="4" max="4" width="9.7109375" style="2" customWidth="1"/>
    <col min="5" max="5" width="9.140625" style="2"/>
    <col min="6" max="6" width="10.140625" style="2" customWidth="1"/>
    <col min="7" max="16384" width="9.140625" style="2"/>
  </cols>
  <sheetData>
    <row r="1" spans="1:11" ht="15" x14ac:dyDescent="0.25">
      <c r="A1" s="1" t="s">
        <v>109</v>
      </c>
    </row>
    <row r="4" spans="1:11" ht="15" customHeight="1" x14ac:dyDescent="0.25">
      <c r="A4" s="175" t="s">
        <v>45</v>
      </c>
      <c r="B4" s="177" t="s">
        <v>113</v>
      </c>
      <c r="C4" s="178" t="s">
        <v>30</v>
      </c>
      <c r="D4" s="177" t="s">
        <v>110</v>
      </c>
      <c r="E4" s="177" t="s">
        <v>111</v>
      </c>
      <c r="F4" s="177" t="s">
        <v>112</v>
      </c>
      <c r="G4" s="177" t="s">
        <v>114</v>
      </c>
      <c r="H4" s="177" t="s">
        <v>115</v>
      </c>
      <c r="I4" s="177" t="s">
        <v>86</v>
      </c>
      <c r="J4" s="177" t="s">
        <v>30</v>
      </c>
      <c r="K4" s="177" t="s">
        <v>116</v>
      </c>
    </row>
    <row r="5" spans="1:11" ht="42" customHeight="1" x14ac:dyDescent="0.25">
      <c r="A5" s="176"/>
      <c r="B5" s="164"/>
      <c r="C5" s="179"/>
      <c r="D5" s="164"/>
      <c r="E5" s="164"/>
      <c r="F5" s="164"/>
      <c r="G5" s="164"/>
      <c r="H5" s="164"/>
      <c r="I5" s="164"/>
      <c r="J5" s="164"/>
      <c r="K5" s="164"/>
    </row>
    <row r="6" spans="1:11" x14ac:dyDescent="0.25">
      <c r="A6" s="10">
        <v>0</v>
      </c>
      <c r="B6" s="20">
        <f>(B7+'Cash flows'!F6 )/(1+Discount_rate)-'Cash flows'!C6+'Cash flows'!D6+'Cash flows'!E6</f>
        <v>-186.2300460630031</v>
      </c>
      <c r="C6" s="20">
        <f>-B6</f>
        <v>186.2300460630031</v>
      </c>
      <c r="D6" s="114">
        <f>NPV(Discount_rate,'Cash flows'!C6:$C$15)*(1+Discount_rate)</f>
        <v>4292.1201617182087</v>
      </c>
      <c r="E6" s="115">
        <f>C6/D6</f>
        <v>4.3388823948594217E-2</v>
      </c>
      <c r="F6" s="114">
        <f t="shared" ref="F6:F16" si="0">profit_margin*D6</f>
        <v>186.2300460630031</v>
      </c>
      <c r="G6" s="11">
        <f>B6+F6</f>
        <v>0</v>
      </c>
      <c r="H6" s="7"/>
      <c r="I6" s="7"/>
      <c r="J6" s="7"/>
      <c r="K6" s="7"/>
    </row>
    <row r="7" spans="1:11" x14ac:dyDescent="0.25">
      <c r="A7" s="10">
        <f>1+A6</f>
        <v>1</v>
      </c>
      <c r="B7" s="20">
        <f>(B8+'Cash flows'!F7 )/(1+Discount_rate)-'Cash flows'!C7+'Cash flows'!D7+'Cash flows'!E7</f>
        <v>-901.98589732920652</v>
      </c>
      <c r="C7" s="20">
        <f>('Cash flows'!G6 +'Cash flows'!H6 )  -('Liability calculation'!B7-'Liability calculation'!B6)</f>
        <v>0</v>
      </c>
      <c r="D7" s="114">
        <f>NPV(Discount_rate,'Cash flows'!C7:$C$15)*(1+Discount_rate)</f>
        <v>4002.7261698041198</v>
      </c>
      <c r="E7" s="90"/>
      <c r="F7" s="114">
        <f t="shared" si="0"/>
        <v>173.67358109606178</v>
      </c>
      <c r="G7" s="11">
        <f t="shared" ref="G7:G16" si="1">B7+F7</f>
        <v>-728.31231623314477</v>
      </c>
      <c r="H7" s="11">
        <f>G7-G6</f>
        <v>-728.31231623314477</v>
      </c>
      <c r="I7" s="20">
        <f>(G6+'Cash flows'!C6-'Cash flows'!D6-'Cash flows'!E6)*Investment_rate</f>
        <v>-19</v>
      </c>
      <c r="J7" s="11">
        <f>'Cash flows'!G6+'Liability calculation'!I7-'Liability calculation'!H7</f>
        <v>21.867967270091526</v>
      </c>
      <c r="K7" s="116">
        <f>J7/'Cash flows'!C6/(1+Discount_rate)</f>
        <v>4.3388823948594293E-2</v>
      </c>
    </row>
    <row r="8" spans="1:11" x14ac:dyDescent="0.25">
      <c r="A8" s="10">
        <f t="shared" ref="A8:A16" si="2">1+A7</f>
        <v>2</v>
      </c>
      <c r="B8" s="20">
        <f>(B9+'Cash flows'!F8 )/(1+Discount_rate)-'Cash flows'!C8+'Cash flows'!D8+'Cash flows'!E8</f>
        <v>-877.00522168290581</v>
      </c>
      <c r="C8" s="20">
        <f>('Cash flows'!G7 +'Cash flows'!H7 )  -('Liability calculation'!B8-'Liability calculation'!B7)</f>
        <v>0</v>
      </c>
      <c r="D8" s="114">
        <f>NPV(Discount_rate,'Cash flows'!C8:$C$15)*(1+Discount_rate)</f>
        <v>3754.5798630943264</v>
      </c>
      <c r="E8" s="90"/>
      <c r="F8" s="114">
        <f t="shared" si="0"/>
        <v>162.90680468073671</v>
      </c>
      <c r="G8" s="11">
        <f t="shared" si="1"/>
        <v>-714.09841700216907</v>
      </c>
      <c r="H8" s="11">
        <f t="shared" ref="H8:H16" si="3">G8-G7</f>
        <v>14.213899230975699</v>
      </c>
      <c r="I8" s="20">
        <f>(G7+'Cash flows'!C7-'Cash flows'!D7-'Cash flows'!E7)*Investment_rate</f>
        <v>-19.381747731657242</v>
      </c>
      <c r="J8" s="11">
        <f>'Cash flows'!G7+'Liability calculation'!I8-'Liability calculation'!H8</f>
        <v>19.450455470128077</v>
      </c>
      <c r="K8" s="116">
        <f>J8/'Cash flows'!C7/(1+Discount_rate)</f>
        <v>4.3388823948593933E-2</v>
      </c>
    </row>
    <row r="9" spans="1:11" x14ac:dyDescent="0.25">
      <c r="A9" s="10">
        <f t="shared" si="2"/>
        <v>3</v>
      </c>
      <c r="B9" s="20">
        <f>(B10+'Cash flows'!F9 )/(1+Discount_rate)-'Cash flows'!C9+'Cash flows'!D9+'Cash flows'!E9</f>
        <v>-852.28873070126133</v>
      </c>
      <c r="C9" s="20">
        <f>('Cash flows'!G8 +'Cash flows'!H8 )  -('Liability calculation'!B9-'Liability calculation'!B8)</f>
        <v>0</v>
      </c>
      <c r="D9" s="114">
        <f>NPV(Discount_rate,'Cash flows'!C9:$C$15)*(1+Discount_rate)</f>
        <v>3503.5135479391383</v>
      </c>
      <c r="E9" s="90"/>
      <c r="F9" s="114">
        <f t="shared" si="0"/>
        <v>152.01333253304597</v>
      </c>
      <c r="G9" s="11">
        <f t="shared" si="1"/>
        <v>-700.27539816821536</v>
      </c>
      <c r="H9" s="11">
        <f t="shared" si="3"/>
        <v>13.823018833953711</v>
      </c>
      <c r="I9" s="20">
        <f>(G8+'Cash flows'!C8-'Cash flows'!D8-'Cash flows'!E8)*Investment_rate</f>
        <v>-18.908543663886853</v>
      </c>
      <c r="J9" s="11">
        <f>'Cash flows'!G8+'Liability calculation'!I9-'Liability calculation'!H9</f>
        <v>19.038812381727617</v>
      </c>
      <c r="K9" s="116">
        <f>J9/'Cash flows'!C8/(1+Discount_rate)</f>
        <v>4.3388823948594377E-2</v>
      </c>
    </row>
    <row r="10" spans="1:11" x14ac:dyDescent="0.25">
      <c r="A10" s="10">
        <f t="shared" si="2"/>
        <v>4</v>
      </c>
      <c r="B10" s="20">
        <f>(B11+'Cash flows'!F10 )/(1+Discount_rate)-'Cash flows'!C10+'Cash flows'!D10+'Cash flows'!E10</f>
        <v>-823.03475158388608</v>
      </c>
      <c r="C10" s="20">
        <f>('Cash flows'!G9 +'Cash flows'!H9 )  -('Liability calculation'!B10-'Liability calculation'!B9)</f>
        <v>4.9737991503207013E-14</v>
      </c>
      <c r="D10" s="114">
        <f>NPV(Discount_rate,'Cash flows'!C10:$C$15)*(1+Discount_rate)</f>
        <v>3218.704653604635</v>
      </c>
      <c r="E10" s="90"/>
      <c r="F10" s="114">
        <f t="shared" si="0"/>
        <v>139.65580955777244</v>
      </c>
      <c r="G10" s="11">
        <f t="shared" si="1"/>
        <v>-683.37894202611369</v>
      </c>
      <c r="H10" s="11">
        <f t="shared" si="3"/>
        <v>16.89645614210167</v>
      </c>
      <c r="I10" s="20">
        <f>(G9+'Cash flows'!C9-'Cash flows'!D9-'Cash flows'!E9)*Investment_rate</f>
        <v>-17.255862122179231</v>
      </c>
      <c r="J10" s="11">
        <f>'Cash flows'!G9+'Liability calculation'!I10-'Liability calculation'!H10</f>
        <v>19.95818960192593</v>
      </c>
      <c r="K10" s="116">
        <f>J10/'Cash flows'!C9/(1+Discount_rate)</f>
        <v>4.3388823948594425E-2</v>
      </c>
    </row>
    <row r="11" spans="1:11" x14ac:dyDescent="0.25">
      <c r="A11" s="10">
        <f t="shared" si="2"/>
        <v>5</v>
      </c>
      <c r="B11" s="20">
        <f>(B12+'Cash flows'!F11 )/(1+Discount_rate)-'Cash flows'!C11+'Cash flows'!D11+'Cash flows'!E11</f>
        <v>-782.97023273316074</v>
      </c>
      <c r="C11" s="20">
        <f>('Cash flows'!G10 +'Cash flows'!H10 )  -('Liability calculation'!B11-'Liability calculation'!B10)</f>
        <v>8.5265128291212022E-14</v>
      </c>
      <c r="D11" s="114">
        <f>NPV(Discount_rate,'Cash flows'!C11:$C$15)*(1+Discount_rate)</f>
        <v>2892.0544886118423</v>
      </c>
      <c r="E11" s="90"/>
      <c r="F11" s="114">
        <f t="shared" si="0"/>
        <v>125.4828430561209</v>
      </c>
      <c r="G11" s="11">
        <f t="shared" si="1"/>
        <v>-657.4873896770398</v>
      </c>
      <c r="H11" s="11">
        <f t="shared" si="3"/>
        <v>25.891552349073891</v>
      </c>
      <c r="I11" s="20">
        <f>(G10+'Cash flows'!C10-'Cash flows'!D10-'Cash flows'!E10)*Investment_rate</f>
        <v>-15.17557368687638</v>
      </c>
      <c r="J11" s="11">
        <f>'Cash flows'!G10+'Liability calculation'!I11-'Liability calculation'!H11</f>
        <v>21.155756979540158</v>
      </c>
      <c r="K11" s="116">
        <f>J11/'Cash flows'!C10/(1+Discount_rate)</f>
        <v>4.3388823948594175E-2</v>
      </c>
    </row>
    <row r="12" spans="1:11" x14ac:dyDescent="0.25">
      <c r="A12" s="10">
        <f t="shared" si="2"/>
        <v>6</v>
      </c>
      <c r="B12" s="20">
        <f>(B13+'Cash flows'!F12 )/(1+Discount_rate)-'Cash flows'!C12+'Cash flows'!D12+'Cash flows'!E12</f>
        <v>-731.48839186224495</v>
      </c>
      <c r="C12" s="20">
        <f>('Cash flows'!G11 +'Cash flows'!H11 )  -('Liability calculation'!B12-'Liability calculation'!B11)</f>
        <v>1.3500311979441904E-13</v>
      </c>
      <c r="D12" s="114">
        <f>NPV(Discount_rate,'Cash flows'!C12:$C$15)*(1+Discount_rate)</f>
        <v>2515.6661815596813</v>
      </c>
      <c r="E12" s="90"/>
      <c r="F12" s="114">
        <f t="shared" si="0"/>
        <v>109.15179706512527</v>
      </c>
      <c r="G12" s="11">
        <f t="shared" si="1"/>
        <v>-622.33659479711969</v>
      </c>
      <c r="H12" s="11">
        <f t="shared" si="3"/>
        <v>35.150794879920113</v>
      </c>
      <c r="I12" s="20">
        <f>(G11+'Cash flows'!C11-'Cash flows'!D11-'Cash flows'!E11)*Investment_rate</f>
        <v>-12.397607549952733</v>
      </c>
      <c r="J12" s="11">
        <f>'Cash flows'!G11+'Liability calculation'!I12-'Liability calculation'!H12</f>
        <v>22.605188143801861</v>
      </c>
      <c r="K12" s="116">
        <f>J12/'Cash flows'!C11/(1+Discount_rate)</f>
        <v>4.338882394859455E-2</v>
      </c>
    </row>
    <row r="13" spans="1:11" x14ac:dyDescent="0.25">
      <c r="A13" s="10">
        <f t="shared" si="2"/>
        <v>7</v>
      </c>
      <c r="B13" s="20">
        <f>(B14+'Cash flows'!F13 )/(1+Discount_rate)-'Cash flows'!C13+'Cash flows'!D13+'Cash flows'!E13</f>
        <v>-644.77870411146421</v>
      </c>
      <c r="C13" s="20">
        <f>('Cash flows'!G12 +'Cash flows'!H12 )  -('Liability calculation'!B13-'Liability calculation'!B12)</f>
        <v>0</v>
      </c>
      <c r="D13" s="114">
        <f>NPV(Discount_rate,'Cash flows'!C13:$C$15)*(1+Discount_rate)</f>
        <v>2059.2041897844019</v>
      </c>
      <c r="E13" s="90"/>
      <c r="F13" s="114">
        <f t="shared" si="0"/>
        <v>89.34644806476301</v>
      </c>
      <c r="G13" s="11">
        <f t="shared" si="1"/>
        <v>-555.43225604670124</v>
      </c>
      <c r="H13" s="11">
        <f t="shared" si="3"/>
        <v>66.904338750418447</v>
      </c>
      <c r="I13" s="20">
        <f>(G12+'Cash flows'!C12-'Cash flows'!D12-'Cash flows'!E12)*Investment_rate</f>
        <v>-7.9638471518133915</v>
      </c>
      <c r="J13" s="11">
        <f>'Cash flows'!G12+'Liability calculation'!I13-'Liability calculation'!H13</f>
        <v>25.262938853618564</v>
      </c>
      <c r="K13" s="116">
        <f>J13/'Cash flows'!C12/(1+Discount_rate)</f>
        <v>4.3388823948594252E-2</v>
      </c>
    </row>
    <row r="14" spans="1:11" x14ac:dyDescent="0.25">
      <c r="A14" s="10">
        <f t="shared" si="2"/>
        <v>8</v>
      </c>
      <c r="B14" s="20">
        <f>(B15+'Cash flows'!F14 )/(1+Discount_rate)-'Cash flows'!C14+'Cash flows'!D14+'Cash flows'!E14</f>
        <v>-504.53337174210742</v>
      </c>
      <c r="C14" s="20">
        <f>('Cash flows'!G13 +'Cash flows'!H13 )  -('Liability calculation'!B14-'Liability calculation'!B13)</f>
        <v>0</v>
      </c>
      <c r="D14" s="114">
        <f>NPV(Discount_rate,'Cash flows'!C14:$C$15)*(1+Discount_rate)</f>
        <v>1500.6447295895562</v>
      </c>
      <c r="E14" s="90"/>
      <c r="F14" s="114">
        <f t="shared" si="0"/>
        <v>65.111209981547034</v>
      </c>
      <c r="G14" s="11">
        <f t="shared" si="1"/>
        <v>-439.42216176056036</v>
      </c>
      <c r="H14" s="11">
        <f t="shared" si="3"/>
        <v>116.01009428614088</v>
      </c>
      <c r="I14" s="20">
        <f>(G13+'Cash flows'!C13-'Cash flows'!D13-'Cash flows'!E13)*Investment_rate</f>
        <v>-1.1708218520763418</v>
      </c>
      <c r="J14" s="11">
        <f>'Cash flows'!G13+'Liability calculation'!I14-'Liability calculation'!H14</f>
        <v>28.702560486454132</v>
      </c>
      <c r="K14" s="116">
        <f>J14/'Cash flows'!C13/(1+Discount_rate)</f>
        <v>4.3388823948594238E-2</v>
      </c>
    </row>
    <row r="15" spans="1:11" x14ac:dyDescent="0.25">
      <c r="A15" s="10">
        <f t="shared" si="2"/>
        <v>9</v>
      </c>
      <c r="B15" s="20">
        <f>(B16+'Cash flows'!F15 )/(1+Discount_rate)-'Cash flows'!C15+'Cash flows'!D15+'Cash flows'!E15</f>
        <v>-299.48506856711026</v>
      </c>
      <c r="C15" s="20">
        <f>('Cash flows'!G14 +'Cash flows'!H14 )  -('Liability calculation'!B15-'Liability calculation'!B14)</f>
        <v>0</v>
      </c>
      <c r="D15" s="114">
        <f>NPV(Discount_rate,'Cash flows'!C15:$C$15)*(1+Discount_rate)</f>
        <v>825.78339529261746</v>
      </c>
      <c r="E15" s="90"/>
      <c r="F15" s="114">
        <f t="shared" si="0"/>
        <v>35.829770358023765</v>
      </c>
      <c r="G15" s="11">
        <f t="shared" si="1"/>
        <v>-263.65529820908648</v>
      </c>
      <c r="H15" s="11">
        <f t="shared" si="3"/>
        <v>175.76686355147388</v>
      </c>
      <c r="I15" s="20">
        <f>(G14+'Cash flows'!C14-'Cash flows'!D14-'Cash flows'!E14)*Investment_rate</f>
        <v>8.4667488663888921</v>
      </c>
      <c r="J15" s="11">
        <f>'Cash flows'!G14+'Liability calculation'!I15-'Liability calculation'!H15</f>
        <v>32.537000122600688</v>
      </c>
      <c r="K15" s="116">
        <f>J15/'Cash flows'!C14/(1+Discount_rate)</f>
        <v>4.3388823948594307E-2</v>
      </c>
    </row>
    <row r="16" spans="1:11" x14ac:dyDescent="0.25">
      <c r="A16" s="10">
        <f t="shared" si="2"/>
        <v>10</v>
      </c>
      <c r="B16" s="20">
        <f>(B17+'Cash flows'!F16 )/(1+Discount_rate)-'Cash flows'!C16+'Cash flows'!D16+'Cash flows'!E16</f>
        <v>0</v>
      </c>
      <c r="C16" s="20">
        <f>('Cash flows'!G15 +'Cash flows'!H15 )  -('Liability calculation'!B16-'Liability calculation'!B15)</f>
        <v>0</v>
      </c>
      <c r="D16" s="114">
        <v>0</v>
      </c>
      <c r="E16" s="90"/>
      <c r="F16" s="114">
        <f t="shared" si="0"/>
        <v>0</v>
      </c>
      <c r="G16" s="11">
        <f t="shared" si="1"/>
        <v>0</v>
      </c>
      <c r="H16" s="11">
        <f t="shared" si="3"/>
        <v>263.65529820908648</v>
      </c>
      <c r="I16" s="20">
        <f>(G15+'Cash flows'!C15-'Cash flows'!D15-'Cash flows'!E15)*Investment_rate</f>
        <v>22.325921087128226</v>
      </c>
      <c r="J16" s="11">
        <f>'Cash flows'!G15+'Liability calculation'!I16-'Liability calculation'!H16</f>
        <v>37.62125887592498</v>
      </c>
      <c r="K16" s="116">
        <f>J16/'Cash flows'!C15/(1+Discount_rate)</f>
        <v>4.3388823948594245E-2</v>
      </c>
    </row>
  </sheetData>
  <mergeCells count="11">
    <mergeCell ref="A4:A5"/>
    <mergeCell ref="B4:B5"/>
    <mergeCell ref="C4:C5"/>
    <mergeCell ref="D4:D5"/>
    <mergeCell ref="I4:I5"/>
    <mergeCell ref="J4:J5"/>
    <mergeCell ref="K4:K5"/>
    <mergeCell ref="E4:E5"/>
    <mergeCell ref="F4:F5"/>
    <mergeCell ref="G4:G5"/>
    <mergeCell ref="H4:H5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7"/>
  <sheetViews>
    <sheetView workbookViewId="0"/>
  </sheetViews>
  <sheetFormatPr defaultRowHeight="15" x14ac:dyDescent="0.25"/>
  <cols>
    <col min="3" max="3" width="11.28515625" customWidth="1"/>
    <col min="4" max="4" width="11.140625" customWidth="1"/>
  </cols>
  <sheetData>
    <row r="3" spans="1:17" x14ac:dyDescent="0.25">
      <c r="A3" s="45" t="s">
        <v>117</v>
      </c>
      <c r="Q3" s="45"/>
    </row>
    <row r="5" spans="1:17" ht="39" customHeight="1" x14ac:dyDescent="0.25">
      <c r="A5" s="187" t="s">
        <v>82</v>
      </c>
      <c r="B5" s="182" t="s">
        <v>83</v>
      </c>
      <c r="C5" s="184" t="s">
        <v>84</v>
      </c>
      <c r="D5" s="184" t="s">
        <v>1</v>
      </c>
      <c r="E5" s="184" t="s">
        <v>118</v>
      </c>
      <c r="F5" s="182" t="s">
        <v>85</v>
      </c>
    </row>
    <row r="6" spans="1:17" x14ac:dyDescent="0.25">
      <c r="A6" s="187">
        <v>0</v>
      </c>
      <c r="B6" s="183"/>
      <c r="C6" s="185"/>
      <c r="D6" s="185"/>
      <c r="E6" s="185"/>
      <c r="F6" s="183"/>
    </row>
    <row r="7" spans="1:17" x14ac:dyDescent="0.25">
      <c r="A7" s="49">
        <v>1</v>
      </c>
      <c r="B7" s="58">
        <f>'Cash flows'!C6</f>
        <v>480</v>
      </c>
      <c r="C7" s="50">
        <f>-'Cash flows'!D6</f>
        <v>-480</v>
      </c>
      <c r="D7" s="50">
        <f>-'Cash flows'!E6</f>
        <v>-380</v>
      </c>
      <c r="E7" s="51">
        <f>-'Cash flows'!F6</f>
        <v>-307.44434896305319</v>
      </c>
      <c r="F7" s="51">
        <f>'Cash flows'!G6</f>
        <v>-687.44434896305324</v>
      </c>
    </row>
    <row r="8" spans="1:17" x14ac:dyDescent="0.25">
      <c r="A8" s="46">
        <v>2</v>
      </c>
      <c r="B8" s="59">
        <f>'Cash flows'!C7</f>
        <v>426.93582399999997</v>
      </c>
      <c r="C8" s="47">
        <f>-'Cash flows'!D7</f>
        <v>-42.693582399999997</v>
      </c>
      <c r="D8" s="47">
        <f>-'Cash flows'!E7</f>
        <v>-43.564880000000002</v>
      </c>
      <c r="E8" s="48">
        <f>-'Cash flows'!F7</f>
        <v>-287.63125916723891</v>
      </c>
      <c r="F8" s="48">
        <f>'Cash flows'!G7</f>
        <v>53.046102432761018</v>
      </c>
    </row>
    <row r="9" spans="1:17" x14ac:dyDescent="0.25">
      <c r="A9" s="49">
        <v>3</v>
      </c>
      <c r="B9" s="58">
        <f>'Cash flows'!C8</f>
        <v>417.90029362848003</v>
      </c>
      <c r="C9" s="50">
        <f>-'Cash flows'!D8</f>
        <v>-41.790029362848003</v>
      </c>
      <c r="D9" s="50">
        <f>-'Cash flows'!E8</f>
        <v>-40.182720541199998</v>
      </c>
      <c r="E9" s="51">
        <f>-'Cash flows'!F8</f>
        <v>-284.15716884486386</v>
      </c>
      <c r="F9" s="51">
        <f>'Cash flows'!G8</f>
        <v>51.77037487956818</v>
      </c>
    </row>
    <row r="10" spans="1:17" x14ac:dyDescent="0.25">
      <c r="A10" s="46">
        <v>4</v>
      </c>
      <c r="B10" s="59">
        <f>'Cash flows'!C9</f>
        <v>438.08054450615253</v>
      </c>
      <c r="C10" s="47">
        <f>-'Cash flows'!D9</f>
        <v>-43.808054450615259</v>
      </c>
      <c r="D10" s="47">
        <f>-'Cash flows'!E9</f>
        <v>-39.114334330906473</v>
      </c>
      <c r="E10" s="48">
        <f>-'Cash flows'!F9</f>
        <v>-301.04764785842394</v>
      </c>
      <c r="F10" s="48">
        <f>'Cash flows'!G9</f>
        <v>54.110507866206831</v>
      </c>
    </row>
    <row r="11" spans="1:17" x14ac:dyDescent="0.25">
      <c r="A11" s="49">
        <v>5</v>
      </c>
      <c r="B11" s="58">
        <f>'Cash flows'!C10</f>
        <v>464.36704540288082</v>
      </c>
      <c r="C11" s="50">
        <f>-'Cash flows'!D10</f>
        <v>-46.436704540288083</v>
      </c>
      <c r="D11" s="50">
        <f>-'Cash flows'!E10</f>
        <v>-38.062872574006619</v>
      </c>
      <c r="E11" s="51">
        <f>-'Cash flows'!F10</f>
        <v>-317.64458527309569</v>
      </c>
      <c r="F11" s="51">
        <f>'Cash flows'!G10</f>
        <v>62.222883015490424</v>
      </c>
    </row>
    <row r="12" spans="1:17" x14ac:dyDescent="0.25">
      <c r="A12" s="46">
        <v>6</v>
      </c>
      <c r="B12" s="59">
        <f>'Cash flows'!C11</f>
        <v>496.18193474547928</v>
      </c>
      <c r="C12" s="47">
        <f>-'Cash flows'!D11</f>
        <v>-49.61819347454793</v>
      </c>
      <c r="D12" s="47">
        <f>-'Cash flows'!E11</f>
        <v>-37.028502592946218</v>
      </c>
      <c r="E12" s="48">
        <f>-'Cash flows'!F11</f>
        <v>-339.38164810431044</v>
      </c>
      <c r="F12" s="48">
        <f>'Cash flows'!G11</f>
        <v>70.153590573674705</v>
      </c>
    </row>
    <row r="13" spans="1:17" x14ac:dyDescent="0.25">
      <c r="A13" s="49">
        <v>7</v>
      </c>
      <c r="B13" s="58">
        <f>'Cash flows'!C12</f>
        <v>554.51933414596567</v>
      </c>
      <c r="C13" s="50">
        <f>-'Cash flows'!D12</f>
        <v>-55.451933414596567</v>
      </c>
      <c r="D13" s="50">
        <f>-'Cash flows'!E12</f>
        <v>-36.007748970517248</v>
      </c>
      <c r="E13" s="51">
        <f>-'Cash flows'!F12</f>
        <v>-362.92852700500146</v>
      </c>
      <c r="F13" s="51">
        <f>'Cash flows'!G12</f>
        <v>100.13112475585041</v>
      </c>
    </row>
    <row r="14" spans="1:17" x14ac:dyDescent="0.25">
      <c r="A14" s="46">
        <v>8</v>
      </c>
      <c r="B14" s="59">
        <f>'Cash flows'!C13</f>
        <v>630.01873303244338</v>
      </c>
      <c r="C14" s="47">
        <f>-'Cash flows'!D13</f>
        <v>-63.001873303244338</v>
      </c>
      <c r="D14" s="47">
        <f>-'Cash flows'!E13</f>
        <v>-35.001040724024634</v>
      </c>
      <c r="E14" s="48">
        <f>-'Cash flows'!F13</f>
        <v>-386.13234238050308</v>
      </c>
      <c r="F14" s="48">
        <f>'Cash flows'!G13</f>
        <v>145.88347662467135</v>
      </c>
    </row>
    <row r="15" spans="1:17" x14ac:dyDescent="0.25">
      <c r="A15" s="49">
        <v>9</v>
      </c>
      <c r="B15" s="58">
        <f>'Cash flows'!C14</f>
        <v>714.18435312039674</v>
      </c>
      <c r="C15" s="50">
        <f>-'Cash flows'!D14</f>
        <v>-71.418435312039676</v>
      </c>
      <c r="D15" s="50">
        <f>-'Cash flows'!E14</f>
        <v>-34.008778720018896</v>
      </c>
      <c r="E15" s="51">
        <f>-'Cash flows'!F14</f>
        <v>-408.92002428065246</v>
      </c>
      <c r="F15" s="51">
        <f>'Cash flows'!G14</f>
        <v>199.83711480768568</v>
      </c>
    </row>
    <row r="16" spans="1:17" ht="15.75" thickBot="1" x14ac:dyDescent="0.3">
      <c r="A16" s="52">
        <v>10</v>
      </c>
      <c r="B16" s="60">
        <f>'Cash flows'!C15</f>
        <v>825.78339529261746</v>
      </c>
      <c r="C16" s="53">
        <f>-'Cash flows'!D15</f>
        <v>-82.578339529261754</v>
      </c>
      <c r="D16" s="53">
        <f>-'Cash flows'!E15</f>
        <v>-33.0313358117047</v>
      </c>
      <c r="E16" s="54">
        <f>-'Cash flows'!F15</f>
        <v>-431.2230839537678</v>
      </c>
      <c r="F16" s="54">
        <f>'Cash flows'!G15</f>
        <v>278.95063599788324</v>
      </c>
    </row>
    <row r="19" spans="1:9" x14ac:dyDescent="0.25">
      <c r="A19" s="45" t="s">
        <v>121</v>
      </c>
    </row>
    <row r="21" spans="1:9" x14ac:dyDescent="0.25">
      <c r="A21" s="187" t="s">
        <v>82</v>
      </c>
      <c r="B21" s="182" t="s">
        <v>119</v>
      </c>
      <c r="C21" s="184" t="s">
        <v>110</v>
      </c>
      <c r="D21" s="184" t="s">
        <v>120</v>
      </c>
      <c r="E21" s="184" t="s">
        <v>114</v>
      </c>
      <c r="F21" s="182" t="s">
        <v>115</v>
      </c>
      <c r="G21" s="184" t="s">
        <v>86</v>
      </c>
      <c r="H21" s="186" t="s">
        <v>30</v>
      </c>
      <c r="I21" s="186" t="s">
        <v>116</v>
      </c>
    </row>
    <row r="22" spans="1:9" ht="39" customHeight="1" x14ac:dyDescent="0.25">
      <c r="A22" s="187"/>
      <c r="B22" s="183"/>
      <c r="C22" s="185"/>
      <c r="D22" s="185"/>
      <c r="E22" s="185"/>
      <c r="F22" s="183"/>
      <c r="G22" s="185"/>
      <c r="H22" s="176"/>
      <c r="I22" s="175"/>
    </row>
    <row r="23" spans="1:9" x14ac:dyDescent="0.25">
      <c r="A23" s="125">
        <v>0</v>
      </c>
      <c r="B23" s="55">
        <f>'Liability calculation'!B6</f>
        <v>-186.2300460630031</v>
      </c>
      <c r="C23" s="56">
        <f>'Liability calculation'!D6</f>
        <v>4292.1201617182087</v>
      </c>
      <c r="D23" s="56">
        <f>'Liability calculation'!F6</f>
        <v>186.2300460630031</v>
      </c>
      <c r="E23" s="57">
        <f>B23+D23</f>
        <v>0</v>
      </c>
      <c r="F23" s="55"/>
      <c r="G23" s="56"/>
      <c r="H23" s="57"/>
      <c r="I23" s="57"/>
    </row>
    <row r="24" spans="1:9" x14ac:dyDescent="0.25">
      <c r="A24" s="126">
        <f>1+A23</f>
        <v>1</v>
      </c>
      <c r="B24" s="129">
        <f>'Liability calculation'!B7</f>
        <v>-901.98589732920652</v>
      </c>
      <c r="C24" s="120">
        <f>'Liability calculation'!D7</f>
        <v>4002.7261698041198</v>
      </c>
      <c r="D24" s="120">
        <f>'Liability calculation'!F7</f>
        <v>173.67358109606178</v>
      </c>
      <c r="E24" s="130">
        <f t="shared" ref="E24:E33" si="0">B24+D24</f>
        <v>-728.31231623314477</v>
      </c>
      <c r="F24" s="129">
        <f>E24-E23</f>
        <v>-728.31231623314477</v>
      </c>
      <c r="G24" s="120">
        <f>'Liability calculation'!I7</f>
        <v>-19</v>
      </c>
      <c r="H24" s="130">
        <f>'Cash flows'!G6+G24-Tables!F24</f>
        <v>21.867967270091526</v>
      </c>
      <c r="I24" s="119">
        <f>H24/'Cash flows'!C6/(1+Discount_rate)</f>
        <v>4.3388823948594293E-2</v>
      </c>
    </row>
    <row r="25" spans="1:9" x14ac:dyDescent="0.25">
      <c r="A25" s="127">
        <f t="shared" ref="A25:A33" si="1">1+A24</f>
        <v>2</v>
      </c>
      <c r="B25" s="131">
        <f>'Liability calculation'!B8</f>
        <v>-877.00522168290581</v>
      </c>
      <c r="C25" s="121">
        <f>'Liability calculation'!D8</f>
        <v>3754.5798630943264</v>
      </c>
      <c r="D25" s="121">
        <f>'Liability calculation'!F8</f>
        <v>162.90680468073671</v>
      </c>
      <c r="E25" s="132">
        <f t="shared" si="0"/>
        <v>-714.09841700216907</v>
      </c>
      <c r="F25" s="131">
        <f t="shared" ref="F25:F33" si="2">E25-E24</f>
        <v>14.213899230975699</v>
      </c>
      <c r="G25" s="121">
        <f>'Liability calculation'!I8</f>
        <v>-19.381747731657242</v>
      </c>
      <c r="H25" s="132">
        <f>'Cash flows'!G7+G25-Tables!F25</f>
        <v>19.450455470128077</v>
      </c>
      <c r="I25" s="122">
        <f>H25/'Cash flows'!C7/(1+Discount_rate)</f>
        <v>4.3388823948593933E-2</v>
      </c>
    </row>
    <row r="26" spans="1:9" x14ac:dyDescent="0.25">
      <c r="A26" s="126">
        <f t="shared" si="1"/>
        <v>3</v>
      </c>
      <c r="B26" s="129">
        <f>'Liability calculation'!B9</f>
        <v>-852.28873070126133</v>
      </c>
      <c r="C26" s="120">
        <f>'Liability calculation'!D9</f>
        <v>3503.5135479391383</v>
      </c>
      <c r="D26" s="120">
        <f>'Liability calculation'!F9</f>
        <v>152.01333253304597</v>
      </c>
      <c r="E26" s="130">
        <f t="shared" si="0"/>
        <v>-700.27539816821536</v>
      </c>
      <c r="F26" s="129">
        <f t="shared" si="2"/>
        <v>13.823018833953711</v>
      </c>
      <c r="G26" s="120">
        <f>'Liability calculation'!I9</f>
        <v>-18.908543663886853</v>
      </c>
      <c r="H26" s="130">
        <f>'Cash flows'!G8+G26-Tables!F26</f>
        <v>19.038812381727617</v>
      </c>
      <c r="I26" s="119">
        <f>H26/'Cash flows'!C8/(1+Discount_rate)</f>
        <v>4.3388823948594377E-2</v>
      </c>
    </row>
    <row r="27" spans="1:9" x14ac:dyDescent="0.25">
      <c r="A27" s="127">
        <f t="shared" si="1"/>
        <v>4</v>
      </c>
      <c r="B27" s="131">
        <f>'Liability calculation'!B10</f>
        <v>-823.03475158388608</v>
      </c>
      <c r="C27" s="121">
        <f>'Liability calculation'!D10</f>
        <v>3218.704653604635</v>
      </c>
      <c r="D27" s="121">
        <f>'Liability calculation'!F10</f>
        <v>139.65580955777244</v>
      </c>
      <c r="E27" s="132">
        <f t="shared" si="0"/>
        <v>-683.37894202611369</v>
      </c>
      <c r="F27" s="131">
        <f t="shared" si="2"/>
        <v>16.89645614210167</v>
      </c>
      <c r="G27" s="121">
        <f>'Liability calculation'!I10</f>
        <v>-17.255862122179231</v>
      </c>
      <c r="H27" s="132">
        <f>'Cash flows'!G9+G27-Tables!F27</f>
        <v>19.95818960192593</v>
      </c>
      <c r="I27" s="122">
        <f>H27/'Cash flows'!C9/(1+Discount_rate)</f>
        <v>4.3388823948594425E-2</v>
      </c>
    </row>
    <row r="28" spans="1:9" x14ac:dyDescent="0.25">
      <c r="A28" s="126">
        <f t="shared" si="1"/>
        <v>5</v>
      </c>
      <c r="B28" s="129">
        <f>'Liability calculation'!B11</f>
        <v>-782.97023273316074</v>
      </c>
      <c r="C28" s="120">
        <f>'Liability calculation'!D11</f>
        <v>2892.0544886118423</v>
      </c>
      <c r="D28" s="120">
        <f>'Liability calculation'!F11</f>
        <v>125.4828430561209</v>
      </c>
      <c r="E28" s="130">
        <f t="shared" si="0"/>
        <v>-657.4873896770398</v>
      </c>
      <c r="F28" s="129">
        <f t="shared" si="2"/>
        <v>25.891552349073891</v>
      </c>
      <c r="G28" s="120">
        <f>'Liability calculation'!I11</f>
        <v>-15.17557368687638</v>
      </c>
      <c r="H28" s="130">
        <f>'Cash flows'!G10+G28-Tables!F28</f>
        <v>21.155756979540158</v>
      </c>
      <c r="I28" s="119">
        <f>H28/'Cash flows'!C10/(1+Discount_rate)</f>
        <v>4.3388823948594175E-2</v>
      </c>
    </row>
    <row r="29" spans="1:9" x14ac:dyDescent="0.25">
      <c r="A29" s="127">
        <f t="shared" si="1"/>
        <v>6</v>
      </c>
      <c r="B29" s="131">
        <f>'Liability calculation'!B12</f>
        <v>-731.48839186224495</v>
      </c>
      <c r="C29" s="121">
        <f>'Liability calculation'!D12</f>
        <v>2515.6661815596813</v>
      </c>
      <c r="D29" s="121">
        <f>'Liability calculation'!F12</f>
        <v>109.15179706512527</v>
      </c>
      <c r="E29" s="132">
        <f t="shared" si="0"/>
        <v>-622.33659479711969</v>
      </c>
      <c r="F29" s="131">
        <f t="shared" si="2"/>
        <v>35.150794879920113</v>
      </c>
      <c r="G29" s="121">
        <f>'Liability calculation'!I12</f>
        <v>-12.397607549952733</v>
      </c>
      <c r="H29" s="132">
        <f>'Cash flows'!G11+G29-Tables!F29</f>
        <v>22.605188143801861</v>
      </c>
      <c r="I29" s="122">
        <f>H29/'Cash flows'!C11/(1+Discount_rate)</f>
        <v>4.338882394859455E-2</v>
      </c>
    </row>
    <row r="30" spans="1:9" x14ac:dyDescent="0.25">
      <c r="A30" s="126">
        <f t="shared" si="1"/>
        <v>7</v>
      </c>
      <c r="B30" s="129">
        <f>'Liability calculation'!B13</f>
        <v>-644.77870411146421</v>
      </c>
      <c r="C30" s="120">
        <f>'Liability calculation'!D13</f>
        <v>2059.2041897844019</v>
      </c>
      <c r="D30" s="120">
        <f>'Liability calculation'!F13</f>
        <v>89.34644806476301</v>
      </c>
      <c r="E30" s="130">
        <f t="shared" si="0"/>
        <v>-555.43225604670124</v>
      </c>
      <c r="F30" s="129">
        <f t="shared" si="2"/>
        <v>66.904338750418447</v>
      </c>
      <c r="G30" s="120">
        <f>'Liability calculation'!I13</f>
        <v>-7.9638471518133915</v>
      </c>
      <c r="H30" s="130">
        <f>'Cash flows'!G12+G30-Tables!F30</f>
        <v>25.262938853618564</v>
      </c>
      <c r="I30" s="119">
        <f>H30/'Cash flows'!C12/(1+Discount_rate)</f>
        <v>4.3388823948594252E-2</v>
      </c>
    </row>
    <row r="31" spans="1:9" x14ac:dyDescent="0.25">
      <c r="A31" s="127">
        <f t="shared" si="1"/>
        <v>8</v>
      </c>
      <c r="B31" s="131">
        <f>'Liability calculation'!B14</f>
        <v>-504.53337174210742</v>
      </c>
      <c r="C31" s="121">
        <f>'Liability calculation'!D14</f>
        <v>1500.6447295895562</v>
      </c>
      <c r="D31" s="121">
        <f>'Liability calculation'!F14</f>
        <v>65.111209981547034</v>
      </c>
      <c r="E31" s="132">
        <f t="shared" si="0"/>
        <v>-439.42216176056036</v>
      </c>
      <c r="F31" s="131">
        <f t="shared" si="2"/>
        <v>116.01009428614088</v>
      </c>
      <c r="G31" s="121">
        <f>'Liability calculation'!I14</f>
        <v>-1.1708218520763418</v>
      </c>
      <c r="H31" s="132">
        <f>'Cash flows'!G13+G31-Tables!F31</f>
        <v>28.702560486454132</v>
      </c>
      <c r="I31" s="122">
        <f>H31/'Cash flows'!C13/(1+Discount_rate)</f>
        <v>4.3388823948594238E-2</v>
      </c>
    </row>
    <row r="32" spans="1:9" x14ac:dyDescent="0.25">
      <c r="A32" s="126">
        <f t="shared" si="1"/>
        <v>9</v>
      </c>
      <c r="B32" s="129">
        <f>'Liability calculation'!B15</f>
        <v>-299.48506856711026</v>
      </c>
      <c r="C32" s="120">
        <f>'Liability calculation'!D15</f>
        <v>825.78339529261746</v>
      </c>
      <c r="D32" s="120">
        <f>'Liability calculation'!F15</f>
        <v>35.829770358023765</v>
      </c>
      <c r="E32" s="130">
        <f t="shared" si="0"/>
        <v>-263.65529820908648</v>
      </c>
      <c r="F32" s="129">
        <f t="shared" si="2"/>
        <v>175.76686355147388</v>
      </c>
      <c r="G32" s="120">
        <f>'Liability calculation'!I15</f>
        <v>8.4667488663888921</v>
      </c>
      <c r="H32" s="130">
        <f>'Cash flows'!G14+G32-Tables!F32</f>
        <v>32.537000122600688</v>
      </c>
      <c r="I32" s="119">
        <f>H32/'Cash flows'!C14/(1+Discount_rate)</f>
        <v>4.3388823948594307E-2</v>
      </c>
    </row>
    <row r="33" spans="1:9" x14ac:dyDescent="0.25">
      <c r="A33" s="128">
        <f t="shared" si="1"/>
        <v>10</v>
      </c>
      <c r="B33" s="133">
        <f>'Liability calculation'!B16</f>
        <v>0</v>
      </c>
      <c r="C33" s="123">
        <f>'Liability calculation'!D16</f>
        <v>0</v>
      </c>
      <c r="D33" s="123">
        <f>'Liability calculation'!F16</f>
        <v>0</v>
      </c>
      <c r="E33" s="134">
        <f t="shared" si="0"/>
        <v>0</v>
      </c>
      <c r="F33" s="133">
        <f t="shared" si="2"/>
        <v>263.65529820908648</v>
      </c>
      <c r="G33" s="123">
        <f>'Liability calculation'!I16</f>
        <v>22.325921087128226</v>
      </c>
      <c r="H33" s="134">
        <f>'Cash flows'!G15+G33-Tables!F33</f>
        <v>37.62125887592498</v>
      </c>
      <c r="I33" s="124">
        <f>H33/'Cash flows'!C15/(1+Discount_rate)</f>
        <v>4.3388823948594245E-2</v>
      </c>
    </row>
    <row r="35" spans="1:9" ht="18" x14ac:dyDescent="0.25">
      <c r="A35" s="150" t="s">
        <v>123</v>
      </c>
    </row>
    <row r="36" spans="1:9" ht="18" x14ac:dyDescent="0.25">
      <c r="A36" s="149" t="s">
        <v>124</v>
      </c>
    </row>
    <row r="37" spans="1:9" x14ac:dyDescent="0.25">
      <c r="A37" t="s">
        <v>122</v>
      </c>
    </row>
  </sheetData>
  <mergeCells count="15">
    <mergeCell ref="F21:F22"/>
    <mergeCell ref="G21:G22"/>
    <mergeCell ref="H21:H22"/>
    <mergeCell ref="I21:I22"/>
    <mergeCell ref="A5:A6"/>
    <mergeCell ref="B5:B6"/>
    <mergeCell ref="C5:C6"/>
    <mergeCell ref="D5:D6"/>
    <mergeCell ref="E5:E6"/>
    <mergeCell ref="F5:F6"/>
    <mergeCell ref="A21:A22"/>
    <mergeCell ref="B21:B22"/>
    <mergeCell ref="C21:C22"/>
    <mergeCell ref="D21:D22"/>
    <mergeCell ref="E21:E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Notes</vt:lpstr>
      <vt:lpstr>Data</vt:lpstr>
      <vt:lpstr>Assumptions</vt:lpstr>
      <vt:lpstr>Decrements</vt:lpstr>
      <vt:lpstr>Continuation factors</vt:lpstr>
      <vt:lpstr>Cash flows</vt:lpstr>
      <vt:lpstr>Liability calculation</vt:lpstr>
      <vt:lpstr>Tables</vt:lpstr>
      <vt:lpstr>Age</vt:lpstr>
      <vt:lpstr>Annual_premium</vt:lpstr>
      <vt:lpstr>CB1_factor</vt:lpstr>
      <vt:lpstr>CB2_factor</vt:lpstr>
      <vt:lpstr>claim_inflation</vt:lpstr>
      <vt:lpstr>Decrement</vt:lpstr>
      <vt:lpstr>Decrement_assumptions</vt:lpstr>
      <vt:lpstr>Discount_rate</vt:lpstr>
      <vt:lpstr>Factor</vt:lpstr>
      <vt:lpstr>IA95_97UltM</vt:lpstr>
      <vt:lpstr>IC_rate</vt:lpstr>
      <vt:lpstr>Incidence_rates</vt:lpstr>
      <vt:lpstr>Inflation</vt:lpstr>
      <vt:lpstr>Initial_comm_rate</vt:lpstr>
      <vt:lpstr>Initial_expense</vt:lpstr>
      <vt:lpstr>Investment_rate</vt:lpstr>
      <vt:lpstr>Premium_rate</vt:lpstr>
      <vt:lpstr>profit_margin</vt:lpstr>
      <vt:lpstr>RC_rate</vt:lpstr>
      <vt:lpstr>Renewal_comm_rate</vt:lpstr>
      <vt:lpstr>Renewal_expense</vt:lpstr>
      <vt:lpstr>Sum_Insured</vt:lpstr>
      <vt:lpstr>Val_disc_rate</vt:lpstr>
      <vt:lpstr>Val_int_rate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Zhu, Vincent</cp:lastModifiedBy>
  <dcterms:created xsi:type="dcterms:W3CDTF">2018-12-13T02:59:47Z</dcterms:created>
  <dcterms:modified xsi:type="dcterms:W3CDTF">2020-02-25T13:55:15Z</dcterms:modified>
</cp:coreProperties>
</file>