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zhu\Desktop\LIRV\Textbook\"/>
    </mc:Choice>
  </mc:AlternateContent>
  <bookViews>
    <workbookView xWindow="0" yWindow="0" windowWidth="28800" windowHeight="12135" activeTab="7"/>
  </bookViews>
  <sheets>
    <sheet name="Notes" sheetId="1" r:id="rId1"/>
    <sheet name="Data" sheetId="7" r:id="rId2"/>
    <sheet name="Assumptions" sheetId="6" r:id="rId3"/>
    <sheet name="Decrements" sheetId="3" r:id="rId4"/>
    <sheet name="Cash flows" sheetId="4" r:id="rId5"/>
    <sheet name="Liability calculation" sheetId="5" r:id="rId6"/>
    <sheet name="Profit Margin" sheetId="9" r:id="rId7"/>
    <sheet name="Tables" sheetId="8" r:id="rId8"/>
  </sheets>
  <definedNames>
    <definedName name="Age">Data!$B$4</definedName>
    <definedName name="Annual_premium">Data!$B$6</definedName>
    <definedName name="CB1_factor">Assumptions!$G$7</definedName>
    <definedName name="CB2_factor">Assumptions!$M$7</definedName>
    <definedName name="Decrement">Decrements!$A$5:$H$14</definedName>
    <definedName name="Discount_rate">Assumptions!$B$34</definedName>
    <definedName name="Factor">Assumptions!$B$7</definedName>
    <definedName name="IA95_97UltM">Data!$A$13:$B$112</definedName>
    <definedName name="IC_rate">Assumptions!$B$29</definedName>
    <definedName name="Inflation">Assumptions!$B$26</definedName>
    <definedName name="Initial_comm_rate">Assumptions!$B$29</definedName>
    <definedName name="Initial_expense">Assumptions!$B$24</definedName>
    <definedName name="Investment_rate">Assumptions!$B$32</definedName>
    <definedName name="lapse_rates">Assumptions!$A$12:$B$21</definedName>
    <definedName name="Profit_Margin">'Profit Margin'!$H$19</definedName>
    <definedName name="RC_rate">Assumptions!$B$30</definedName>
    <definedName name="Renewal_comm_rate">Assumptions!$B$30</definedName>
    <definedName name="Renewal_expense">Assumptions!$B$25</definedName>
    <definedName name="Stepped_premium_loading">Data!$B$6</definedName>
    <definedName name="Sum_Insured">Data!$B$5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1" i="8" l="1"/>
  <c r="L52" i="8"/>
  <c r="L53" i="8"/>
  <c r="L54" i="8"/>
  <c r="L55" i="8"/>
  <c r="L56" i="8"/>
  <c r="L57" i="8"/>
  <c r="L58" i="8"/>
  <c r="L59" i="8"/>
  <c r="L50" i="8"/>
  <c r="K51" i="8"/>
  <c r="K52" i="8"/>
  <c r="K53" i="8"/>
  <c r="K54" i="8"/>
  <c r="K55" i="8"/>
  <c r="K56" i="8"/>
  <c r="K57" i="8"/>
  <c r="K58" i="8"/>
  <c r="K59" i="8"/>
  <c r="K50" i="8"/>
  <c r="J51" i="8"/>
  <c r="J52" i="8"/>
  <c r="J53" i="8"/>
  <c r="J54" i="8"/>
  <c r="J55" i="8"/>
  <c r="J56" i="8"/>
  <c r="J57" i="8"/>
  <c r="J58" i="8"/>
  <c r="J59" i="8"/>
  <c r="J50" i="8"/>
  <c r="R35" i="4" l="1"/>
  <c r="R19" i="4"/>
  <c r="R5" i="4"/>
  <c r="Q37" i="4"/>
  <c r="Q38" i="4"/>
  <c r="Q39" i="4"/>
  <c r="Q40" i="4"/>
  <c r="Q41" i="4"/>
  <c r="Q42" i="4"/>
  <c r="Q43" i="4"/>
  <c r="Q44" i="4"/>
  <c r="Q45" i="4"/>
  <c r="Q36" i="4"/>
  <c r="P36" i="4"/>
  <c r="P37" i="4"/>
  <c r="P38" i="4"/>
  <c r="P39" i="4"/>
  <c r="P40" i="4"/>
  <c r="P41" i="4"/>
  <c r="P42" i="4"/>
  <c r="P43" i="4"/>
  <c r="P44" i="4"/>
  <c r="P35" i="4"/>
  <c r="N36" i="4"/>
  <c r="N37" i="4"/>
  <c r="N38" i="4"/>
  <c r="N39" i="4"/>
  <c r="N40" i="4"/>
  <c r="N41" i="4"/>
  <c r="N42" i="4"/>
  <c r="N43" i="4"/>
  <c r="N44" i="4"/>
  <c r="N35" i="4"/>
  <c r="O45" i="4"/>
  <c r="O44" i="4"/>
  <c r="O43" i="4"/>
  <c r="O42" i="4"/>
  <c r="O41" i="4"/>
  <c r="O40" i="4"/>
  <c r="O39" i="4"/>
  <c r="O38" i="4"/>
  <c r="O37" i="4"/>
  <c r="O36" i="4"/>
  <c r="M36" i="4"/>
  <c r="M37" i="4" s="1"/>
  <c r="M38" i="4" s="1"/>
  <c r="M39" i="4" s="1"/>
  <c r="M40" i="4" s="1"/>
  <c r="M41" i="4" s="1"/>
  <c r="M42" i="4" s="1"/>
  <c r="M43" i="4" s="1"/>
  <c r="M44" i="4" s="1"/>
  <c r="M45" i="4" s="1"/>
  <c r="Q21" i="4"/>
  <c r="Q22" i="4"/>
  <c r="Q23" i="4"/>
  <c r="Q24" i="4"/>
  <c r="Q25" i="4"/>
  <c r="Q26" i="4"/>
  <c r="Q27" i="4"/>
  <c r="Q28" i="4"/>
  <c r="Q29" i="4"/>
  <c r="Q20" i="4"/>
  <c r="P20" i="4"/>
  <c r="P21" i="4"/>
  <c r="P22" i="4"/>
  <c r="P23" i="4"/>
  <c r="P24" i="4"/>
  <c r="P25" i="4"/>
  <c r="P26" i="4"/>
  <c r="P27" i="4"/>
  <c r="P28" i="4"/>
  <c r="P19" i="4"/>
  <c r="Q19" i="4" s="1"/>
  <c r="N20" i="4"/>
  <c r="N21" i="4"/>
  <c r="N22" i="4"/>
  <c r="N23" i="4"/>
  <c r="N24" i="4"/>
  <c r="N25" i="4"/>
  <c r="N26" i="4"/>
  <c r="N27" i="4"/>
  <c r="N28" i="4"/>
  <c r="N19" i="4"/>
  <c r="O29" i="4"/>
  <c r="O28" i="4"/>
  <c r="O27" i="4"/>
  <c r="O26" i="4"/>
  <c r="O25" i="4"/>
  <c r="O24" i="4"/>
  <c r="O23" i="4"/>
  <c r="O22" i="4"/>
  <c r="O21" i="4"/>
  <c r="O20" i="4"/>
  <c r="M20" i="4"/>
  <c r="M21" i="4" s="1"/>
  <c r="M22" i="4" s="1"/>
  <c r="M23" i="4" s="1"/>
  <c r="M24" i="4" s="1"/>
  <c r="M25" i="4" s="1"/>
  <c r="M26" i="4" s="1"/>
  <c r="M27" i="4" s="1"/>
  <c r="M28" i="4" s="1"/>
  <c r="M29" i="4" s="1"/>
  <c r="Q6" i="4"/>
  <c r="Q7" i="4"/>
  <c r="Q8" i="4"/>
  <c r="Q9" i="4"/>
  <c r="Q10" i="4"/>
  <c r="Q11" i="4"/>
  <c r="Q12" i="4"/>
  <c r="Q13" i="4"/>
  <c r="Q14" i="4"/>
  <c r="Q5" i="4"/>
  <c r="Q4" i="4"/>
  <c r="O14" i="4"/>
  <c r="P13" i="4" s="1"/>
  <c r="O13" i="4"/>
  <c r="P12" i="4" s="1"/>
  <c r="N13" i="4"/>
  <c r="O12" i="4"/>
  <c r="P11" i="4" s="1"/>
  <c r="N12" i="4"/>
  <c r="O11" i="4"/>
  <c r="P10" i="4" s="1"/>
  <c r="N11" i="4"/>
  <c r="O10" i="4"/>
  <c r="P9" i="4" s="1"/>
  <c r="N10" i="4"/>
  <c r="O9" i="4"/>
  <c r="P8" i="4" s="1"/>
  <c r="N9" i="4"/>
  <c r="O8" i="4"/>
  <c r="P7" i="4" s="1"/>
  <c r="N8" i="4"/>
  <c r="O7" i="4"/>
  <c r="P6" i="4" s="1"/>
  <c r="N7" i="4"/>
  <c r="O6" i="4"/>
  <c r="P5" i="4" s="1"/>
  <c r="N6" i="4"/>
  <c r="O5" i="4"/>
  <c r="P4" i="4" s="1"/>
  <c r="N5" i="4"/>
  <c r="M5" i="4"/>
  <c r="M6" i="4" s="1"/>
  <c r="M7" i="4" s="1"/>
  <c r="M8" i="4" s="1"/>
  <c r="M9" i="4" s="1"/>
  <c r="M10" i="4" s="1"/>
  <c r="M11" i="4" s="1"/>
  <c r="M12" i="4" s="1"/>
  <c r="M13" i="4" s="1"/>
  <c r="M14" i="4" s="1"/>
  <c r="N4" i="4"/>
  <c r="Q35" i="4" l="1"/>
  <c r="G45" i="8" l="1"/>
  <c r="B8" i="9" l="1"/>
  <c r="B9" i="9" s="1"/>
  <c r="B10" i="9" l="1"/>
  <c r="F16" i="5"/>
  <c r="J29" i="8" s="1"/>
  <c r="B36" i="4"/>
  <c r="D16" i="5"/>
  <c r="F29" i="8" s="1"/>
  <c r="B20" i="4"/>
  <c r="B16" i="5"/>
  <c r="A7" i="5"/>
  <c r="A8" i="5" s="1"/>
  <c r="A9" i="5" s="1"/>
  <c r="A10" i="5" s="1"/>
  <c r="A11" i="5" s="1"/>
  <c r="A12" i="5" s="1"/>
  <c r="A13" i="5" s="1"/>
  <c r="A14" i="5" s="1"/>
  <c r="A15" i="5" s="1"/>
  <c r="A16" i="5" s="1"/>
  <c r="B5" i="3"/>
  <c r="B5" i="4"/>
  <c r="C29" i="8" l="1"/>
  <c r="F45" i="8"/>
  <c r="B59" i="8" s="1"/>
  <c r="G17" i="9"/>
  <c r="B11" i="9"/>
  <c r="E5" i="4"/>
  <c r="C5" i="4"/>
  <c r="B37" i="4"/>
  <c r="B6" i="4"/>
  <c r="B7" i="4" s="1"/>
  <c r="B21" i="4"/>
  <c r="B22" i="4" s="1"/>
  <c r="B23" i="4" s="1"/>
  <c r="C5" i="3"/>
  <c r="A13" i="6"/>
  <c r="A14" i="6" s="1"/>
  <c r="A15" i="6" s="1"/>
  <c r="A16" i="6" s="1"/>
  <c r="A17" i="6" s="1"/>
  <c r="A18" i="6" s="1"/>
  <c r="A19" i="6" s="1"/>
  <c r="A20" i="6" s="1"/>
  <c r="A21" i="6" s="1"/>
  <c r="E5" i="3"/>
  <c r="A6" i="3"/>
  <c r="B6" i="3" s="1"/>
  <c r="B36" i="8" l="1"/>
  <c r="C8" i="9"/>
  <c r="C36" i="8"/>
  <c r="E8" i="9"/>
  <c r="B12" i="9"/>
  <c r="C4" i="8"/>
  <c r="E20" i="4"/>
  <c r="B4" i="8"/>
  <c r="C36" i="4"/>
  <c r="D5" i="4"/>
  <c r="C20" i="4"/>
  <c r="E36" i="4"/>
  <c r="B38" i="4"/>
  <c r="B8" i="4"/>
  <c r="B24" i="4"/>
  <c r="F5" i="3"/>
  <c r="G5" i="3" s="1"/>
  <c r="C6" i="3"/>
  <c r="A7" i="3"/>
  <c r="B7" i="3" s="1"/>
  <c r="D36" i="8" l="1"/>
  <c r="D8" i="9"/>
  <c r="E36" i="8"/>
  <c r="C50" i="8"/>
  <c r="B13" i="9"/>
  <c r="D20" i="4"/>
  <c r="F20" i="4" s="1"/>
  <c r="D4" i="8"/>
  <c r="G20" i="4"/>
  <c r="D36" i="4"/>
  <c r="F36" i="4" s="1"/>
  <c r="F5" i="4"/>
  <c r="D6" i="3"/>
  <c r="E6" i="3" s="1"/>
  <c r="F6" i="3" s="1"/>
  <c r="H5" i="3"/>
  <c r="B39" i="4"/>
  <c r="B9" i="4"/>
  <c r="B25" i="4"/>
  <c r="A8" i="3"/>
  <c r="B8" i="3" s="1"/>
  <c r="C7" i="3"/>
  <c r="F8" i="9" l="1"/>
  <c r="B14" i="9"/>
  <c r="E4" i="8"/>
  <c r="G36" i="4"/>
  <c r="H20" i="4"/>
  <c r="H36" i="4"/>
  <c r="B40" i="4"/>
  <c r="B10" i="4"/>
  <c r="B26" i="4"/>
  <c r="A9" i="3"/>
  <c r="C8" i="3"/>
  <c r="G6" i="3"/>
  <c r="B15" i="9" l="1"/>
  <c r="E6" i="4"/>
  <c r="C6" i="4"/>
  <c r="E7" i="4"/>
  <c r="C7" i="4"/>
  <c r="B9" i="3"/>
  <c r="D7" i="3"/>
  <c r="E7" i="3" s="1"/>
  <c r="F7" i="3" s="1"/>
  <c r="H6" i="3"/>
  <c r="B41" i="4"/>
  <c r="B11" i="4"/>
  <c r="B27" i="4"/>
  <c r="A10" i="3"/>
  <c r="B10" i="3" s="1"/>
  <c r="C9" i="3"/>
  <c r="B38" i="8" l="1"/>
  <c r="C10" i="9"/>
  <c r="B37" i="8"/>
  <c r="C9" i="9"/>
  <c r="E22" i="4"/>
  <c r="C38" i="8"/>
  <c r="E10" i="9"/>
  <c r="C37" i="8"/>
  <c r="E9" i="9"/>
  <c r="B16" i="9"/>
  <c r="C5" i="8"/>
  <c r="E21" i="4"/>
  <c r="E38" i="4"/>
  <c r="C6" i="8"/>
  <c r="D6" i="4"/>
  <c r="B5" i="8"/>
  <c r="D7" i="4"/>
  <c r="B6" i="8"/>
  <c r="C21" i="4"/>
  <c r="E37" i="4"/>
  <c r="C37" i="4"/>
  <c r="D37" i="4" s="1"/>
  <c r="B42" i="4"/>
  <c r="B12" i="4"/>
  <c r="B28" i="4"/>
  <c r="A11" i="3"/>
  <c r="B11" i="3" s="1"/>
  <c r="C10" i="3"/>
  <c r="G7" i="3"/>
  <c r="D6" i="8" l="1"/>
  <c r="D38" i="8"/>
  <c r="D10" i="9"/>
  <c r="D37" i="8"/>
  <c r="E37" i="8" s="1"/>
  <c r="D9" i="9"/>
  <c r="E38" i="8"/>
  <c r="B17" i="9"/>
  <c r="F6" i="4"/>
  <c r="D21" i="4"/>
  <c r="G21" i="4" s="1"/>
  <c r="D5" i="8"/>
  <c r="F37" i="4"/>
  <c r="C8" i="4"/>
  <c r="E8" i="4"/>
  <c r="G37" i="4"/>
  <c r="C22" i="4"/>
  <c r="C38" i="4"/>
  <c r="D38" i="4" s="1"/>
  <c r="D22" i="4"/>
  <c r="D8" i="3"/>
  <c r="E8" i="3" s="1"/>
  <c r="F8" i="3" s="1"/>
  <c r="G8" i="3" s="1"/>
  <c r="H7" i="3"/>
  <c r="B43" i="4"/>
  <c r="B13" i="4"/>
  <c r="B29" i="4"/>
  <c r="A12" i="3"/>
  <c r="C11" i="3"/>
  <c r="E23" i="4" l="1"/>
  <c r="C39" i="8"/>
  <c r="E11" i="9"/>
  <c r="F9" i="9"/>
  <c r="H37" i="4"/>
  <c r="G38" i="4" s="1"/>
  <c r="B39" i="8"/>
  <c r="C11" i="9"/>
  <c r="E5" i="8"/>
  <c r="E39" i="4"/>
  <c r="C7" i="8"/>
  <c r="D8" i="4"/>
  <c r="B7" i="8"/>
  <c r="F21" i="4"/>
  <c r="H21" i="4" s="1"/>
  <c r="G22" i="4" s="1"/>
  <c r="E9" i="4"/>
  <c r="C9" i="4"/>
  <c r="B12" i="3"/>
  <c r="F22" i="4"/>
  <c r="F7" i="4"/>
  <c r="D9" i="3"/>
  <c r="E9" i="3" s="1"/>
  <c r="F9" i="3" s="1"/>
  <c r="G9" i="3" s="1"/>
  <c r="H8" i="3"/>
  <c r="B44" i="4"/>
  <c r="B14" i="4"/>
  <c r="A13" i="3"/>
  <c r="B13" i="3" s="1"/>
  <c r="C12" i="3"/>
  <c r="F10" i="9" l="1"/>
  <c r="E24" i="4"/>
  <c r="C40" i="8"/>
  <c r="E12" i="9"/>
  <c r="B40" i="8"/>
  <c r="C12" i="9"/>
  <c r="D7" i="8"/>
  <c r="D39" i="8"/>
  <c r="E39" i="8" s="1"/>
  <c r="D11" i="9"/>
  <c r="E40" i="4"/>
  <c r="C8" i="8"/>
  <c r="E6" i="8"/>
  <c r="D9" i="4"/>
  <c r="B8" i="8"/>
  <c r="H22" i="4"/>
  <c r="C10" i="4"/>
  <c r="E10" i="4"/>
  <c r="D10" i="3"/>
  <c r="H9" i="3"/>
  <c r="F38" i="4"/>
  <c r="H38" i="4" s="1"/>
  <c r="C39" i="4"/>
  <c r="D39" i="4" s="1"/>
  <c r="D23" i="4"/>
  <c r="C23" i="4"/>
  <c r="B45" i="4"/>
  <c r="A14" i="3"/>
  <c r="B14" i="3" s="1"/>
  <c r="C13" i="3"/>
  <c r="B41" i="8" l="1"/>
  <c r="C13" i="9"/>
  <c r="E25" i="4"/>
  <c r="C41" i="8"/>
  <c r="E13" i="9"/>
  <c r="D8" i="8"/>
  <c r="D40" i="8"/>
  <c r="E40" i="8" s="1"/>
  <c r="D12" i="9"/>
  <c r="E41" i="4"/>
  <c r="C9" i="8"/>
  <c r="D10" i="4"/>
  <c r="B9" i="8"/>
  <c r="G23" i="4"/>
  <c r="F8" i="4"/>
  <c r="C24" i="4"/>
  <c r="C40" i="4"/>
  <c r="D40" i="4" s="1"/>
  <c r="D24" i="4"/>
  <c r="F23" i="4"/>
  <c r="F39" i="4"/>
  <c r="E10" i="3"/>
  <c r="F10" i="3" s="1"/>
  <c r="G10" i="3" s="1"/>
  <c r="C14" i="3"/>
  <c r="F11" i="9" l="1"/>
  <c r="D9" i="8"/>
  <c r="D41" i="8"/>
  <c r="E41" i="8" s="1"/>
  <c r="D13" i="9"/>
  <c r="E7" i="8"/>
  <c r="C11" i="4"/>
  <c r="E11" i="4"/>
  <c r="G39" i="4"/>
  <c r="H39" i="4" s="1"/>
  <c r="H23" i="4"/>
  <c r="G24" i="4" s="1"/>
  <c r="D11" i="3"/>
  <c r="E11" i="3" s="1"/>
  <c r="F11" i="3" s="1"/>
  <c r="G11" i="3" s="1"/>
  <c r="H10" i="3"/>
  <c r="F9" i="4"/>
  <c r="F40" i="4"/>
  <c r="C41" i="4"/>
  <c r="D41" i="4" s="1"/>
  <c r="D25" i="4"/>
  <c r="C25" i="4"/>
  <c r="F10" i="4"/>
  <c r="F24" i="4"/>
  <c r="F13" i="9" l="1"/>
  <c r="H24" i="4"/>
  <c r="F12" i="9"/>
  <c r="B42" i="8"/>
  <c r="C14" i="9"/>
  <c r="E26" i="4"/>
  <c r="C42" i="8"/>
  <c r="E14" i="9"/>
  <c r="E42" i="4"/>
  <c r="C10" i="8"/>
  <c r="E9" i="8"/>
  <c r="D11" i="4"/>
  <c r="B10" i="8"/>
  <c r="E8" i="8"/>
  <c r="G25" i="4"/>
  <c r="C12" i="4"/>
  <c r="E12" i="4"/>
  <c r="F25" i="4"/>
  <c r="F41" i="4"/>
  <c r="G40" i="4"/>
  <c r="H40" i="4" s="1"/>
  <c r="G41" i="4" s="1"/>
  <c r="D12" i="3"/>
  <c r="H11" i="3"/>
  <c r="D10" i="8" l="1"/>
  <c r="D42" i="8"/>
  <c r="E42" i="8" s="1"/>
  <c r="D14" i="9"/>
  <c r="E27" i="4"/>
  <c r="C43" i="8"/>
  <c r="E15" i="9"/>
  <c r="B43" i="8"/>
  <c r="C15" i="9"/>
  <c r="E43" i="4"/>
  <c r="C11" i="8"/>
  <c r="D12" i="4"/>
  <c r="B11" i="8"/>
  <c r="H25" i="4"/>
  <c r="H41" i="4"/>
  <c r="C26" i="4"/>
  <c r="C42" i="4"/>
  <c r="D42" i="4" s="1"/>
  <c r="D26" i="4"/>
  <c r="E12" i="3"/>
  <c r="F12" i="3" s="1"/>
  <c r="G12" i="3" s="1"/>
  <c r="D11" i="8" l="1"/>
  <c r="D43" i="8"/>
  <c r="E43" i="8" s="1"/>
  <c r="D15" i="9"/>
  <c r="C13" i="4"/>
  <c r="E13" i="4"/>
  <c r="D13" i="3"/>
  <c r="E13" i="3" s="1"/>
  <c r="F13" i="3" s="1"/>
  <c r="G13" i="3" s="1"/>
  <c r="H12" i="3"/>
  <c r="F11" i="4"/>
  <c r="F42" i="4"/>
  <c r="G42" i="4"/>
  <c r="F26" i="4"/>
  <c r="G26" i="4"/>
  <c r="C43" i="4"/>
  <c r="D43" i="4" s="1"/>
  <c r="D27" i="4"/>
  <c r="C27" i="4"/>
  <c r="E28" i="4" l="1"/>
  <c r="C44" i="8"/>
  <c r="E16" i="9"/>
  <c r="F14" i="9"/>
  <c r="B44" i="8"/>
  <c r="C16" i="9"/>
  <c r="E44" i="4"/>
  <c r="C12" i="8"/>
  <c r="D13" i="4"/>
  <c r="B12" i="8"/>
  <c r="E10" i="8"/>
  <c r="C14" i="4"/>
  <c r="E14" i="4"/>
  <c r="H26" i="4"/>
  <c r="F12" i="4"/>
  <c r="G27" i="4"/>
  <c r="F27" i="4"/>
  <c r="F43" i="4"/>
  <c r="H42" i="4"/>
  <c r="G43" i="4" s="1"/>
  <c r="D14" i="3"/>
  <c r="E14" i="3" s="1"/>
  <c r="F14" i="3" s="1"/>
  <c r="G14" i="3" s="1"/>
  <c r="H14" i="3" s="1"/>
  <c r="H13" i="3"/>
  <c r="F15" i="9" l="1"/>
  <c r="B45" i="8"/>
  <c r="H16" i="9"/>
  <c r="C17" i="9"/>
  <c r="H7" i="9"/>
  <c r="H9" i="9"/>
  <c r="H8" i="9"/>
  <c r="H10" i="9"/>
  <c r="H14" i="9"/>
  <c r="H12" i="9"/>
  <c r="E29" i="4"/>
  <c r="C45" i="8"/>
  <c r="E17" i="9"/>
  <c r="D12" i="8"/>
  <c r="D44" i="8"/>
  <c r="E44" i="8" s="1"/>
  <c r="D16" i="9"/>
  <c r="H11" i="9"/>
  <c r="H13" i="9"/>
  <c r="H15" i="9"/>
  <c r="E45" i="4"/>
  <c r="C13" i="8"/>
  <c r="E11" i="8"/>
  <c r="D14" i="4"/>
  <c r="B13" i="8"/>
  <c r="H43" i="4"/>
  <c r="H27" i="4"/>
  <c r="C28" i="4"/>
  <c r="C44" i="4"/>
  <c r="D44" i="4" s="1"/>
  <c r="D28" i="4"/>
  <c r="D13" i="8" l="1"/>
  <c r="D45" i="8"/>
  <c r="E45" i="8" s="1"/>
  <c r="D17" i="9"/>
  <c r="G44" i="8"/>
  <c r="G43" i="8" s="1"/>
  <c r="G42" i="8" s="1"/>
  <c r="G41" i="8" s="1"/>
  <c r="G40" i="8" s="1"/>
  <c r="G39" i="8" s="1"/>
  <c r="G38" i="8" s="1"/>
  <c r="G37" i="8" s="1"/>
  <c r="G36" i="8" s="1"/>
  <c r="G35" i="8" s="1"/>
  <c r="F28" i="4"/>
  <c r="F13" i="4"/>
  <c r="G44" i="4"/>
  <c r="G28" i="4"/>
  <c r="C45" i="4"/>
  <c r="D45" i="4" s="1"/>
  <c r="D29" i="4"/>
  <c r="C29" i="4"/>
  <c r="F14" i="4"/>
  <c r="F17" i="9" l="1"/>
  <c r="F16" i="9"/>
  <c r="E12" i="8"/>
  <c r="E13" i="8"/>
  <c r="F29" i="4"/>
  <c r="H28" i="4"/>
  <c r="G29" i="4" s="1"/>
  <c r="F45" i="4"/>
  <c r="D15" i="5"/>
  <c r="B15" i="5"/>
  <c r="F15" i="5"/>
  <c r="F44" i="4"/>
  <c r="H44" i="4" s="1"/>
  <c r="C28" i="8" l="1"/>
  <c r="F44" i="8"/>
  <c r="B58" i="8" s="1"/>
  <c r="G16" i="9"/>
  <c r="B14" i="5"/>
  <c r="F14" i="5"/>
  <c r="J28" i="8"/>
  <c r="D14" i="5"/>
  <c r="F28" i="8"/>
  <c r="H29" i="4"/>
  <c r="G45" i="4"/>
  <c r="H45" i="4" s="1"/>
  <c r="C27" i="8" l="1"/>
  <c r="F43" i="8"/>
  <c r="B57" i="8" s="1"/>
  <c r="G15" i="9"/>
  <c r="B13" i="5"/>
  <c r="D13" i="5"/>
  <c r="F27" i="8"/>
  <c r="F13" i="5"/>
  <c r="J27" i="8"/>
  <c r="C26" i="8" l="1"/>
  <c r="F42" i="8"/>
  <c r="B56" i="8" s="1"/>
  <c r="G14" i="9"/>
  <c r="B12" i="5"/>
  <c r="F12" i="5"/>
  <c r="J26" i="8"/>
  <c r="D12" i="5"/>
  <c r="F26" i="8"/>
  <c r="C25" i="8" l="1"/>
  <c r="F41" i="8"/>
  <c r="B55" i="8" s="1"/>
  <c r="G13" i="9"/>
  <c r="B11" i="5"/>
  <c r="D11" i="5"/>
  <c r="F25" i="8"/>
  <c r="F11" i="5"/>
  <c r="J25" i="8"/>
  <c r="C24" i="8" l="1"/>
  <c r="F40" i="8"/>
  <c r="B54" i="8" s="1"/>
  <c r="G12" i="9"/>
  <c r="B10" i="5"/>
  <c r="F10" i="5"/>
  <c r="J24" i="8"/>
  <c r="D10" i="5"/>
  <c r="F24" i="8"/>
  <c r="C23" i="8" l="1"/>
  <c r="F39" i="8"/>
  <c r="B53" i="8" s="1"/>
  <c r="G11" i="9"/>
  <c r="B9" i="5"/>
  <c r="B8" i="5" s="1"/>
  <c r="D9" i="5"/>
  <c r="F23" i="8"/>
  <c r="F9" i="5"/>
  <c r="J23" i="8"/>
  <c r="C21" i="8" l="1"/>
  <c r="F37" i="8"/>
  <c r="B51" i="8" s="1"/>
  <c r="G9" i="9"/>
  <c r="C22" i="8"/>
  <c r="F38" i="8"/>
  <c r="B52" i="8" s="1"/>
  <c r="G10" i="9"/>
  <c r="F8" i="5"/>
  <c r="J22" i="8"/>
  <c r="D8" i="5"/>
  <c r="F22" i="8"/>
  <c r="B7" i="5"/>
  <c r="F36" i="8" l="1"/>
  <c r="B50" i="8" s="1"/>
  <c r="G8" i="9"/>
  <c r="D7" i="5"/>
  <c r="F21" i="8"/>
  <c r="F7" i="5"/>
  <c r="J21" i="8"/>
  <c r="C20" i="8"/>
  <c r="B6" i="5"/>
  <c r="N15" i="4" l="1"/>
  <c r="D50" i="8"/>
  <c r="G5" i="4"/>
  <c r="H5" i="4" s="1"/>
  <c r="F35" i="8"/>
  <c r="G7" i="9"/>
  <c r="H19" i="9" s="1"/>
  <c r="C6" i="5"/>
  <c r="D19" i="8" s="1"/>
  <c r="F6" i="5"/>
  <c r="N46" i="4" s="1"/>
  <c r="J20" i="8"/>
  <c r="D6" i="5"/>
  <c r="N30" i="4" s="1"/>
  <c r="F20" i="8"/>
  <c r="C19" i="8"/>
  <c r="I5" i="4" l="1"/>
  <c r="H6" i="4" s="1"/>
  <c r="D51" i="8" s="1"/>
  <c r="C7" i="5"/>
  <c r="D20" i="8" s="1"/>
  <c r="H45" i="8"/>
  <c r="I45" i="8" s="1"/>
  <c r="E59" i="8" s="1"/>
  <c r="I17" i="9"/>
  <c r="H44" i="8"/>
  <c r="I44" i="8" s="1"/>
  <c r="H43" i="8"/>
  <c r="I43" i="8" s="1"/>
  <c r="H42" i="8"/>
  <c r="I42" i="8" s="1"/>
  <c r="H41" i="8"/>
  <c r="I41" i="8" s="1"/>
  <c r="H40" i="8"/>
  <c r="I40" i="8" s="1"/>
  <c r="H39" i="8"/>
  <c r="I39" i="8" s="1"/>
  <c r="H38" i="8"/>
  <c r="I38" i="8" s="1"/>
  <c r="H37" i="8"/>
  <c r="I37" i="8" s="1"/>
  <c r="H36" i="8"/>
  <c r="I36" i="8" s="1"/>
  <c r="I14" i="9"/>
  <c r="I7" i="9"/>
  <c r="I11" i="9"/>
  <c r="I10" i="9"/>
  <c r="I13" i="9"/>
  <c r="I8" i="9"/>
  <c r="I16" i="9"/>
  <c r="I15" i="9"/>
  <c r="I12" i="9"/>
  <c r="I9" i="9"/>
  <c r="H35" i="8"/>
  <c r="I35" i="8" s="1"/>
  <c r="F50" i="8" s="1"/>
  <c r="B20" i="8"/>
  <c r="F19" i="8"/>
  <c r="I20" i="4"/>
  <c r="J20" i="4" s="1"/>
  <c r="E6" i="5"/>
  <c r="G19" i="8" s="1"/>
  <c r="H19" i="8" s="1"/>
  <c r="J19" i="8"/>
  <c r="I36" i="4"/>
  <c r="J36" i="4" s="1"/>
  <c r="G6" i="5"/>
  <c r="K19" i="8" s="1"/>
  <c r="L19" i="8" s="1"/>
  <c r="I6" i="4" l="1"/>
  <c r="H7" i="4" s="1"/>
  <c r="D52" i="8" s="1"/>
  <c r="C51" i="8"/>
  <c r="E50" i="8"/>
  <c r="G50" i="8" s="1"/>
  <c r="F51" i="8"/>
  <c r="E52" i="8"/>
  <c r="F53" i="8"/>
  <c r="E54" i="8"/>
  <c r="F55" i="8"/>
  <c r="E56" i="8"/>
  <c r="F57" i="8"/>
  <c r="E58" i="8"/>
  <c r="F59" i="8"/>
  <c r="G59" i="8" s="1"/>
  <c r="E51" i="8"/>
  <c r="F52" i="8"/>
  <c r="G52" i="8" s="1"/>
  <c r="E53" i="8"/>
  <c r="F54" i="8"/>
  <c r="G54" i="8" s="1"/>
  <c r="E55" i="8"/>
  <c r="F56" i="8"/>
  <c r="G56" i="8" s="1"/>
  <c r="E57" i="8"/>
  <c r="F58" i="8"/>
  <c r="G58" i="8" s="1"/>
  <c r="I20" i="8"/>
  <c r="G7" i="5"/>
  <c r="K20" i="8" s="1"/>
  <c r="L20" i="8" s="1"/>
  <c r="B21" i="8"/>
  <c r="C8" i="5"/>
  <c r="K36" i="4"/>
  <c r="E20" i="8"/>
  <c r="K20" i="4"/>
  <c r="E7" i="5"/>
  <c r="G20" i="8" s="1"/>
  <c r="H20" i="8" s="1"/>
  <c r="H59" i="8" l="1"/>
  <c r="I59" i="8"/>
  <c r="H58" i="8"/>
  <c r="I58" i="8"/>
  <c r="H54" i="8"/>
  <c r="I54" i="8"/>
  <c r="H50" i="8"/>
  <c r="I50" i="8"/>
  <c r="H56" i="8"/>
  <c r="I56" i="8"/>
  <c r="H52" i="8"/>
  <c r="I52" i="8"/>
  <c r="G57" i="8"/>
  <c r="G55" i="8"/>
  <c r="G53" i="8"/>
  <c r="G51" i="8"/>
  <c r="I7" i="4"/>
  <c r="H8" i="4" s="1"/>
  <c r="D53" i="8" s="1"/>
  <c r="C52" i="8"/>
  <c r="B22" i="8"/>
  <c r="C9" i="5"/>
  <c r="J21" i="4"/>
  <c r="J37" i="4"/>
  <c r="I21" i="8" s="1"/>
  <c r="H51" i="8" l="1"/>
  <c r="I51" i="8"/>
  <c r="H53" i="8"/>
  <c r="I53" i="8"/>
  <c r="H55" i="8"/>
  <c r="I55" i="8"/>
  <c r="H57" i="8"/>
  <c r="I57" i="8"/>
  <c r="I8" i="4"/>
  <c r="H9" i="4" s="1"/>
  <c r="D54" i="8" s="1"/>
  <c r="C53" i="8"/>
  <c r="B23" i="8"/>
  <c r="C10" i="5"/>
  <c r="G8" i="5"/>
  <c r="K21" i="8" s="1"/>
  <c r="L21" i="8" s="1"/>
  <c r="E21" i="8"/>
  <c r="E8" i="5"/>
  <c r="G21" i="8" s="1"/>
  <c r="H21" i="8" s="1"/>
  <c r="K37" i="4"/>
  <c r="K21" i="4"/>
  <c r="C54" i="8" l="1"/>
  <c r="B24" i="8"/>
  <c r="C11" i="5"/>
  <c r="I9" i="4"/>
  <c r="J38" i="4"/>
  <c r="I22" i="8" s="1"/>
  <c r="J22" i="4"/>
  <c r="H10" i="4" l="1"/>
  <c r="D55" i="8" s="1"/>
  <c r="E22" i="8"/>
  <c r="E9" i="5"/>
  <c r="G22" i="8" s="1"/>
  <c r="H22" i="8" s="1"/>
  <c r="G9" i="5"/>
  <c r="K22" i="8" s="1"/>
  <c r="L22" i="8" s="1"/>
  <c r="K22" i="4"/>
  <c r="K38" i="4"/>
  <c r="I10" i="4" l="1"/>
  <c r="H11" i="4" s="1"/>
  <c r="D56" i="8" s="1"/>
  <c r="C55" i="8"/>
  <c r="B25" i="8"/>
  <c r="C12" i="5"/>
  <c r="J23" i="4"/>
  <c r="J39" i="4"/>
  <c r="I23" i="8" s="1"/>
  <c r="I11" i="4" l="1"/>
  <c r="H12" i="4" s="1"/>
  <c r="D57" i="8" s="1"/>
  <c r="C56" i="8"/>
  <c r="B26" i="8"/>
  <c r="C13" i="5"/>
  <c r="G10" i="5"/>
  <c r="K23" i="8" s="1"/>
  <c r="L23" i="8" s="1"/>
  <c r="E23" i="8"/>
  <c r="E10" i="5"/>
  <c r="G23" i="8" s="1"/>
  <c r="H23" i="8" s="1"/>
  <c r="K39" i="4"/>
  <c r="K23" i="4"/>
  <c r="C57" i="8" l="1"/>
  <c r="B27" i="8"/>
  <c r="C14" i="5"/>
  <c r="I12" i="4"/>
  <c r="J40" i="4"/>
  <c r="I24" i="8" s="1"/>
  <c r="J24" i="4"/>
  <c r="H13" i="4" l="1"/>
  <c r="D58" i="8" s="1"/>
  <c r="E24" i="8"/>
  <c r="E11" i="5"/>
  <c r="G24" i="8" s="1"/>
  <c r="H24" i="8" s="1"/>
  <c r="G11" i="5"/>
  <c r="K24" i="8" s="1"/>
  <c r="L24" i="8" s="1"/>
  <c r="K24" i="4"/>
  <c r="K40" i="4"/>
  <c r="C58" i="8" l="1"/>
  <c r="B28" i="8"/>
  <c r="C15" i="5"/>
  <c r="I13" i="4"/>
  <c r="J25" i="4"/>
  <c r="J41" i="4"/>
  <c r="I25" i="8" s="1"/>
  <c r="H14" i="4" l="1"/>
  <c r="G12" i="5"/>
  <c r="K25" i="8" s="1"/>
  <c r="L25" i="8" s="1"/>
  <c r="E25" i="8"/>
  <c r="E12" i="5"/>
  <c r="G25" i="8" s="1"/>
  <c r="H25" i="8" s="1"/>
  <c r="K41" i="4"/>
  <c r="K25" i="4"/>
  <c r="C59" i="8" l="1"/>
  <c r="D59" i="8"/>
  <c r="C16" i="5"/>
  <c r="B29" i="8"/>
  <c r="I14" i="4"/>
  <c r="J42" i="4"/>
  <c r="I26" i="8" s="1"/>
  <c r="J26" i="4"/>
  <c r="E26" i="8" l="1"/>
  <c r="E13" i="5"/>
  <c r="G26" i="8" s="1"/>
  <c r="H26" i="8" s="1"/>
  <c r="G13" i="5"/>
  <c r="K26" i="8" s="1"/>
  <c r="L26" i="8" s="1"/>
  <c r="K26" i="4"/>
  <c r="K42" i="4"/>
  <c r="J27" i="4" l="1"/>
  <c r="J43" i="4"/>
  <c r="I27" i="8" s="1"/>
  <c r="G14" i="5" l="1"/>
  <c r="K27" i="8" s="1"/>
  <c r="L27" i="8" s="1"/>
  <c r="E27" i="8"/>
  <c r="E14" i="5"/>
  <c r="G27" i="8" s="1"/>
  <c r="H27" i="8" s="1"/>
  <c r="K43" i="4"/>
  <c r="K27" i="4"/>
  <c r="J44" i="4" l="1"/>
  <c r="I28" i="8" s="1"/>
  <c r="J28" i="4"/>
  <c r="E28" i="8" l="1"/>
  <c r="E15" i="5"/>
  <c r="G28" i="8" s="1"/>
  <c r="H28" i="8" s="1"/>
  <c r="G15" i="5"/>
  <c r="K28" i="8" s="1"/>
  <c r="L28" i="8" s="1"/>
  <c r="K28" i="4"/>
  <c r="K44" i="4"/>
  <c r="J29" i="4" l="1"/>
  <c r="J45" i="4"/>
  <c r="I29" i="8" s="1"/>
  <c r="G16" i="5" l="1"/>
  <c r="K29" i="8" s="1"/>
  <c r="L29" i="8" s="1"/>
  <c r="E29" i="8"/>
  <c r="E16" i="5"/>
  <c r="G29" i="8" s="1"/>
  <c r="H29" i="8" s="1"/>
  <c r="K45" i="4"/>
  <c r="K29" i="4"/>
</calcChain>
</file>

<file path=xl/comments1.xml><?xml version="1.0" encoding="utf-8"?>
<comments xmlns="http://schemas.openxmlformats.org/spreadsheetml/2006/main">
  <authors>
    <author>Zhu, Vincent</author>
  </authors>
  <commentList>
    <comment ref="Q3" authorId="0" shapeId="0">
      <text>
        <r>
          <rPr>
            <b/>
            <sz val="9"/>
            <color indexed="81"/>
            <rFont val="Tahoma"/>
            <charset val="1"/>
          </rPr>
          <t>Zhu, Vincent:</t>
        </r>
        <r>
          <rPr>
            <sz val="9"/>
            <color indexed="81"/>
            <rFont val="Tahoma"/>
            <charset val="1"/>
          </rPr>
          <t xml:space="preserve">
All profits based on CFs under BE basis.</t>
        </r>
      </text>
    </comment>
    <comment ref="R5" authorId="0" shapeId="0">
      <text>
        <r>
          <rPr>
            <b/>
            <sz val="9"/>
            <color indexed="81"/>
            <rFont val="Tahoma"/>
            <family val="2"/>
          </rPr>
          <t>Zhu, Vincent:</t>
        </r>
        <r>
          <rPr>
            <sz val="9"/>
            <color indexed="81"/>
            <rFont val="Tahoma"/>
            <family val="2"/>
          </rPr>
          <t xml:space="preserve">
Reserving basis (how to determine the policy liability) does not affect the total profit except for the timing of release.</t>
        </r>
      </text>
    </comment>
  </commentList>
</comments>
</file>

<file path=xl/sharedStrings.xml><?xml version="1.0" encoding="utf-8"?>
<sst xmlns="http://schemas.openxmlformats.org/spreadsheetml/2006/main" count="211" uniqueCount="130">
  <si>
    <t>Pricing basis</t>
  </si>
  <si>
    <t>Mortality</t>
  </si>
  <si>
    <t>IA95-97</t>
  </si>
  <si>
    <t>Lapse Rates</t>
  </si>
  <si>
    <t>Expenses</t>
  </si>
  <si>
    <t xml:space="preserve"> - Table</t>
  </si>
  <si>
    <t xml:space="preserve"> - Factor</t>
  </si>
  <si>
    <t xml:space="preserve">  - Select</t>
  </si>
  <si>
    <t>0 years i.e. Ult rates</t>
  </si>
  <si>
    <t xml:space="preserve"> - Initial </t>
  </si>
  <si>
    <t xml:space="preserve"> - Renewal</t>
  </si>
  <si>
    <t xml:space="preserve"> - Inflation</t>
  </si>
  <si>
    <t>Commission</t>
  </si>
  <si>
    <t xml:space="preserve"> - Initial</t>
  </si>
  <si>
    <t>of first year's premium</t>
  </si>
  <si>
    <t>of subsequent premiums</t>
  </si>
  <si>
    <t xml:space="preserve">Investment rate </t>
  </si>
  <si>
    <t>Discount rate</t>
  </si>
  <si>
    <t>Taxation</t>
  </si>
  <si>
    <t>Gender</t>
  </si>
  <si>
    <t>Male</t>
  </si>
  <si>
    <t>Age</t>
  </si>
  <si>
    <t>Sum Insured</t>
  </si>
  <si>
    <t>IA95_97 Ult Male</t>
  </si>
  <si>
    <t>Year</t>
  </si>
  <si>
    <t>lapse</t>
  </si>
  <si>
    <t xml:space="preserve"> Year </t>
  </si>
  <si>
    <t>Decrement table</t>
  </si>
  <si>
    <r>
      <t>q</t>
    </r>
    <r>
      <rPr>
        <vertAlign val="subscript"/>
        <sz val="10"/>
        <color theme="0"/>
        <rFont val="Century Gothic"/>
        <family val="2"/>
      </rPr>
      <t>x</t>
    </r>
  </si>
  <si>
    <r>
      <t>(al)</t>
    </r>
    <r>
      <rPr>
        <vertAlign val="subscript"/>
        <sz val="10"/>
        <color theme="0"/>
        <rFont val="Century Gothic"/>
        <family val="2"/>
      </rPr>
      <t>x</t>
    </r>
  </si>
  <si>
    <r>
      <t>(ad)</t>
    </r>
    <r>
      <rPr>
        <vertAlign val="subscript"/>
        <sz val="10"/>
        <color theme="0"/>
        <rFont val="Century Gothic"/>
        <family val="2"/>
      </rPr>
      <t>x</t>
    </r>
  </si>
  <si>
    <r>
      <t>(aw)</t>
    </r>
    <r>
      <rPr>
        <vertAlign val="subscript"/>
        <sz val="10"/>
        <color theme="0"/>
        <rFont val="Century Gothic"/>
        <family val="2"/>
      </rPr>
      <t>x</t>
    </r>
  </si>
  <si>
    <r>
      <t>(al)</t>
    </r>
    <r>
      <rPr>
        <vertAlign val="subscript"/>
        <sz val="10"/>
        <color theme="0"/>
        <rFont val="Century Gothic"/>
        <family val="2"/>
      </rPr>
      <t>x+1</t>
    </r>
  </si>
  <si>
    <t>Deaths uniform throughout the year</t>
  </si>
  <si>
    <t>Withdrawals at end of year</t>
  </si>
  <si>
    <r>
      <t>(ap)</t>
    </r>
    <r>
      <rPr>
        <vertAlign val="subscript"/>
        <sz val="10"/>
        <color theme="0"/>
        <rFont val="Century Gothic"/>
        <family val="2"/>
      </rPr>
      <t>x</t>
    </r>
  </si>
  <si>
    <t>This is best estimate basis</t>
  </si>
  <si>
    <t>Conservative basis 1</t>
  </si>
  <si>
    <t xml:space="preserve">This is the pricing basis but mortality rates are </t>
  </si>
  <si>
    <t>increased by 10%</t>
  </si>
  <si>
    <t>Conservative basis 2</t>
  </si>
  <si>
    <t xml:space="preserve">This is the pricing basis but expected expenses </t>
  </si>
  <si>
    <t>are increased by 85%</t>
  </si>
  <si>
    <t>in year 2</t>
  </si>
  <si>
    <t>Liability</t>
  </si>
  <si>
    <t>Profit</t>
  </si>
  <si>
    <t>Best estimate basis</t>
  </si>
  <si>
    <t>Realistic basis</t>
  </si>
  <si>
    <t>The additional assets represent the additional reserve that needs to be set up on day 1 to cover the liability on day 1.</t>
  </si>
  <si>
    <t xml:space="preserve">Liability </t>
  </si>
  <si>
    <t>Premiums (boy)</t>
  </si>
  <si>
    <t>Expenses (boy)</t>
  </si>
  <si>
    <t>Claims (eoy)</t>
  </si>
  <si>
    <t>Cash flow ex. Interest (eoy)</t>
  </si>
  <si>
    <t>Assets from cash flow (eoy)</t>
  </si>
  <si>
    <t>Additional assets (boy)</t>
  </si>
  <si>
    <t>Interest on total assets (eoy)</t>
  </si>
  <si>
    <t>Total assets (eoy)</t>
  </si>
  <si>
    <t>CB1 factor</t>
  </si>
  <si>
    <t>CB2 factor</t>
  </si>
  <si>
    <r>
      <rPr>
        <sz val="10"/>
        <rFont val="Century Gothic"/>
        <family val="2"/>
      </rPr>
      <t xml:space="preserve">Attained Age ( </t>
    </r>
    <r>
      <rPr>
        <i/>
        <sz val="10"/>
        <rFont val="Century Gothic"/>
        <family val="2"/>
      </rPr>
      <t xml:space="preserve">x </t>
    </r>
    <r>
      <rPr>
        <sz val="10"/>
        <rFont val="Century Gothic"/>
        <family val="2"/>
      </rPr>
      <t>)</t>
    </r>
  </si>
  <si>
    <r>
      <rPr>
        <i/>
        <sz val="10"/>
        <rFont val="Century Gothic"/>
        <family val="2"/>
      </rPr>
      <t>qx</t>
    </r>
  </si>
  <si>
    <t>Notes</t>
  </si>
  <si>
    <t>Data</t>
  </si>
  <si>
    <t>There is one policyholder.</t>
  </si>
  <si>
    <t>The mortality rates for IA95_97 Ult Male are in the following table.</t>
  </si>
  <si>
    <t>Assumptions</t>
  </si>
  <si>
    <t>Policy data is in the 'Data' worksheet.</t>
  </si>
  <si>
    <t>Assumptions for different bases are in the 'Assumptions' worksheet.</t>
  </si>
  <si>
    <t>Profit is income less outgo less change in liability.</t>
  </si>
  <si>
    <t>The liability at t= 0 is zero and hence profit at outset is 0 for the realistic basis.</t>
  </si>
  <si>
    <t xml:space="preserve">Note how the prospective liability is calculated recursively starting at the end of the 10-year period. </t>
  </si>
  <si>
    <t>You should check that the NPV of profits are zero for all three bases.</t>
  </si>
  <si>
    <t>Stepped premium loading</t>
  </si>
  <si>
    <t>Premiums</t>
  </si>
  <si>
    <t>Claims</t>
  </si>
  <si>
    <t>Net cash flow</t>
  </si>
  <si>
    <t>Best Estimate Basis</t>
  </si>
  <si>
    <t>Conservative Basis 1</t>
  </si>
  <si>
    <t>Conservative Basis 2</t>
  </si>
  <si>
    <t>Interest</t>
  </si>
  <si>
    <t>Interest on assets from cash flow (eoy)</t>
  </si>
  <si>
    <t>Liability calculation</t>
  </si>
  <si>
    <t>interest on assets from cash flow (eoy)</t>
  </si>
  <si>
    <t>Assumptions:</t>
  </si>
  <si>
    <t>Note that Year 0 liabilities are calculated at the point in time immediately before cash flows occur, and at each year end thereafter.</t>
  </si>
  <si>
    <t>Table 6.4 Cash flows with profit margin of 10% of premium</t>
  </si>
  <si>
    <t>Table 6.5 Projected profit under different liability bases</t>
  </si>
  <si>
    <t>Conservative basis 1 (25% higher claim)</t>
  </si>
  <si>
    <t>Conservative basis 2 (220% higher internal expenses)</t>
  </si>
  <si>
    <t>Profit % Prem</t>
  </si>
  <si>
    <t>Cash flows</t>
  </si>
  <si>
    <t>Allowing for profit margin</t>
  </si>
  <si>
    <t>In this scenario, the expected profit of $540 is released on day 1.</t>
  </si>
  <si>
    <t>Best estimate liability before profit margin</t>
  </si>
  <si>
    <t>Value of future premiums</t>
  </si>
  <si>
    <t>End of Year</t>
  </si>
  <si>
    <t>Opening reserve at time 0</t>
  </si>
  <si>
    <t>Value of expected future profit margins</t>
  </si>
  <si>
    <t>Profit Margin</t>
  </si>
  <si>
    <t>Liability with profit margin</t>
  </si>
  <si>
    <t>Table 6.6 Adding explicit profit margins to the liability</t>
  </si>
  <si>
    <t>Table 6.7 Liabilities with and without an explicit profit margin</t>
  </si>
  <si>
    <t>Liabiity</t>
  </si>
  <si>
    <t xml:space="preserve">Interest </t>
  </si>
  <si>
    <t>Best Estimate Basis with Profit Margin</t>
  </si>
  <si>
    <t>Profit as a % of Premium</t>
  </si>
  <si>
    <t>The profit as a percentage of premium is now 10.27% but was 9.97% in the 'Profit Margin' tab. Can you explain the difference between the two numbers?</t>
  </si>
  <si>
    <t xml:space="preserve">Profit for Conservative Basis 1 and 2 includes "Cash flow excluding interest", from the Best Estimate (Realistic) Basis and "Interest on Total Assets" from Conservative Basis 1 or 2.  </t>
  </si>
  <si>
    <t>Profit is calculated in this way because the same best estimate experience is assumed under all three valuation bases, other than interest on total assets, as total assets are different between the three bases.</t>
  </si>
  <si>
    <t xml:space="preserve">At t= 0 for the other two bases, there is a need to set aside additional reserves and this causes a day 1 loss. However, the present value of profits are identically zero on all bases. </t>
  </si>
  <si>
    <t>These results are liability calculations under three bases for a stepped premium term assurance.</t>
  </si>
  <si>
    <t>This example shows one way that profit may be released over the lifetime of a contract.</t>
  </si>
  <si>
    <t xml:space="preserve">This workbook derives the results shown in Tables 6.4, 6.5, 6.6 and 6.7.  These are presented in the "Tables" worksheet. </t>
  </si>
  <si>
    <t>Cash flows of three bases are in the 'Cash flows' worksheet. Because of the need to set up additional reserves on day 1 under the two conservative bases, this worksheet references the 'Liability calculation' worksheet.</t>
  </si>
  <si>
    <t xml:space="preserve">The 'Liability calculation' worksheet contains results for the three bases. Note the spreadsheet approach is to calculate reserves firstly at the final period, then work backwards through prior periods. </t>
  </si>
  <si>
    <t>The theoretical risk premium is based on the mortality rate for the age and gender as shown. The loading was obtained by trial and error to produce the required profit margin for the example</t>
  </si>
  <si>
    <t xml:space="preserve">The information in cells B3 to B6 is used in the premium calculation. The stepped premium loading is a loading applied to the theoretical risk premium to calculate the premium payable. </t>
  </si>
  <si>
    <t xml:space="preserve">Note that the interest of 14 is calculated assuming the profit at outset is released at the end of the year. It's merely an assumption and other assumptions could be made about the timing of profit release. </t>
  </si>
  <si>
    <t>As an exercise, consider an alternative assumption as to the timing of profit release and redo the table.</t>
  </si>
  <si>
    <t>Vinc</t>
  </si>
  <si>
    <t>BEL</t>
  </si>
  <si>
    <t>Method 1</t>
  </si>
  <si>
    <t>Method 2</t>
  </si>
  <si>
    <t>CF with interest only arising from CF</t>
  </si>
  <si>
    <t>==&gt; Profit at EOY while Premium at BOY</t>
  </si>
  <si>
    <t>check</t>
  </si>
  <si>
    <t>PV of profit</t>
  </si>
  <si>
    <t>Check 2</t>
  </si>
  <si>
    <t>Check 1</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</si>
</sst>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3" formatCode="_(* #,##0.00_);_(* \(#,##0.00\);_(* &quot;-&quot;??_);_(@_)"/>
    <numFmt numFmtId="164" formatCode="###0;###0"/>
    <numFmt numFmtId="165" formatCode="###0.00000;###0.00000"/>
    <numFmt numFmtId="166" formatCode="0.00000"/>
    <numFmt numFmtId="167" formatCode="&quot;$&quot;#,##0"/>
    <numFmt numFmtId="168" formatCode="#,##0.00;[Red]\(#,##0.00\)"/>
    <numFmt numFmtId="169" formatCode="0.0%"/>
    <numFmt numFmtId="170" formatCode="&quot;$&quot;#,##0.00"/>
    <numFmt numFmtId="171" formatCode="&quot;$&quot;#,##0.0"/>
    <numFmt numFmtId="173" formatCode="_(* #,##0.0000_);_(* \(#,##0.0000\);_(* &quot;-&quot;??_);_(@_)"/>
  </numFmts>
  <fonts count="28" x14ac:knownFonts="1">
    <font>
      <sz val="11"/>
      <color theme="1"/>
      <name val="Calibri"/>
      <family val="2"/>
      <scheme val="minor"/>
    </font>
    <font>
      <b/>
      <sz val="11"/>
      <color theme="1"/>
      <name val="Century Gothic"/>
      <family val="2"/>
    </font>
    <font>
      <sz val="10"/>
      <color theme="1"/>
      <name val="Century Gothic"/>
      <family val="2"/>
    </font>
    <font>
      <b/>
      <sz val="10"/>
      <color theme="1"/>
      <name val="Century Gothic"/>
      <family val="2"/>
    </font>
    <font>
      <b/>
      <sz val="10"/>
      <color theme="0"/>
      <name val="Century Gothic"/>
      <family val="2"/>
    </font>
    <font>
      <sz val="10"/>
      <name val="Century Gothic"/>
      <family val="2"/>
    </font>
    <font>
      <sz val="10"/>
      <color theme="0"/>
      <name val="Century Gothic"/>
      <family val="2"/>
    </font>
    <font>
      <vertAlign val="subscript"/>
      <sz val="10"/>
      <color theme="0"/>
      <name val="Century Gothic"/>
      <family val="2"/>
    </font>
    <font>
      <i/>
      <sz val="10"/>
      <name val="Century Gothic"/>
      <family val="2"/>
    </font>
    <font>
      <sz val="10"/>
      <color rgb="FF000000"/>
      <name val="Century Gothic"/>
      <family val="2"/>
    </font>
    <font>
      <sz val="10"/>
      <name val="Times New Roman"/>
      <family val="1"/>
    </font>
    <font>
      <sz val="10"/>
      <color rgb="FF00B050"/>
      <name val="Century Gothic"/>
      <family val="2"/>
    </font>
    <font>
      <b/>
      <sz val="10"/>
      <color rgb="FFFFFFFF"/>
      <name val="Century Gothic"/>
      <family val="2"/>
    </font>
    <font>
      <b/>
      <sz val="10"/>
      <color rgb="FF0098D0"/>
      <name val="Century Gothic"/>
      <family val="2"/>
    </font>
    <font>
      <b/>
      <sz val="9"/>
      <color rgb="FFFFFFFF"/>
      <name val="Century Gothic"/>
      <family val="2"/>
    </font>
    <font>
      <sz val="10"/>
      <color rgb="FF0070C0"/>
      <name val="Century Gothic"/>
      <family val="2"/>
    </font>
    <font>
      <sz val="11"/>
      <color theme="1"/>
      <name val="Century Gothic"/>
      <family val="2"/>
    </font>
    <font>
      <sz val="11"/>
      <color theme="1"/>
      <name val="Calibri"/>
      <family val="2"/>
      <scheme val="minor"/>
    </font>
    <font>
      <b/>
      <i/>
      <sz val="10"/>
      <color theme="1"/>
      <name val="Century Gothic"/>
      <family val="2"/>
    </font>
    <font>
      <b/>
      <sz val="10"/>
      <name val="Times New Roman"/>
      <family val="1"/>
    </font>
    <font>
      <i/>
      <sz val="10"/>
      <name val="Times New Roman"/>
      <family val="1"/>
    </font>
    <font>
      <sz val="9"/>
      <color indexed="81"/>
      <name val="Tahoma"/>
      <charset val="1"/>
    </font>
    <font>
      <b/>
      <sz val="9"/>
      <color indexed="81"/>
      <name val="Tahoma"/>
      <charset val="1"/>
    </font>
    <font>
      <i/>
      <sz val="11"/>
      <color rgb="FFC00000"/>
      <name val="Calibri"/>
      <family val="2"/>
      <scheme val="minor"/>
    </font>
    <font>
      <sz val="10"/>
      <color rgb="FFC00000"/>
      <name val="Century Gothic"/>
      <family val="2"/>
    </font>
    <font>
      <b/>
      <i/>
      <sz val="10"/>
      <color rgb="FFC00000"/>
      <name val="Century Gothic"/>
      <family val="2"/>
    </font>
    <font>
      <sz val="9"/>
      <color indexed="81"/>
      <name val="Tahoma"/>
      <family val="2"/>
    </font>
    <font>
      <b/>
      <sz val="9"/>
      <color indexed="81"/>
      <name val="Tahoma"/>
      <family val="2"/>
    </font>
  </fonts>
  <fills count="10">
    <fill>
      <patternFill patternType="none"/>
    </fill>
    <fill>
      <patternFill patternType="gray125"/>
    </fill>
    <fill>
      <patternFill patternType="solid">
        <fgColor rgb="FFCCCCCC"/>
      </patternFill>
    </fill>
    <fill>
      <patternFill patternType="solid">
        <fgColor rgb="FF0070C0"/>
        <bgColor indexed="64"/>
      </patternFill>
    </fill>
    <fill>
      <patternFill patternType="solid">
        <fgColor rgb="FF0098CD"/>
        <bgColor indexed="64"/>
      </patternFill>
    </fill>
    <fill>
      <patternFill patternType="solid">
        <fgColor rgb="FFCCEAF6"/>
        <bgColor indexed="64"/>
      </patternFill>
    </fill>
    <fill>
      <patternFill patternType="solid">
        <fgColor rgb="FF99D6EC"/>
        <bgColor indexed="64"/>
      </patternFill>
    </fill>
    <fill>
      <patternFill patternType="solid">
        <fgColor rgb="FF0079A7"/>
        <bgColor indexed="64"/>
      </patternFill>
    </fill>
    <fill>
      <patternFill patternType="solid">
        <fgColor theme="2" tint="-0.499984740745262"/>
        <bgColor indexed="64"/>
      </patternFill>
    </fill>
    <fill>
      <patternFill patternType="solid">
        <fgColor rgb="FFFFFF00"/>
        <bgColor indexed="64"/>
      </patternFill>
    </fill>
  </fills>
  <borders count="3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diagonal/>
    </border>
    <border>
      <left/>
      <right style="thin">
        <color indexed="64"/>
      </right>
      <top style="thin">
        <color rgb="FF000000"/>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medium">
        <color rgb="FFFFFFFF"/>
      </right>
      <top/>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medium">
        <color rgb="FFFFFFFF"/>
      </right>
      <top style="thin">
        <color indexed="64"/>
      </top>
      <bottom/>
      <diagonal/>
    </border>
    <border>
      <left/>
      <right style="medium">
        <color rgb="FFFFFFFF"/>
      </right>
      <top/>
      <bottom style="thin">
        <color indexed="64"/>
      </bottom>
      <diagonal/>
    </border>
    <border>
      <left style="thin">
        <color indexed="64"/>
      </left>
      <right style="medium">
        <color rgb="FFFFFFFF"/>
      </right>
      <top style="thin">
        <color indexed="64"/>
      </top>
      <bottom/>
      <diagonal/>
    </border>
    <border>
      <left style="thin">
        <color indexed="64"/>
      </left>
      <right style="medium">
        <color rgb="FFFFFFFF"/>
      </right>
      <top/>
      <bottom/>
      <diagonal/>
    </border>
    <border>
      <left style="thin">
        <color indexed="64"/>
      </left>
      <right style="medium">
        <color rgb="FFFFFFFF"/>
      </right>
      <top/>
      <bottom style="thin">
        <color indexed="64"/>
      </bottom>
      <diagonal/>
    </border>
    <border>
      <left/>
      <right/>
      <top style="thin">
        <color theme="0"/>
      </top>
      <bottom/>
      <diagonal/>
    </border>
    <border>
      <left style="thin">
        <color theme="0"/>
      </left>
      <right/>
      <top style="thin">
        <color theme="0"/>
      </top>
      <bottom/>
      <diagonal/>
    </border>
    <border>
      <left/>
      <right style="thin">
        <color theme="0"/>
      </right>
      <top style="thin">
        <color theme="0"/>
      </top>
      <bottom/>
      <diagonal/>
    </border>
  </borders>
  <cellStyleXfs count="3">
    <xf numFmtId="0" fontId="0" fillId="0" borderId="0"/>
    <xf numFmtId="9" fontId="17" fillId="0" borderId="0" applyFont="0" applyFill="0" applyBorder="0" applyAlignment="0" applyProtection="0"/>
    <xf numFmtId="43" fontId="17" fillId="0" borderId="0" applyFont="0" applyFill="0" applyBorder="0" applyAlignment="0" applyProtection="0"/>
  </cellStyleXfs>
  <cellXfs count="152">
    <xf numFmtId="0" fontId="0" fillId="0" borderId="0" xfId="0"/>
    <xf numFmtId="0" fontId="1" fillId="0" borderId="0" xfId="0" applyFont="1"/>
    <xf numFmtId="0" fontId="2" fillId="0" borderId="0" xfId="0" applyFont="1"/>
    <xf numFmtId="0" fontId="3" fillId="0" borderId="0" xfId="0" applyFont="1"/>
    <xf numFmtId="0" fontId="5" fillId="0" borderId="1" xfId="0" applyFont="1" applyBorder="1"/>
    <xf numFmtId="0" fontId="2" fillId="2" borderId="6" xfId="0" applyFont="1" applyFill="1" applyBorder="1" applyAlignment="1">
      <alignment vertical="top" wrapText="1"/>
    </xf>
    <xf numFmtId="0" fontId="6" fillId="3" borderId="17" xfId="0" applyFont="1" applyFill="1" applyBorder="1" applyAlignment="1">
      <alignment horizontal="center"/>
    </xf>
    <xf numFmtId="0" fontId="2" fillId="0" borderId="17" xfId="0" applyFont="1" applyBorder="1"/>
    <xf numFmtId="166" fontId="2" fillId="0" borderId="17" xfId="0" applyNumberFormat="1" applyFont="1" applyBorder="1"/>
    <xf numFmtId="167" fontId="2" fillId="0" borderId="0" xfId="0" applyNumberFormat="1" applyFont="1"/>
    <xf numFmtId="0" fontId="3" fillId="0" borderId="17" xfId="0" applyFont="1" applyBorder="1"/>
    <xf numFmtId="167" fontId="2" fillId="0" borderId="17" xfId="0" applyNumberFormat="1" applyFont="1" applyBorder="1"/>
    <xf numFmtId="0" fontId="2" fillId="0" borderId="2" xfId="0" applyFont="1" applyBorder="1"/>
    <xf numFmtId="0" fontId="2" fillId="0" borderId="3" xfId="0" applyFont="1" applyFill="1" applyBorder="1" applyAlignment="1">
      <alignment horizontal="left" vertical="top" wrapText="1"/>
    </xf>
    <xf numFmtId="0" fontId="2" fillId="0" borderId="4" xfId="0" applyFont="1" applyFill="1" applyBorder="1" applyAlignment="1">
      <alignment vertical="top" wrapText="1"/>
    </xf>
    <xf numFmtId="164" fontId="9" fillId="0" borderId="5" xfId="0" applyNumberFormat="1" applyFont="1" applyFill="1" applyBorder="1" applyAlignment="1">
      <alignment horizontal="center" vertical="top" wrapText="1"/>
    </xf>
    <xf numFmtId="164" fontId="9" fillId="0" borderId="7" xfId="0" applyNumberFormat="1" applyFont="1" applyFill="1" applyBorder="1" applyAlignment="1">
      <alignment horizontal="center" vertical="top" wrapText="1"/>
    </xf>
    <xf numFmtId="0" fontId="2" fillId="2" borderId="8" xfId="0" applyFont="1" applyFill="1" applyBorder="1" applyAlignment="1">
      <alignment vertical="top" wrapText="1"/>
    </xf>
    <xf numFmtId="164" fontId="9" fillId="0" borderId="9" xfId="0" applyNumberFormat="1" applyFont="1" applyFill="1" applyBorder="1" applyAlignment="1">
      <alignment horizontal="center" vertical="top" wrapText="1"/>
    </xf>
    <xf numFmtId="164" fontId="9" fillId="0" borderId="11" xfId="0" applyNumberFormat="1" applyFont="1" applyFill="1" applyBorder="1" applyAlignment="1">
      <alignment horizontal="center" vertical="top" wrapText="1"/>
    </xf>
    <xf numFmtId="164" fontId="9" fillId="0" borderId="13" xfId="0" applyNumberFormat="1" applyFont="1" applyFill="1" applyBorder="1" applyAlignment="1">
      <alignment horizontal="center" vertical="top" wrapText="1"/>
    </xf>
    <xf numFmtId="164" fontId="9" fillId="0" borderId="15" xfId="0" applyNumberFormat="1" applyFont="1" applyFill="1" applyBorder="1" applyAlignment="1">
      <alignment horizontal="center" vertical="top" wrapText="1"/>
    </xf>
    <xf numFmtId="167" fontId="2" fillId="0" borderId="17" xfId="0" applyNumberFormat="1" applyFont="1" applyBorder="1" applyAlignment="1">
      <alignment horizontal="center"/>
    </xf>
    <xf numFmtId="0" fontId="2" fillId="0" borderId="19" xfId="0" applyFont="1" applyBorder="1"/>
    <xf numFmtId="167" fontId="2" fillId="0" borderId="19" xfId="0" applyNumberFormat="1" applyFont="1" applyBorder="1" applyAlignment="1">
      <alignment horizontal="center"/>
    </xf>
    <xf numFmtId="167" fontId="2" fillId="0" borderId="9" xfId="0" applyNumberFormat="1" applyFont="1" applyBorder="1" applyAlignment="1">
      <alignment horizontal="center"/>
    </xf>
    <xf numFmtId="167" fontId="2" fillId="0" borderId="19" xfId="0" applyNumberFormat="1" applyFont="1" applyBorder="1"/>
    <xf numFmtId="167" fontId="2" fillId="0" borderId="18" xfId="0" applyNumberFormat="1" applyFont="1" applyBorder="1" applyAlignment="1">
      <alignment horizontal="center"/>
    </xf>
    <xf numFmtId="8" fontId="2" fillId="0" borderId="0" xfId="0" applyNumberFormat="1" applyFont="1"/>
    <xf numFmtId="168" fontId="10" fillId="0" borderId="0" xfId="0" applyNumberFormat="1" applyFont="1"/>
    <xf numFmtId="0" fontId="11" fillId="0" borderId="0" xfId="0" applyFont="1"/>
    <xf numFmtId="6" fontId="11" fillId="0" borderId="0" xfId="0" applyNumberFormat="1" applyFont="1"/>
    <xf numFmtId="165" fontId="11" fillId="0" borderId="8" xfId="0" applyNumberFormat="1" applyFont="1" applyFill="1" applyBorder="1" applyAlignment="1">
      <alignment vertical="top" wrapText="1"/>
    </xf>
    <xf numFmtId="165" fontId="11" fillId="0" borderId="10" xfId="0" applyNumberFormat="1" applyFont="1" applyFill="1" applyBorder="1" applyAlignment="1">
      <alignment vertical="top" wrapText="1"/>
    </xf>
    <xf numFmtId="165" fontId="11" fillId="0" borderId="12" xfId="0" applyNumberFormat="1" applyFont="1" applyFill="1" applyBorder="1" applyAlignment="1">
      <alignment horizontal="right" vertical="top" wrapText="1"/>
    </xf>
    <xf numFmtId="165" fontId="11" fillId="0" borderId="14" xfId="0" applyNumberFormat="1" applyFont="1" applyFill="1" applyBorder="1" applyAlignment="1">
      <alignment horizontal="right" vertical="top" wrapText="1"/>
    </xf>
    <xf numFmtId="165" fontId="11" fillId="0" borderId="16" xfId="0" applyNumberFormat="1" applyFont="1" applyFill="1" applyBorder="1" applyAlignment="1">
      <alignment horizontal="right" vertical="top" wrapText="1"/>
    </xf>
    <xf numFmtId="0" fontId="11" fillId="0" borderId="0" xfId="0" applyFont="1" applyAlignment="1">
      <alignment horizontal="right"/>
    </xf>
    <xf numFmtId="0" fontId="12" fillId="4" borderId="20" xfId="0" applyFont="1" applyFill="1" applyBorder="1" applyAlignment="1">
      <alignment horizontal="center" vertical="center" wrapText="1"/>
    </xf>
    <xf numFmtId="0" fontId="12" fillId="4" borderId="0" xfId="0" applyFont="1" applyFill="1" applyAlignment="1">
      <alignment horizontal="center" vertical="center" wrapText="1"/>
    </xf>
    <xf numFmtId="0" fontId="9" fillId="5" borderId="20" xfId="0" applyFont="1" applyFill="1" applyBorder="1" applyAlignment="1">
      <alignment horizontal="center" vertical="center"/>
    </xf>
    <xf numFmtId="0" fontId="9" fillId="6" borderId="20" xfId="0" applyFont="1" applyFill="1" applyBorder="1" applyAlignment="1">
      <alignment horizontal="center" vertical="center"/>
    </xf>
    <xf numFmtId="0" fontId="13" fillId="0" borderId="0" xfId="0" applyFont="1" applyAlignment="1">
      <alignment vertical="center"/>
    </xf>
    <xf numFmtId="1" fontId="9" fillId="5" borderId="0" xfId="0" applyNumberFormat="1" applyFont="1" applyFill="1" applyAlignment="1">
      <alignment horizontal="center" vertical="center"/>
    </xf>
    <xf numFmtId="1" fontId="9" fillId="6" borderId="0" xfId="0" applyNumberFormat="1" applyFont="1" applyFill="1" applyAlignment="1">
      <alignment horizontal="center" vertical="center"/>
    </xf>
    <xf numFmtId="1" fontId="9" fillId="5" borderId="20" xfId="0" applyNumberFormat="1" applyFont="1" applyFill="1" applyBorder="1" applyAlignment="1">
      <alignment horizontal="center" vertical="center"/>
    </xf>
    <xf numFmtId="1" fontId="9" fillId="6" borderId="20" xfId="0" applyNumberFormat="1" applyFont="1" applyFill="1" applyBorder="1" applyAlignment="1">
      <alignment horizontal="center" vertical="center"/>
    </xf>
    <xf numFmtId="0" fontId="6" fillId="3" borderId="19" xfId="0" applyFont="1" applyFill="1" applyBorder="1" applyAlignment="1">
      <alignment horizontal="left"/>
    </xf>
    <xf numFmtId="0" fontId="6" fillId="3" borderId="19" xfId="0" applyFont="1" applyFill="1" applyBorder="1" applyAlignment="1">
      <alignment horizontal="left" wrapText="1"/>
    </xf>
    <xf numFmtId="0" fontId="15" fillId="0" borderId="0" xfId="0" applyFont="1"/>
    <xf numFmtId="9" fontId="15" fillId="0" borderId="0" xfId="0" applyNumberFormat="1" applyFont="1"/>
    <xf numFmtId="6" fontId="15" fillId="0" borderId="0" xfId="0" applyNumberFormat="1" applyFont="1"/>
    <xf numFmtId="169" fontId="11" fillId="0" borderId="0" xfId="0" applyNumberFormat="1" applyFont="1"/>
    <xf numFmtId="0" fontId="2" fillId="0" borderId="0" xfId="0" applyFont="1" applyAlignment="1"/>
    <xf numFmtId="170" fontId="0" fillId="0" borderId="0" xfId="0" applyNumberFormat="1"/>
    <xf numFmtId="170" fontId="2" fillId="0" borderId="0" xfId="0" applyNumberFormat="1" applyFont="1"/>
    <xf numFmtId="0" fontId="4" fillId="3" borderId="21" xfId="0" applyFont="1" applyFill="1" applyBorder="1" applyAlignment="1">
      <alignment vertical="center"/>
    </xf>
    <xf numFmtId="0" fontId="4" fillId="3" borderId="18" xfId="0" applyFont="1" applyFill="1" applyBorder="1" applyAlignment="1">
      <alignment horizontal="left" vertical="center"/>
    </xf>
    <xf numFmtId="0" fontId="12" fillId="8" borderId="0" xfId="0" applyFont="1" applyFill="1" applyBorder="1" applyAlignment="1">
      <alignment horizontal="center" vertical="center" wrapText="1"/>
    </xf>
    <xf numFmtId="169" fontId="9" fillId="5" borderId="0" xfId="0" applyNumberFormat="1" applyFont="1" applyFill="1" applyBorder="1" applyAlignment="1">
      <alignment horizontal="center" vertical="center"/>
    </xf>
    <xf numFmtId="0" fontId="2" fillId="0" borderId="0" xfId="0" applyFont="1" applyBorder="1"/>
    <xf numFmtId="167" fontId="2" fillId="0" borderId="0" xfId="0" applyNumberFormat="1" applyFont="1" applyBorder="1" applyAlignment="1">
      <alignment horizontal="center"/>
    </xf>
    <xf numFmtId="0" fontId="16" fillId="0" borderId="0" xfId="0" applyFont="1"/>
    <xf numFmtId="0" fontId="6" fillId="3" borderId="19" xfId="0" applyFont="1" applyFill="1" applyBorder="1" applyAlignment="1">
      <alignment horizontal="center" wrapText="1"/>
    </xf>
    <xf numFmtId="171" fontId="2" fillId="0" borderId="17" xfId="0" applyNumberFormat="1" applyFont="1" applyBorder="1" applyAlignment="1">
      <alignment horizontal="center"/>
    </xf>
    <xf numFmtId="10" fontId="0" fillId="0" borderId="0" xfId="0" applyNumberFormat="1"/>
    <xf numFmtId="0" fontId="9" fillId="5" borderId="26" xfId="0" applyFont="1" applyFill="1" applyBorder="1" applyAlignment="1">
      <alignment horizontal="center" vertical="center"/>
    </xf>
    <xf numFmtId="0" fontId="9" fillId="6" borderId="26" xfId="0" applyFont="1" applyFill="1" applyBorder="1" applyAlignment="1">
      <alignment horizontal="center" vertical="center"/>
    </xf>
    <xf numFmtId="0" fontId="9" fillId="5" borderId="19" xfId="0" applyFont="1" applyFill="1" applyBorder="1" applyAlignment="1">
      <alignment horizontal="center" vertical="center"/>
    </xf>
    <xf numFmtId="0" fontId="12" fillId="8" borderId="7" xfId="0" applyFont="1" applyFill="1" applyBorder="1" applyAlignment="1">
      <alignment horizontal="center" vertical="center" wrapText="1"/>
    </xf>
    <xf numFmtId="1" fontId="9" fillId="5" borderId="7" xfId="0" applyNumberFormat="1" applyFont="1" applyFill="1" applyBorder="1" applyAlignment="1">
      <alignment horizontal="center" vertical="center"/>
    </xf>
    <xf numFmtId="1" fontId="9" fillId="5" borderId="0" xfId="0" applyNumberFormat="1" applyFont="1" applyFill="1" applyBorder="1" applyAlignment="1">
      <alignment horizontal="center" vertical="center"/>
    </xf>
    <xf numFmtId="1" fontId="9" fillId="5" borderId="8" xfId="0" applyNumberFormat="1" applyFont="1" applyFill="1" applyBorder="1" applyAlignment="1">
      <alignment horizontal="center" vertical="center"/>
    </xf>
    <xf numFmtId="1" fontId="9" fillId="6" borderId="7" xfId="0" applyNumberFormat="1" applyFont="1" applyFill="1" applyBorder="1" applyAlignment="1">
      <alignment horizontal="center" vertical="center"/>
    </xf>
    <xf numFmtId="1" fontId="9" fillId="6" borderId="0" xfId="0" applyNumberFormat="1" applyFont="1" applyFill="1" applyBorder="1" applyAlignment="1">
      <alignment horizontal="center" vertical="center"/>
    </xf>
    <xf numFmtId="1" fontId="9" fillId="6" borderId="8" xfId="0" applyNumberFormat="1" applyFont="1" applyFill="1" applyBorder="1" applyAlignment="1">
      <alignment horizontal="center" vertical="center"/>
    </xf>
    <xf numFmtId="1" fontId="9" fillId="5" borderId="9" xfId="0" applyNumberFormat="1" applyFont="1" applyFill="1" applyBorder="1" applyAlignment="1">
      <alignment horizontal="center" vertical="center"/>
    </xf>
    <xf numFmtId="1" fontId="9" fillId="5" borderId="28" xfId="0" applyNumberFormat="1" applyFont="1" applyFill="1" applyBorder="1" applyAlignment="1">
      <alignment horizontal="center" vertical="center"/>
    </xf>
    <xf numFmtId="0" fontId="12" fillId="4" borderId="2" xfId="0" applyFont="1" applyFill="1" applyBorder="1" applyAlignment="1">
      <alignment horizontal="center" vertical="center" wrapText="1"/>
    </xf>
    <xf numFmtId="0" fontId="12" fillId="4" borderId="27" xfId="0" applyFont="1" applyFill="1" applyBorder="1" applyAlignment="1">
      <alignment horizontal="center" vertical="center" wrapText="1"/>
    </xf>
    <xf numFmtId="169" fontId="9" fillId="5" borderId="28" xfId="0" applyNumberFormat="1" applyFont="1" applyFill="1" applyBorder="1" applyAlignment="1">
      <alignment horizontal="center" vertical="center"/>
    </xf>
    <xf numFmtId="0" fontId="12" fillId="8" borderId="27" xfId="0" applyFont="1" applyFill="1" applyBorder="1" applyAlignment="1">
      <alignment horizontal="center" vertical="center" wrapText="1"/>
    </xf>
    <xf numFmtId="0" fontId="12" fillId="8" borderId="2" xfId="0" applyFont="1" applyFill="1" applyBorder="1" applyAlignment="1">
      <alignment horizontal="center" vertical="center" wrapText="1"/>
    </xf>
    <xf numFmtId="169" fontId="9" fillId="6" borderId="0" xfId="0" applyNumberFormat="1" applyFont="1" applyFill="1" applyBorder="1" applyAlignment="1">
      <alignment horizontal="center" vertical="center"/>
    </xf>
    <xf numFmtId="1" fontId="0" fillId="0" borderId="0" xfId="0" applyNumberFormat="1"/>
    <xf numFmtId="0" fontId="12" fillId="4" borderId="31"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9" fillId="6" borderId="32" xfId="0" applyFont="1" applyFill="1" applyBorder="1" applyAlignment="1">
      <alignment horizontal="center" vertical="center"/>
    </xf>
    <xf numFmtId="0" fontId="9" fillId="5" borderId="32" xfId="0" applyFont="1" applyFill="1" applyBorder="1" applyAlignment="1">
      <alignment horizontal="center" vertical="center"/>
    </xf>
    <xf numFmtId="0" fontId="9" fillId="6" borderId="33" xfId="0" applyFont="1" applyFill="1" applyBorder="1" applyAlignment="1">
      <alignment horizontal="center" vertical="center"/>
    </xf>
    <xf numFmtId="1" fontId="9" fillId="6" borderId="30" xfId="0" applyNumberFormat="1" applyFont="1" applyFill="1" applyBorder="1" applyAlignment="1">
      <alignment horizontal="center" vertical="center"/>
    </xf>
    <xf numFmtId="1" fontId="9" fillId="6" borderId="10" xfId="0" applyNumberFormat="1" applyFont="1" applyFill="1" applyBorder="1" applyAlignment="1">
      <alignment horizontal="center" vertical="center"/>
    </xf>
    <xf numFmtId="0" fontId="9" fillId="5" borderId="7" xfId="0" applyFont="1" applyFill="1" applyBorder="1" applyAlignment="1">
      <alignment horizontal="center" vertical="center"/>
    </xf>
    <xf numFmtId="0" fontId="9" fillId="6" borderId="7" xfId="0" applyFont="1" applyFill="1" applyBorder="1" applyAlignment="1">
      <alignment horizontal="center" vertical="center"/>
    </xf>
    <xf numFmtId="1" fontId="9" fillId="5" borderId="23" xfId="0" applyNumberFormat="1" applyFont="1" applyFill="1" applyBorder="1" applyAlignment="1">
      <alignment horizontal="center" vertical="center"/>
    </xf>
    <xf numFmtId="0" fontId="9" fillId="6" borderId="0" xfId="0" applyFont="1" applyFill="1" applyBorder="1" applyAlignment="1">
      <alignment horizontal="center" vertical="center"/>
    </xf>
    <xf numFmtId="0" fontId="12" fillId="4" borderId="35"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36" xfId="0" applyFont="1" applyFill="1" applyBorder="1" applyAlignment="1">
      <alignment horizontal="center" vertical="center" wrapText="1"/>
    </xf>
    <xf numFmtId="1" fontId="9" fillId="6" borderId="23" xfId="0" applyNumberFormat="1" applyFont="1" applyFill="1" applyBorder="1" applyAlignment="1">
      <alignment horizontal="center" vertical="center"/>
    </xf>
    <xf numFmtId="0" fontId="12" fillId="8" borderId="8" xfId="0" applyFont="1" applyFill="1" applyBorder="1" applyAlignment="1">
      <alignment horizontal="center" vertical="center" wrapText="1"/>
    </xf>
    <xf numFmtId="169" fontId="9" fillId="5" borderId="8" xfId="0" applyNumberFormat="1" applyFont="1" applyFill="1" applyBorder="1" applyAlignment="1">
      <alignment horizontal="center" vertical="center"/>
    </xf>
    <xf numFmtId="169" fontId="9" fillId="6" borderId="8" xfId="0" applyNumberFormat="1" applyFont="1" applyFill="1" applyBorder="1" applyAlignment="1">
      <alignment horizontal="center" vertical="center"/>
    </xf>
    <xf numFmtId="169" fontId="9" fillId="5" borderId="10" xfId="0" applyNumberFormat="1" applyFont="1" applyFill="1" applyBorder="1" applyAlignment="1">
      <alignment horizontal="center" vertical="center"/>
    </xf>
    <xf numFmtId="0" fontId="2" fillId="0" borderId="0" xfId="0" applyFont="1" applyAlignment="1">
      <alignment wrapText="1"/>
    </xf>
    <xf numFmtId="0" fontId="18" fillId="0" borderId="0" xfId="0" applyFont="1"/>
    <xf numFmtId="0" fontId="20" fillId="9" borderId="25" xfId="0" applyFont="1" applyFill="1" applyBorder="1" applyAlignment="1">
      <alignment horizontal="center" vertical="center"/>
    </xf>
    <xf numFmtId="0" fontId="6" fillId="3" borderId="9" xfId="0" applyFont="1" applyFill="1" applyBorder="1" applyAlignment="1">
      <alignment horizontal="left"/>
    </xf>
    <xf numFmtId="0" fontId="2" fillId="0" borderId="9" xfId="0" applyFont="1" applyBorder="1"/>
    <xf numFmtId="0" fontId="2" fillId="0" borderId="18" xfId="0" applyFont="1" applyBorder="1"/>
    <xf numFmtId="167" fontId="2" fillId="0" borderId="7" xfId="0" applyNumberFormat="1" applyFont="1" applyBorder="1"/>
    <xf numFmtId="167" fontId="2" fillId="0" borderId="9" xfId="0" applyNumberFormat="1" applyFont="1" applyBorder="1"/>
    <xf numFmtId="6" fontId="2" fillId="0" borderId="26" xfId="0" applyNumberFormat="1" applyFont="1" applyBorder="1"/>
    <xf numFmtId="6" fontId="2" fillId="0" borderId="19" xfId="0" applyNumberFormat="1" applyFont="1" applyBorder="1"/>
    <xf numFmtId="6" fontId="2" fillId="0" borderId="8" xfId="0" applyNumberFormat="1" applyFont="1" applyBorder="1"/>
    <xf numFmtId="6" fontId="2" fillId="0" borderId="10" xfId="0" applyNumberFormat="1" applyFont="1" applyBorder="1"/>
    <xf numFmtId="6" fontId="2" fillId="0" borderId="0" xfId="0" applyNumberFormat="1" applyFont="1"/>
    <xf numFmtId="10" fontId="9" fillId="5" borderId="0" xfId="0" applyNumberFormat="1" applyFont="1" applyFill="1" applyBorder="1" applyAlignment="1">
      <alignment horizontal="center" vertical="center"/>
    </xf>
    <xf numFmtId="10" fontId="9" fillId="6" borderId="22" xfId="0" applyNumberFormat="1" applyFont="1" applyFill="1" applyBorder="1" applyAlignment="1">
      <alignment horizontal="center" vertical="center"/>
    </xf>
    <xf numFmtId="10" fontId="9" fillId="6" borderId="0" xfId="0" applyNumberFormat="1" applyFont="1" applyFill="1" applyBorder="1" applyAlignment="1">
      <alignment horizontal="center" vertical="center"/>
    </xf>
    <xf numFmtId="0" fontId="23" fillId="0" borderId="0" xfId="0" quotePrefix="1" applyFont="1"/>
    <xf numFmtId="10" fontId="23" fillId="0" borderId="0" xfId="1" applyNumberFormat="1" applyFont="1"/>
    <xf numFmtId="0" fontId="25" fillId="0" borderId="0" xfId="0" applyFont="1"/>
    <xf numFmtId="8" fontId="24" fillId="0" borderId="0" xfId="0" applyNumberFormat="1" applyFont="1"/>
    <xf numFmtId="0" fontId="12" fillId="4" borderId="0" xfId="0" applyFont="1" applyFill="1" applyBorder="1" applyAlignment="1">
      <alignment horizontal="center" vertical="center" wrapText="1"/>
    </xf>
    <xf numFmtId="0" fontId="3" fillId="0" borderId="17" xfId="0" applyFont="1" applyBorder="1" applyAlignment="1">
      <alignment horizontal="center"/>
    </xf>
    <xf numFmtId="0" fontId="3" fillId="0" borderId="18" xfId="0" applyFont="1" applyBorder="1" applyAlignment="1">
      <alignment horizontal="center"/>
    </xf>
    <xf numFmtId="0" fontId="3" fillId="0" borderId="24" xfId="0" applyFont="1" applyBorder="1" applyAlignment="1">
      <alignment horizontal="center"/>
    </xf>
    <xf numFmtId="0" fontId="3" fillId="0" borderId="21" xfId="0" applyFont="1" applyBorder="1" applyAlignment="1">
      <alignment horizontal="center"/>
    </xf>
    <xf numFmtId="0" fontId="19" fillId="9" borderId="0" xfId="0" applyFont="1" applyFill="1" applyAlignment="1">
      <alignment horizontal="center"/>
    </xf>
    <xf numFmtId="0" fontId="20" fillId="9" borderId="1" xfId="0" applyFont="1" applyFill="1" applyBorder="1" applyAlignment="1">
      <alignment horizontal="center" vertical="center"/>
    </xf>
    <xf numFmtId="0" fontId="20" fillId="9" borderId="2" xfId="0" applyFont="1" applyFill="1" applyBorder="1" applyAlignment="1">
      <alignment horizontal="center" vertical="center"/>
    </xf>
    <xf numFmtId="0" fontId="6" fillId="3" borderId="1" xfId="0" applyFont="1" applyFill="1" applyBorder="1" applyAlignment="1">
      <alignment horizontal="center" wrapText="1"/>
    </xf>
    <xf numFmtId="0" fontId="6" fillId="3" borderId="7" xfId="0" applyFont="1" applyFill="1" applyBorder="1" applyAlignment="1">
      <alignment horizontal="center" wrapText="1"/>
    </xf>
    <xf numFmtId="0" fontId="4" fillId="3" borderId="17" xfId="0" applyFont="1" applyFill="1" applyBorder="1" applyAlignment="1"/>
    <xf numFmtId="0" fontId="6" fillId="3" borderId="8" xfId="0" applyFont="1" applyFill="1" applyBorder="1" applyAlignment="1">
      <alignment horizontal="center" vertical="center"/>
    </xf>
    <xf numFmtId="0" fontId="6" fillId="3" borderId="10" xfId="0" applyFont="1" applyFill="1" applyBorder="1" applyAlignment="1">
      <alignment horizontal="center" vertical="center"/>
    </xf>
    <xf numFmtId="0" fontId="4" fillId="3" borderId="18" xfId="0" applyFont="1" applyFill="1" applyBorder="1" applyAlignment="1">
      <alignment vertical="center"/>
    </xf>
    <xf numFmtId="0" fontId="4" fillId="3" borderId="21" xfId="0" applyFont="1" applyFill="1" applyBorder="1" applyAlignment="1">
      <alignment vertical="center"/>
    </xf>
    <xf numFmtId="0" fontId="2" fillId="0" borderId="0" xfId="0" applyFont="1" applyAlignment="1">
      <alignment horizontal="left" vertical="top" wrapText="1"/>
    </xf>
    <xf numFmtId="0" fontId="12" fillId="4" borderId="27"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2" fillId="4" borderId="23" xfId="0" applyFont="1" applyFill="1" applyBorder="1" applyAlignment="1">
      <alignment horizontal="center" vertical="center" wrapText="1"/>
    </xf>
    <xf numFmtId="0" fontId="14" fillId="7" borderId="25" xfId="0" applyFont="1" applyFill="1" applyBorder="1" applyAlignment="1">
      <alignment vertical="center" wrapText="1"/>
    </xf>
    <xf numFmtId="0" fontId="14" fillId="7" borderId="26" xfId="0" applyFont="1" applyFill="1" applyBorder="1" applyAlignment="1">
      <alignment vertical="center" wrapText="1"/>
    </xf>
    <xf numFmtId="0" fontId="12"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12" fillId="4" borderId="27" xfId="0" applyFont="1" applyFill="1" applyBorder="1" applyAlignment="1">
      <alignment horizontal="center" vertical="center"/>
    </xf>
    <xf numFmtId="0" fontId="12" fillId="4" borderId="2" xfId="0" applyFont="1" applyFill="1" applyBorder="1" applyAlignment="1">
      <alignment horizontal="center" vertical="center"/>
    </xf>
    <xf numFmtId="9" fontId="0" fillId="0" borderId="0" xfId="1" applyFont="1"/>
    <xf numFmtId="173" fontId="0" fillId="0" borderId="0" xfId="2" applyNumberFormat="1" applyFont="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2" sqref="A2"/>
    </sheetView>
  </sheetViews>
  <sheetFormatPr defaultRowHeight="13.5" x14ac:dyDescent="0.25"/>
  <cols>
    <col min="1" max="1" width="144.7109375" style="2" customWidth="1"/>
    <col min="2" max="16384" width="9.140625" style="2"/>
  </cols>
  <sheetData>
    <row r="1" spans="1:1" ht="15" x14ac:dyDescent="0.25">
      <c r="A1" s="1" t="s">
        <v>62</v>
      </c>
    </row>
    <row r="2" spans="1:1" x14ac:dyDescent="0.25">
      <c r="A2" s="104" t="s">
        <v>113</v>
      </c>
    </row>
    <row r="3" spans="1:1" x14ac:dyDescent="0.25">
      <c r="A3" s="104" t="s">
        <v>111</v>
      </c>
    </row>
    <row r="4" spans="1:1" x14ac:dyDescent="0.25">
      <c r="A4" s="104" t="s">
        <v>67</v>
      </c>
    </row>
    <row r="5" spans="1:1" x14ac:dyDescent="0.25">
      <c r="A5" s="104" t="s">
        <v>68</v>
      </c>
    </row>
    <row r="6" spans="1:1" ht="27" x14ac:dyDescent="0.25">
      <c r="A6" s="104" t="s">
        <v>114</v>
      </c>
    </row>
    <row r="7" spans="1:1" ht="27" x14ac:dyDescent="0.25">
      <c r="A7" s="104" t="s">
        <v>115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2"/>
  <sheetViews>
    <sheetView workbookViewId="0">
      <selection activeCell="A7" sqref="A7"/>
    </sheetView>
  </sheetViews>
  <sheetFormatPr defaultRowHeight="13.5" x14ac:dyDescent="0.25"/>
  <cols>
    <col min="1" max="1" width="27.7109375" style="2" customWidth="1"/>
    <col min="2" max="2" width="10.28515625" style="2" bestFit="1" customWidth="1"/>
    <col min="3" max="16384" width="9.140625" style="2"/>
  </cols>
  <sheetData>
    <row r="1" spans="1:2" ht="15" x14ac:dyDescent="0.25">
      <c r="A1" s="1" t="s">
        <v>63</v>
      </c>
    </row>
    <row r="2" spans="1:2" x14ac:dyDescent="0.25">
      <c r="A2" s="2" t="s">
        <v>64</v>
      </c>
    </row>
    <row r="3" spans="1:2" x14ac:dyDescent="0.25">
      <c r="A3" s="2" t="s">
        <v>19</v>
      </c>
      <c r="B3" s="37" t="s">
        <v>20</v>
      </c>
    </row>
    <row r="4" spans="1:2" x14ac:dyDescent="0.25">
      <c r="A4" s="2" t="s">
        <v>21</v>
      </c>
      <c r="B4" s="30">
        <v>45</v>
      </c>
    </row>
    <row r="5" spans="1:2" x14ac:dyDescent="0.25">
      <c r="A5" s="2" t="s">
        <v>22</v>
      </c>
      <c r="B5" s="31">
        <v>400000</v>
      </c>
    </row>
    <row r="6" spans="1:2" x14ac:dyDescent="0.25">
      <c r="A6" s="2" t="s">
        <v>73</v>
      </c>
      <c r="B6" s="52">
        <v>0.32364999999999999</v>
      </c>
    </row>
    <row r="7" spans="1:2" x14ac:dyDescent="0.25">
      <c r="A7" s="53" t="s">
        <v>117</v>
      </c>
    </row>
    <row r="8" spans="1:2" x14ac:dyDescent="0.25">
      <c r="A8" s="53" t="s">
        <v>116</v>
      </c>
    </row>
    <row r="10" spans="1:2" x14ac:dyDescent="0.25">
      <c r="A10" s="2" t="s">
        <v>65</v>
      </c>
    </row>
    <row r="11" spans="1:2" x14ac:dyDescent="0.25">
      <c r="A11" s="4" t="s">
        <v>23</v>
      </c>
      <c r="B11" s="12"/>
    </row>
    <row r="12" spans="1:2" ht="27" x14ac:dyDescent="0.25">
      <c r="A12" s="13" t="s">
        <v>60</v>
      </c>
      <c r="B12" s="14" t="s">
        <v>61</v>
      </c>
    </row>
    <row r="13" spans="1:2" x14ac:dyDescent="0.25">
      <c r="A13" s="15">
        <v>0</v>
      </c>
      <c r="B13" s="5"/>
    </row>
    <row r="14" spans="1:2" x14ac:dyDescent="0.25">
      <c r="A14" s="16">
        <v>1</v>
      </c>
      <c r="B14" s="17"/>
    </row>
    <row r="15" spans="1:2" x14ac:dyDescent="0.25">
      <c r="A15" s="16">
        <v>2</v>
      </c>
      <c r="B15" s="17"/>
    </row>
    <row r="16" spans="1:2" x14ac:dyDescent="0.25">
      <c r="A16" s="16">
        <v>3</v>
      </c>
      <c r="B16" s="17"/>
    </row>
    <row r="17" spans="1:2" x14ac:dyDescent="0.25">
      <c r="A17" s="16">
        <v>4</v>
      </c>
      <c r="B17" s="17"/>
    </row>
    <row r="18" spans="1:2" x14ac:dyDescent="0.25">
      <c r="A18" s="16">
        <v>5</v>
      </c>
      <c r="B18" s="17"/>
    </row>
    <row r="19" spans="1:2" x14ac:dyDescent="0.25">
      <c r="A19" s="16">
        <v>6</v>
      </c>
      <c r="B19" s="17"/>
    </row>
    <row r="20" spans="1:2" x14ac:dyDescent="0.25">
      <c r="A20" s="16">
        <v>7</v>
      </c>
      <c r="B20" s="17"/>
    </row>
    <row r="21" spans="1:2" x14ac:dyDescent="0.25">
      <c r="A21" s="16">
        <v>8</v>
      </c>
      <c r="B21" s="17"/>
    </row>
    <row r="22" spans="1:2" x14ac:dyDescent="0.25">
      <c r="A22" s="16">
        <v>9</v>
      </c>
      <c r="B22" s="17"/>
    </row>
    <row r="23" spans="1:2" x14ac:dyDescent="0.25">
      <c r="A23" s="16">
        <v>10</v>
      </c>
      <c r="B23" s="17"/>
    </row>
    <row r="24" spans="1:2" x14ac:dyDescent="0.25">
      <c r="A24" s="16">
        <v>11</v>
      </c>
      <c r="B24" s="17"/>
    </row>
    <row r="25" spans="1:2" x14ac:dyDescent="0.25">
      <c r="A25" s="16">
        <v>12</v>
      </c>
      <c r="B25" s="17"/>
    </row>
    <row r="26" spans="1:2" x14ac:dyDescent="0.25">
      <c r="A26" s="16">
        <v>13</v>
      </c>
      <c r="B26" s="17"/>
    </row>
    <row r="27" spans="1:2" x14ac:dyDescent="0.25">
      <c r="A27" s="16">
        <v>14</v>
      </c>
      <c r="B27" s="17"/>
    </row>
    <row r="28" spans="1:2" x14ac:dyDescent="0.25">
      <c r="A28" s="16">
        <v>15</v>
      </c>
      <c r="B28" s="32">
        <v>4.0999999999999999E-4</v>
      </c>
    </row>
    <row r="29" spans="1:2" x14ac:dyDescent="0.25">
      <c r="A29" s="16">
        <v>16</v>
      </c>
      <c r="B29" s="32">
        <v>5.1999999999999995E-4</v>
      </c>
    </row>
    <row r="30" spans="1:2" x14ac:dyDescent="0.25">
      <c r="A30" s="16">
        <v>17</v>
      </c>
      <c r="B30" s="32">
        <v>6.2E-4</v>
      </c>
    </row>
    <row r="31" spans="1:2" x14ac:dyDescent="0.25">
      <c r="A31" s="16">
        <v>18</v>
      </c>
      <c r="B31" s="32">
        <v>6.9999999999999999E-4</v>
      </c>
    </row>
    <row r="32" spans="1:2" x14ac:dyDescent="0.25">
      <c r="A32" s="16">
        <v>19</v>
      </c>
      <c r="B32" s="32">
        <v>7.7999999999999999E-4</v>
      </c>
    </row>
    <row r="33" spans="1:2" x14ac:dyDescent="0.25">
      <c r="A33" s="16">
        <v>20</v>
      </c>
      <c r="B33" s="32">
        <v>8.3000000000000001E-4</v>
      </c>
    </row>
    <row r="34" spans="1:2" x14ac:dyDescent="0.25">
      <c r="A34" s="16">
        <v>21</v>
      </c>
      <c r="B34" s="32">
        <v>8.7000000000000001E-4</v>
      </c>
    </row>
    <row r="35" spans="1:2" x14ac:dyDescent="0.25">
      <c r="A35" s="16">
        <v>22</v>
      </c>
      <c r="B35" s="32">
        <v>8.8999999999999995E-4</v>
      </c>
    </row>
    <row r="36" spans="1:2" x14ac:dyDescent="0.25">
      <c r="A36" s="16">
        <v>23</v>
      </c>
      <c r="B36" s="32">
        <v>8.9999999999999998E-4</v>
      </c>
    </row>
    <row r="37" spans="1:2" x14ac:dyDescent="0.25">
      <c r="A37" s="18">
        <v>24</v>
      </c>
      <c r="B37" s="33">
        <v>8.9999999999999998E-4</v>
      </c>
    </row>
    <row r="38" spans="1:2" x14ac:dyDescent="0.25">
      <c r="A38" s="19">
        <v>25</v>
      </c>
      <c r="B38" s="34">
        <v>8.8999999999999995E-4</v>
      </c>
    </row>
    <row r="39" spans="1:2" x14ac:dyDescent="0.25">
      <c r="A39" s="19">
        <v>26</v>
      </c>
      <c r="B39" s="34">
        <v>8.8000000000000003E-4</v>
      </c>
    </row>
    <row r="40" spans="1:2" x14ac:dyDescent="0.25">
      <c r="A40" s="19">
        <v>27</v>
      </c>
      <c r="B40" s="34">
        <v>8.5999999999999998E-4</v>
      </c>
    </row>
    <row r="41" spans="1:2" x14ac:dyDescent="0.25">
      <c r="A41" s="19">
        <v>28</v>
      </c>
      <c r="B41" s="34">
        <v>8.4000000000000003E-4</v>
      </c>
    </row>
    <row r="42" spans="1:2" x14ac:dyDescent="0.25">
      <c r="A42" s="19">
        <v>29</v>
      </c>
      <c r="B42" s="34">
        <v>8.1999999999999998E-4</v>
      </c>
    </row>
    <row r="43" spans="1:2" x14ac:dyDescent="0.25">
      <c r="A43" s="19">
        <v>30</v>
      </c>
      <c r="B43" s="34">
        <v>8.0000000000000004E-4</v>
      </c>
    </row>
    <row r="44" spans="1:2" x14ac:dyDescent="0.25">
      <c r="A44" s="19">
        <v>31</v>
      </c>
      <c r="B44" s="34">
        <v>7.6999999999999996E-4</v>
      </c>
    </row>
    <row r="45" spans="1:2" x14ac:dyDescent="0.25">
      <c r="A45" s="19">
        <v>32</v>
      </c>
      <c r="B45" s="34">
        <v>7.5000000000000002E-4</v>
      </c>
    </row>
    <row r="46" spans="1:2" x14ac:dyDescent="0.25">
      <c r="A46" s="19">
        <v>33</v>
      </c>
      <c r="B46" s="34">
        <v>7.3999999999999999E-4</v>
      </c>
    </row>
    <row r="47" spans="1:2" x14ac:dyDescent="0.25">
      <c r="A47" s="19">
        <v>34</v>
      </c>
      <c r="B47" s="34">
        <v>7.3999999999999999E-4</v>
      </c>
    </row>
    <row r="48" spans="1:2" x14ac:dyDescent="0.25">
      <c r="A48" s="19">
        <v>35</v>
      </c>
      <c r="B48" s="34">
        <v>7.5000000000000002E-4</v>
      </c>
    </row>
    <row r="49" spans="1:2" x14ac:dyDescent="0.25">
      <c r="A49" s="19">
        <v>36</v>
      </c>
      <c r="B49" s="34">
        <v>7.6000000000000004E-4</v>
      </c>
    </row>
    <row r="50" spans="1:2" x14ac:dyDescent="0.25">
      <c r="A50" s="19">
        <v>37</v>
      </c>
      <c r="B50" s="34">
        <v>7.7999999999999999E-4</v>
      </c>
    </row>
    <row r="51" spans="1:2" x14ac:dyDescent="0.25">
      <c r="A51" s="19">
        <v>38</v>
      </c>
      <c r="B51" s="34">
        <v>8.0999999999999996E-4</v>
      </c>
    </row>
    <row r="52" spans="1:2" x14ac:dyDescent="0.25">
      <c r="A52" s="19">
        <v>39</v>
      </c>
      <c r="B52" s="34">
        <v>8.4999999999999995E-4</v>
      </c>
    </row>
    <row r="53" spans="1:2" x14ac:dyDescent="0.25">
      <c r="A53" s="19">
        <v>40</v>
      </c>
      <c r="B53" s="34">
        <v>8.8999999999999995E-4</v>
      </c>
    </row>
    <row r="54" spans="1:2" x14ac:dyDescent="0.25">
      <c r="A54" s="19">
        <v>41</v>
      </c>
      <c r="B54" s="34">
        <v>9.3999999999999997E-4</v>
      </c>
    </row>
    <row r="55" spans="1:2" x14ac:dyDescent="0.25">
      <c r="A55" s="19">
        <v>42</v>
      </c>
      <c r="B55" s="34">
        <v>1.01E-3</v>
      </c>
    </row>
    <row r="56" spans="1:2" x14ac:dyDescent="0.25">
      <c r="A56" s="19">
        <v>43</v>
      </c>
      <c r="B56" s="34">
        <v>1.08E-3</v>
      </c>
    </row>
    <row r="57" spans="1:2" x14ac:dyDescent="0.25">
      <c r="A57" s="19">
        <v>44</v>
      </c>
      <c r="B57" s="34">
        <v>1.16E-3</v>
      </c>
    </row>
    <row r="58" spans="1:2" x14ac:dyDescent="0.25">
      <c r="A58" s="19">
        <v>45</v>
      </c>
      <c r="B58" s="34">
        <v>1.2600000000000001E-3</v>
      </c>
    </row>
    <row r="59" spans="1:2" x14ac:dyDescent="0.25">
      <c r="A59" s="19">
        <v>46</v>
      </c>
      <c r="B59" s="34">
        <v>1.3699999999999999E-3</v>
      </c>
    </row>
    <row r="60" spans="1:2" x14ac:dyDescent="0.25">
      <c r="A60" s="19">
        <v>47</v>
      </c>
      <c r="B60" s="34">
        <v>1.5E-3</v>
      </c>
    </row>
    <row r="61" spans="1:2" x14ac:dyDescent="0.25">
      <c r="A61" s="19">
        <v>48</v>
      </c>
      <c r="B61" s="34">
        <v>1.65E-3</v>
      </c>
    </row>
    <row r="62" spans="1:2" x14ac:dyDescent="0.25">
      <c r="A62" s="20">
        <v>49</v>
      </c>
      <c r="B62" s="35">
        <v>1.83E-3</v>
      </c>
    </row>
    <row r="63" spans="1:2" x14ac:dyDescent="0.25">
      <c r="A63" s="21">
        <v>50</v>
      </c>
      <c r="B63" s="36">
        <v>2.0300000000000001E-3</v>
      </c>
    </row>
    <row r="64" spans="1:2" x14ac:dyDescent="0.25">
      <c r="A64" s="19">
        <v>51</v>
      </c>
      <c r="B64" s="34">
        <v>2.2599999999999999E-3</v>
      </c>
    </row>
    <row r="65" spans="1:2" x14ac:dyDescent="0.25">
      <c r="A65" s="19">
        <v>52</v>
      </c>
      <c r="B65" s="34">
        <v>2.5200000000000001E-3</v>
      </c>
    </row>
    <row r="66" spans="1:2" x14ac:dyDescent="0.25">
      <c r="A66" s="19">
        <v>53</v>
      </c>
      <c r="B66" s="34">
        <v>2.82E-3</v>
      </c>
    </row>
    <row r="67" spans="1:2" x14ac:dyDescent="0.25">
      <c r="A67" s="19">
        <v>54</v>
      </c>
      <c r="B67" s="34">
        <v>3.15E-3</v>
      </c>
    </row>
    <row r="68" spans="1:2" x14ac:dyDescent="0.25">
      <c r="A68" s="19">
        <v>55</v>
      </c>
      <c r="B68" s="34">
        <v>3.5200000000000001E-3</v>
      </c>
    </row>
    <row r="69" spans="1:2" x14ac:dyDescent="0.25">
      <c r="A69" s="19">
        <v>56</v>
      </c>
      <c r="B69" s="34">
        <v>3.9300000000000003E-3</v>
      </c>
    </row>
    <row r="70" spans="1:2" x14ac:dyDescent="0.25">
      <c r="A70" s="19">
        <v>57</v>
      </c>
      <c r="B70" s="34">
        <v>4.3899999999999998E-3</v>
      </c>
    </row>
    <row r="71" spans="1:2" x14ac:dyDescent="0.25">
      <c r="A71" s="19">
        <v>58</v>
      </c>
      <c r="B71" s="34">
        <v>4.9100000000000003E-3</v>
      </c>
    </row>
    <row r="72" spans="1:2" x14ac:dyDescent="0.25">
      <c r="A72" s="19">
        <v>59</v>
      </c>
      <c r="B72" s="34">
        <v>5.5100000000000001E-3</v>
      </c>
    </row>
    <row r="73" spans="1:2" x14ac:dyDescent="0.25">
      <c r="A73" s="19">
        <v>60</v>
      </c>
      <c r="B73" s="34">
        <v>6.1999999999999998E-3</v>
      </c>
    </row>
    <row r="74" spans="1:2" x14ac:dyDescent="0.25">
      <c r="A74" s="19">
        <v>61</v>
      </c>
      <c r="B74" s="34">
        <v>7.0000000000000001E-3</v>
      </c>
    </row>
    <row r="75" spans="1:2" x14ac:dyDescent="0.25">
      <c r="A75" s="19">
        <v>62</v>
      </c>
      <c r="B75" s="34">
        <v>7.92E-3</v>
      </c>
    </row>
    <row r="76" spans="1:2" x14ac:dyDescent="0.25">
      <c r="A76" s="19">
        <v>63</v>
      </c>
      <c r="B76" s="34">
        <v>8.9700000000000005E-3</v>
      </c>
    </row>
    <row r="77" spans="1:2" x14ac:dyDescent="0.25">
      <c r="A77" s="19">
        <v>64</v>
      </c>
      <c r="B77" s="34">
        <v>1.017E-2</v>
      </c>
    </row>
    <row r="78" spans="1:2" x14ac:dyDescent="0.25">
      <c r="A78" s="19">
        <v>65</v>
      </c>
      <c r="B78" s="34">
        <v>1.153E-2</v>
      </c>
    </row>
    <row r="79" spans="1:2" x14ac:dyDescent="0.25">
      <c r="A79" s="19">
        <v>66</v>
      </c>
      <c r="B79" s="34">
        <v>1.306E-2</v>
      </c>
    </row>
    <row r="80" spans="1:2" x14ac:dyDescent="0.25">
      <c r="A80" s="19">
        <v>67</v>
      </c>
      <c r="B80" s="34">
        <v>1.477E-2</v>
      </c>
    </row>
    <row r="81" spans="1:2" x14ac:dyDescent="0.25">
      <c r="A81" s="19">
        <v>68</v>
      </c>
      <c r="B81" s="34">
        <v>1.67E-2</v>
      </c>
    </row>
    <row r="82" spans="1:2" x14ac:dyDescent="0.25">
      <c r="A82" s="19">
        <v>69</v>
      </c>
      <c r="B82" s="34">
        <v>1.8849999999999999E-2</v>
      </c>
    </row>
    <row r="83" spans="1:2" x14ac:dyDescent="0.25">
      <c r="A83" s="19">
        <v>70</v>
      </c>
      <c r="B83" s="34">
        <v>2.1250000000000002E-2</v>
      </c>
    </row>
    <row r="84" spans="1:2" x14ac:dyDescent="0.25">
      <c r="A84" s="19">
        <v>71</v>
      </c>
      <c r="B84" s="34">
        <v>2.393E-2</v>
      </c>
    </row>
    <row r="85" spans="1:2" x14ac:dyDescent="0.25">
      <c r="A85" s="19">
        <v>72</v>
      </c>
      <c r="B85" s="34">
        <v>2.69E-2</v>
      </c>
    </row>
    <row r="86" spans="1:2" x14ac:dyDescent="0.25">
      <c r="A86" s="19">
        <v>73</v>
      </c>
      <c r="B86" s="34">
        <v>3.022E-2</v>
      </c>
    </row>
    <row r="87" spans="1:2" x14ac:dyDescent="0.25">
      <c r="A87" s="20">
        <v>74</v>
      </c>
      <c r="B87" s="35">
        <v>3.39E-2</v>
      </c>
    </row>
    <row r="88" spans="1:2" x14ac:dyDescent="0.25">
      <c r="A88" s="21">
        <v>75</v>
      </c>
      <c r="B88" s="36">
        <v>3.8010000000000002E-2</v>
      </c>
    </row>
    <row r="89" spans="1:2" x14ac:dyDescent="0.25">
      <c r="A89" s="19">
        <v>76</v>
      </c>
      <c r="B89" s="34">
        <v>4.2590000000000003E-2</v>
      </c>
    </row>
    <row r="90" spans="1:2" x14ac:dyDescent="0.25">
      <c r="A90" s="19">
        <v>77</v>
      </c>
      <c r="B90" s="34">
        <v>4.768E-2</v>
      </c>
    </row>
    <row r="91" spans="1:2" x14ac:dyDescent="0.25">
      <c r="A91" s="19">
        <v>78</v>
      </c>
      <c r="B91" s="34">
        <v>5.3350000000000002E-2</v>
      </c>
    </row>
    <row r="92" spans="1:2" x14ac:dyDescent="0.25">
      <c r="A92" s="19">
        <v>79</v>
      </c>
      <c r="B92" s="34">
        <v>5.9659999999999998E-2</v>
      </c>
    </row>
    <row r="93" spans="1:2" x14ac:dyDescent="0.25">
      <c r="A93" s="19">
        <v>80</v>
      </c>
      <c r="B93" s="34">
        <v>6.6650000000000001E-2</v>
      </c>
    </row>
    <row r="94" spans="1:2" x14ac:dyDescent="0.25">
      <c r="A94" s="19">
        <v>81</v>
      </c>
      <c r="B94" s="34">
        <v>7.4380000000000002E-2</v>
      </c>
    </row>
    <row r="95" spans="1:2" x14ac:dyDescent="0.25">
      <c r="A95" s="19">
        <v>82</v>
      </c>
      <c r="B95" s="34">
        <v>8.2839999999999997E-2</v>
      </c>
    </row>
    <row r="96" spans="1:2" x14ac:dyDescent="0.25">
      <c r="A96" s="19">
        <v>83</v>
      </c>
      <c r="B96" s="34">
        <v>9.2030000000000001E-2</v>
      </c>
    </row>
    <row r="97" spans="1:2" x14ac:dyDescent="0.25">
      <c r="A97" s="19">
        <v>84</v>
      </c>
      <c r="B97" s="34">
        <v>0.10188999999999999</v>
      </c>
    </row>
    <row r="98" spans="1:2" x14ac:dyDescent="0.25">
      <c r="A98" s="19">
        <v>85</v>
      </c>
      <c r="B98" s="34">
        <v>0.11239</v>
      </c>
    </row>
    <row r="99" spans="1:2" x14ac:dyDescent="0.25">
      <c r="A99" s="19">
        <v>86</v>
      </c>
      <c r="B99" s="34">
        <v>0.12346</v>
      </c>
    </row>
    <row r="100" spans="1:2" x14ac:dyDescent="0.25">
      <c r="A100" s="19">
        <v>87</v>
      </c>
      <c r="B100" s="34">
        <v>0.13503000000000001</v>
      </c>
    </row>
    <row r="101" spans="1:2" x14ac:dyDescent="0.25">
      <c r="A101" s="19">
        <v>88</v>
      </c>
      <c r="B101" s="34">
        <v>0.14704</v>
      </c>
    </row>
    <row r="102" spans="1:2" x14ac:dyDescent="0.25">
      <c r="A102" s="19">
        <v>89</v>
      </c>
      <c r="B102" s="34">
        <v>0.15939</v>
      </c>
    </row>
    <row r="103" spans="1:2" x14ac:dyDescent="0.25">
      <c r="A103" s="19">
        <v>90</v>
      </c>
      <c r="B103" s="34">
        <v>0.17194000000000001</v>
      </c>
    </row>
    <row r="104" spans="1:2" x14ac:dyDescent="0.25">
      <c r="A104" s="19">
        <v>91</v>
      </c>
      <c r="B104" s="34">
        <v>0.18453</v>
      </c>
    </row>
    <row r="105" spans="1:2" x14ac:dyDescent="0.25">
      <c r="A105" s="19">
        <v>92</v>
      </c>
      <c r="B105" s="34">
        <v>0.19694999999999999</v>
      </c>
    </row>
    <row r="106" spans="1:2" x14ac:dyDescent="0.25">
      <c r="A106" s="19">
        <v>93</v>
      </c>
      <c r="B106" s="34">
        <v>0.20899000000000001</v>
      </c>
    </row>
    <row r="107" spans="1:2" x14ac:dyDescent="0.25">
      <c r="A107" s="19">
        <v>94</v>
      </c>
      <c r="B107" s="34">
        <v>0.22037999999999999</v>
      </c>
    </row>
    <row r="108" spans="1:2" x14ac:dyDescent="0.25">
      <c r="A108" s="19">
        <v>95</v>
      </c>
      <c r="B108" s="34">
        <v>0.23077</v>
      </c>
    </row>
    <row r="109" spans="1:2" x14ac:dyDescent="0.25">
      <c r="A109" s="19">
        <v>96</v>
      </c>
      <c r="B109" s="34">
        <v>0.23987</v>
      </c>
    </row>
    <row r="110" spans="1:2" x14ac:dyDescent="0.25">
      <c r="A110" s="19">
        <v>97</v>
      </c>
      <c r="B110" s="34">
        <v>0.24747</v>
      </c>
    </row>
    <row r="111" spans="1:2" x14ac:dyDescent="0.25">
      <c r="A111" s="19">
        <v>98</v>
      </c>
      <c r="B111" s="34">
        <v>0.25355</v>
      </c>
    </row>
    <row r="112" spans="1:2" x14ac:dyDescent="0.25">
      <c r="A112" s="20">
        <v>99</v>
      </c>
      <c r="B112" s="35">
        <v>0.25835000000000002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M7" sqref="M7"/>
    </sheetView>
  </sheetViews>
  <sheetFormatPr defaultRowHeight="13.5" x14ac:dyDescent="0.25"/>
  <cols>
    <col min="1" max="1" width="20.140625" style="2" customWidth="1"/>
    <col min="2" max="2" width="9.140625" style="2"/>
    <col min="3" max="3" width="9.140625" style="2" customWidth="1"/>
    <col min="4" max="5" width="9.140625" style="2"/>
    <col min="6" max="6" width="11" style="2" customWidth="1"/>
    <col min="7" max="11" width="9.140625" style="2"/>
    <col min="12" max="12" width="10.85546875" style="2" customWidth="1"/>
    <col min="13" max="16384" width="9.140625" style="2"/>
  </cols>
  <sheetData>
    <row r="1" spans="1:13" ht="15" x14ac:dyDescent="0.25">
      <c r="A1" s="1" t="s">
        <v>66</v>
      </c>
    </row>
    <row r="3" spans="1:13" x14ac:dyDescent="0.25">
      <c r="A3" s="3" t="s">
        <v>0</v>
      </c>
      <c r="B3" s="2" t="s">
        <v>36</v>
      </c>
      <c r="F3" s="3" t="s">
        <v>37</v>
      </c>
      <c r="L3" s="3" t="s">
        <v>40</v>
      </c>
    </row>
    <row r="5" spans="1:13" x14ac:dyDescent="0.25">
      <c r="A5" s="3" t="s">
        <v>1</v>
      </c>
      <c r="F5" s="2" t="s">
        <v>38</v>
      </c>
      <c r="L5" s="2" t="s">
        <v>41</v>
      </c>
    </row>
    <row r="6" spans="1:13" x14ac:dyDescent="0.25">
      <c r="A6" s="2" t="s">
        <v>5</v>
      </c>
      <c r="B6" s="49" t="s">
        <v>2</v>
      </c>
      <c r="F6" s="2" t="s">
        <v>39</v>
      </c>
      <c r="L6" s="2" t="s">
        <v>42</v>
      </c>
    </row>
    <row r="7" spans="1:13" x14ac:dyDescent="0.25">
      <c r="A7" s="2" t="s">
        <v>6</v>
      </c>
      <c r="B7" s="50">
        <v>0.85</v>
      </c>
      <c r="F7" s="2" t="s">
        <v>58</v>
      </c>
      <c r="G7" s="50">
        <v>0.25</v>
      </c>
      <c r="L7" s="2" t="s">
        <v>59</v>
      </c>
      <c r="M7" s="50">
        <v>2.2000000000000002</v>
      </c>
    </row>
    <row r="8" spans="1:13" x14ac:dyDescent="0.25">
      <c r="A8" s="2" t="s">
        <v>7</v>
      </c>
      <c r="B8" s="49" t="s">
        <v>8</v>
      </c>
    </row>
    <row r="9" spans="1:13" x14ac:dyDescent="0.25">
      <c r="B9" s="49"/>
    </row>
    <row r="10" spans="1:13" x14ac:dyDescent="0.25">
      <c r="A10" s="3" t="s">
        <v>3</v>
      </c>
      <c r="B10" s="49"/>
    </row>
    <row r="11" spans="1:13" x14ac:dyDescent="0.25">
      <c r="A11" s="2" t="s">
        <v>26</v>
      </c>
      <c r="B11" s="49"/>
    </row>
    <row r="12" spans="1:13" x14ac:dyDescent="0.25">
      <c r="A12" s="2">
        <v>1</v>
      </c>
      <c r="B12" s="50">
        <v>0.12</v>
      </c>
    </row>
    <row r="13" spans="1:13" x14ac:dyDescent="0.25">
      <c r="A13" s="2">
        <f>1+A12</f>
        <v>2</v>
      </c>
      <c r="B13" s="50">
        <v>0.12</v>
      </c>
    </row>
    <row r="14" spans="1:13" x14ac:dyDescent="0.25">
      <c r="A14" s="2">
        <f t="shared" ref="A14:A21" si="0">1+A13</f>
        <v>3</v>
      </c>
      <c r="B14" s="50">
        <v>0.1</v>
      </c>
    </row>
    <row r="15" spans="1:13" x14ac:dyDescent="0.25">
      <c r="A15" s="2">
        <f t="shared" si="0"/>
        <v>4</v>
      </c>
      <c r="B15" s="50">
        <v>0.1</v>
      </c>
    </row>
    <row r="16" spans="1:13" x14ac:dyDescent="0.25">
      <c r="A16" s="2">
        <f t="shared" si="0"/>
        <v>5</v>
      </c>
      <c r="B16" s="50">
        <v>0.1</v>
      </c>
    </row>
    <row r="17" spans="1:3" x14ac:dyDescent="0.25">
      <c r="A17" s="2">
        <f t="shared" si="0"/>
        <v>6</v>
      </c>
      <c r="B17" s="50">
        <v>0.1</v>
      </c>
    </row>
    <row r="18" spans="1:3" x14ac:dyDescent="0.25">
      <c r="A18" s="2">
        <f t="shared" si="0"/>
        <v>7</v>
      </c>
      <c r="B18" s="50">
        <v>0.1</v>
      </c>
    </row>
    <row r="19" spans="1:3" x14ac:dyDescent="0.25">
      <c r="A19" s="2">
        <f t="shared" si="0"/>
        <v>8</v>
      </c>
      <c r="B19" s="50">
        <v>0.1</v>
      </c>
    </row>
    <row r="20" spans="1:3" x14ac:dyDescent="0.25">
      <c r="A20" s="2">
        <f t="shared" si="0"/>
        <v>9</v>
      </c>
      <c r="B20" s="50">
        <v>0.1</v>
      </c>
    </row>
    <row r="21" spans="1:3" x14ac:dyDescent="0.25">
      <c r="A21" s="2">
        <f t="shared" si="0"/>
        <v>10</v>
      </c>
      <c r="B21" s="50">
        <v>0.1</v>
      </c>
    </row>
    <row r="22" spans="1:3" x14ac:dyDescent="0.25">
      <c r="B22" s="49"/>
    </row>
    <row r="23" spans="1:3" x14ac:dyDescent="0.25">
      <c r="A23" s="3" t="s">
        <v>4</v>
      </c>
      <c r="B23" s="49"/>
    </row>
    <row r="24" spans="1:3" x14ac:dyDescent="0.25">
      <c r="A24" s="2" t="s">
        <v>9</v>
      </c>
      <c r="B24" s="51">
        <v>70</v>
      </c>
    </row>
    <row r="25" spans="1:3" x14ac:dyDescent="0.25">
      <c r="A25" s="2" t="s">
        <v>10</v>
      </c>
      <c r="B25" s="51">
        <v>70</v>
      </c>
      <c r="C25" s="2" t="s">
        <v>43</v>
      </c>
    </row>
    <row r="26" spans="1:3" x14ac:dyDescent="0.25">
      <c r="A26" s="2" t="s">
        <v>11</v>
      </c>
      <c r="B26" s="50">
        <v>0.02</v>
      </c>
    </row>
    <row r="27" spans="1:3" x14ac:dyDescent="0.25">
      <c r="B27" s="49"/>
    </row>
    <row r="28" spans="1:3" x14ac:dyDescent="0.25">
      <c r="A28" s="3" t="s">
        <v>12</v>
      </c>
      <c r="B28" s="49"/>
    </row>
    <row r="29" spans="1:3" x14ac:dyDescent="0.25">
      <c r="A29" s="2" t="s">
        <v>13</v>
      </c>
      <c r="B29" s="50">
        <v>0.2</v>
      </c>
      <c r="C29" s="2" t="s">
        <v>14</v>
      </c>
    </row>
    <row r="30" spans="1:3" x14ac:dyDescent="0.25">
      <c r="A30" s="2" t="s">
        <v>10</v>
      </c>
      <c r="B30" s="50">
        <v>0.2</v>
      </c>
      <c r="C30" s="2" t="s">
        <v>15</v>
      </c>
    </row>
    <row r="31" spans="1:3" x14ac:dyDescent="0.25">
      <c r="B31" s="49"/>
    </row>
    <row r="32" spans="1:3" x14ac:dyDescent="0.25">
      <c r="A32" s="3" t="s">
        <v>16</v>
      </c>
      <c r="B32" s="50">
        <v>0.03</v>
      </c>
    </row>
    <row r="33" spans="1:2" x14ac:dyDescent="0.25">
      <c r="B33" s="49"/>
    </row>
    <row r="34" spans="1:2" x14ac:dyDescent="0.25">
      <c r="A34" s="3" t="s">
        <v>17</v>
      </c>
      <c r="B34" s="50">
        <v>0.03</v>
      </c>
    </row>
    <row r="35" spans="1:2" x14ac:dyDescent="0.25">
      <c r="B35" s="49"/>
    </row>
    <row r="36" spans="1:2" x14ac:dyDescent="0.25">
      <c r="A36" s="3" t="s">
        <v>18</v>
      </c>
      <c r="B36" s="50">
        <v>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heetViews>
  <sheetFormatPr defaultRowHeight="15" x14ac:dyDescent="0.25"/>
  <sheetData>
    <row r="1" spans="1:8" x14ac:dyDescent="0.25">
      <c r="A1" s="1" t="s">
        <v>27</v>
      </c>
      <c r="B1" s="1"/>
      <c r="C1" s="2"/>
      <c r="D1" s="2"/>
      <c r="E1" s="2"/>
      <c r="F1" s="2"/>
      <c r="G1" s="2"/>
    </row>
    <row r="2" spans="1:8" x14ac:dyDescent="0.25">
      <c r="A2" s="2"/>
      <c r="B2" s="2"/>
      <c r="C2" s="2"/>
      <c r="D2" s="2"/>
      <c r="E2" s="2"/>
      <c r="F2" s="2"/>
      <c r="G2" s="2"/>
    </row>
    <row r="3" spans="1:8" x14ac:dyDescent="0.25">
      <c r="A3" s="2"/>
      <c r="B3" s="2"/>
      <c r="C3" s="2"/>
      <c r="D3" s="2"/>
      <c r="E3" s="2"/>
      <c r="F3" s="2"/>
      <c r="G3" s="2"/>
    </row>
    <row r="4" spans="1:8" ht="15.75" x14ac:dyDescent="0.3">
      <c r="A4" s="6" t="s">
        <v>24</v>
      </c>
      <c r="B4" s="6" t="s">
        <v>28</v>
      </c>
      <c r="C4" s="6" t="s">
        <v>25</v>
      </c>
      <c r="D4" s="6" t="s">
        <v>29</v>
      </c>
      <c r="E4" s="6" t="s">
        <v>30</v>
      </c>
      <c r="F4" s="6" t="s">
        <v>31</v>
      </c>
      <c r="G4" s="6" t="s">
        <v>32</v>
      </c>
      <c r="H4" s="6" t="s">
        <v>35</v>
      </c>
    </row>
    <row r="5" spans="1:8" x14ac:dyDescent="0.25">
      <c r="A5" s="7">
        <v>1</v>
      </c>
      <c r="B5" s="7">
        <f>VLOOKUP(Data!$B$4 + Decrements!A5 - 1,IA95_97UltM,2)*Factor</f>
        <v>1.0710000000000001E-3</v>
      </c>
      <c r="C5" s="7">
        <f t="shared" ref="C5:C14" si="0">VLOOKUP(A5,lapse_rates,2)</f>
        <v>0.12</v>
      </c>
      <c r="D5" s="8">
        <v>1</v>
      </c>
      <c r="E5" s="8">
        <f>D5*B5</f>
        <v>1.0710000000000001E-3</v>
      </c>
      <c r="F5" s="8">
        <f>(D5-E5)*C5</f>
        <v>0.11987147999999999</v>
      </c>
      <c r="G5" s="8">
        <f>D5-E5-F5</f>
        <v>0.87905751999999993</v>
      </c>
      <c r="H5" s="8">
        <f>G5/D5</f>
        <v>0.87905751999999993</v>
      </c>
    </row>
    <row r="6" spans="1:8" x14ac:dyDescent="0.25">
      <c r="A6" s="7">
        <f>1+A5</f>
        <v>2</v>
      </c>
      <c r="B6" s="7">
        <f>VLOOKUP(Data!$B$4 + Decrements!A6 - 1,IA95_97UltM,2)*Factor</f>
        <v>1.1645E-3</v>
      </c>
      <c r="C6" s="7">
        <f t="shared" si="0"/>
        <v>0.12</v>
      </c>
      <c r="D6" s="8">
        <f>G5</f>
        <v>0.87905751999999993</v>
      </c>
      <c r="E6" s="8">
        <f>D6*B6</f>
        <v>1.0236624820399998E-3</v>
      </c>
      <c r="F6" s="8">
        <f>(D6-E6)*C6</f>
        <v>0.10536406290215519</v>
      </c>
      <c r="G6" s="8">
        <f>D6-E6-F6</f>
        <v>0.77266979461580476</v>
      </c>
      <c r="H6" s="8">
        <f t="shared" ref="H6:H14" si="1">G6/D6</f>
        <v>0.87897524000000005</v>
      </c>
    </row>
    <row r="7" spans="1:8" x14ac:dyDescent="0.25">
      <c r="A7" s="7">
        <f t="shared" ref="A7:A14" si="2">1+A6</f>
        <v>3</v>
      </c>
      <c r="B7" s="7">
        <f>VLOOKUP(Data!$B$4 + Decrements!A7 - 1,IA95_97UltM,2)*Factor</f>
        <v>1.2750000000000001E-3</v>
      </c>
      <c r="C7" s="7">
        <f t="shared" si="0"/>
        <v>0.1</v>
      </c>
      <c r="D7" s="8">
        <f t="shared" ref="D7:D14" si="3">G6</f>
        <v>0.77266979461580476</v>
      </c>
      <c r="E7" s="8">
        <f t="shared" ref="E7:E14" si="4">D7*B7</f>
        <v>9.8515398813515107E-4</v>
      </c>
      <c r="F7" s="8">
        <f t="shared" ref="F7:F14" si="5">(D7-E7)*C7</f>
        <v>7.7168464062766964E-2</v>
      </c>
      <c r="G7" s="8">
        <f t="shared" ref="G7:G14" si="6">D7-E7-F7</f>
        <v>0.69451617656490261</v>
      </c>
      <c r="H7" s="8">
        <f t="shared" si="1"/>
        <v>0.89885249999999994</v>
      </c>
    </row>
    <row r="8" spans="1:8" x14ac:dyDescent="0.25">
      <c r="A8" s="7">
        <f t="shared" si="2"/>
        <v>4</v>
      </c>
      <c r="B8" s="7">
        <f>VLOOKUP(Data!$B$4 + Decrements!A8 - 1,IA95_97UltM,2)*Factor</f>
        <v>1.4024999999999999E-3</v>
      </c>
      <c r="C8" s="7">
        <f t="shared" si="0"/>
        <v>0.1</v>
      </c>
      <c r="D8" s="8">
        <f t="shared" si="3"/>
        <v>0.69451617656490261</v>
      </c>
      <c r="E8" s="8">
        <f t="shared" si="4"/>
        <v>9.7405893763227583E-4</v>
      </c>
      <c r="F8" s="8">
        <f t="shared" si="5"/>
        <v>6.9354211762727033E-2</v>
      </c>
      <c r="G8" s="8">
        <f t="shared" si="6"/>
        <v>0.62418790586454331</v>
      </c>
      <c r="H8" s="8">
        <f t="shared" si="1"/>
        <v>0.89873775</v>
      </c>
    </row>
    <row r="9" spans="1:8" x14ac:dyDescent="0.25">
      <c r="A9" s="7">
        <f t="shared" si="2"/>
        <v>5</v>
      </c>
      <c r="B9" s="7">
        <f>VLOOKUP(Data!$B$4 + Decrements!A9 - 1,IA95_97UltM,2)*Factor</f>
        <v>1.5555E-3</v>
      </c>
      <c r="C9" s="7">
        <f t="shared" si="0"/>
        <v>0.1</v>
      </c>
      <c r="D9" s="8">
        <f t="shared" si="3"/>
        <v>0.62418790586454331</v>
      </c>
      <c r="E9" s="8">
        <f t="shared" si="4"/>
        <v>9.709242875722971E-4</v>
      </c>
      <c r="F9" s="8">
        <f t="shared" si="5"/>
        <v>6.2321698157697107E-2</v>
      </c>
      <c r="G9" s="8">
        <f t="shared" si="6"/>
        <v>0.56089528341927397</v>
      </c>
      <c r="H9" s="8">
        <f t="shared" si="1"/>
        <v>0.89860005000000009</v>
      </c>
    </row>
    <row r="10" spans="1:8" x14ac:dyDescent="0.25">
      <c r="A10" s="7">
        <f t="shared" si="2"/>
        <v>6</v>
      </c>
      <c r="B10" s="7">
        <f>VLOOKUP(Data!$B$4 + Decrements!A10 - 1,IA95_97UltM,2)*Factor</f>
        <v>1.7255E-3</v>
      </c>
      <c r="C10" s="7">
        <f t="shared" si="0"/>
        <v>0.1</v>
      </c>
      <c r="D10" s="8">
        <f t="shared" si="3"/>
        <v>0.56089528341927397</v>
      </c>
      <c r="E10" s="8">
        <f t="shared" si="4"/>
        <v>9.6782481153995725E-4</v>
      </c>
      <c r="F10" s="8">
        <f t="shared" si="5"/>
        <v>5.59927458607734E-2</v>
      </c>
      <c r="G10" s="8">
        <f t="shared" si="6"/>
        <v>0.50393471274696056</v>
      </c>
      <c r="H10" s="8">
        <f t="shared" si="1"/>
        <v>0.89844704999999991</v>
      </c>
    </row>
    <row r="11" spans="1:8" x14ac:dyDescent="0.25">
      <c r="A11" s="7">
        <f t="shared" si="2"/>
        <v>7</v>
      </c>
      <c r="B11" s="7">
        <f>VLOOKUP(Data!$B$4 + Decrements!A11 - 1,IA95_97UltM,2)*Factor</f>
        <v>1.9209999999999997E-3</v>
      </c>
      <c r="C11" s="7">
        <f t="shared" si="0"/>
        <v>0.1</v>
      </c>
      <c r="D11" s="8">
        <f t="shared" si="3"/>
        <v>0.50393471274696056</v>
      </c>
      <c r="E11" s="8">
        <f t="shared" si="4"/>
        <v>9.6805858318691114E-4</v>
      </c>
      <c r="F11" s="8">
        <f t="shared" si="5"/>
        <v>5.0296665416377367E-2</v>
      </c>
      <c r="G11" s="8">
        <f t="shared" si="6"/>
        <v>0.45266998874739628</v>
      </c>
      <c r="H11" s="8">
        <f t="shared" si="1"/>
        <v>0.89827109999999999</v>
      </c>
    </row>
    <row r="12" spans="1:8" x14ac:dyDescent="0.25">
      <c r="A12" s="7">
        <f t="shared" si="2"/>
        <v>8</v>
      </c>
      <c r="B12" s="7">
        <f>VLOOKUP(Data!$B$4 + Decrements!A12 - 1,IA95_97UltM,2)*Factor</f>
        <v>2.1420000000000002E-3</v>
      </c>
      <c r="C12" s="7">
        <f t="shared" si="0"/>
        <v>0.1</v>
      </c>
      <c r="D12" s="8">
        <f t="shared" si="3"/>
        <v>0.45266998874739628</v>
      </c>
      <c r="E12" s="8">
        <f t="shared" si="4"/>
        <v>9.6961911589692293E-4</v>
      </c>
      <c r="F12" s="8">
        <f t="shared" si="5"/>
        <v>4.5170036963149938E-2</v>
      </c>
      <c r="G12" s="8">
        <f t="shared" si="6"/>
        <v>0.40653033266834943</v>
      </c>
      <c r="H12" s="8">
        <f t="shared" si="1"/>
        <v>0.89807219999999999</v>
      </c>
    </row>
    <row r="13" spans="1:8" x14ac:dyDescent="0.25">
      <c r="A13" s="7">
        <f t="shared" si="2"/>
        <v>9</v>
      </c>
      <c r="B13" s="7">
        <f>VLOOKUP(Data!$B$4 + Decrements!A13 - 1,IA95_97UltM,2)*Factor</f>
        <v>2.3969999999999998E-3</v>
      </c>
      <c r="C13" s="7">
        <f t="shared" si="0"/>
        <v>0.1</v>
      </c>
      <c r="D13" s="8">
        <f t="shared" si="3"/>
        <v>0.40653033266834943</v>
      </c>
      <c r="E13" s="8">
        <f t="shared" si="4"/>
        <v>9.7445320740603355E-4</v>
      </c>
      <c r="F13" s="8">
        <f t="shared" si="5"/>
        <v>4.0555587946094346E-2</v>
      </c>
      <c r="G13" s="8">
        <f t="shared" si="6"/>
        <v>0.36500029151484903</v>
      </c>
      <c r="H13" s="8">
        <f t="shared" si="1"/>
        <v>0.89784269999999999</v>
      </c>
    </row>
    <row r="14" spans="1:8" x14ac:dyDescent="0.25">
      <c r="A14" s="7">
        <f t="shared" si="2"/>
        <v>10</v>
      </c>
      <c r="B14" s="7">
        <f>VLOOKUP(Data!$B$4 + Decrements!A14 - 1,IA95_97UltM,2)*Factor</f>
        <v>2.6774999999999998E-3</v>
      </c>
      <c r="C14" s="7">
        <f t="shared" si="0"/>
        <v>0.1</v>
      </c>
      <c r="D14" s="8">
        <f t="shared" si="3"/>
        <v>0.36500029151484903</v>
      </c>
      <c r="E14" s="8">
        <f t="shared" si="4"/>
        <v>9.7728828053100813E-4</v>
      </c>
      <c r="F14" s="8">
        <f t="shared" si="5"/>
        <v>3.6402300323431801E-2</v>
      </c>
      <c r="G14" s="8">
        <f t="shared" si="6"/>
        <v>0.32762070291088624</v>
      </c>
      <c r="H14" s="8">
        <f t="shared" si="1"/>
        <v>0.89759025000000003</v>
      </c>
    </row>
    <row r="16" spans="1:8" x14ac:dyDescent="0.25">
      <c r="A16" s="2" t="s">
        <v>84</v>
      </c>
      <c r="B16" s="2"/>
      <c r="C16" s="2" t="s">
        <v>33</v>
      </c>
      <c r="D16" s="2"/>
      <c r="E16" s="2"/>
      <c r="F16" s="2"/>
    </row>
    <row r="17" spans="1:6" x14ac:dyDescent="0.25">
      <c r="A17" s="2"/>
      <c r="B17" s="2"/>
      <c r="C17" s="2" t="s">
        <v>34</v>
      </c>
      <c r="D17" s="2"/>
      <c r="E17" s="2"/>
      <c r="F17" s="2"/>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6"/>
  <sheetViews>
    <sheetView topLeftCell="A10" workbookViewId="0">
      <selection activeCell="Q22" sqref="Q22"/>
    </sheetView>
  </sheetViews>
  <sheetFormatPr defaultRowHeight="13.5" x14ac:dyDescent="0.25"/>
  <cols>
    <col min="1" max="2" width="9.140625" style="2"/>
    <col min="3" max="3" width="11.140625" style="2" customWidth="1"/>
    <col min="4" max="5" width="9.140625" style="2"/>
    <col min="6" max="6" width="11.85546875" style="2" customWidth="1"/>
    <col min="7" max="7" width="11.140625" style="2" bestFit="1" customWidth="1"/>
    <col min="8" max="8" width="11.85546875" style="2" customWidth="1"/>
    <col min="9" max="9" width="11.140625" style="2" customWidth="1"/>
    <col min="10" max="10" width="10.85546875" style="2" customWidth="1"/>
    <col min="11" max="11" width="12" style="2" customWidth="1"/>
    <col min="12" max="12" width="10.85546875" style="2" bestFit="1" customWidth="1"/>
    <col min="13" max="16384" width="9.140625" style="2"/>
  </cols>
  <sheetData>
    <row r="1" spans="1:18" ht="15" x14ac:dyDescent="0.25">
      <c r="A1" s="1" t="s">
        <v>91</v>
      </c>
      <c r="M1" s="105" t="s">
        <v>120</v>
      </c>
      <c r="N1" s="129" t="s">
        <v>121</v>
      </c>
      <c r="O1" s="129"/>
      <c r="P1" s="129"/>
    </row>
    <row r="2" spans="1:18" x14ac:dyDescent="0.25">
      <c r="N2" s="106" t="s">
        <v>122</v>
      </c>
      <c r="O2" s="130" t="s">
        <v>123</v>
      </c>
      <c r="P2" s="131"/>
    </row>
    <row r="3" spans="1:18" ht="15" x14ac:dyDescent="0.25">
      <c r="B3" s="126" t="s">
        <v>47</v>
      </c>
      <c r="C3" s="127"/>
      <c r="D3" s="127"/>
      <c r="E3" s="127"/>
      <c r="F3" s="127"/>
      <c r="G3" s="127"/>
      <c r="H3" s="127"/>
      <c r="I3" s="128"/>
      <c r="J3"/>
      <c r="K3"/>
      <c r="M3" s="107" t="s">
        <v>24</v>
      </c>
      <c r="N3" s="6" t="s">
        <v>49</v>
      </c>
      <c r="O3" s="132" t="s">
        <v>124</v>
      </c>
      <c r="P3" s="6" t="s">
        <v>49</v>
      </c>
      <c r="Q3" s="6" t="s">
        <v>45</v>
      </c>
    </row>
    <row r="4" spans="1:18" ht="57.75" customHeight="1" x14ac:dyDescent="0.25">
      <c r="B4" s="47" t="s">
        <v>24</v>
      </c>
      <c r="C4" s="48" t="s">
        <v>50</v>
      </c>
      <c r="D4" s="48" t="s">
        <v>51</v>
      </c>
      <c r="E4" s="48" t="s">
        <v>52</v>
      </c>
      <c r="F4" s="48" t="s">
        <v>53</v>
      </c>
      <c r="G4" s="48" t="s">
        <v>97</v>
      </c>
      <c r="H4" s="48" t="s">
        <v>81</v>
      </c>
      <c r="I4" s="48" t="s">
        <v>54</v>
      </c>
      <c r="J4"/>
      <c r="K4"/>
      <c r="M4" s="108">
        <v>0</v>
      </c>
      <c r="N4" s="112">
        <f>NPV(Discount_rate,D5:$D$14)*(1+Discount_rate)+NPV(Discount_rate,E5:$E$14)-NPV(Discount_rate,C5:$C$14)*(1+Discount_rate)</f>
        <v>-540.40428672277721</v>
      </c>
      <c r="O4" s="133"/>
      <c r="P4" s="114">
        <f>-NPV(Discount_rate,O5:$O$14)</f>
        <v>-540.40428672277676</v>
      </c>
      <c r="Q4" s="116">
        <f>-P4</f>
        <v>540.40428672277676</v>
      </c>
      <c r="R4" s="122" t="s">
        <v>127</v>
      </c>
    </row>
    <row r="5" spans="1:18" ht="15" x14ac:dyDescent="0.25">
      <c r="B5" s="7">
        <f>1</f>
        <v>1</v>
      </c>
      <c r="C5" s="24">
        <f>(1+Stepped_premium_loading)*Sum_Insured*VLOOKUP(Age+'Cash flows'!B5-1,IA95_97UltM,2)</f>
        <v>667.11959999999999</v>
      </c>
      <c r="D5" s="22">
        <f>Initial_expense+Initial_comm_rate*C5</f>
        <v>203.42392000000001</v>
      </c>
      <c r="E5" s="22">
        <f>Sum_Insured*VLOOKUP(Age+B5-1,IA95_97UltM,2)*Factor</f>
        <v>428.4</v>
      </c>
      <c r="F5" s="22">
        <f>C5-D5-E5</f>
        <v>35.295680000000004</v>
      </c>
      <c r="G5" s="22">
        <f>'Liability calculation'!B6</f>
        <v>-540.40428672277699</v>
      </c>
      <c r="H5" s="22">
        <f>(C5-D5+G5)*Investment_rate</f>
        <v>-2.3012582016833103</v>
      </c>
      <c r="I5" s="22">
        <f>F5+G5+H5</f>
        <v>-507.40986492446029</v>
      </c>
      <c r="J5" s="54"/>
      <c r="K5" s="54"/>
      <c r="L5"/>
      <c r="M5" s="109">
        <f>1+M4</f>
        <v>1</v>
      </c>
      <c r="N5" s="112">
        <f>NPV(Discount_rate,D6:$D$14)*(1+Discount_rate)+NPV(Discount_rate,E6:$E$14)-NPV(Discount_rate,C6:$C$14)*(1+Discount_rate)</f>
        <v>-507.40986492445973</v>
      </c>
      <c r="O5" s="110">
        <f t="shared" ref="O5:O14" si="0">F5+(C5-D5)*Investment_rate</f>
        <v>49.206550400000005</v>
      </c>
      <c r="P5" s="114">
        <f>-NPV(Discount_rate,O6:$O$14)</f>
        <v>-507.40986492446024</v>
      </c>
      <c r="Q5" s="55">
        <f t="shared" ref="Q5:Q14" si="1">C5-D5+(C5-D5+P4)*Investment_rate-E5-(P5-P4)</f>
        <v>1.7053025658242404E-13</v>
      </c>
      <c r="R5" s="123">
        <f>NPV(Discount_rate,Q4:Q14)*(1+Discount_rate)</f>
        <v>540.40428672277676</v>
      </c>
    </row>
    <row r="6" spans="1:18" ht="15" x14ac:dyDescent="0.25">
      <c r="B6" s="7">
        <f>1+B5</f>
        <v>2</v>
      </c>
      <c r="C6" s="24">
        <f>(1+Stepped_premium_loading)*Sum_Insured*VLOOKUP(Age+'Cash flows'!B6-1,IA95_97UltM,2)*VLOOKUP(B5,Decrement,7)</f>
        <v>637.63333851870391</v>
      </c>
      <c r="D6" s="22">
        <f t="shared" ref="D6:D14" si="2">(Renewal_expense*(1+Inflation)^(B6-2))*VLOOKUP(B5,Decrement,7) + Renewal_comm_rate*C6</f>
        <v>189.06069410374079</v>
      </c>
      <c r="E6" s="22">
        <f t="shared" ref="E6:E14" si="3">Sum_Insured*VLOOKUP(Age+B6-1,IA95_97UltM,2)*Factor*VLOOKUP(B5,Decrement,7)</f>
        <v>409.46499281599995</v>
      </c>
      <c r="F6" s="22">
        <f t="shared" ref="F6:F14" si="4">C6-D6-E6</f>
        <v>39.107651598963173</v>
      </c>
      <c r="G6" s="22"/>
      <c r="H6" s="22">
        <f t="shared" ref="H6:H14" si="5">(I5+C6-D6)*Investment_rate</f>
        <v>-1.7651166152849151</v>
      </c>
      <c r="I6" s="22">
        <f t="shared" ref="I6:I14" si="6">I5+F6+H6</f>
        <v>-470.06732994078203</v>
      </c>
      <c r="J6"/>
      <c r="K6"/>
      <c r="L6"/>
      <c r="M6" s="109">
        <f t="shared" ref="M6:M14" si="7">1+M5</f>
        <v>2</v>
      </c>
      <c r="N6" s="112">
        <f>NPV(Discount_rate,D7:$D$14)*(1+Discount_rate)+NPV(Discount_rate,E7:$E$14)-NPV(Discount_rate,C7:$C$14)*(1+Discount_rate)</f>
        <v>-470.06732994078266</v>
      </c>
      <c r="O6" s="110">
        <f t="shared" si="0"/>
        <v>52.564830931412068</v>
      </c>
      <c r="P6" s="114">
        <f>-NPV(Discount_rate,O7:$O$14)</f>
        <v>-470.06732994078186</v>
      </c>
      <c r="Q6" s="55">
        <f t="shared" si="1"/>
        <v>-1.1368683772161603E-13</v>
      </c>
    </row>
    <row r="7" spans="1:18" ht="15" x14ac:dyDescent="0.25">
      <c r="B7" s="7">
        <f t="shared" ref="B7:B14" si="8">1+B6</f>
        <v>3</v>
      </c>
      <c r="C7" s="24">
        <f>(1+Stepped_premium_loading)*Sum_Insured*VLOOKUP(Age+'Cash flows'!B7-1,IA95_97UltM,2)*VLOOKUP(B6,Decrement,7)</f>
        <v>613.64662418592604</v>
      </c>
      <c r="D7" s="22">
        <f t="shared" si="2"/>
        <v>177.89794817275367</v>
      </c>
      <c r="E7" s="22">
        <f t="shared" si="3"/>
        <v>394.06159525406042</v>
      </c>
      <c r="F7" s="22">
        <f t="shared" si="4"/>
        <v>41.68708075911195</v>
      </c>
      <c r="G7" s="22"/>
      <c r="H7" s="22">
        <f t="shared" si="5"/>
        <v>-1.0295596178282898</v>
      </c>
      <c r="I7" s="22">
        <f t="shared" si="6"/>
        <v>-429.40980879949836</v>
      </c>
      <c r="J7"/>
      <c r="K7"/>
      <c r="L7"/>
      <c r="M7" s="109">
        <f t="shared" si="7"/>
        <v>3</v>
      </c>
      <c r="N7" s="112">
        <f>NPV(Discount_rate,D8:$D$14)*(1+Discount_rate)+NPV(Discount_rate,E8:$E$14)-NPV(Discount_rate,C8:$C$14)*(1+Discount_rate)</f>
        <v>-429.40980879949757</v>
      </c>
      <c r="O7" s="110">
        <f t="shared" si="0"/>
        <v>54.75954103950712</v>
      </c>
      <c r="P7" s="114">
        <f>-NPV(Discount_rate,O8:$O$14)</f>
        <v>-429.40980879949825</v>
      </c>
      <c r="Q7" s="55">
        <f t="shared" si="1"/>
        <v>5.6843418860808015E-14</v>
      </c>
    </row>
    <row r="8" spans="1:18" ht="15" x14ac:dyDescent="0.25">
      <c r="B8" s="7">
        <f t="shared" si="8"/>
        <v>4</v>
      </c>
      <c r="C8" s="24">
        <f>(1+Stepped_premium_loading)*Sum_Insured*VLOOKUP(Age+'Cash flows'!B8-1,IA95_97UltM,2)*VLOOKUP(B7,Decrement,7)</f>
        <v>606.73558249268808</v>
      </c>
      <c r="D8" s="22">
        <f t="shared" si="2"/>
        <v>171.92734060540636</v>
      </c>
      <c r="E8" s="22">
        <f t="shared" si="3"/>
        <v>389.62357505291038</v>
      </c>
      <c r="F8" s="22">
        <f t="shared" si="4"/>
        <v>45.184666834371342</v>
      </c>
      <c r="G8" s="22"/>
      <c r="H8" s="22">
        <f t="shared" si="5"/>
        <v>0.1619529926335008</v>
      </c>
      <c r="I8" s="22">
        <f t="shared" si="6"/>
        <v>-384.06318897249355</v>
      </c>
      <c r="J8"/>
      <c r="K8"/>
      <c r="L8"/>
      <c r="M8" s="109">
        <f t="shared" si="7"/>
        <v>4</v>
      </c>
      <c r="N8" s="112">
        <f>NPV(Discount_rate,D9:$D$14)*(1+Discount_rate)+NPV(Discount_rate,E9:$E$14)-NPV(Discount_rate,C9:$C$14)*(1+Discount_rate)</f>
        <v>-384.06318897249321</v>
      </c>
      <c r="O8" s="110">
        <f t="shared" si="0"/>
        <v>58.22891409098979</v>
      </c>
      <c r="P8" s="114">
        <f>-NPV(Discount_rate,O9:$O$14)</f>
        <v>-384.06318897249344</v>
      </c>
      <c r="Q8" s="55">
        <f t="shared" si="1"/>
        <v>5.6843418860808015E-14</v>
      </c>
    </row>
    <row r="9" spans="1:18" ht="15" x14ac:dyDescent="0.25">
      <c r="B9" s="7">
        <f t="shared" si="8"/>
        <v>5</v>
      </c>
      <c r="C9" s="24">
        <f>(1+Stepped_premium_loading)*Sum_Insured*VLOOKUP(Age+'Cash flows'!B9-1,IA95_97UltM,2)*VLOOKUP(B8,Decrement,7)</f>
        <v>604.78302740944525</v>
      </c>
      <c r="D9" s="22">
        <f t="shared" si="2"/>
        <v>167.32412942635807</v>
      </c>
      <c r="E9" s="22">
        <f t="shared" si="3"/>
        <v>388.36971502891879</v>
      </c>
      <c r="F9" s="22">
        <f t="shared" si="4"/>
        <v>49.089182954168393</v>
      </c>
      <c r="G9" s="22"/>
      <c r="H9" s="22">
        <f t="shared" si="5"/>
        <v>1.6018712703178091</v>
      </c>
      <c r="I9" s="22">
        <f t="shared" si="6"/>
        <v>-333.37213474800734</v>
      </c>
      <c r="J9"/>
      <c r="K9"/>
      <c r="L9"/>
      <c r="M9" s="109">
        <f t="shared" si="7"/>
        <v>5</v>
      </c>
      <c r="N9" s="112">
        <f>NPV(Discount_rate,D10:$D$14)*(1+Discount_rate)+NPV(Discount_rate,E10:$E$14)-NPV(Discount_rate,C10:$C$14)*(1+Discount_rate)</f>
        <v>-333.37213474800728</v>
      </c>
      <c r="O9" s="110">
        <f t="shared" si="0"/>
        <v>62.212949893661005</v>
      </c>
      <c r="P9" s="114">
        <f>-NPV(Discount_rate,O10:$O$14)</f>
        <v>-333.37213474800717</v>
      </c>
      <c r="Q9" s="55">
        <f t="shared" si="1"/>
        <v>-5.6843418860808015E-14</v>
      </c>
    </row>
    <row r="10" spans="1:18" ht="15" x14ac:dyDescent="0.25">
      <c r="B10" s="7">
        <f t="shared" si="8"/>
        <v>6</v>
      </c>
      <c r="C10" s="24">
        <f>(1+Stepped_premium_loading)*Sum_Insured*VLOOKUP(Age+'Cash flows'!B10-1,IA95_97UltM,2)*VLOOKUP(B9,Decrement,7)</f>
        <v>602.8523820211127</v>
      </c>
      <c r="D10" s="22">
        <f t="shared" si="2"/>
        <v>163.06965292579613</v>
      </c>
      <c r="E10" s="22">
        <f t="shared" si="3"/>
        <v>387.12992461598287</v>
      </c>
      <c r="F10" s="22">
        <f t="shared" si="4"/>
        <v>52.652804479333668</v>
      </c>
      <c r="G10" s="22"/>
      <c r="H10" s="22">
        <f t="shared" si="5"/>
        <v>3.1923178304192765</v>
      </c>
      <c r="I10" s="22">
        <f t="shared" si="6"/>
        <v>-277.52701243825442</v>
      </c>
      <c r="J10"/>
      <c r="K10"/>
      <c r="L10"/>
      <c r="M10" s="109">
        <f t="shared" si="7"/>
        <v>6</v>
      </c>
      <c r="N10" s="112">
        <f>NPV(Discount_rate,D11:$D$14)*(1+Discount_rate)+NPV(Discount_rate,E11:$E$14)-NPV(Discount_rate,C11:$C$14)*(1+Discount_rate)</f>
        <v>-277.52701243825413</v>
      </c>
      <c r="O10" s="110">
        <f t="shared" si="0"/>
        <v>65.846286352193161</v>
      </c>
      <c r="P10" s="114">
        <f>-NPV(Discount_rate,O11:$O$14)</f>
        <v>-277.52701243825425</v>
      </c>
      <c r="Q10" s="55">
        <f t="shared" si="1"/>
        <v>0</v>
      </c>
    </row>
    <row r="11" spans="1:18" ht="15" x14ac:dyDescent="0.25">
      <c r="B11" s="7">
        <f t="shared" si="8"/>
        <v>7</v>
      </c>
      <c r="C11" s="24">
        <f>(1+Stepped_premium_loading)*Sum_Insured*VLOOKUP(Age+'Cash flows'!B11-1,IA95_97UltM,2)*VLOOKUP(B10,Decrement,7)</f>
        <v>602.99799700487301</v>
      </c>
      <c r="D11" s="22">
        <f t="shared" si="2"/>
        <v>159.5465243696764</v>
      </c>
      <c r="E11" s="22">
        <f t="shared" si="3"/>
        <v>387.22343327476443</v>
      </c>
      <c r="F11" s="22">
        <f t="shared" si="4"/>
        <v>56.228039360432206</v>
      </c>
      <c r="G11" s="22"/>
      <c r="H11" s="22">
        <f t="shared" si="5"/>
        <v>4.9777338059082652</v>
      </c>
      <c r="I11" s="22">
        <f t="shared" si="6"/>
        <v>-216.32123927191395</v>
      </c>
      <c r="J11"/>
      <c r="K11"/>
      <c r="L11"/>
      <c r="M11" s="109">
        <f t="shared" si="7"/>
        <v>7</v>
      </c>
      <c r="N11" s="112">
        <f>NPV(Discount_rate,D12:$D$14)*(1+Discount_rate)+NPV(Discount_rate,E12:$E$14)-NPV(Discount_rate,C12:$C$14)*(1+Discount_rate)</f>
        <v>-216.32123927191401</v>
      </c>
      <c r="O11" s="110">
        <f t="shared" si="0"/>
        <v>69.531583539488111</v>
      </c>
      <c r="P11" s="114">
        <f>-NPV(Discount_rate,O12:$O$14)</f>
        <v>-216.32123927191378</v>
      </c>
      <c r="Q11" s="55">
        <f t="shared" si="1"/>
        <v>0</v>
      </c>
    </row>
    <row r="12" spans="1:18" ht="15" x14ac:dyDescent="0.25">
      <c r="B12" s="7">
        <f t="shared" si="8"/>
        <v>8</v>
      </c>
      <c r="C12" s="24">
        <f>(1+Stepped_premium_loading)*Sum_Insured*VLOOKUP(Age+'Cash flows'!B12-1,IA95_97UltM,2)*VLOOKUP(B11,Decrement,7)</f>
        <v>603.97004365033501</v>
      </c>
      <c r="D12" s="22">
        <f t="shared" si="2"/>
        <v>156.4786038059853</v>
      </c>
      <c r="E12" s="22">
        <f t="shared" si="3"/>
        <v>387.84764635876911</v>
      </c>
      <c r="F12" s="22">
        <f t="shared" si="4"/>
        <v>59.643793485580602</v>
      </c>
      <c r="G12" s="22"/>
      <c r="H12" s="22">
        <f t="shared" si="5"/>
        <v>6.935106017173073</v>
      </c>
      <c r="I12" s="22">
        <f t="shared" si="6"/>
        <v>-149.74233976916028</v>
      </c>
      <c r="J12"/>
      <c r="K12"/>
      <c r="L12"/>
      <c r="M12" s="109">
        <f t="shared" si="7"/>
        <v>8</v>
      </c>
      <c r="N12" s="112">
        <f>NPV(Discount_rate,D13:$D$14)*(1+Discount_rate)+NPV(Discount_rate,E13:$E$14)-NPV(Discount_rate,C13:$C$14)*(1+Discount_rate)</f>
        <v>-149.74233976916003</v>
      </c>
      <c r="O12" s="110">
        <f t="shared" si="0"/>
        <v>73.068536680911095</v>
      </c>
      <c r="P12" s="114">
        <f>-NPV(Discount_rate,O13:$O$14)</f>
        <v>-149.74233976916011</v>
      </c>
      <c r="Q12" s="55">
        <f t="shared" si="1"/>
        <v>0</v>
      </c>
    </row>
    <row r="13" spans="1:18" ht="15" x14ac:dyDescent="0.25">
      <c r="B13" s="7">
        <f t="shared" si="8"/>
        <v>9</v>
      </c>
      <c r="C13" s="24">
        <f>(1+Stepped_premium_loading)*Sum_Insured*VLOOKUP(Age+'Cash flows'!B13-1,IA95_97UltM,2)*VLOOKUP(B12,Decrement,7)</f>
        <v>606.98117081552766</v>
      </c>
      <c r="D13" s="22">
        <f t="shared" si="2"/>
        <v>154.08452382516342</v>
      </c>
      <c r="E13" s="22">
        <f t="shared" si="3"/>
        <v>389.7812829624134</v>
      </c>
      <c r="F13" s="22">
        <f t="shared" si="4"/>
        <v>63.115364027950875</v>
      </c>
      <c r="G13" s="22"/>
      <c r="H13" s="22">
        <f t="shared" si="5"/>
        <v>9.09462921663612</v>
      </c>
      <c r="I13" s="22">
        <f t="shared" si="6"/>
        <v>-77.532346524573285</v>
      </c>
      <c r="J13"/>
      <c r="K13"/>
      <c r="L13"/>
      <c r="M13" s="109">
        <f t="shared" si="7"/>
        <v>9</v>
      </c>
      <c r="N13" s="112">
        <f>NPV(Discount_rate,D14:$D$14)*(1+Discount_rate)+NPV(Discount_rate,E14:$E$14)-NPV(Discount_rate,C14:$C$14)*(1+Discount_rate)</f>
        <v>-77.532346524573086</v>
      </c>
      <c r="O13" s="110">
        <f t="shared" si="0"/>
        <v>76.702263437661799</v>
      </c>
      <c r="P13" s="114">
        <f>-NPV(Discount_rate,O14:$O$14)</f>
        <v>-77.5323465245731</v>
      </c>
      <c r="Q13" s="55">
        <f t="shared" si="1"/>
        <v>0</v>
      </c>
    </row>
    <row r="14" spans="1:18" ht="15" x14ac:dyDescent="0.25">
      <c r="B14" s="7">
        <f t="shared" si="8"/>
        <v>10</v>
      </c>
      <c r="C14" s="24">
        <f>(1+Stepped_premium_loading)*Sum_Insured*VLOOKUP(Age+'Cash flows'!B14-1,IA95_97UltM,2)*VLOOKUP(B13,Decrement,7)</f>
        <v>608.74712118817365</v>
      </c>
      <c r="D14" s="22">
        <f t="shared" si="2"/>
        <v>151.68534533117014</v>
      </c>
      <c r="E14" s="22">
        <f t="shared" si="3"/>
        <v>390.91531221240331</v>
      </c>
      <c r="F14" s="22">
        <f t="shared" si="4"/>
        <v>66.146463644600203</v>
      </c>
      <c r="G14" s="22"/>
      <c r="H14" s="22">
        <f t="shared" si="5"/>
        <v>11.385882879972906</v>
      </c>
      <c r="I14" s="22">
        <f t="shared" si="6"/>
        <v>-1.758593271006248E-13</v>
      </c>
      <c r="J14"/>
      <c r="K14"/>
      <c r="L14"/>
      <c r="M14" s="109">
        <f t="shared" si="7"/>
        <v>10</v>
      </c>
      <c r="N14" s="113"/>
      <c r="O14" s="111">
        <f t="shared" si="0"/>
        <v>79.858316920310301</v>
      </c>
      <c r="P14" s="115"/>
      <c r="Q14" s="55">
        <f t="shared" si="1"/>
        <v>0</v>
      </c>
    </row>
    <row r="15" spans="1:18" ht="15" x14ac:dyDescent="0.25">
      <c r="B15" s="60"/>
      <c r="C15" s="61"/>
      <c r="D15" s="61"/>
      <c r="E15" s="61"/>
      <c r="F15" s="61"/>
      <c r="G15" s="61"/>
      <c r="H15" s="61"/>
      <c r="I15" s="61"/>
      <c r="J15"/>
      <c r="K15"/>
      <c r="L15"/>
      <c r="M15" s="2" t="s">
        <v>126</v>
      </c>
      <c r="N15" s="116">
        <f>SUM(N4:N14)-SUM('Liability calculation'!B6:B16)</f>
        <v>0</v>
      </c>
    </row>
    <row r="16" spans="1:18" ht="15" x14ac:dyDescent="0.25">
      <c r="B16" s="2" t="s">
        <v>93</v>
      </c>
      <c r="J16"/>
      <c r="K16"/>
      <c r="L16"/>
      <c r="M16" s="105" t="s">
        <v>120</v>
      </c>
      <c r="N16" s="129" t="s">
        <v>121</v>
      </c>
      <c r="O16" s="129"/>
      <c r="P16" s="129"/>
    </row>
    <row r="17" spans="2:18" x14ac:dyDescent="0.25">
      <c r="N17" s="106" t="s">
        <v>122</v>
      </c>
      <c r="O17" s="130" t="s">
        <v>123</v>
      </c>
      <c r="P17" s="131"/>
    </row>
    <row r="18" spans="2:18" ht="17.25" customHeight="1" x14ac:dyDescent="0.25">
      <c r="B18" s="125" t="s">
        <v>88</v>
      </c>
      <c r="C18" s="125"/>
      <c r="D18" s="125"/>
      <c r="E18" s="125"/>
      <c r="F18" s="125"/>
      <c r="G18" s="125"/>
      <c r="H18" s="125"/>
      <c r="I18" s="125"/>
      <c r="J18" s="125"/>
      <c r="K18" s="125"/>
      <c r="M18" s="107" t="s">
        <v>24</v>
      </c>
      <c r="N18" s="6" t="s">
        <v>49</v>
      </c>
      <c r="O18" s="132" t="s">
        <v>124</v>
      </c>
      <c r="P18" s="6" t="s">
        <v>49</v>
      </c>
      <c r="Q18" s="6" t="s">
        <v>45</v>
      </c>
      <c r="R18" s="122" t="s">
        <v>127</v>
      </c>
    </row>
    <row r="19" spans="2:18" ht="55.5" customHeight="1" x14ac:dyDescent="0.25">
      <c r="B19" s="47" t="s">
        <v>24</v>
      </c>
      <c r="C19" s="48" t="s">
        <v>50</v>
      </c>
      <c r="D19" s="48" t="s">
        <v>51</v>
      </c>
      <c r="E19" s="48" t="s">
        <v>52</v>
      </c>
      <c r="F19" s="48" t="s">
        <v>53</v>
      </c>
      <c r="G19" s="48" t="s">
        <v>83</v>
      </c>
      <c r="H19" s="48" t="s">
        <v>54</v>
      </c>
      <c r="I19" s="48" t="s">
        <v>55</v>
      </c>
      <c r="J19" s="48" t="s">
        <v>56</v>
      </c>
      <c r="K19" s="48" t="s">
        <v>57</v>
      </c>
      <c r="M19" s="108">
        <v>0</v>
      </c>
      <c r="N19" s="112">
        <f>NPV(Discount_rate,D20:D$29)*(1+Discount_rate)+NPV(Discount_rate,E20:E$29)-NPV(Discount_rate,C20:C$29)*(1+Discount_rate)</f>
        <v>304.23010996706671</v>
      </c>
      <c r="O19" s="133"/>
      <c r="P19" s="114">
        <f>-NPV(Discount_rate,O20:O$29)</f>
        <v>304.23010996706768</v>
      </c>
      <c r="Q19" s="116">
        <f>-P19</f>
        <v>-304.23010996706768</v>
      </c>
      <c r="R19" s="123">
        <f>NPV(Discount_rate,Q19:Q29)*(1+Discount_rate)</f>
        <v>540.40428672277676</v>
      </c>
    </row>
    <row r="20" spans="2:18" x14ac:dyDescent="0.25">
      <c r="B20" s="23">
        <f>1</f>
        <v>1</v>
      </c>
      <c r="C20" s="24">
        <f t="shared" ref="C20:D29" si="9">C5</f>
        <v>667.11959999999999</v>
      </c>
      <c r="D20" s="24">
        <f t="shared" si="9"/>
        <v>203.42392000000001</v>
      </c>
      <c r="E20" s="24">
        <f t="shared" ref="E20:E29" si="10">E5*(1+CB1_factor)</f>
        <v>535.5</v>
      </c>
      <c r="F20" s="24">
        <f>C20-D20-E20</f>
        <v>-71.804320000000018</v>
      </c>
      <c r="G20" s="24">
        <f>(C20-D20)*Investment_rate</f>
        <v>13.910870399999999</v>
      </c>
      <c r="H20" s="25">
        <f>F20+G20</f>
        <v>-57.893449600000018</v>
      </c>
      <c r="I20" s="26">
        <f>'Liability calculation'!D6</f>
        <v>304.23010996706779</v>
      </c>
      <c r="J20" s="26">
        <f>(I20+C20-D20)*Investment_rate</f>
        <v>23.037773699012035</v>
      </c>
      <c r="K20" s="26">
        <f>J20+I20+C20-D20-E20</f>
        <v>255.46356366607984</v>
      </c>
      <c r="L20" s="9"/>
      <c r="M20" s="109">
        <f>1+M19</f>
        <v>1</v>
      </c>
      <c r="N20" s="112">
        <f>NPV(Discount_rate,D21:D$29)*(1+Discount_rate)+NPV(Discount_rate,E21:E$29)-NPV(Discount_rate,C21:C$29)*(1+Discount_rate)</f>
        <v>255.46356366607961</v>
      </c>
      <c r="O20" s="110">
        <f t="shared" ref="O20:O29" si="11">F20+(C20-D20)*Investment_rate</f>
        <v>-57.893449600000018</v>
      </c>
      <c r="P20" s="114">
        <f>-NPV(Discount_rate,O21:O$29)</f>
        <v>255.46356366607969</v>
      </c>
      <c r="Q20" s="9">
        <f t="shared" ref="Q20:Q29" si="12">C5-D5+(C5-D5+P19)*Investment_rate-E5-(P20-P19)</f>
        <v>107.1</v>
      </c>
    </row>
    <row r="21" spans="2:18" x14ac:dyDescent="0.25">
      <c r="B21" s="7">
        <f>1+B20</f>
        <v>2</v>
      </c>
      <c r="C21" s="24">
        <f t="shared" si="9"/>
        <v>637.63333851870391</v>
      </c>
      <c r="D21" s="24">
        <f t="shared" si="9"/>
        <v>189.06069410374079</v>
      </c>
      <c r="E21" s="24">
        <f t="shared" si="10"/>
        <v>511.83124101999994</v>
      </c>
      <c r="F21" s="22">
        <f t="shared" ref="F21:F29" si="13">C21-D21-E21</f>
        <v>-63.258596605036814</v>
      </c>
      <c r="G21" s="22">
        <f t="shared" ref="G21:G29" si="14">(H20+C21-D21)*Investment_rate</f>
        <v>11.720375844448892</v>
      </c>
      <c r="H21" s="27">
        <f>H20+F21+G21</f>
        <v>-109.43167036058794</v>
      </c>
      <c r="I21" s="11"/>
      <c r="J21" s="11">
        <f t="shared" ref="J21:J29" si="15">(K20+C21-D21)*Investment_rate</f>
        <v>21.121086242431289</v>
      </c>
      <c r="K21" s="11">
        <f t="shared" ref="K21:K29" si="16">K20+C21-D21-E21+J21</f>
        <v>213.32605330347437</v>
      </c>
      <c r="L21" s="9"/>
      <c r="M21" s="109">
        <f t="shared" ref="M21:M29" si="17">1+M20</f>
        <v>2</v>
      </c>
      <c r="N21" s="112">
        <f>NPV(Discount_rate,D22:D$29)*(1+Discount_rate)+NPV(Discount_rate,E22:E$29)-NPV(Discount_rate,C22:C$29)*(1+Discount_rate)</f>
        <v>213.3260533034736</v>
      </c>
      <c r="O21" s="110">
        <f t="shared" si="11"/>
        <v>-49.801417272587919</v>
      </c>
      <c r="P21" s="114">
        <f>-NPV(Discount_rate,O22:O$29)</f>
        <v>213.32605330347417</v>
      </c>
      <c r="Q21" s="9">
        <f t="shared" si="12"/>
        <v>102.36624820399996</v>
      </c>
    </row>
    <row r="22" spans="2:18" x14ac:dyDescent="0.25">
      <c r="B22" s="7">
        <f t="shared" ref="B22:B29" si="18">1+B21</f>
        <v>3</v>
      </c>
      <c r="C22" s="24">
        <f t="shared" si="9"/>
        <v>613.64662418592604</v>
      </c>
      <c r="D22" s="24">
        <f t="shared" si="9"/>
        <v>177.89794817275367</v>
      </c>
      <c r="E22" s="24">
        <f t="shared" si="10"/>
        <v>492.57699406757553</v>
      </c>
      <c r="F22" s="22">
        <f t="shared" si="13"/>
        <v>-56.828318054403155</v>
      </c>
      <c r="G22" s="22">
        <f t="shared" si="14"/>
        <v>9.7895101695775324</v>
      </c>
      <c r="H22" s="27">
        <f t="shared" ref="H22:H28" si="19">H21+F22+G22</f>
        <v>-156.47047824541355</v>
      </c>
      <c r="I22" s="11"/>
      <c r="J22" s="11">
        <f t="shared" si="15"/>
        <v>19.472241879499403</v>
      </c>
      <c r="K22" s="11">
        <f t="shared" si="16"/>
        <v>175.96997712857063</v>
      </c>
      <c r="L22" s="9"/>
      <c r="M22" s="109">
        <f t="shared" si="17"/>
        <v>3</v>
      </c>
      <c r="N22" s="112">
        <f>NPV(Discount_rate,D23:D$29)*(1+Discount_rate)+NPV(Discount_rate,E23:E$29)-NPV(Discount_rate,C23:C$29)*(1+Discount_rate)</f>
        <v>175.96997712857092</v>
      </c>
      <c r="O22" s="110">
        <f t="shared" si="11"/>
        <v>-43.755857774007985</v>
      </c>
      <c r="P22" s="114">
        <f>-NPV(Discount_rate,O23:O$29)</f>
        <v>175.96997712857041</v>
      </c>
      <c r="Q22" s="9">
        <f t="shared" si="12"/>
        <v>98.515398813515105</v>
      </c>
    </row>
    <row r="23" spans="2:18" x14ac:dyDescent="0.25">
      <c r="B23" s="7">
        <f t="shared" si="18"/>
        <v>4</v>
      </c>
      <c r="C23" s="24">
        <f t="shared" si="9"/>
        <v>606.73558249268808</v>
      </c>
      <c r="D23" s="24">
        <f t="shared" si="9"/>
        <v>171.92734060540636</v>
      </c>
      <c r="E23" s="24">
        <f t="shared" si="10"/>
        <v>487.02946881613798</v>
      </c>
      <c r="F23" s="22">
        <f t="shared" si="13"/>
        <v>-52.221226928856254</v>
      </c>
      <c r="G23" s="22">
        <f t="shared" si="14"/>
        <v>8.350132909256045</v>
      </c>
      <c r="H23" s="27">
        <f t="shared" si="19"/>
        <v>-200.34157226501375</v>
      </c>
      <c r="I23" s="11"/>
      <c r="J23" s="11">
        <f t="shared" si="15"/>
        <v>18.323346570475572</v>
      </c>
      <c r="K23" s="11">
        <f t="shared" si="16"/>
        <v>142.07209677019</v>
      </c>
      <c r="L23" s="9"/>
      <c r="M23" s="109">
        <f t="shared" si="17"/>
        <v>4</v>
      </c>
      <c r="N23" s="112">
        <f>NPV(Discount_rate,D24:D$29)*(1+Discount_rate)+NPV(Discount_rate,E24:E$29)-NPV(Discount_rate,C24:C$29)*(1+Discount_rate)</f>
        <v>142.07209677018955</v>
      </c>
      <c r="O23" s="110">
        <f t="shared" si="11"/>
        <v>-39.176979672237806</v>
      </c>
      <c r="P23" s="114">
        <f>-NPV(Discount_rate,O24:O$29)</f>
        <v>142.07209677018972</v>
      </c>
      <c r="Q23" s="9">
        <f t="shared" si="12"/>
        <v>97.405893763227596</v>
      </c>
    </row>
    <row r="24" spans="2:18" x14ac:dyDescent="0.25">
      <c r="B24" s="7">
        <f t="shared" si="18"/>
        <v>5</v>
      </c>
      <c r="C24" s="24">
        <f t="shared" si="9"/>
        <v>604.78302740944525</v>
      </c>
      <c r="D24" s="24">
        <f t="shared" si="9"/>
        <v>167.32412942635807</v>
      </c>
      <c r="E24" s="24">
        <f t="shared" si="10"/>
        <v>485.46214378614849</v>
      </c>
      <c r="F24" s="22">
        <f t="shared" si="13"/>
        <v>-48.003245803061304</v>
      </c>
      <c r="G24" s="22">
        <f t="shared" si="14"/>
        <v>7.1135197715422036</v>
      </c>
      <c r="H24" s="27">
        <f t="shared" si="19"/>
        <v>-241.23129829653286</v>
      </c>
      <c r="I24" s="11"/>
      <c r="J24" s="11">
        <f t="shared" si="15"/>
        <v>17.385929842598312</v>
      </c>
      <c r="K24" s="11">
        <f t="shared" si="16"/>
        <v>111.45478080972696</v>
      </c>
      <c r="L24" s="9"/>
      <c r="M24" s="109">
        <f t="shared" si="17"/>
        <v>5</v>
      </c>
      <c r="N24" s="112">
        <f>NPV(Discount_rate,D25:D$29)*(1+Discount_rate)+NPV(Discount_rate,E25:E$29)-NPV(Discount_rate,C25:C$29)*(1+Discount_rate)</f>
        <v>111.45478080972634</v>
      </c>
      <c r="O24" s="110">
        <f t="shared" si="11"/>
        <v>-34.879478863568693</v>
      </c>
      <c r="P24" s="114">
        <f>-NPV(Discount_rate,O25:O$29)</f>
        <v>111.45478080972671</v>
      </c>
      <c r="Q24" s="9">
        <f t="shared" si="12"/>
        <v>97.092428757229726</v>
      </c>
    </row>
    <row r="25" spans="2:18" x14ac:dyDescent="0.25">
      <c r="B25" s="7">
        <f t="shared" si="18"/>
        <v>6</v>
      </c>
      <c r="C25" s="24">
        <f t="shared" si="9"/>
        <v>602.8523820211127</v>
      </c>
      <c r="D25" s="24">
        <f t="shared" si="9"/>
        <v>163.06965292579613</v>
      </c>
      <c r="E25" s="24">
        <f t="shared" si="10"/>
        <v>483.91240576997859</v>
      </c>
      <c r="F25" s="22">
        <f t="shared" si="13"/>
        <v>-44.129676674662051</v>
      </c>
      <c r="G25" s="22">
        <f t="shared" si="14"/>
        <v>5.9565429239635117</v>
      </c>
      <c r="H25" s="27">
        <f t="shared" si="19"/>
        <v>-279.40443204723135</v>
      </c>
      <c r="I25" s="11"/>
      <c r="J25" s="11">
        <f t="shared" si="15"/>
        <v>16.537125297151302</v>
      </c>
      <c r="K25" s="11">
        <f t="shared" si="16"/>
        <v>83.862229432216168</v>
      </c>
      <c r="L25" s="9"/>
      <c r="M25" s="109">
        <f t="shared" si="17"/>
        <v>6</v>
      </c>
      <c r="N25" s="112">
        <f>NPV(Discount_rate,D26:D$29)*(1+Discount_rate)+NPV(Discount_rate,E26:E$29)-NPV(Discount_rate,C26:C$29)*(1+Discount_rate)</f>
        <v>83.862229432215827</v>
      </c>
      <c r="O25" s="110">
        <f t="shared" si="11"/>
        <v>-30.936194801802557</v>
      </c>
      <c r="P25" s="114">
        <f>-NPV(Discount_rate,O26:O$29)</f>
        <v>83.862229432215955</v>
      </c>
      <c r="Q25" s="9">
        <f t="shared" si="12"/>
        <v>96.782481153995732</v>
      </c>
    </row>
    <row r="26" spans="2:18" x14ac:dyDescent="0.25">
      <c r="B26" s="7">
        <f t="shared" si="18"/>
        <v>7</v>
      </c>
      <c r="C26" s="24">
        <f t="shared" si="9"/>
        <v>602.99799700487301</v>
      </c>
      <c r="D26" s="24">
        <f t="shared" si="9"/>
        <v>159.5465243696764</v>
      </c>
      <c r="E26" s="24">
        <f t="shared" si="10"/>
        <v>484.02929159345553</v>
      </c>
      <c r="F26" s="22">
        <f t="shared" si="13"/>
        <v>-40.577818958258888</v>
      </c>
      <c r="G26" s="22">
        <f t="shared" si="14"/>
        <v>4.9214112176389575</v>
      </c>
      <c r="H26" s="27">
        <f t="shared" si="19"/>
        <v>-315.06083978785131</v>
      </c>
      <c r="I26" s="11"/>
      <c r="J26" s="11">
        <f t="shared" si="15"/>
        <v>15.819411062022384</v>
      </c>
      <c r="K26" s="11">
        <f t="shared" si="16"/>
        <v>59.103821535979662</v>
      </c>
      <c r="L26" s="9"/>
      <c r="M26" s="109">
        <f t="shared" si="17"/>
        <v>7</v>
      </c>
      <c r="N26" s="112">
        <f>NPV(Discount_rate,D27:D$29)*(1+Discount_rate)+NPV(Discount_rate,E27:E$29)-NPV(Discount_rate,C27:C$29)*(1+Discount_rate)</f>
        <v>59.103821535979705</v>
      </c>
      <c r="O26" s="110">
        <f t="shared" si="11"/>
        <v>-27.27427477920299</v>
      </c>
      <c r="P26" s="114">
        <f>-NPV(Discount_rate,O27:O$29)</f>
        <v>59.103821535979442</v>
      </c>
      <c r="Q26" s="9">
        <f t="shared" si="12"/>
        <v>96.805858318691094</v>
      </c>
    </row>
    <row r="27" spans="2:18" x14ac:dyDescent="0.25">
      <c r="B27" s="7">
        <f t="shared" si="18"/>
        <v>8</v>
      </c>
      <c r="C27" s="24">
        <f t="shared" si="9"/>
        <v>603.97004365033501</v>
      </c>
      <c r="D27" s="24">
        <f t="shared" si="9"/>
        <v>156.4786038059853</v>
      </c>
      <c r="E27" s="24">
        <f t="shared" si="10"/>
        <v>484.80955794846136</v>
      </c>
      <c r="F27" s="22">
        <f t="shared" si="13"/>
        <v>-37.318118104111647</v>
      </c>
      <c r="G27" s="22">
        <f t="shared" si="14"/>
        <v>3.9729180016949521</v>
      </c>
      <c r="H27" s="27">
        <f t="shared" si="19"/>
        <v>-348.406039890268</v>
      </c>
      <c r="I27" s="11"/>
      <c r="J27" s="11">
        <f t="shared" si="15"/>
        <v>15.197857841409881</v>
      </c>
      <c r="K27" s="11">
        <f t="shared" si="16"/>
        <v>36.983561273277942</v>
      </c>
      <c r="L27" s="9"/>
      <c r="M27" s="109">
        <f t="shared" si="17"/>
        <v>8</v>
      </c>
      <c r="N27" s="112">
        <f>NPV(Discount_rate,D28:D$29)*(1+Discount_rate)+NPV(Discount_rate,E28:E$29)-NPV(Discount_rate,C28:C$29)*(1+Discount_rate)</f>
        <v>36.983561273277701</v>
      </c>
      <c r="O27" s="110">
        <f t="shared" si="11"/>
        <v>-23.893374908781155</v>
      </c>
      <c r="P27" s="114">
        <f>-NPV(Discount_rate,O28:O$29)</f>
        <v>36.983561273277672</v>
      </c>
      <c r="Q27" s="9">
        <f t="shared" si="12"/>
        <v>96.961911589692249</v>
      </c>
    </row>
    <row r="28" spans="2:18" x14ac:dyDescent="0.25">
      <c r="B28" s="7">
        <f t="shared" si="18"/>
        <v>9</v>
      </c>
      <c r="C28" s="24">
        <f t="shared" si="9"/>
        <v>606.98117081552766</v>
      </c>
      <c r="D28" s="24">
        <f t="shared" si="9"/>
        <v>154.08452382516342</v>
      </c>
      <c r="E28" s="24">
        <f t="shared" si="10"/>
        <v>487.22660370301674</v>
      </c>
      <c r="F28" s="22">
        <f t="shared" si="13"/>
        <v>-34.329956712652461</v>
      </c>
      <c r="G28" s="22">
        <f t="shared" si="14"/>
        <v>3.1347182130028872</v>
      </c>
      <c r="H28" s="27">
        <f t="shared" si="19"/>
        <v>-379.60127838991758</v>
      </c>
      <c r="I28" s="11"/>
      <c r="J28" s="11">
        <f t="shared" si="15"/>
        <v>14.696406247909266</v>
      </c>
      <c r="K28" s="11">
        <f t="shared" si="16"/>
        <v>17.350010808534734</v>
      </c>
      <c r="L28" s="9"/>
      <c r="M28" s="109">
        <f t="shared" si="17"/>
        <v>9</v>
      </c>
      <c r="N28" s="112">
        <f>NPV(Discount_rate,D29:D$29)*(1+Discount_rate)+NPV(Discount_rate,E29:E$29)-NPV(Discount_rate,C29:C$29)*(1+Discount_rate)</f>
        <v>17.350010808534535</v>
      </c>
      <c r="O28" s="110">
        <f t="shared" si="11"/>
        <v>-20.743057302941533</v>
      </c>
      <c r="P28" s="114">
        <f>-NPV(Discount_rate,O29:O$29)</f>
        <v>17.350010808534471</v>
      </c>
      <c r="Q28" s="9">
        <f t="shared" si="12"/>
        <v>97.445320740603307</v>
      </c>
    </row>
    <row r="29" spans="2:18" x14ac:dyDescent="0.25">
      <c r="B29" s="7">
        <f t="shared" si="18"/>
        <v>10</v>
      </c>
      <c r="C29" s="24">
        <f t="shared" si="9"/>
        <v>608.74712118817365</v>
      </c>
      <c r="D29" s="24">
        <f t="shared" si="9"/>
        <v>151.68534533117014</v>
      </c>
      <c r="E29" s="24">
        <f t="shared" si="10"/>
        <v>488.64414026550412</v>
      </c>
      <c r="F29" s="22">
        <f t="shared" si="13"/>
        <v>-31.582364408500609</v>
      </c>
      <c r="G29" s="22">
        <f t="shared" si="14"/>
        <v>2.3238149240125776</v>
      </c>
      <c r="H29" s="27">
        <f>H28+F29+G29</f>
        <v>-408.8598278744056</v>
      </c>
      <c r="I29" s="11"/>
      <c r="J29" s="11">
        <f t="shared" si="15"/>
        <v>14.232353599966148</v>
      </c>
      <c r="K29" s="11">
        <f t="shared" si="16"/>
        <v>3.0020430585864233E-13</v>
      </c>
      <c r="L29" s="9"/>
      <c r="M29" s="109">
        <f t="shared" si="17"/>
        <v>10</v>
      </c>
      <c r="N29" s="113"/>
      <c r="O29" s="111">
        <f t="shared" si="11"/>
        <v>-17.870511132790504</v>
      </c>
      <c r="P29" s="115"/>
      <c r="Q29" s="9">
        <f t="shared" si="12"/>
        <v>97.728828053100813</v>
      </c>
    </row>
    <row r="30" spans="2:18" x14ac:dyDescent="0.25">
      <c r="I30" s="9"/>
      <c r="M30" s="2" t="s">
        <v>126</v>
      </c>
      <c r="N30" s="116">
        <f>SUM(N19:N29)-SUM('Liability calculation'!D6:D16)</f>
        <v>-2.0463630789890885E-12</v>
      </c>
    </row>
    <row r="31" spans="2:18" x14ac:dyDescent="0.25">
      <c r="B31" s="2" t="s">
        <v>48</v>
      </c>
    </row>
    <row r="32" spans="2:18" x14ac:dyDescent="0.25">
      <c r="M32" s="105" t="s">
        <v>120</v>
      </c>
      <c r="N32" s="129" t="s">
        <v>121</v>
      </c>
      <c r="O32" s="129"/>
      <c r="P32" s="129"/>
    </row>
    <row r="33" spans="2:18" x14ac:dyDescent="0.25">
      <c r="N33" s="106" t="s">
        <v>122</v>
      </c>
      <c r="O33" s="130" t="s">
        <v>123</v>
      </c>
      <c r="P33" s="131"/>
    </row>
    <row r="34" spans="2:18" x14ac:dyDescent="0.25">
      <c r="B34" s="125" t="s">
        <v>89</v>
      </c>
      <c r="C34" s="125"/>
      <c r="D34" s="125"/>
      <c r="E34" s="125"/>
      <c r="F34" s="125"/>
      <c r="G34" s="125"/>
      <c r="H34" s="125"/>
      <c r="I34" s="125"/>
      <c r="J34" s="125"/>
      <c r="K34" s="125"/>
      <c r="M34" s="107" t="s">
        <v>24</v>
      </c>
      <c r="N34" s="6" t="s">
        <v>49</v>
      </c>
      <c r="O34" s="132" t="s">
        <v>124</v>
      </c>
      <c r="P34" s="6" t="s">
        <v>49</v>
      </c>
      <c r="Q34" s="6" t="s">
        <v>45</v>
      </c>
      <c r="R34" s="122" t="s">
        <v>127</v>
      </c>
    </row>
    <row r="35" spans="2:18" ht="54" x14ac:dyDescent="0.25">
      <c r="B35" s="47" t="s">
        <v>24</v>
      </c>
      <c r="C35" s="48" t="s">
        <v>50</v>
      </c>
      <c r="D35" s="48" t="s">
        <v>51</v>
      </c>
      <c r="E35" s="48" t="s">
        <v>52</v>
      </c>
      <c r="F35" s="48" t="s">
        <v>53</v>
      </c>
      <c r="G35" s="48" t="s">
        <v>83</v>
      </c>
      <c r="H35" s="48" t="s">
        <v>54</v>
      </c>
      <c r="I35" s="48" t="s">
        <v>55</v>
      </c>
      <c r="J35" s="48" t="s">
        <v>56</v>
      </c>
      <c r="K35" s="48" t="s">
        <v>57</v>
      </c>
      <c r="M35" s="108">
        <v>0</v>
      </c>
      <c r="N35" s="112">
        <f>NPV(Discount_rate,D36:D$45)*(1+Discount_rate)+NPV(Discount_rate,E36:E$45)-NPV(Discount_rate,C36:C$45)*(1+Discount_rate)</f>
        <v>375.38702035440201</v>
      </c>
      <c r="O35" s="133"/>
      <c r="P35" s="114">
        <f>-NPV(Discount_rate,O36:$O$45)</f>
        <v>375.38702035440224</v>
      </c>
      <c r="Q35" s="116">
        <f>-P35</f>
        <v>-375.38702035440224</v>
      </c>
      <c r="R35" s="123">
        <f>NPV(Discount_rate,Q35:Q45)*(1+Discount_rate)</f>
        <v>540.40428672277687</v>
      </c>
    </row>
    <row r="36" spans="2:18" x14ac:dyDescent="0.25">
      <c r="B36" s="23">
        <f>1</f>
        <v>1</v>
      </c>
      <c r="C36" s="24">
        <f t="shared" ref="C36:C45" si="20">C5</f>
        <v>667.11959999999999</v>
      </c>
      <c r="D36" s="24">
        <f>Initial_expense*(1+CB2_factor)+Initial_comm_rate*C36</f>
        <v>357.42392000000001</v>
      </c>
      <c r="E36" s="24">
        <f t="shared" ref="E36:E45" si="21">E5</f>
        <v>428.4</v>
      </c>
      <c r="F36" s="24">
        <f>C36-D36-E36</f>
        <v>-118.70432</v>
      </c>
      <c r="G36" s="24">
        <f>(C36-D36)*Investment_rate</f>
        <v>9.2908703999999993</v>
      </c>
      <c r="H36" s="25">
        <f>F36+G36</f>
        <v>-109.41344959999999</v>
      </c>
      <c r="I36" s="26">
        <f>'Liability calculation'!F6</f>
        <v>375.38702035440218</v>
      </c>
      <c r="J36" s="26">
        <f>(I36+C36-D36)*Investment_rate</f>
        <v>20.552481010632068</v>
      </c>
      <c r="K36" s="26">
        <f>J36+I36+C36-D36-E36</f>
        <v>277.23518136503424</v>
      </c>
      <c r="L36" s="29"/>
      <c r="M36" s="109">
        <f>1+M35</f>
        <v>1</v>
      </c>
      <c r="N36" s="112">
        <f>NPV(Discount_rate,D37:D$45)*(1+Discount_rate)+NPV(Discount_rate,E37:E$45)-NPV(Discount_rate,C37:C$45)*(1+Discount_rate)</f>
        <v>277.2351813650348</v>
      </c>
      <c r="O36" s="110">
        <f t="shared" ref="O36:O45" si="22">F36+(C36-D36)*Investment_rate</f>
        <v>-109.41344959999999</v>
      </c>
      <c r="P36" s="114">
        <f>-NPV(Discount_rate,O37:$O$45)</f>
        <v>277.23518136503429</v>
      </c>
      <c r="Q36" s="9">
        <f t="shared" ref="Q36:Q45" si="23">C5-D5+(C5-D5+P35)*Investment_rate-E5-(P36-P35)</f>
        <v>158.62</v>
      </c>
    </row>
    <row r="37" spans="2:18" x14ac:dyDescent="0.25">
      <c r="B37" s="7">
        <f>1+B36</f>
        <v>2</v>
      </c>
      <c r="C37" s="24">
        <f t="shared" si="20"/>
        <v>637.63333851870391</v>
      </c>
      <c r="D37" s="22">
        <f t="shared" ref="D37:D45" si="24">(Renewal_expense*(1+Inflation)^(B37-2)*(1+CB2_factor)*VLOOKUP(B36,Decrement,7)) + Renewal_comm_rate*C37</f>
        <v>324.43555218374075</v>
      </c>
      <c r="E37" s="24">
        <f t="shared" si="21"/>
        <v>409.46499281599995</v>
      </c>
      <c r="F37" s="22">
        <f t="shared" ref="F37:F45" si="25">C37-D37-E37</f>
        <v>-96.267206481036794</v>
      </c>
      <c r="G37" s="22">
        <f t="shared" ref="G37:G44" si="26">(H36+C37-D37)*Investment_rate</f>
        <v>6.1135301020488937</v>
      </c>
      <c r="H37" s="27">
        <f>H36+F37+G37</f>
        <v>-199.56712597898789</v>
      </c>
      <c r="I37" s="11"/>
      <c r="J37" s="11">
        <f t="shared" ref="J37:J45" si="27">(K36+C37-D37)*Investment_rate</f>
        <v>17.712989030999918</v>
      </c>
      <c r="K37" s="11">
        <f>K36+C37-D37-E37+J37</f>
        <v>198.68096391499731</v>
      </c>
      <c r="L37" s="29"/>
      <c r="M37" s="109">
        <f t="shared" ref="M37:M45" si="28">1+M36</f>
        <v>2</v>
      </c>
      <c r="N37" s="112">
        <f>NPV(Discount_rate,D38:D$45)*(1+Discount_rate)+NPV(Discount_rate,E38:E$45)-NPV(Discount_rate,C38:C$45)*(1+Discount_rate)</f>
        <v>198.68096391499694</v>
      </c>
      <c r="O37" s="110">
        <f t="shared" si="22"/>
        <v>-86.871272890987896</v>
      </c>
      <c r="P37" s="114">
        <f>-NPV(Discount_rate,O38:$O$45)</f>
        <v>198.68096391499751</v>
      </c>
      <c r="Q37" s="9">
        <f t="shared" si="23"/>
        <v>139.4361038223999</v>
      </c>
    </row>
    <row r="38" spans="2:18" x14ac:dyDescent="0.25">
      <c r="B38" s="7">
        <f t="shared" ref="B38:B45" si="29">1+B37</f>
        <v>3</v>
      </c>
      <c r="C38" s="24">
        <f t="shared" si="20"/>
        <v>613.64662418592604</v>
      </c>
      <c r="D38" s="22">
        <f t="shared" si="24"/>
        <v>299.2689195110043</v>
      </c>
      <c r="E38" s="24">
        <f t="shared" si="21"/>
        <v>394.06159525406042</v>
      </c>
      <c r="F38" s="22">
        <f t="shared" si="25"/>
        <v>-79.683890579138676</v>
      </c>
      <c r="G38" s="22">
        <f t="shared" si="26"/>
        <v>3.4443173608780162</v>
      </c>
      <c r="H38" s="27">
        <f t="shared" ref="H38:H44" si="30">H37+F38+G38</f>
        <v>-275.80669919724858</v>
      </c>
      <c r="I38" s="11"/>
      <c r="J38" s="11">
        <f t="shared" si="27"/>
        <v>15.391760057697573</v>
      </c>
      <c r="K38" s="11">
        <f t="shared" ref="K38:K45" si="31">K37+C38-D38-E38+J38</f>
        <v>134.38883339355624</v>
      </c>
      <c r="L38" s="29"/>
      <c r="M38" s="109">
        <f t="shared" si="28"/>
        <v>3</v>
      </c>
      <c r="N38" s="112">
        <f>NPV(Discount_rate,D39:D$45)*(1+Discount_rate)+NPV(Discount_rate,E39:E$45)-NPV(Discount_rate,C39:C$45)*(1+Discount_rate)</f>
        <v>134.38883339355652</v>
      </c>
      <c r="O38" s="110">
        <f t="shared" si="22"/>
        <v>-70.252559438891026</v>
      </c>
      <c r="P38" s="114">
        <f>-NPV(Discount_rate,O39:$O$45)</f>
        <v>134.38883339355638</v>
      </c>
      <c r="Q38" s="9">
        <f t="shared" si="23"/>
        <v>125.01210047839814</v>
      </c>
    </row>
    <row r="39" spans="2:18" x14ac:dyDescent="0.25">
      <c r="B39" s="7">
        <f t="shared" si="29"/>
        <v>4</v>
      </c>
      <c r="C39" s="24">
        <f t="shared" si="20"/>
        <v>606.73558249268808</v>
      </c>
      <c r="D39" s="22">
        <f t="shared" si="24"/>
        <v>283.20383364051759</v>
      </c>
      <c r="E39" s="24">
        <f t="shared" si="21"/>
        <v>389.62357505291038</v>
      </c>
      <c r="F39" s="22">
        <f t="shared" si="25"/>
        <v>-66.091826200739888</v>
      </c>
      <c r="G39" s="22">
        <f t="shared" si="26"/>
        <v>1.4317514896476575</v>
      </c>
      <c r="H39" s="27">
        <f t="shared" si="30"/>
        <v>-340.46677390834083</v>
      </c>
      <c r="I39" s="11"/>
      <c r="J39" s="11">
        <f t="shared" si="27"/>
        <v>13.737617467371804</v>
      </c>
      <c r="K39" s="11">
        <f t="shared" si="31"/>
        <v>82.034624660188214</v>
      </c>
      <c r="L39" s="29"/>
      <c r="M39" s="109">
        <f t="shared" si="28"/>
        <v>4</v>
      </c>
      <c r="N39" s="112">
        <f>NPV(Discount_rate,D40:D$45)*(1+Discount_rate)+NPV(Discount_rate,E40:E$45)-NPV(Discount_rate,C40:C$45)*(1+Discount_rate)</f>
        <v>82.034624660188456</v>
      </c>
      <c r="O39" s="110">
        <f t="shared" si="22"/>
        <v>-56.385873735174769</v>
      </c>
      <c r="P39" s="114">
        <f>-NPV(Discount_rate,O40:$O$45)</f>
        <v>82.034624660188285</v>
      </c>
      <c r="Q39" s="9">
        <f t="shared" si="23"/>
        <v>114.61478782616459</v>
      </c>
    </row>
    <row r="40" spans="2:18" x14ac:dyDescent="0.25">
      <c r="B40" s="7">
        <f t="shared" si="29"/>
        <v>5</v>
      </c>
      <c r="C40" s="24">
        <f t="shared" si="20"/>
        <v>604.78302740944525</v>
      </c>
      <c r="D40" s="22">
        <f t="shared" si="24"/>
        <v>269.33268210418993</v>
      </c>
      <c r="E40" s="24">
        <f t="shared" si="21"/>
        <v>388.36971502891879</v>
      </c>
      <c r="F40" s="22">
        <f t="shared" si="25"/>
        <v>-52.919369723663465</v>
      </c>
      <c r="G40" s="22">
        <f t="shared" si="26"/>
        <v>-0.15049285809256502</v>
      </c>
      <c r="H40" s="27">
        <f t="shared" si="30"/>
        <v>-393.53663649009684</v>
      </c>
      <c r="I40" s="11"/>
      <c r="J40" s="11">
        <f t="shared" si="27"/>
        <v>12.524549098963305</v>
      </c>
      <c r="K40" s="11">
        <f t="shared" si="31"/>
        <v>41.639804035488069</v>
      </c>
      <c r="L40" s="29"/>
      <c r="M40" s="109">
        <f t="shared" si="28"/>
        <v>5</v>
      </c>
      <c r="N40" s="112">
        <f>NPV(Discount_rate,D41:D$45)*(1+Discount_rate)+NPV(Discount_rate,E41:E$45)-NPV(Discount_rate,C41:C$45)*(1+Discount_rate)</f>
        <v>41.639804035487941</v>
      </c>
      <c r="O40" s="110">
        <f t="shared" si="22"/>
        <v>-42.855859364505804</v>
      </c>
      <c r="P40" s="114">
        <f>-NPV(Discount_rate,O41:$O$45)</f>
        <v>41.639804035488119</v>
      </c>
      <c r="Q40" s="9">
        <f t="shared" si="23"/>
        <v>105.06880925816682</v>
      </c>
    </row>
    <row r="41" spans="2:18" x14ac:dyDescent="0.25">
      <c r="B41" s="7">
        <f t="shared" si="29"/>
        <v>6</v>
      </c>
      <c r="C41" s="24">
        <f t="shared" si="20"/>
        <v>602.8523820211127</v>
      </c>
      <c r="D41" s="22">
        <f t="shared" si="24"/>
        <v>256.56784127325807</v>
      </c>
      <c r="E41" s="24">
        <f t="shared" si="21"/>
        <v>387.12992461598287</v>
      </c>
      <c r="F41" s="22">
        <f t="shared" si="25"/>
        <v>-40.845383868128238</v>
      </c>
      <c r="G41" s="22">
        <f t="shared" si="26"/>
        <v>-1.4175628722672662</v>
      </c>
      <c r="H41" s="27">
        <f t="shared" si="30"/>
        <v>-435.79958323049232</v>
      </c>
      <c r="I41" s="11"/>
      <c r="J41" s="11">
        <f t="shared" si="27"/>
        <v>11.63773034350028</v>
      </c>
      <c r="K41" s="11">
        <f t="shared" si="31"/>
        <v>12.432150510860097</v>
      </c>
      <c r="L41" s="29"/>
      <c r="M41" s="109">
        <f t="shared" si="28"/>
        <v>6</v>
      </c>
      <c r="N41" s="112">
        <f>NPV(Discount_rate,D42:D$45)*(1+Discount_rate)+NPV(Discount_rate,E42:E$45)-NPV(Discount_rate,C42:C$45)*(1+Discount_rate)</f>
        <v>12.432150510860083</v>
      </c>
      <c r="O41" s="110">
        <f t="shared" si="22"/>
        <v>-30.456847645692598</v>
      </c>
      <c r="P41" s="114">
        <f>-NPV(Discount_rate,O42:$O$45)</f>
        <v>12.432150510860172</v>
      </c>
      <c r="Q41" s="9">
        <f t="shared" si="23"/>
        <v>96.303133997885737</v>
      </c>
    </row>
    <row r="42" spans="2:18" x14ac:dyDescent="0.25">
      <c r="B42" s="7">
        <f t="shared" si="29"/>
        <v>7</v>
      </c>
      <c r="C42" s="24">
        <f t="shared" si="20"/>
        <v>602.99799700487301</v>
      </c>
      <c r="D42" s="22">
        <f t="shared" si="24"/>
        <v>245.22975930082035</v>
      </c>
      <c r="E42" s="24">
        <f t="shared" si="21"/>
        <v>387.22343327476443</v>
      </c>
      <c r="F42" s="22">
        <f t="shared" si="25"/>
        <v>-29.455195570711737</v>
      </c>
      <c r="G42" s="22">
        <f t="shared" si="26"/>
        <v>-2.3409403657931893</v>
      </c>
      <c r="H42" s="27">
        <f t="shared" si="30"/>
        <v>-467.59571916699724</v>
      </c>
      <c r="I42" s="11"/>
      <c r="J42" s="11">
        <f t="shared" si="27"/>
        <v>11.106011646447383</v>
      </c>
      <c r="K42" s="11">
        <f t="shared" si="31"/>
        <v>-5.9170334134042708</v>
      </c>
      <c r="L42" s="29"/>
      <c r="M42" s="109">
        <f t="shared" si="28"/>
        <v>7</v>
      </c>
      <c r="N42" s="112">
        <f>NPV(Discount_rate,D43:D$45)*(1+Discount_rate)+NPV(Discount_rate,E43:E$45)-NPV(Discount_rate,C43:C$45)*(1+Discount_rate)</f>
        <v>-5.9170334134043969</v>
      </c>
      <c r="O42" s="110">
        <f t="shared" si="22"/>
        <v>-18.722148439590157</v>
      </c>
      <c r="P42" s="114">
        <f>-NPV(Discount_rate,O43:$O$45)</f>
        <v>-5.9170334134041802</v>
      </c>
      <c r="Q42" s="9">
        <f t="shared" si="23"/>
        <v>88.253731979078267</v>
      </c>
    </row>
    <row r="43" spans="2:18" x14ac:dyDescent="0.25">
      <c r="B43" s="7">
        <f t="shared" si="29"/>
        <v>8</v>
      </c>
      <c r="C43" s="24">
        <f t="shared" si="20"/>
        <v>603.97004365033501</v>
      </c>
      <c r="D43" s="22">
        <f t="shared" si="24"/>
        <v>234.98471297300551</v>
      </c>
      <c r="E43" s="24">
        <f t="shared" si="21"/>
        <v>387.84764635876911</v>
      </c>
      <c r="F43" s="22">
        <f t="shared" si="25"/>
        <v>-18.862315681439611</v>
      </c>
      <c r="G43" s="22">
        <f t="shared" si="26"/>
        <v>-2.9583116546900321</v>
      </c>
      <c r="H43" s="27">
        <f t="shared" si="30"/>
        <v>-489.41634650312687</v>
      </c>
      <c r="I43" s="11"/>
      <c r="J43" s="11">
        <f t="shared" si="27"/>
        <v>10.892048917917757</v>
      </c>
      <c r="K43" s="11">
        <f t="shared" si="31"/>
        <v>-13.887300176926137</v>
      </c>
      <c r="L43" s="29"/>
      <c r="M43" s="109">
        <f t="shared" si="28"/>
        <v>8</v>
      </c>
      <c r="N43" s="112">
        <f>NPV(Discount_rate,D44:D$45)*(1+Discount_rate)+NPV(Discount_rate,E44:E$45)-NPV(Discount_rate,C44:C$45)*(1+Discount_rate)</f>
        <v>-13.887300176926146</v>
      </c>
      <c r="O43" s="110">
        <f t="shared" si="22"/>
        <v>-7.7927557611197269</v>
      </c>
      <c r="P43" s="114">
        <f>-NPV(Discount_rate,O44:$O$45)</f>
        <v>-13.887300176926031</v>
      </c>
      <c r="Q43" s="9">
        <f t="shared" si="23"/>
        <v>80.86129244203083</v>
      </c>
    </row>
    <row r="44" spans="2:18" x14ac:dyDescent="0.25">
      <c r="B44" s="7">
        <f t="shared" si="29"/>
        <v>9</v>
      </c>
      <c r="C44" s="24">
        <f t="shared" si="20"/>
        <v>606.98117081552766</v>
      </c>
      <c r="D44" s="22">
        <f t="shared" si="24"/>
        <v>225.99876108169073</v>
      </c>
      <c r="E44" s="24">
        <f t="shared" si="21"/>
        <v>389.7812829624134</v>
      </c>
      <c r="F44" s="22">
        <f t="shared" si="25"/>
        <v>-8.7988732285764968</v>
      </c>
      <c r="G44" s="22">
        <f t="shared" si="26"/>
        <v>-3.253018103078698</v>
      </c>
      <c r="H44" s="27">
        <f t="shared" si="30"/>
        <v>-501.46823783478209</v>
      </c>
      <c r="I44" s="11"/>
      <c r="J44" s="11">
        <f t="shared" si="27"/>
        <v>11.012853286707323</v>
      </c>
      <c r="K44" s="11">
        <f t="shared" si="31"/>
        <v>-11.673320118795321</v>
      </c>
      <c r="L44" s="29"/>
      <c r="M44" s="109">
        <f t="shared" si="28"/>
        <v>9</v>
      </c>
      <c r="N44" s="112">
        <f>NPV(Discount_rate,D45:D$45)*(1+Discount_rate)+NPV(Discount_rate,E45:E$45)-NPV(Discount_rate,C45:C$45)*(1+Discount_rate)</f>
        <v>-11.673320118795232</v>
      </c>
      <c r="O44" s="110">
        <f t="shared" si="22"/>
        <v>2.6305990634386092</v>
      </c>
      <c r="P44" s="114">
        <f>-NPV(Discount_rate,O45:$O$45)</f>
        <v>-11.673320118795203</v>
      </c>
      <c r="Q44" s="9">
        <f t="shared" si="23"/>
        <v>74.071664374223218</v>
      </c>
    </row>
    <row r="45" spans="2:18" x14ac:dyDescent="0.25">
      <c r="B45" s="7">
        <f t="shared" si="29"/>
        <v>10</v>
      </c>
      <c r="C45" s="24">
        <f t="shared" si="20"/>
        <v>608.74712118817365</v>
      </c>
      <c r="D45" s="22">
        <f t="shared" si="24"/>
        <v>217.54437173694805</v>
      </c>
      <c r="E45" s="24">
        <f t="shared" si="21"/>
        <v>390.91531221240331</v>
      </c>
      <c r="F45" s="22">
        <f t="shared" si="25"/>
        <v>0.28743723882229233</v>
      </c>
      <c r="G45" s="22">
        <f>(H44+C45-D45)*Investment_rate</f>
        <v>-3.3079646515066945</v>
      </c>
      <c r="H45" s="27">
        <f>H44+F45+G45</f>
        <v>-504.48876524746652</v>
      </c>
      <c r="I45" s="11"/>
      <c r="J45" s="11">
        <f t="shared" si="27"/>
        <v>11.385882879972907</v>
      </c>
      <c r="K45" s="11">
        <f t="shared" si="31"/>
        <v>-1.4566126083082054E-13</v>
      </c>
      <c r="L45" s="29"/>
      <c r="M45" s="109">
        <f t="shared" si="28"/>
        <v>10</v>
      </c>
      <c r="N45" s="113"/>
      <c r="O45" s="111">
        <f t="shared" si="22"/>
        <v>12.02351972235906</v>
      </c>
      <c r="P45" s="115"/>
      <c r="Q45" s="9">
        <f t="shared" si="23"/>
        <v>67.834797197951247</v>
      </c>
    </row>
    <row r="46" spans="2:18" x14ac:dyDescent="0.25">
      <c r="M46" s="2" t="s">
        <v>126</v>
      </c>
      <c r="N46" s="116">
        <f>SUM(N35:N45)-SUM('Liability calculation'!F6:F16)</f>
        <v>0</v>
      </c>
    </row>
  </sheetData>
  <mergeCells count="12">
    <mergeCell ref="B18:K18"/>
    <mergeCell ref="B34:K34"/>
    <mergeCell ref="B3:I3"/>
    <mergeCell ref="N1:P1"/>
    <mergeCell ref="O2:P2"/>
    <mergeCell ref="N16:P16"/>
    <mergeCell ref="O17:P17"/>
    <mergeCell ref="N32:P32"/>
    <mergeCell ref="O33:P33"/>
    <mergeCell ref="O34:O35"/>
    <mergeCell ref="O18:O19"/>
    <mergeCell ref="O3:O4"/>
  </mergeCells>
  <pageMargins left="0.7" right="0.7" top="0.75" bottom="0.75" header="0.3" footer="0.3"/>
  <pageSetup orientation="portrait" horizontalDpi="1200" verticalDpi="1200" r:id="rId1"/>
  <ignoredErrors>
    <ignoredError sqref="D36:D45"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E6" sqref="E6"/>
    </sheetView>
  </sheetViews>
  <sheetFormatPr defaultRowHeight="13.5" x14ac:dyDescent="0.25"/>
  <cols>
    <col min="1" max="1" width="9.140625" style="2"/>
    <col min="2" max="2" width="9.5703125" style="2" bestFit="1" customWidth="1"/>
    <col min="3" max="3" width="9.85546875" style="2" customWidth="1"/>
    <col min="4" max="4" width="12" style="2" customWidth="1"/>
    <col min="5" max="5" width="13.42578125" style="2" customWidth="1"/>
    <col min="6" max="6" width="11.5703125" style="2" customWidth="1"/>
    <col min="7" max="7" width="12.140625" style="2" customWidth="1"/>
    <col min="8" max="10" width="9.140625" style="2"/>
    <col min="11" max="11" width="11.5703125" style="2" customWidth="1"/>
    <col min="12" max="16384" width="9.140625" style="2"/>
  </cols>
  <sheetData>
    <row r="1" spans="1:13" ht="16.5" x14ac:dyDescent="0.3">
      <c r="A1" s="1" t="s">
        <v>82</v>
      </c>
      <c r="B1" s="62"/>
    </row>
    <row r="4" spans="1:13" x14ac:dyDescent="0.25">
      <c r="A4" s="135" t="s">
        <v>24</v>
      </c>
      <c r="B4" s="134" t="s">
        <v>46</v>
      </c>
      <c r="C4" s="134"/>
      <c r="D4" s="57" t="s">
        <v>37</v>
      </c>
      <c r="E4" s="56"/>
      <c r="F4" s="137" t="s">
        <v>40</v>
      </c>
      <c r="G4" s="138"/>
    </row>
    <row r="5" spans="1:13" x14ac:dyDescent="0.25">
      <c r="A5" s="136"/>
      <c r="B5" s="6" t="s">
        <v>44</v>
      </c>
      <c r="C5" s="6" t="s">
        <v>45</v>
      </c>
      <c r="D5" s="6" t="s">
        <v>44</v>
      </c>
      <c r="E5" s="6" t="s">
        <v>45</v>
      </c>
      <c r="F5" s="6" t="s">
        <v>49</v>
      </c>
      <c r="G5" s="6" t="s">
        <v>45</v>
      </c>
    </row>
    <row r="6" spans="1:13" x14ac:dyDescent="0.25">
      <c r="A6" s="10">
        <v>0</v>
      </c>
      <c r="B6" s="11">
        <f>(B7+'Cash flows'!E5)/(1+Discount_rate)-'Cash flows'!C5+'Cash flows'!D5</f>
        <v>-540.40428672277699</v>
      </c>
      <c r="C6" s="11">
        <f>0-B6</f>
        <v>540.40428672277699</v>
      </c>
      <c r="D6" s="11">
        <f>(D7+'Cash flows'!E20)/(1+Discount_rate)-'Cash flows'!C20+'Cash flows'!D20</f>
        <v>304.23010996706779</v>
      </c>
      <c r="E6" s="11">
        <f>-D6</f>
        <v>-304.23010996706779</v>
      </c>
      <c r="F6" s="11">
        <f>(F7+'Cash flows'!E36)/(1+Discount_rate)-'Cash flows'!C36+'Cash flows'!D36</f>
        <v>375.38702035440218</v>
      </c>
      <c r="G6" s="11">
        <f>-F6</f>
        <v>-375.38702035440218</v>
      </c>
      <c r="H6" s="28"/>
      <c r="I6" s="28"/>
      <c r="K6" s="9"/>
      <c r="L6" s="55"/>
      <c r="M6" s="55"/>
    </row>
    <row r="7" spans="1:13" x14ac:dyDescent="0.25">
      <c r="A7" s="10">
        <f>1+A6</f>
        <v>1</v>
      </c>
      <c r="B7" s="11">
        <f>(B8+'Cash flows'!E6)/(1+Discount_rate)-'Cash flows'!C6+'Cash flows'!D6</f>
        <v>-507.40986492446024</v>
      </c>
      <c r="C7" s="11">
        <f>'Cash flows'!F5 +'Cash flows'!H5 -('Liability calculation'!B7-'Liability calculation'!B6)</f>
        <v>-5.6843418860808015E-14</v>
      </c>
      <c r="D7" s="11">
        <f>(D8+'Cash flows'!E21)/(1+Discount_rate)-'Cash flows'!C21+'Cash flows'!D21</f>
        <v>255.46356366607978</v>
      </c>
      <c r="E7" s="11">
        <f>'Cash flows'!F5 +'Cash flows'!J20 -('Liability calculation'!D7-'Liability calculation'!D6)</f>
        <v>107.10000000000005</v>
      </c>
      <c r="F7" s="11">
        <f>(F8+'Cash flows'!E37)/(1+Discount_rate)-'Cash flows'!C37+'Cash flows'!D37</f>
        <v>277.23518136503429</v>
      </c>
      <c r="G7" s="11">
        <f>'Cash flows'!F5+'Cash flows'!J36-('Liability calculation'!F7-'Liability calculation'!F6) + ('Cash flows'!D36-'Cash flows'!D5)*Investment_rate</f>
        <v>158.61999999999995</v>
      </c>
      <c r="H7" s="9"/>
      <c r="K7" s="55"/>
      <c r="L7" s="55"/>
      <c r="M7" s="55"/>
    </row>
    <row r="8" spans="1:13" x14ac:dyDescent="0.25">
      <c r="A8" s="10">
        <f t="shared" ref="A8:A16" si="0">1+A7</f>
        <v>2</v>
      </c>
      <c r="B8" s="11">
        <f>(B9+'Cash flows'!E7)/(1+Discount_rate)-'Cash flows'!C7+'Cash flows'!D7</f>
        <v>-470.06732994078197</v>
      </c>
      <c r="C8" s="11">
        <f>'Cash flows'!F6 +'Cash flows'!H6 -('Liability calculation'!B8-'Liability calculation'!B7)</f>
        <v>0</v>
      </c>
      <c r="D8" s="11">
        <f>(D9+'Cash flows'!E22)/(1+Discount_rate)-'Cash flows'!C22+'Cash flows'!D22</f>
        <v>213.32605330347417</v>
      </c>
      <c r="E8" s="11">
        <f>'Cash flows'!F6 +'Cash flows'!J21 -('Liability calculation'!D8-'Liability calculation'!D7)</f>
        <v>102.36624820400007</v>
      </c>
      <c r="F8" s="11">
        <f>(F9+'Cash flows'!E38)/(1+Discount_rate)-'Cash flows'!C38+'Cash flows'!D38</f>
        <v>198.68096391499733</v>
      </c>
      <c r="G8" s="11">
        <f>'Cash flows'!F6+'Cash flows'!J37-('Liability calculation'!F8-'Liability calculation'!F7) + ('Cash flows'!D37-'Cash flows'!D6)*Investment_rate</f>
        <v>139.43610382240004</v>
      </c>
      <c r="H8" s="9"/>
      <c r="K8" s="55"/>
      <c r="L8" s="55"/>
      <c r="M8" s="55"/>
    </row>
    <row r="9" spans="1:13" x14ac:dyDescent="0.25">
      <c r="A9" s="10">
        <f t="shared" si="0"/>
        <v>3</v>
      </c>
      <c r="B9" s="11">
        <f>(B10+'Cash flows'!E8)/(1+Discount_rate)-'Cash flows'!C8+'Cash flows'!D8</f>
        <v>-429.40980879949836</v>
      </c>
      <c r="C9" s="11">
        <f>'Cash flows'!F7 +'Cash flows'!H7 -('Liability calculation'!B9-'Liability calculation'!B8)</f>
        <v>0</v>
      </c>
      <c r="D9" s="11">
        <f>(D10+'Cash flows'!E23)/(1+Discount_rate)-'Cash flows'!C23+'Cash flows'!D23</f>
        <v>175.96997712857046</v>
      </c>
      <c r="E9" s="11">
        <f>'Cash flows'!F7 +'Cash flows'!J22 -('Liability calculation'!D9-'Liability calculation'!D8)</f>
        <v>98.515398813515063</v>
      </c>
      <c r="F9" s="11">
        <f>(F10+'Cash flows'!E39)/(1+Discount_rate)-'Cash flows'!C39+'Cash flows'!D39</f>
        <v>134.3888333935563</v>
      </c>
      <c r="G9" s="11">
        <f>'Cash flows'!F7+'Cash flows'!J38-('Liability calculation'!F9-'Liability calculation'!F8) + ('Cash flows'!D38-'Cash flows'!D7)*Investment_rate</f>
        <v>125.01210047839808</v>
      </c>
      <c r="H9" s="9"/>
      <c r="K9" s="55"/>
      <c r="L9" s="55"/>
      <c r="M9" s="55"/>
    </row>
    <row r="10" spans="1:13" x14ac:dyDescent="0.25">
      <c r="A10" s="10">
        <f t="shared" si="0"/>
        <v>4</v>
      </c>
      <c r="B10" s="11">
        <f>(B11+'Cash flows'!E9)/(1+Discount_rate)-'Cash flows'!C9+'Cash flows'!D9</f>
        <v>-384.06318897249349</v>
      </c>
      <c r="C10" s="11">
        <f>'Cash flows'!F8 +'Cash flows'!H8 -('Liability calculation'!B10-'Liability calculation'!B9)</f>
        <v>0</v>
      </c>
      <c r="D10" s="11">
        <f>(D11+'Cash flows'!E24)/(1+Discount_rate)-'Cash flows'!C24+'Cash flows'!D24</f>
        <v>142.07209677018972</v>
      </c>
      <c r="E10" s="11">
        <f>'Cash flows'!F8 +'Cash flows'!J23 -('Liability calculation'!D10-'Liability calculation'!D9)</f>
        <v>97.405893763227652</v>
      </c>
      <c r="F10" s="11">
        <f>(F11+'Cash flows'!E40)/(1+Discount_rate)-'Cash flows'!C40+'Cash flows'!D40</f>
        <v>82.034624660188229</v>
      </c>
      <c r="G10" s="11">
        <f>'Cash flows'!F8+'Cash flows'!J39-('Liability calculation'!F10-'Liability calculation'!F9) + ('Cash flows'!D39-'Cash flows'!D8)*Investment_rate</f>
        <v>114.61478782616456</v>
      </c>
      <c r="H10" s="9"/>
      <c r="K10" s="55"/>
      <c r="L10" s="55"/>
      <c r="M10" s="55"/>
    </row>
    <row r="11" spans="1:13" x14ac:dyDescent="0.25">
      <c r="A11" s="10">
        <f t="shared" si="0"/>
        <v>5</v>
      </c>
      <c r="B11" s="11">
        <f>(B12+'Cash flows'!E10)/(1+Discount_rate)-'Cash flows'!C10+'Cash flows'!D10</f>
        <v>-333.37213474800728</v>
      </c>
      <c r="C11" s="11">
        <f>'Cash flows'!F9 +'Cash flows'!H9 -('Liability calculation'!B11-'Liability calculation'!B10)</f>
        <v>0</v>
      </c>
      <c r="D11" s="11">
        <f>(D12+'Cash flows'!E25)/(1+Discount_rate)-'Cash flows'!C25+'Cash flows'!D25</f>
        <v>111.45478080972677</v>
      </c>
      <c r="E11" s="11">
        <f>'Cash flows'!F9 +'Cash flows'!J24 -('Liability calculation'!D11-'Liability calculation'!D10)</f>
        <v>97.092428757229655</v>
      </c>
      <c r="F11" s="11">
        <f>(F12+'Cash flows'!E41)/(1+Discount_rate)-'Cash flows'!C41+'Cash flows'!D41</f>
        <v>41.639804035488055</v>
      </c>
      <c r="G11" s="11">
        <f>'Cash flows'!F9+'Cash flows'!J40-('Liability calculation'!F11-'Liability calculation'!F10) + ('Cash flows'!D40-'Cash flows'!D9)*Investment_rate</f>
        <v>105.06880925816682</v>
      </c>
      <c r="H11" s="9"/>
      <c r="K11" s="55"/>
      <c r="L11" s="55"/>
      <c r="M11" s="55"/>
    </row>
    <row r="12" spans="1:13" x14ac:dyDescent="0.25">
      <c r="A12" s="10">
        <f t="shared" si="0"/>
        <v>6</v>
      </c>
      <c r="B12" s="11">
        <f>(B13+'Cash flows'!E11)/(1+Discount_rate)-'Cash flows'!C11+'Cash flows'!D11</f>
        <v>-277.52701243825436</v>
      </c>
      <c r="C12" s="11">
        <f>'Cash flows'!F10 +'Cash flows'!H10 -('Liability calculation'!B12-'Liability calculation'!B11)</f>
        <v>0</v>
      </c>
      <c r="D12" s="11">
        <f>(D13+'Cash flows'!E26)/(1+Discount_rate)-'Cash flows'!C26+'Cash flows'!D26</f>
        <v>83.862229432216083</v>
      </c>
      <c r="E12" s="11">
        <f>'Cash flows'!F10 +'Cash flows'!J25 -('Liability calculation'!D12-'Liability calculation'!D11)</f>
        <v>96.782481153995661</v>
      </c>
      <c r="F12" s="11">
        <f>(F13+'Cash flows'!E42)/(1+Discount_rate)-'Cash flows'!C42+'Cash flows'!D42</f>
        <v>12.432150510860112</v>
      </c>
      <c r="G12" s="11">
        <f>'Cash flows'!F10+'Cash flows'!J41-('Liability calculation'!F12-'Liability calculation'!F11) + ('Cash flows'!D41-'Cash flows'!D10)*Investment_rate</f>
        <v>96.303133997885752</v>
      </c>
      <c r="H12" s="9"/>
      <c r="K12" s="55"/>
      <c r="L12" s="55"/>
      <c r="M12" s="55"/>
    </row>
    <row r="13" spans="1:13" x14ac:dyDescent="0.25">
      <c r="A13" s="10">
        <f t="shared" si="0"/>
        <v>7</v>
      </c>
      <c r="B13" s="11">
        <f>(B14+'Cash flows'!E12)/(1+Discount_rate)-'Cash flows'!C12+'Cash flows'!D12</f>
        <v>-216.32123927191384</v>
      </c>
      <c r="C13" s="11">
        <f>'Cash flows'!F11 +'Cash flows'!H11 -('Liability calculation'!B13-'Liability calculation'!B12)</f>
        <v>0</v>
      </c>
      <c r="D13" s="11">
        <f>(D14+'Cash flows'!E27)/(1+Discount_rate)-'Cash flows'!C27+'Cash flows'!D27</f>
        <v>59.103821535979478</v>
      </c>
      <c r="E13" s="11">
        <f>'Cash flows'!F11 +'Cash flows'!J26 -('Liability calculation'!D13-'Liability calculation'!D12)</f>
        <v>96.805858318691193</v>
      </c>
      <c r="F13" s="11">
        <f>(F14+'Cash flows'!E43)/(1+Discount_rate)-'Cash flows'!C43+'Cash flows'!D43</f>
        <v>-5.9170334134042832</v>
      </c>
      <c r="G13" s="11">
        <f>'Cash flows'!F11+'Cash flows'!J42-('Liability calculation'!F13-'Liability calculation'!F12) + ('Cash flows'!D42-'Cash flows'!D11)*Investment_rate</f>
        <v>88.25373197907831</v>
      </c>
      <c r="H13" s="9"/>
      <c r="K13" s="55"/>
      <c r="L13" s="55"/>
      <c r="M13" s="55"/>
    </row>
    <row r="14" spans="1:13" x14ac:dyDescent="0.25">
      <c r="A14" s="10">
        <f t="shared" si="0"/>
        <v>8</v>
      </c>
      <c r="B14" s="11">
        <f>(B15+'Cash flows'!E13)/(1+Discount_rate)-'Cash flows'!C13+'Cash flows'!D13</f>
        <v>-149.74233976916011</v>
      </c>
      <c r="C14" s="11">
        <f>'Cash flows'!F12 +'Cash flows'!H12 -('Liability calculation'!B14-'Liability calculation'!B13)</f>
        <v>0</v>
      </c>
      <c r="D14" s="11">
        <f>(D15+'Cash flows'!E28)/(1+Discount_rate)-'Cash flows'!C28+'Cash flows'!D28</f>
        <v>36.983561273277672</v>
      </c>
      <c r="E14" s="11">
        <f>'Cash flows'!F12 +'Cash flows'!J27 -('Liability calculation'!D14-'Liability calculation'!D13)</f>
        <v>96.961911589692292</v>
      </c>
      <c r="F14" s="11">
        <f>(F15+'Cash flows'!E44)/(1+Discount_rate)-'Cash flows'!C44+'Cash flows'!D44</f>
        <v>-13.887300176926118</v>
      </c>
      <c r="G14" s="11">
        <f>'Cash flows'!F12+'Cash flows'!J43-('Liability calculation'!F14-'Liability calculation'!F13) + ('Cash flows'!D43-'Cash flows'!D12)*Investment_rate</f>
        <v>80.861292442030802</v>
      </c>
      <c r="H14" s="9"/>
      <c r="K14" s="55"/>
      <c r="L14" s="55"/>
      <c r="M14" s="55"/>
    </row>
    <row r="15" spans="1:13" x14ac:dyDescent="0.25">
      <c r="A15" s="10">
        <f t="shared" si="0"/>
        <v>9</v>
      </c>
      <c r="B15" s="11">
        <f>(B16+'Cash flows'!E14)/(1+Discount_rate)-'Cash flows'!C14+'Cash flows'!D14</f>
        <v>-77.532346524573143</v>
      </c>
      <c r="C15" s="11">
        <f>'Cash flows'!F13 +'Cash flows'!H13 -('Liability calculation'!B15-'Liability calculation'!B14)</f>
        <v>0</v>
      </c>
      <c r="D15" s="11">
        <f>(D16+'Cash flows'!E29)/(1+Discount_rate)-'Cash flows'!C29+'Cash flows'!D29</f>
        <v>17.350010808534478</v>
      </c>
      <c r="E15" s="11">
        <f>'Cash flows'!F13 +'Cash flows'!J28 -('Liability calculation'!D15-'Liability calculation'!D14)</f>
        <v>97.445320740603336</v>
      </c>
      <c r="F15" s="11">
        <f>(F16+'Cash flows'!E45)/(1+Discount_rate)-'Cash flows'!C45+'Cash flows'!D45</f>
        <v>-11.673320118795232</v>
      </c>
      <c r="G15" s="11">
        <f>'Cash flows'!F13+'Cash flows'!J44-('Liability calculation'!F15-'Liability calculation'!F14) + ('Cash flows'!D44-'Cash flows'!D13)*Investment_rate</f>
        <v>74.071664374223133</v>
      </c>
      <c r="H15" s="9"/>
      <c r="K15" s="55"/>
      <c r="L15" s="55"/>
      <c r="M15" s="55"/>
    </row>
    <row r="16" spans="1:13" x14ac:dyDescent="0.25">
      <c r="A16" s="10">
        <f t="shared" si="0"/>
        <v>10</v>
      </c>
      <c r="B16" s="11">
        <f>(B17+'Cash flows'!E16)/(1+Discount_rate)-'Cash flows'!C16+'Cash flows'!D16</f>
        <v>0</v>
      </c>
      <c r="C16" s="11">
        <f>'Cash flows'!F14 +'Cash flows'!H14 -('Liability calculation'!B16-'Liability calculation'!B15)</f>
        <v>0</v>
      </c>
      <c r="D16" s="11">
        <f>(D17+'Cash flows'!E30)/(1+Discount_rate)-'Cash flows'!C30+'Cash flows'!D30</f>
        <v>0</v>
      </c>
      <c r="E16" s="11">
        <f>'Cash flows'!F14 +'Cash flows'!J29 -('Liability calculation'!D16-'Liability calculation'!D15)</f>
        <v>97.728828053100827</v>
      </c>
      <c r="F16" s="11">
        <f>(F17+'Cash flows'!E46)/(1+Discount_rate)-'Cash flows'!C46+'Cash flows'!D46</f>
        <v>0</v>
      </c>
      <c r="G16" s="11">
        <f>'Cash flows'!F14+'Cash flows'!J45-('Liability calculation'!F16-'Liability calculation'!F15) + ('Cash flows'!D45-'Cash flows'!D14)*Investment_rate</f>
        <v>67.834797197951218</v>
      </c>
      <c r="H16" s="9"/>
      <c r="K16" s="55"/>
      <c r="L16" s="55"/>
      <c r="M16" s="55"/>
    </row>
    <row r="18" spans="1:16" x14ac:dyDescent="0.25">
      <c r="A18" s="2" t="s">
        <v>85</v>
      </c>
    </row>
    <row r="19" spans="1:16" x14ac:dyDescent="0.25">
      <c r="A19" s="2" t="s">
        <v>69</v>
      </c>
    </row>
    <row r="20" spans="1:16" x14ac:dyDescent="0.25">
      <c r="A20" s="2" t="s">
        <v>70</v>
      </c>
    </row>
    <row r="21" spans="1:16" x14ac:dyDescent="0.25">
      <c r="A21" s="2" t="s">
        <v>110</v>
      </c>
    </row>
    <row r="22" spans="1:16" x14ac:dyDescent="0.25">
      <c r="A22" s="2" t="s">
        <v>72</v>
      </c>
    </row>
    <row r="23" spans="1:16" x14ac:dyDescent="0.25">
      <c r="A23" s="2" t="s">
        <v>71</v>
      </c>
    </row>
    <row r="24" spans="1:16" x14ac:dyDescent="0.25">
      <c r="A24" s="2" t="s">
        <v>108</v>
      </c>
    </row>
    <row r="25" spans="1:16" ht="34.5" customHeight="1" x14ac:dyDescent="0.25">
      <c r="A25" s="139" t="s">
        <v>109</v>
      </c>
      <c r="B25" s="139"/>
      <c r="C25" s="139"/>
      <c r="D25" s="139"/>
      <c r="E25" s="139"/>
      <c r="F25" s="139"/>
      <c r="G25" s="139"/>
      <c r="H25" s="139"/>
      <c r="I25" s="139"/>
      <c r="J25" s="139"/>
      <c r="K25" s="139"/>
      <c r="L25" s="139"/>
      <c r="M25" s="139"/>
      <c r="N25" s="139"/>
      <c r="O25" s="139"/>
      <c r="P25" s="139"/>
    </row>
    <row r="26" spans="1:16" ht="15" x14ac:dyDescent="0.25">
      <c r="A26"/>
    </row>
    <row r="27" spans="1:16" ht="15" x14ac:dyDescent="0.25">
      <c r="A27"/>
    </row>
    <row r="28" spans="1:16" ht="15" x14ac:dyDescent="0.25">
      <c r="A28"/>
    </row>
    <row r="29" spans="1:16" ht="15" x14ac:dyDescent="0.25">
      <c r="A29"/>
    </row>
    <row r="30" spans="1:16" ht="15" x14ac:dyDescent="0.25">
      <c r="A30"/>
    </row>
    <row r="31" spans="1:16" ht="15" x14ac:dyDescent="0.25">
      <c r="A31"/>
    </row>
    <row r="32" spans="1:16" ht="15" x14ac:dyDescent="0.25">
      <c r="A32"/>
    </row>
    <row r="33" spans="1:1" ht="15" x14ac:dyDescent="0.25">
      <c r="A33"/>
    </row>
    <row r="34" spans="1:1" ht="15" x14ac:dyDescent="0.25">
      <c r="A34"/>
    </row>
    <row r="35" spans="1:1" ht="15" x14ac:dyDescent="0.25">
      <c r="A35"/>
    </row>
    <row r="36" spans="1:1" ht="15" x14ac:dyDescent="0.25">
      <c r="A36"/>
    </row>
    <row r="37" spans="1:1" ht="15" x14ac:dyDescent="0.25">
      <c r="A37"/>
    </row>
    <row r="38" spans="1:1" ht="15" x14ac:dyDescent="0.25">
      <c r="A38"/>
    </row>
    <row r="39" spans="1:1" ht="15" x14ac:dyDescent="0.25">
      <c r="A39"/>
    </row>
    <row r="40" spans="1:1" ht="15" x14ac:dyDescent="0.25">
      <c r="A40"/>
    </row>
    <row r="41" spans="1:1" ht="15" x14ac:dyDescent="0.25">
      <c r="A41"/>
    </row>
    <row r="42" spans="1:1" ht="15" x14ac:dyDescent="0.25">
      <c r="A42"/>
    </row>
  </sheetData>
  <mergeCells count="4">
    <mergeCell ref="B4:C4"/>
    <mergeCell ref="A4:A5"/>
    <mergeCell ref="F4:G4"/>
    <mergeCell ref="A25:P25"/>
  </mergeCells>
  <pageMargins left="0.7" right="0.7" top="0.75" bottom="0.75" header="0.3" footer="0.3"/>
  <pageSetup orientation="portrait" horizontalDpi="1200" verticalDpi="1200" r:id="rId1"/>
  <ignoredErrors>
    <ignoredError sqref="F6"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I8" sqref="I8"/>
    </sheetView>
  </sheetViews>
  <sheetFormatPr defaultRowHeight="15" x14ac:dyDescent="0.25"/>
  <cols>
    <col min="7" max="7" width="14.42578125" customWidth="1"/>
    <col min="8" max="8" width="12.42578125" customWidth="1"/>
    <col min="9" max="9" width="12.5703125" customWidth="1"/>
  </cols>
  <sheetData>
    <row r="1" spans="1:9" x14ac:dyDescent="0.25">
      <c r="A1" s="1" t="s">
        <v>92</v>
      </c>
    </row>
    <row r="3" spans="1:9" x14ac:dyDescent="0.25">
      <c r="A3" s="2" t="s">
        <v>112</v>
      </c>
    </row>
    <row r="5" spans="1:9" x14ac:dyDescent="0.25">
      <c r="B5" s="126" t="s">
        <v>47</v>
      </c>
      <c r="C5" s="127"/>
      <c r="D5" s="127"/>
      <c r="E5" s="127"/>
      <c r="F5" s="127"/>
      <c r="G5" s="127"/>
      <c r="H5" s="127"/>
      <c r="I5" s="128"/>
    </row>
    <row r="6" spans="1:9" ht="54.75" customHeight="1" x14ac:dyDescent="0.25">
      <c r="B6" s="63" t="s">
        <v>96</v>
      </c>
      <c r="C6" s="63" t="s">
        <v>50</v>
      </c>
      <c r="D6" s="63" t="s">
        <v>51</v>
      </c>
      <c r="E6" s="63" t="s">
        <v>52</v>
      </c>
      <c r="F6" s="63" t="s">
        <v>53</v>
      </c>
      <c r="G6" s="63" t="s">
        <v>94</v>
      </c>
      <c r="H6" s="63" t="s">
        <v>95</v>
      </c>
      <c r="I6" s="63" t="s">
        <v>98</v>
      </c>
    </row>
    <row r="7" spans="1:9" x14ac:dyDescent="0.25">
      <c r="B7" s="7">
        <v>0</v>
      </c>
      <c r="C7" s="24"/>
      <c r="D7" s="24"/>
      <c r="E7" s="24"/>
      <c r="F7" s="24"/>
      <c r="G7" s="64">
        <f>'Liability calculation'!B6</f>
        <v>-540.40428672277699</v>
      </c>
      <c r="H7" s="22">
        <f>NPV(Discount_rate,'Cash flows'!C5:$C$14)*(1+Discount_rate)</f>
        <v>5419.0133117829091</v>
      </c>
      <c r="I7" s="22">
        <f t="shared" ref="I7:I17" si="0">H7*Profit_Margin</f>
        <v>540.40428672277699</v>
      </c>
    </row>
    <row r="8" spans="1:9" x14ac:dyDescent="0.25">
      <c r="B8" s="7">
        <f>1</f>
        <v>1</v>
      </c>
      <c r="C8" s="24">
        <f>'Cash flows'!C5</f>
        <v>667.11959999999999</v>
      </c>
      <c r="D8" s="24">
        <f>'Cash flows'!D5</f>
        <v>203.42392000000001</v>
      </c>
      <c r="E8" s="24">
        <f>'Cash flows'!E5</f>
        <v>428.4</v>
      </c>
      <c r="F8" s="24">
        <f>'Cash flows'!F5</f>
        <v>35.295680000000004</v>
      </c>
      <c r="G8" s="22">
        <f>'Liability calculation'!B7</f>
        <v>-507.40986492446024</v>
      </c>
      <c r="H8" s="22">
        <f>NPV(Discount_rate,'Cash flows'!C6:$C$14)*(1+Discount_rate)</f>
        <v>4894.4505231363964</v>
      </c>
      <c r="I8" s="22">
        <f t="shared" si="0"/>
        <v>488.09292239683049</v>
      </c>
    </row>
    <row r="9" spans="1:9" x14ac:dyDescent="0.25">
      <c r="B9" s="7">
        <f>1+B8</f>
        <v>2</v>
      </c>
      <c r="C9" s="24">
        <f>'Cash flows'!C6</f>
        <v>637.63333851870391</v>
      </c>
      <c r="D9" s="24">
        <f>'Cash flows'!D6</f>
        <v>189.06069410374079</v>
      </c>
      <c r="E9" s="24">
        <f>'Cash flows'!E6</f>
        <v>409.46499281599995</v>
      </c>
      <c r="F9" s="24">
        <f>'Cash flows'!F6</f>
        <v>39.107651598963173</v>
      </c>
      <c r="G9" s="22">
        <f>'Liability calculation'!B8</f>
        <v>-470.06732994078197</v>
      </c>
      <c r="H9" s="22">
        <f>NPV(Discount_rate,'Cash flows'!C7:$C$14)*(1+Discount_rate)</f>
        <v>4384.5217001562241</v>
      </c>
      <c r="I9" s="22">
        <f t="shared" si="0"/>
        <v>437.24091189100636</v>
      </c>
    </row>
    <row r="10" spans="1:9" x14ac:dyDescent="0.25">
      <c r="B10" s="7">
        <f t="shared" ref="B10:B17" si="1">1+B9</f>
        <v>3</v>
      </c>
      <c r="C10" s="24">
        <f>'Cash flows'!C7</f>
        <v>613.64662418592604</v>
      </c>
      <c r="D10" s="24">
        <f>'Cash flows'!D7</f>
        <v>177.89794817275367</v>
      </c>
      <c r="E10" s="24">
        <f>'Cash flows'!E7</f>
        <v>394.06159525406042</v>
      </c>
      <c r="F10" s="24">
        <f>'Cash flows'!F7</f>
        <v>41.68708075911195</v>
      </c>
      <c r="G10" s="22">
        <f>'Liability calculation'!B9</f>
        <v>-429.40980879949836</v>
      </c>
      <c r="H10" s="22">
        <f>NPV(Discount_rate,'Cash flows'!C8:$C$14)*(1+Discount_rate)</f>
        <v>3884.001328249406</v>
      </c>
      <c r="I10" s="22">
        <f t="shared" si="0"/>
        <v>387.32714733493975</v>
      </c>
    </row>
    <row r="11" spans="1:9" x14ac:dyDescent="0.25">
      <c r="B11" s="7">
        <f t="shared" si="1"/>
        <v>4</v>
      </c>
      <c r="C11" s="24">
        <f>'Cash flows'!C8</f>
        <v>606.73558249268808</v>
      </c>
      <c r="D11" s="24">
        <f>'Cash flows'!D8</f>
        <v>171.92734060540636</v>
      </c>
      <c r="E11" s="24">
        <f>'Cash flows'!E8</f>
        <v>389.62357505291038</v>
      </c>
      <c r="F11" s="24">
        <f>'Cash flows'!F8</f>
        <v>45.184666834371342</v>
      </c>
      <c r="G11" s="22">
        <f>'Liability calculation'!B10</f>
        <v>-384.06318897249349</v>
      </c>
      <c r="H11" s="22">
        <f>NPV(Discount_rate,'Cash flows'!C9:$C$14)*(1+Discount_rate)</f>
        <v>3375.58371812942</v>
      </c>
      <c r="I11" s="22">
        <f t="shared" si="0"/>
        <v>336.62584063086115</v>
      </c>
    </row>
    <row r="12" spans="1:9" x14ac:dyDescent="0.25">
      <c r="B12" s="7">
        <f t="shared" si="1"/>
        <v>5</v>
      </c>
      <c r="C12" s="24">
        <f>'Cash flows'!C9</f>
        <v>604.78302740944525</v>
      </c>
      <c r="D12" s="24">
        <f>'Cash flows'!D9</f>
        <v>167.32412942635807</v>
      </c>
      <c r="E12" s="24">
        <f>'Cash flows'!E9</f>
        <v>388.36971502891879</v>
      </c>
      <c r="F12" s="24">
        <f>'Cash flows'!F9</f>
        <v>49.089182954168393</v>
      </c>
      <c r="G12" s="22">
        <f>'Liability calculation'!B11</f>
        <v>-333.37213474800728</v>
      </c>
      <c r="H12" s="22">
        <f>NPV(Discount_rate,'Cash flows'!C10:$C$14)*(1+Discount_rate)</f>
        <v>2853.9247114415739</v>
      </c>
      <c r="I12" s="22">
        <f t="shared" si="0"/>
        <v>284.60405230849443</v>
      </c>
    </row>
    <row r="13" spans="1:9" x14ac:dyDescent="0.25">
      <c r="B13" s="7">
        <f t="shared" si="1"/>
        <v>6</v>
      </c>
      <c r="C13" s="24">
        <f>'Cash flows'!C10</f>
        <v>602.8523820211127</v>
      </c>
      <c r="D13" s="24">
        <f>'Cash flows'!D10</f>
        <v>163.06965292579613</v>
      </c>
      <c r="E13" s="24">
        <f>'Cash flows'!E10</f>
        <v>387.12992461598287</v>
      </c>
      <c r="F13" s="24">
        <f>'Cash flows'!F10</f>
        <v>52.652804479333668</v>
      </c>
      <c r="G13" s="22">
        <f>'Liability calculation'!B12</f>
        <v>-277.52701243825436</v>
      </c>
      <c r="H13" s="22">
        <f>NPV(Discount_rate,'Cash flows'!C11:$C$14)*(1+Discount_rate)</f>
        <v>2318.604499303075</v>
      </c>
      <c r="I13" s="22">
        <f t="shared" si="0"/>
        <v>231.21991745502015</v>
      </c>
    </row>
    <row r="14" spans="1:9" x14ac:dyDescent="0.25">
      <c r="B14" s="7">
        <f t="shared" si="1"/>
        <v>7</v>
      </c>
      <c r="C14" s="24">
        <f>'Cash flows'!C11</f>
        <v>602.99799700487301</v>
      </c>
      <c r="D14" s="24">
        <f>'Cash flows'!D11</f>
        <v>159.5465243696764</v>
      </c>
      <c r="E14" s="24">
        <f>'Cash flows'!E11</f>
        <v>387.22343327476443</v>
      </c>
      <c r="F14" s="24">
        <f>'Cash flows'!F11</f>
        <v>56.228039360432206</v>
      </c>
      <c r="G14" s="22">
        <f>'Liability calculation'!B13</f>
        <v>-216.32123927191384</v>
      </c>
      <c r="H14" s="22">
        <f>NPV(Discount_rate,'Cash flows'!C12:$C$14)*(1+Discount_rate)</f>
        <v>1767.0746973671482</v>
      </c>
      <c r="I14" s="22">
        <f t="shared" si="0"/>
        <v>176.21930164670101</v>
      </c>
    </row>
    <row r="15" spans="1:9" x14ac:dyDescent="0.25">
      <c r="B15" s="7">
        <f t="shared" si="1"/>
        <v>8</v>
      </c>
      <c r="C15" s="24">
        <f>'Cash flows'!C12</f>
        <v>603.97004365033501</v>
      </c>
      <c r="D15" s="24">
        <f>'Cash flows'!D12</f>
        <v>156.4786038059853</v>
      </c>
      <c r="E15" s="24">
        <f>'Cash flows'!E12</f>
        <v>387.84764635876911</v>
      </c>
      <c r="F15" s="24">
        <f>'Cash flows'!F12</f>
        <v>59.643793485580602</v>
      </c>
      <c r="G15" s="22">
        <f>'Liability calculation'!B14</f>
        <v>-149.74233976916011</v>
      </c>
      <c r="H15" s="22">
        <f>NPV(Discount_rate,'Cash flows'!C13:$C$14)*(1+Discount_rate)</f>
        <v>1197.9977933283176</v>
      </c>
      <c r="I15" s="22">
        <f t="shared" si="0"/>
        <v>119.46882315113712</v>
      </c>
    </row>
    <row r="16" spans="1:9" x14ac:dyDescent="0.25">
      <c r="B16" s="7">
        <f t="shared" si="1"/>
        <v>9</v>
      </c>
      <c r="C16" s="24">
        <f>'Cash flows'!C13</f>
        <v>606.98117081552766</v>
      </c>
      <c r="D16" s="24">
        <f>'Cash flows'!D13</f>
        <v>154.08452382516342</v>
      </c>
      <c r="E16" s="24">
        <f>'Cash flows'!E13</f>
        <v>389.7812829624134</v>
      </c>
      <c r="F16" s="24">
        <f>'Cash flows'!F13</f>
        <v>63.115364027950875</v>
      </c>
      <c r="G16" s="22">
        <f>'Liability calculation'!B15</f>
        <v>-77.532346524573143</v>
      </c>
      <c r="H16" s="22">
        <f>NPV(Discount_rate,'Cash flows'!C14:$C$14)*(1+Discount_rate)</f>
        <v>608.74712118817365</v>
      </c>
      <c r="I16" s="22">
        <f t="shared" si="0"/>
        <v>60.706541005341172</v>
      </c>
    </row>
    <row r="17" spans="2:9" x14ac:dyDescent="0.25">
      <c r="B17" s="7">
        <f t="shared" si="1"/>
        <v>10</v>
      </c>
      <c r="C17" s="24">
        <f>'Cash flows'!C14</f>
        <v>608.74712118817365</v>
      </c>
      <c r="D17" s="24">
        <f>'Cash flows'!D14</f>
        <v>151.68534533117014</v>
      </c>
      <c r="E17" s="24">
        <f>'Cash flows'!E14</f>
        <v>390.91531221240331</v>
      </c>
      <c r="F17" s="24">
        <f>'Cash flows'!F14</f>
        <v>66.146463644600203</v>
      </c>
      <c r="G17" s="22">
        <f>'Liability calculation'!B16</f>
        <v>0</v>
      </c>
      <c r="H17" s="22">
        <v>0</v>
      </c>
      <c r="I17" s="22">
        <f t="shared" si="0"/>
        <v>0</v>
      </c>
    </row>
    <row r="19" spans="2:9" x14ac:dyDescent="0.25">
      <c r="G19" t="s">
        <v>99</v>
      </c>
      <c r="H19" s="65">
        <f>-G7/H7</f>
        <v>9.972374224431986E-2</v>
      </c>
    </row>
  </sheetData>
  <mergeCells count="1">
    <mergeCell ref="B5:I5"/>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3"/>
  <sheetViews>
    <sheetView tabSelected="1" workbookViewId="0"/>
  </sheetViews>
  <sheetFormatPr defaultRowHeight="15" x14ac:dyDescent="0.25"/>
  <cols>
    <col min="1" max="5" width="13.7109375" customWidth="1"/>
    <col min="6" max="6" width="15.42578125" customWidth="1"/>
    <col min="7" max="12" width="13.7109375" customWidth="1"/>
  </cols>
  <sheetData>
    <row r="2" spans="1:5" x14ac:dyDescent="0.25">
      <c r="A2" s="42" t="s">
        <v>86</v>
      </c>
    </row>
    <row r="3" spans="1:5" x14ac:dyDescent="0.25">
      <c r="A3" s="38" t="s">
        <v>24</v>
      </c>
      <c r="B3" s="39" t="s">
        <v>74</v>
      </c>
      <c r="C3" s="39" t="s">
        <v>75</v>
      </c>
      <c r="D3" s="39" t="s">
        <v>4</v>
      </c>
      <c r="E3" s="38" t="s">
        <v>76</v>
      </c>
    </row>
    <row r="4" spans="1:5" x14ac:dyDescent="0.25">
      <c r="A4" s="40">
        <v>1</v>
      </c>
      <c r="B4" s="43">
        <f>'Cash flows'!C5</f>
        <v>667.11959999999999</v>
      </c>
      <c r="C4" s="43">
        <f>-'Cash flows'!E5</f>
        <v>-428.4</v>
      </c>
      <c r="D4" s="43">
        <f>-'Cash flows'!D5</f>
        <v>-203.42392000000001</v>
      </c>
      <c r="E4" s="45">
        <f>'Cash flows'!F5</f>
        <v>35.295680000000004</v>
      </c>
    </row>
    <row r="5" spans="1:5" x14ac:dyDescent="0.25">
      <c r="A5" s="41">
        <v>2</v>
      </c>
      <c r="B5" s="44">
        <f>'Cash flows'!C6</f>
        <v>637.63333851870391</v>
      </c>
      <c r="C5" s="44">
        <f>-'Cash flows'!E6</f>
        <v>-409.46499281599995</v>
      </c>
      <c r="D5" s="44">
        <f>-'Cash flows'!D6</f>
        <v>-189.06069410374079</v>
      </c>
      <c r="E5" s="46">
        <f>'Cash flows'!F6</f>
        <v>39.107651598963173</v>
      </c>
    </row>
    <row r="6" spans="1:5" x14ac:dyDescent="0.25">
      <c r="A6" s="40">
        <v>3</v>
      </c>
      <c r="B6" s="43">
        <f>'Cash flows'!C7</f>
        <v>613.64662418592604</v>
      </c>
      <c r="C6" s="43">
        <f>-'Cash flows'!E7</f>
        <v>-394.06159525406042</v>
      </c>
      <c r="D6" s="43">
        <f>-'Cash flows'!D7</f>
        <v>-177.89794817275367</v>
      </c>
      <c r="E6" s="45">
        <f>'Cash flows'!F7</f>
        <v>41.68708075911195</v>
      </c>
    </row>
    <row r="7" spans="1:5" x14ac:dyDescent="0.25">
      <c r="A7" s="41">
        <v>4</v>
      </c>
      <c r="B7" s="44">
        <f>'Cash flows'!C8</f>
        <v>606.73558249268808</v>
      </c>
      <c r="C7" s="44">
        <f>-'Cash flows'!E8</f>
        <v>-389.62357505291038</v>
      </c>
      <c r="D7" s="44">
        <f>-'Cash flows'!D8</f>
        <v>-171.92734060540636</v>
      </c>
      <c r="E7" s="46">
        <f>'Cash flows'!F8</f>
        <v>45.184666834371342</v>
      </c>
    </row>
    <row r="8" spans="1:5" x14ac:dyDescent="0.25">
      <c r="A8" s="40">
        <v>5</v>
      </c>
      <c r="B8" s="43">
        <f>'Cash flows'!C9</f>
        <v>604.78302740944525</v>
      </c>
      <c r="C8" s="43">
        <f>-'Cash flows'!E9</f>
        <v>-388.36971502891879</v>
      </c>
      <c r="D8" s="43">
        <f>-'Cash flows'!D9</f>
        <v>-167.32412942635807</v>
      </c>
      <c r="E8" s="45">
        <f>'Cash flows'!F9</f>
        <v>49.089182954168393</v>
      </c>
    </row>
    <row r="9" spans="1:5" x14ac:dyDescent="0.25">
      <c r="A9" s="41">
        <v>6</v>
      </c>
      <c r="B9" s="44">
        <f>'Cash flows'!C10</f>
        <v>602.8523820211127</v>
      </c>
      <c r="C9" s="44">
        <f>-'Cash flows'!E10</f>
        <v>-387.12992461598287</v>
      </c>
      <c r="D9" s="44">
        <f>-'Cash flows'!D10</f>
        <v>-163.06965292579613</v>
      </c>
      <c r="E9" s="46">
        <f>'Cash flows'!F10</f>
        <v>52.652804479333668</v>
      </c>
    </row>
    <row r="10" spans="1:5" x14ac:dyDescent="0.25">
      <c r="A10" s="40">
        <v>7</v>
      </c>
      <c r="B10" s="43">
        <f>'Cash flows'!C11</f>
        <v>602.99799700487301</v>
      </c>
      <c r="C10" s="43">
        <f>-'Cash flows'!E11</f>
        <v>-387.22343327476443</v>
      </c>
      <c r="D10" s="43">
        <f>-'Cash flows'!D11</f>
        <v>-159.5465243696764</v>
      </c>
      <c r="E10" s="45">
        <f>'Cash flows'!F11</f>
        <v>56.228039360432206</v>
      </c>
    </row>
    <row r="11" spans="1:5" x14ac:dyDescent="0.25">
      <c r="A11" s="41">
        <v>8</v>
      </c>
      <c r="B11" s="44">
        <f>'Cash flows'!C12</f>
        <v>603.97004365033501</v>
      </c>
      <c r="C11" s="44">
        <f>-'Cash flows'!E12</f>
        <v>-387.84764635876911</v>
      </c>
      <c r="D11" s="44">
        <f>-'Cash flows'!D12</f>
        <v>-156.4786038059853</v>
      </c>
      <c r="E11" s="46">
        <f>'Cash flows'!F12</f>
        <v>59.643793485580602</v>
      </c>
    </row>
    <row r="12" spans="1:5" x14ac:dyDescent="0.25">
      <c r="A12" s="40">
        <v>9</v>
      </c>
      <c r="B12" s="43">
        <f>'Cash flows'!C13</f>
        <v>606.98117081552766</v>
      </c>
      <c r="C12" s="43">
        <f>-'Cash flows'!E13</f>
        <v>-389.7812829624134</v>
      </c>
      <c r="D12" s="43">
        <f>-'Cash flows'!D13</f>
        <v>-154.08452382516342</v>
      </c>
      <c r="E12" s="45">
        <f>'Cash flows'!F13</f>
        <v>63.115364027950875</v>
      </c>
    </row>
    <row r="13" spans="1:5" x14ac:dyDescent="0.25">
      <c r="A13" s="41">
        <v>10</v>
      </c>
      <c r="B13" s="44">
        <f>'Cash flows'!C14</f>
        <v>608.74712118817365</v>
      </c>
      <c r="C13" s="44">
        <f>-'Cash flows'!E14</f>
        <v>-390.91531221240331</v>
      </c>
      <c r="D13" s="44">
        <f>-'Cash flows'!D14</f>
        <v>-151.68534533117014</v>
      </c>
      <c r="E13" s="46">
        <f>'Cash flows'!F14</f>
        <v>66.146463644600203</v>
      </c>
    </row>
    <row r="16" spans="1:5" x14ac:dyDescent="0.25">
      <c r="A16" s="42" t="s">
        <v>87</v>
      </c>
    </row>
    <row r="17" spans="1:12" ht="15" customHeight="1" x14ac:dyDescent="0.25">
      <c r="A17" s="144" t="s">
        <v>24</v>
      </c>
      <c r="B17" s="146" t="s">
        <v>77</v>
      </c>
      <c r="C17" s="140"/>
      <c r="D17" s="140"/>
      <c r="E17" s="147" t="s">
        <v>78</v>
      </c>
      <c r="F17" s="148"/>
      <c r="G17" s="148"/>
      <c r="H17" s="149"/>
      <c r="I17" s="140" t="s">
        <v>79</v>
      </c>
      <c r="J17" s="140"/>
      <c r="K17" s="140"/>
      <c r="L17" s="141"/>
    </row>
    <row r="18" spans="1:12" x14ac:dyDescent="0.25">
      <c r="A18" s="145"/>
      <c r="B18" s="69" t="s">
        <v>80</v>
      </c>
      <c r="C18" s="58" t="s">
        <v>44</v>
      </c>
      <c r="D18" s="58" t="s">
        <v>45</v>
      </c>
      <c r="E18" s="69" t="s">
        <v>80</v>
      </c>
      <c r="F18" s="58" t="s">
        <v>44</v>
      </c>
      <c r="G18" s="58" t="s">
        <v>45</v>
      </c>
      <c r="H18" s="100" t="s">
        <v>90</v>
      </c>
      <c r="I18" s="81" t="s">
        <v>80</v>
      </c>
      <c r="J18" s="81" t="s">
        <v>44</v>
      </c>
      <c r="K18" s="81" t="s">
        <v>45</v>
      </c>
      <c r="L18" s="82" t="s">
        <v>90</v>
      </c>
    </row>
    <row r="19" spans="1:12" x14ac:dyDescent="0.25">
      <c r="A19" s="66">
        <v>0</v>
      </c>
      <c r="B19" s="71">
        <v>0</v>
      </c>
      <c r="C19" s="71">
        <f>'Liability calculation'!B6</f>
        <v>-540.40428672277699</v>
      </c>
      <c r="D19" s="71">
        <f>'Liability calculation'!C6</f>
        <v>540.40428672277699</v>
      </c>
      <c r="E19" s="70">
        <v>0</v>
      </c>
      <c r="F19" s="71">
        <f>'Liability calculation'!D6</f>
        <v>304.23010996706779</v>
      </c>
      <c r="G19" s="71">
        <f>'Liability calculation'!E6</f>
        <v>-304.23010996706779</v>
      </c>
      <c r="H19" s="101">
        <f>G19/'Cash flows'!C5/(1+Investment_rate)</f>
        <v>-0.44275275198476921</v>
      </c>
      <c r="I19" s="71">
        <v>0</v>
      </c>
      <c r="J19" s="71">
        <f>'Liability calculation'!F6</f>
        <v>375.38702035440218</v>
      </c>
      <c r="K19" s="71">
        <f>'Liability calculation'!G6</f>
        <v>-375.38702035440218</v>
      </c>
      <c r="L19" s="59">
        <f>K19/'Cash flows'!C5/(1+Investment_rate)</f>
        <v>-0.54630896441928545</v>
      </c>
    </row>
    <row r="20" spans="1:12" x14ac:dyDescent="0.25">
      <c r="A20" s="67">
        <v>1</v>
      </c>
      <c r="B20" s="74">
        <f>'Cash flows'!H5</f>
        <v>-2.3012582016833103</v>
      </c>
      <c r="C20" s="74">
        <f>'Liability calculation'!B7</f>
        <v>-507.40986492446024</v>
      </c>
      <c r="D20" s="74">
        <f>'Liability calculation'!C7</f>
        <v>-5.6843418860808015E-14</v>
      </c>
      <c r="E20" s="73">
        <f>'Cash flows'!J20</f>
        <v>23.037773699012035</v>
      </c>
      <c r="F20" s="74">
        <f>'Liability calculation'!D7</f>
        <v>255.46356366607978</v>
      </c>
      <c r="G20" s="74">
        <f>'Liability calculation'!E7</f>
        <v>107.10000000000005</v>
      </c>
      <c r="H20" s="102">
        <f>G20/'Cash flows'!C5/(1+Investment_rate)</f>
        <v>0.15586497911959399</v>
      </c>
      <c r="I20" s="74">
        <f>'Cash flows'!J36 +('Cash flows'!D36-'Cash flows'!D5)*Investment_rate</f>
        <v>25.172481010632069</v>
      </c>
      <c r="J20" s="74">
        <f>'Liability calculation'!F7</f>
        <v>277.23518136503429</v>
      </c>
      <c r="K20" s="74">
        <f>'Liability calculation'!G7</f>
        <v>158.61999999999995</v>
      </c>
      <c r="L20" s="83">
        <f>K20/'Cash flows'!C5/(1+Investment_rate)</f>
        <v>0.23084316515359457</v>
      </c>
    </row>
    <row r="21" spans="1:12" x14ac:dyDescent="0.25">
      <c r="A21" s="66">
        <v>2</v>
      </c>
      <c r="B21" s="71">
        <f>'Cash flows'!H6</f>
        <v>-1.7651166152849151</v>
      </c>
      <c r="C21" s="71">
        <f>'Liability calculation'!B8</f>
        <v>-470.06732994078197</v>
      </c>
      <c r="D21" s="71">
        <v>-1.5987211554602254E-14</v>
      </c>
      <c r="E21" s="70">
        <f>'Cash flows'!J21</f>
        <v>21.121086242431289</v>
      </c>
      <c r="F21" s="71">
        <f>'Liability calculation'!D8</f>
        <v>213.32605330347417</v>
      </c>
      <c r="G21" s="71">
        <f>'Liability calculation'!E8</f>
        <v>102.36624820400007</v>
      </c>
      <c r="H21" s="101">
        <f>G21/'Cash flows'!C6/(1+Investment_rate)</f>
        <v>0.15586497911959404</v>
      </c>
      <c r="I21" s="71">
        <f>'Cash flows'!J37 +('Cash flows'!D37-'Cash flows'!D6)*Investment_rate</f>
        <v>21.774234773399918</v>
      </c>
      <c r="J21" s="71">
        <f>'Liability calculation'!F8</f>
        <v>198.68096391499733</v>
      </c>
      <c r="K21" s="71">
        <f>'Liability calculation'!G8</f>
        <v>139.43610382240004</v>
      </c>
      <c r="L21" s="59">
        <f>K21/'Cash flows'!C6/(1+Investment_rate)</f>
        <v>0.21230831247702872</v>
      </c>
    </row>
    <row r="22" spans="1:12" x14ac:dyDescent="0.25">
      <c r="A22" s="67">
        <v>3</v>
      </c>
      <c r="B22" s="74">
        <f>'Cash flows'!H7</f>
        <v>-1.0295596178282898</v>
      </c>
      <c r="C22" s="74">
        <f>'Liability calculation'!B9</f>
        <v>-429.40980879949836</v>
      </c>
      <c r="D22" s="74">
        <v>0</v>
      </c>
      <c r="E22" s="73">
        <f>'Cash flows'!J22</f>
        <v>19.472241879499403</v>
      </c>
      <c r="F22" s="74">
        <f>'Liability calculation'!D9</f>
        <v>175.96997712857046</v>
      </c>
      <c r="G22" s="74">
        <f>'Liability calculation'!E9</f>
        <v>98.515398813515063</v>
      </c>
      <c r="H22" s="102">
        <f>G22/'Cash flows'!C7/(1+Investment_rate)</f>
        <v>0.15586497911959382</v>
      </c>
      <c r="I22" s="74">
        <f>'Cash flows'!J38 +('Cash flows'!D38-'Cash flows'!D7)*Investment_rate</f>
        <v>19.03288919784509</v>
      </c>
      <c r="J22" s="74">
        <f>'Liability calculation'!F9</f>
        <v>134.3888333935563</v>
      </c>
      <c r="K22" s="74">
        <f>'Liability calculation'!G9</f>
        <v>125.01210047839808</v>
      </c>
      <c r="L22" s="83">
        <f>K22/'Cash flows'!C7/(1+Investment_rate)</f>
        <v>0.1977864239035998</v>
      </c>
    </row>
    <row r="23" spans="1:12" x14ac:dyDescent="0.25">
      <c r="A23" s="66">
        <v>4</v>
      </c>
      <c r="B23" s="71">
        <f>'Cash flows'!H8</f>
        <v>0.1619529926335008</v>
      </c>
      <c r="C23" s="71">
        <f>'Liability calculation'!B10</f>
        <v>-384.06318897249349</v>
      </c>
      <c r="D23" s="71">
        <v>-2.6645352591003757E-14</v>
      </c>
      <c r="E23" s="70">
        <f>'Cash flows'!J23</f>
        <v>18.323346570475572</v>
      </c>
      <c r="F23" s="71">
        <f>'Liability calculation'!D10</f>
        <v>142.07209677018972</v>
      </c>
      <c r="G23" s="71">
        <f>'Liability calculation'!E10</f>
        <v>97.405893763227652</v>
      </c>
      <c r="H23" s="101">
        <f>G23/'Cash flows'!C8/(1+Investment_rate)</f>
        <v>0.15586497911959399</v>
      </c>
      <c r="I23" s="71">
        <f>'Cash flows'!J39 +('Cash flows'!D39-'Cash flows'!D8)*Investment_rate</f>
        <v>17.075912258425141</v>
      </c>
      <c r="J23" s="71">
        <f>'Liability calculation'!F10</f>
        <v>82.034624660188229</v>
      </c>
      <c r="K23" s="71">
        <f>'Liability calculation'!G10</f>
        <v>114.61478782616456</v>
      </c>
      <c r="L23" s="59">
        <f>K23/'Cash flows'!C8/(1+Investment_rate)</f>
        <v>0.1834019567106108</v>
      </c>
    </row>
    <row r="24" spans="1:12" x14ac:dyDescent="0.25">
      <c r="A24" s="67">
        <v>5</v>
      </c>
      <c r="B24" s="74">
        <f>'Cash flows'!H9</f>
        <v>1.6018712703178091</v>
      </c>
      <c r="C24" s="74">
        <f>'Liability calculation'!B11</f>
        <v>-333.37213474800728</v>
      </c>
      <c r="D24" s="74">
        <v>-5.8619775700208265E-14</v>
      </c>
      <c r="E24" s="73">
        <f>'Cash flows'!J24</f>
        <v>17.385929842598312</v>
      </c>
      <c r="F24" s="74">
        <f>'Liability calculation'!D11</f>
        <v>111.45478080972677</v>
      </c>
      <c r="G24" s="74">
        <f>'Liability calculation'!E11</f>
        <v>97.092428757229655</v>
      </c>
      <c r="H24" s="102">
        <f>G24/'Cash flows'!C9/(1+Investment_rate)</f>
        <v>0.15586497911959382</v>
      </c>
      <c r="I24" s="74">
        <f>'Cash flows'!J40 +('Cash flows'!D40-'Cash flows'!D9)*Investment_rate</f>
        <v>15.584805679298261</v>
      </c>
      <c r="J24" s="74">
        <f>'Liability calculation'!F11</f>
        <v>41.639804035488055</v>
      </c>
      <c r="K24" s="74">
        <f>'Liability calculation'!G11</f>
        <v>105.06880925816682</v>
      </c>
      <c r="L24" s="83">
        <f>K24/'Cash flows'!C9/(1+Investment_rate)</f>
        <v>0.16866966838467654</v>
      </c>
    </row>
    <row r="25" spans="1:12" x14ac:dyDescent="0.25">
      <c r="A25" s="66">
        <v>6</v>
      </c>
      <c r="B25" s="71">
        <f>'Cash flows'!H10</f>
        <v>3.1923178304192765</v>
      </c>
      <c r="C25" s="71">
        <f>'Liability calculation'!B12</f>
        <v>-277.52701243825436</v>
      </c>
      <c r="D25" s="71">
        <v>-3.0198066269804258E-14</v>
      </c>
      <c r="E25" s="70">
        <f>'Cash flows'!J25</f>
        <v>16.537125297151302</v>
      </c>
      <c r="F25" s="71">
        <f>'Liability calculation'!D12</f>
        <v>83.862229432216083</v>
      </c>
      <c r="G25" s="71">
        <f>'Liability calculation'!E12</f>
        <v>96.782481153995661</v>
      </c>
      <c r="H25" s="101">
        <f>G25/'Cash flows'!C10/(1+Investment_rate)</f>
        <v>0.15586497911959379</v>
      </c>
      <c r="I25" s="71">
        <f>'Cash flows'!J41 +('Cash flows'!D41-'Cash flows'!D10)*Investment_rate</f>
        <v>14.442675993924137</v>
      </c>
      <c r="J25" s="71">
        <f>'Liability calculation'!F12</f>
        <v>12.432150510860112</v>
      </c>
      <c r="K25" s="71">
        <f>'Liability calculation'!G12</f>
        <v>96.303133997885752</v>
      </c>
      <c r="L25" s="59">
        <f>K25/'Cash flows'!C10/(1+Investment_rate)</f>
        <v>0.15509300640730894</v>
      </c>
    </row>
    <row r="26" spans="1:12" x14ac:dyDescent="0.25">
      <c r="A26" s="67">
        <v>7</v>
      </c>
      <c r="B26" s="74">
        <f>'Cash flows'!H11</f>
        <v>4.9777338059082652</v>
      </c>
      <c r="C26" s="74">
        <f>'Liability calculation'!B13</f>
        <v>-216.32123927191384</v>
      </c>
      <c r="D26" s="74">
        <v>-1.5987211554602254E-14</v>
      </c>
      <c r="E26" s="73">
        <f>'Cash flows'!J26</f>
        <v>15.819411062022384</v>
      </c>
      <c r="F26" s="74">
        <f>'Liability calculation'!D13</f>
        <v>59.103821535979478</v>
      </c>
      <c r="G26" s="74">
        <f>'Liability calculation'!E13</f>
        <v>96.805858318691193</v>
      </c>
      <c r="H26" s="102">
        <f>G26/'Cash flows'!C11/(1+Investment_rate)</f>
        <v>0.15586497911959402</v>
      </c>
      <c r="I26" s="74">
        <f>'Cash flows'!J42 +('Cash flows'!D42-'Cash flows'!D11)*Investment_rate</f>
        <v>13.676508694381702</v>
      </c>
      <c r="J26" s="74">
        <f>'Liability calculation'!F13</f>
        <v>-5.9170334134042832</v>
      </c>
      <c r="K26" s="74">
        <f>'Liability calculation'!G13</f>
        <v>88.25373197907831</v>
      </c>
      <c r="L26" s="83">
        <f>K26/'Cash flows'!C11/(1+Investment_rate)</f>
        <v>0.14209538896768764</v>
      </c>
    </row>
    <row r="27" spans="1:12" x14ac:dyDescent="0.25">
      <c r="A27" s="66">
        <v>8</v>
      </c>
      <c r="B27" s="71">
        <f>'Cash flows'!H12</f>
        <v>6.935106017173073</v>
      </c>
      <c r="C27" s="71">
        <f>'Liability calculation'!B14</f>
        <v>-149.74233976916011</v>
      </c>
      <c r="D27" s="71">
        <v>-3.0198066269804258E-14</v>
      </c>
      <c r="E27" s="70">
        <f>'Cash flows'!J27</f>
        <v>15.197857841409881</v>
      </c>
      <c r="F27" s="71">
        <f>'Liability calculation'!D14</f>
        <v>36.983561273277672</v>
      </c>
      <c r="G27" s="71">
        <f>'Liability calculation'!E14</f>
        <v>96.961911589692292</v>
      </c>
      <c r="H27" s="101">
        <f>G27/'Cash flows'!C12/(1+Investment_rate)</f>
        <v>0.15586497911959393</v>
      </c>
      <c r="I27" s="71">
        <f>'Cash flows'!J43 +('Cash flows'!D43-'Cash flows'!D12)*Investment_rate</f>
        <v>13.247232192928363</v>
      </c>
      <c r="J27" s="71">
        <f>'Liability calculation'!F14</f>
        <v>-13.887300176926118</v>
      </c>
      <c r="K27" s="71">
        <f>'Liability calculation'!G14</f>
        <v>80.861292442030802</v>
      </c>
      <c r="L27" s="59">
        <f>K27/'Cash flows'!C12/(1+Investment_rate)</f>
        <v>0.12998344866996558</v>
      </c>
    </row>
    <row r="28" spans="1:12" x14ac:dyDescent="0.25">
      <c r="A28" s="67">
        <v>9</v>
      </c>
      <c r="B28" s="74">
        <f>'Cash flows'!H13</f>
        <v>9.09462921663612</v>
      </c>
      <c r="C28" s="74">
        <f>'Liability calculation'!B15</f>
        <v>-77.532346524573143</v>
      </c>
      <c r="D28" s="74">
        <v>0</v>
      </c>
      <c r="E28" s="73">
        <f>'Cash flows'!J28</f>
        <v>14.696406247909266</v>
      </c>
      <c r="F28" s="74">
        <f>'Liability calculation'!D15</f>
        <v>17.350010808534478</v>
      </c>
      <c r="G28" s="74">
        <f>'Liability calculation'!E15</f>
        <v>97.445320740603336</v>
      </c>
      <c r="H28" s="102">
        <f>G28/'Cash flows'!C13/(1+Investment_rate)</f>
        <v>0.1558649791195939</v>
      </c>
      <c r="I28" s="74">
        <f>'Cash flows'!J44 +('Cash flows'!D44-'Cash flows'!D13)*Investment_rate</f>
        <v>13.170280404403142</v>
      </c>
      <c r="J28" s="74">
        <f>'Liability calculation'!F15</f>
        <v>-11.673320118795232</v>
      </c>
      <c r="K28" s="74">
        <f>'Liability calculation'!G15</f>
        <v>74.071664374223133</v>
      </c>
      <c r="L28" s="83">
        <f>K28/'Cash flows'!C13/(1+Investment_rate)</f>
        <v>0.1184785306600282</v>
      </c>
    </row>
    <row r="29" spans="1:12" x14ac:dyDescent="0.25">
      <c r="A29" s="68">
        <v>10</v>
      </c>
      <c r="B29" s="77">
        <f>'Cash flows'!H14</f>
        <v>11.385882879972906</v>
      </c>
      <c r="C29" s="77">
        <f>'Liability calculation'!B16</f>
        <v>0</v>
      </c>
      <c r="D29" s="77">
        <v>2.1316282072803006E-14</v>
      </c>
      <c r="E29" s="76">
        <f>'Cash flows'!J29</f>
        <v>14.232353599966148</v>
      </c>
      <c r="F29" s="77">
        <f>'Liability calculation'!D16</f>
        <v>0</v>
      </c>
      <c r="G29" s="77">
        <f>'Liability calculation'!E16</f>
        <v>97.728828053100827</v>
      </c>
      <c r="H29" s="103">
        <f>G29/'Cash flows'!C14/(1+Investment_rate)</f>
        <v>0.15586497911959393</v>
      </c>
      <c r="I29" s="77">
        <f>'Cash flows'!J45 +('Cash flows'!D45-'Cash flows'!D14)*Investment_rate</f>
        <v>13.361653672146245</v>
      </c>
      <c r="J29" s="77">
        <f>'Liability calculation'!F16</f>
        <v>0</v>
      </c>
      <c r="K29" s="77">
        <f>'Liability calculation'!G16</f>
        <v>67.834797197951218</v>
      </c>
      <c r="L29" s="80">
        <f>K29/'Cash flows'!C14/(1+Investment_rate)</f>
        <v>0.10818782399698575</v>
      </c>
    </row>
    <row r="33" spans="1:10" x14ac:dyDescent="0.25">
      <c r="A33" s="42" t="s">
        <v>101</v>
      </c>
    </row>
    <row r="34" spans="1:10" ht="51" x14ac:dyDescent="0.25">
      <c r="A34" s="85" t="s">
        <v>24</v>
      </c>
      <c r="B34" s="79" t="s">
        <v>74</v>
      </c>
      <c r="C34" s="79" t="s">
        <v>75</v>
      </c>
      <c r="D34" s="79" t="s">
        <v>4</v>
      </c>
      <c r="E34" s="86" t="s">
        <v>76</v>
      </c>
      <c r="F34" s="79" t="s">
        <v>94</v>
      </c>
      <c r="G34" s="79" t="s">
        <v>95</v>
      </c>
      <c r="H34" s="79" t="s">
        <v>98</v>
      </c>
      <c r="I34" s="78" t="s">
        <v>100</v>
      </c>
    </row>
    <row r="35" spans="1:10" x14ac:dyDescent="0.25">
      <c r="A35" s="87">
        <v>0</v>
      </c>
      <c r="B35" s="41"/>
      <c r="C35" s="41"/>
      <c r="D35" s="41"/>
      <c r="E35" s="41"/>
      <c r="F35" s="46">
        <f>'Liability calculation'!B6</f>
        <v>-540.40428672277699</v>
      </c>
      <c r="G35" s="46">
        <f t="shared" ref="G35:G45" si="0">G36/(1+Discount_rate)+B36</f>
        <v>5419.0133117829082</v>
      </c>
      <c r="H35" s="46">
        <f t="shared" ref="H35:H45" si="1">Profit_Margin*G35</f>
        <v>540.40428672277687</v>
      </c>
      <c r="I35" s="75">
        <f>H35+F35</f>
        <v>0</v>
      </c>
      <c r="J35" s="150"/>
    </row>
    <row r="36" spans="1:10" x14ac:dyDescent="0.25">
      <c r="A36" s="88">
        <v>1</v>
      </c>
      <c r="B36" s="45">
        <f>'Cash flows'!C5</f>
        <v>667.11959999999999</v>
      </c>
      <c r="C36" s="45">
        <f>-'Cash flows'!E5</f>
        <v>-428.4</v>
      </c>
      <c r="D36" s="45">
        <f>-'Cash flows'!D5</f>
        <v>-203.42392000000001</v>
      </c>
      <c r="E36" s="45">
        <f>SUM(B36:D36)</f>
        <v>35.295680000000004</v>
      </c>
      <c r="F36" s="45">
        <f>'Liability calculation'!B7</f>
        <v>-507.40986492446024</v>
      </c>
      <c r="G36" s="45">
        <f t="shared" si="0"/>
        <v>4894.4505231363955</v>
      </c>
      <c r="H36" s="45">
        <f t="shared" si="1"/>
        <v>488.09292239683043</v>
      </c>
      <c r="I36" s="72">
        <f t="shared" ref="I36:I45" si="2">H36+F36</f>
        <v>-19.316942527629806</v>
      </c>
    </row>
    <row r="37" spans="1:10" x14ac:dyDescent="0.25">
      <c r="A37" s="87">
        <v>2</v>
      </c>
      <c r="B37" s="46">
        <f>'Cash flows'!C6</f>
        <v>637.63333851870391</v>
      </c>
      <c r="C37" s="46">
        <f>-'Cash flows'!E6</f>
        <v>-409.46499281599995</v>
      </c>
      <c r="D37" s="46">
        <f>-'Cash flows'!D6</f>
        <v>-189.06069410374079</v>
      </c>
      <c r="E37" s="46">
        <f t="shared" ref="E37:E45" si="3">SUM(B37:D37)</f>
        <v>39.107651598963173</v>
      </c>
      <c r="F37" s="46">
        <f>'Liability calculation'!B8</f>
        <v>-470.06732994078197</v>
      </c>
      <c r="G37" s="46">
        <f t="shared" si="0"/>
        <v>4384.5217001562232</v>
      </c>
      <c r="H37" s="46">
        <f t="shared" si="1"/>
        <v>437.24091189100631</v>
      </c>
      <c r="I37" s="75">
        <f t="shared" si="2"/>
        <v>-32.826418049775668</v>
      </c>
    </row>
    <row r="38" spans="1:10" x14ac:dyDescent="0.25">
      <c r="A38" s="88">
        <v>3</v>
      </c>
      <c r="B38" s="45">
        <f>'Cash flows'!C7</f>
        <v>613.64662418592604</v>
      </c>
      <c r="C38" s="45">
        <f>-'Cash flows'!E7</f>
        <v>-394.06159525406042</v>
      </c>
      <c r="D38" s="45">
        <f>-'Cash flows'!D7</f>
        <v>-177.89794817275367</v>
      </c>
      <c r="E38" s="45">
        <f t="shared" si="3"/>
        <v>41.68708075911195</v>
      </c>
      <c r="F38" s="45">
        <f>'Liability calculation'!B9</f>
        <v>-429.40980879949836</v>
      </c>
      <c r="G38" s="45">
        <f t="shared" si="0"/>
        <v>3884.001328249406</v>
      </c>
      <c r="H38" s="45">
        <f t="shared" si="1"/>
        <v>387.32714733493975</v>
      </c>
      <c r="I38" s="72">
        <f t="shared" si="2"/>
        <v>-42.082661464558612</v>
      </c>
    </row>
    <row r="39" spans="1:10" x14ac:dyDescent="0.25">
      <c r="A39" s="87">
        <v>4</v>
      </c>
      <c r="B39" s="46">
        <f>'Cash flows'!C8</f>
        <v>606.73558249268808</v>
      </c>
      <c r="C39" s="46">
        <f>-'Cash flows'!E8</f>
        <v>-389.62357505291038</v>
      </c>
      <c r="D39" s="46">
        <f>-'Cash flows'!D8</f>
        <v>-171.92734060540636</v>
      </c>
      <c r="E39" s="46">
        <f t="shared" si="3"/>
        <v>45.184666834371342</v>
      </c>
      <c r="F39" s="46">
        <f>'Liability calculation'!B10</f>
        <v>-384.06318897249349</v>
      </c>
      <c r="G39" s="46">
        <f t="shared" si="0"/>
        <v>3375.5837181294196</v>
      </c>
      <c r="H39" s="46">
        <f t="shared" si="1"/>
        <v>336.62584063086109</v>
      </c>
      <c r="I39" s="75">
        <f t="shared" si="2"/>
        <v>-47.437348341632401</v>
      </c>
    </row>
    <row r="40" spans="1:10" x14ac:dyDescent="0.25">
      <c r="A40" s="88">
        <v>5</v>
      </c>
      <c r="B40" s="45">
        <f>'Cash flows'!C9</f>
        <v>604.78302740944525</v>
      </c>
      <c r="C40" s="45">
        <f>-'Cash flows'!E9</f>
        <v>-388.36971502891879</v>
      </c>
      <c r="D40" s="45">
        <f>-'Cash flows'!D9</f>
        <v>-167.32412942635807</v>
      </c>
      <c r="E40" s="45">
        <f t="shared" si="3"/>
        <v>49.089182954168393</v>
      </c>
      <c r="F40" s="45">
        <f>'Liability calculation'!B11</f>
        <v>-333.37213474800728</v>
      </c>
      <c r="G40" s="45">
        <f t="shared" si="0"/>
        <v>2853.9247114415734</v>
      </c>
      <c r="H40" s="45">
        <f t="shared" si="1"/>
        <v>284.60405230849443</v>
      </c>
      <c r="I40" s="72">
        <f t="shared" si="2"/>
        <v>-48.768082439512852</v>
      </c>
    </row>
    <row r="41" spans="1:10" x14ac:dyDescent="0.25">
      <c r="A41" s="87">
        <v>6</v>
      </c>
      <c r="B41" s="46">
        <f>'Cash flows'!C10</f>
        <v>602.8523820211127</v>
      </c>
      <c r="C41" s="46">
        <f>-'Cash flows'!E10</f>
        <v>-387.12992461598287</v>
      </c>
      <c r="D41" s="46">
        <f>-'Cash flows'!D10</f>
        <v>-163.06965292579613</v>
      </c>
      <c r="E41" s="46">
        <f t="shared" si="3"/>
        <v>52.652804479333696</v>
      </c>
      <c r="F41" s="46">
        <f>'Liability calculation'!B12</f>
        <v>-277.52701243825436</v>
      </c>
      <c r="G41" s="46">
        <f t="shared" si="0"/>
        <v>2318.6044993030746</v>
      </c>
      <c r="H41" s="46">
        <f t="shared" si="1"/>
        <v>231.21991745502012</v>
      </c>
      <c r="I41" s="75">
        <f t="shared" si="2"/>
        <v>-46.307094983234236</v>
      </c>
    </row>
    <row r="42" spans="1:10" x14ac:dyDescent="0.25">
      <c r="A42" s="88">
        <v>7</v>
      </c>
      <c r="B42" s="45">
        <f>'Cash flows'!C11</f>
        <v>602.99799700487301</v>
      </c>
      <c r="C42" s="45">
        <f>-'Cash flows'!E11</f>
        <v>-387.22343327476443</v>
      </c>
      <c r="D42" s="45">
        <f>-'Cash flows'!D11</f>
        <v>-159.5465243696764</v>
      </c>
      <c r="E42" s="45">
        <f t="shared" si="3"/>
        <v>56.228039360432177</v>
      </c>
      <c r="F42" s="45">
        <f>'Liability calculation'!B13</f>
        <v>-216.32123927191384</v>
      </c>
      <c r="G42" s="45">
        <f t="shared" si="0"/>
        <v>1767.074697367148</v>
      </c>
      <c r="H42" s="45">
        <f t="shared" si="1"/>
        <v>176.21930164670098</v>
      </c>
      <c r="I42" s="72">
        <f t="shared" si="2"/>
        <v>-40.101937625212855</v>
      </c>
    </row>
    <row r="43" spans="1:10" x14ac:dyDescent="0.25">
      <c r="A43" s="87">
        <v>8</v>
      </c>
      <c r="B43" s="46">
        <f>'Cash flows'!C12</f>
        <v>603.97004365033501</v>
      </c>
      <c r="C43" s="46">
        <f>-'Cash flows'!E12</f>
        <v>-387.84764635876911</v>
      </c>
      <c r="D43" s="46">
        <f>-'Cash flows'!D12</f>
        <v>-156.4786038059853</v>
      </c>
      <c r="E43" s="46">
        <f t="shared" si="3"/>
        <v>59.643793485580602</v>
      </c>
      <c r="F43" s="46">
        <f>'Liability calculation'!B14</f>
        <v>-149.74233976916011</v>
      </c>
      <c r="G43" s="46">
        <f t="shared" si="0"/>
        <v>1197.9977933283176</v>
      </c>
      <c r="H43" s="46">
        <f t="shared" si="1"/>
        <v>119.46882315113712</v>
      </c>
      <c r="I43" s="75">
        <f t="shared" si="2"/>
        <v>-30.273516618022995</v>
      </c>
    </row>
    <row r="44" spans="1:10" x14ac:dyDescent="0.25">
      <c r="A44" s="88">
        <v>9</v>
      </c>
      <c r="B44" s="45">
        <f>'Cash flows'!C13</f>
        <v>606.98117081552766</v>
      </c>
      <c r="C44" s="45">
        <f>-'Cash flows'!E13</f>
        <v>-389.7812829624134</v>
      </c>
      <c r="D44" s="45">
        <f>-'Cash flows'!D13</f>
        <v>-154.08452382516342</v>
      </c>
      <c r="E44" s="45">
        <f t="shared" si="3"/>
        <v>63.115364027950847</v>
      </c>
      <c r="F44" s="45">
        <f>'Liability calculation'!B15</f>
        <v>-77.532346524573143</v>
      </c>
      <c r="G44" s="45">
        <f t="shared" si="0"/>
        <v>608.74712118817365</v>
      </c>
      <c r="H44" s="45">
        <f t="shared" si="1"/>
        <v>60.706541005341172</v>
      </c>
      <c r="I44" s="72">
        <f t="shared" si="2"/>
        <v>-16.82580551923197</v>
      </c>
    </row>
    <row r="45" spans="1:10" x14ac:dyDescent="0.25">
      <c r="A45" s="89">
        <v>10</v>
      </c>
      <c r="B45" s="90">
        <f>'Cash flows'!C14</f>
        <v>608.74712118817365</v>
      </c>
      <c r="C45" s="90">
        <f>-'Cash flows'!E14</f>
        <v>-390.91531221240331</v>
      </c>
      <c r="D45" s="90">
        <f>-'Cash flows'!D14</f>
        <v>-151.68534533117014</v>
      </c>
      <c r="E45" s="90">
        <f t="shared" si="3"/>
        <v>66.146463644600203</v>
      </c>
      <c r="F45" s="90">
        <f>'Liability calculation'!B16</f>
        <v>0</v>
      </c>
      <c r="G45" s="90">
        <f t="shared" si="0"/>
        <v>0</v>
      </c>
      <c r="H45" s="90">
        <f t="shared" si="1"/>
        <v>0</v>
      </c>
      <c r="I45" s="91">
        <f t="shared" si="2"/>
        <v>0</v>
      </c>
    </row>
    <row r="47" spans="1:10" x14ac:dyDescent="0.25">
      <c r="A47" s="42" t="s">
        <v>102</v>
      </c>
    </row>
    <row r="48" spans="1:10" x14ac:dyDescent="0.25">
      <c r="A48" s="142" t="s">
        <v>24</v>
      </c>
      <c r="B48" s="143" t="s">
        <v>77</v>
      </c>
      <c r="C48" s="142"/>
      <c r="D48" s="142"/>
      <c r="E48" s="142" t="s">
        <v>105</v>
      </c>
      <c r="F48" s="142"/>
      <c r="G48" s="142"/>
      <c r="H48" s="142"/>
    </row>
    <row r="49" spans="1:12" ht="25.5" x14ac:dyDescent="0.25">
      <c r="A49" s="142"/>
      <c r="B49" s="96" t="s">
        <v>103</v>
      </c>
      <c r="C49" s="97" t="s">
        <v>104</v>
      </c>
      <c r="D49" s="98" t="s">
        <v>45</v>
      </c>
      <c r="E49" s="97" t="s">
        <v>44</v>
      </c>
      <c r="F49" s="97" t="s">
        <v>104</v>
      </c>
      <c r="G49" s="97" t="s">
        <v>45</v>
      </c>
      <c r="H49" s="98" t="s">
        <v>106</v>
      </c>
      <c r="J49" s="124" t="s">
        <v>129</v>
      </c>
      <c r="K49" s="124" t="s">
        <v>128</v>
      </c>
    </row>
    <row r="50" spans="1:12" x14ac:dyDescent="0.25">
      <c r="A50" s="92">
        <v>1</v>
      </c>
      <c r="B50" s="94">
        <f>F36</f>
        <v>-507.40986492446024</v>
      </c>
      <c r="C50" s="71">
        <f>('Cash flows'!C5-'Cash flows'!D5)*Investment_rate</f>
        <v>13.910870399999999</v>
      </c>
      <c r="D50" s="71">
        <f>-('Liability calculation'!B6*(1+Discount_rate))</f>
        <v>556.61641532446026</v>
      </c>
      <c r="E50" s="94">
        <f>I36</f>
        <v>-19.316942527629806</v>
      </c>
      <c r="F50" s="71">
        <f>('Cash flows'!C5-'Cash flows'!D5+Tables!I35)*Investment_rate</f>
        <v>13.910870399999999</v>
      </c>
      <c r="G50" s="71">
        <f>'Cash flows'!F5+Tables!F50-(Tables!E50-Tables!I35)</f>
        <v>68.523492927629803</v>
      </c>
      <c r="H50" s="117">
        <f>G50/B36</f>
        <v>0.1027154545116495</v>
      </c>
      <c r="I50" s="121">
        <f t="shared" ref="I50:I59" si="4">(G50/B36)/(1+Discount_rate)</f>
        <v>9.9723742244319902E-2</v>
      </c>
      <c r="J50" s="84">
        <f>H50*B36</f>
        <v>68.523492927629803</v>
      </c>
      <c r="K50" s="84">
        <f>H35*(1+Investment_rate)-H36</f>
        <v>68.523492927629718</v>
      </c>
      <c r="L50" s="151">
        <f>J50-K50</f>
        <v>0</v>
      </c>
    </row>
    <row r="51" spans="1:12" x14ac:dyDescent="0.25">
      <c r="A51" s="93">
        <v>2</v>
      </c>
      <c r="B51" s="99">
        <f t="shared" ref="B51:B59" si="5">F37</f>
        <v>-470.06732994078197</v>
      </c>
      <c r="C51" s="74">
        <f>'Cash flows'!H6</f>
        <v>-1.7651166152849151</v>
      </c>
      <c r="D51" s="74">
        <f>'Cash flows'!F6+'Cash flows'!H6-('Liability calculation'!B8-'Liability calculation'!B7)</f>
        <v>0</v>
      </c>
      <c r="E51" s="99">
        <f t="shared" ref="E51:E59" si="6">I37</f>
        <v>-32.826418049775668</v>
      </c>
      <c r="F51" s="74">
        <f>('Cash flows'!C6-'Cash flows'!D6+Tables!I36)*Investment_rate</f>
        <v>12.877671056619999</v>
      </c>
      <c r="G51" s="74">
        <f>'Cash flows'!F6+Tables!F51-(Tables!E51-Tables!I36)</f>
        <v>65.494798177729038</v>
      </c>
      <c r="H51" s="118">
        <f t="shared" ref="H51:H59" si="7">G51/B37</f>
        <v>0.10271545451164935</v>
      </c>
      <c r="I51" s="121">
        <f t="shared" si="4"/>
        <v>9.9723742244319749E-2</v>
      </c>
      <c r="J51" s="84">
        <f t="shared" ref="J51:J59" si="8">H51*B37</f>
        <v>65.494798177729038</v>
      </c>
      <c r="K51" s="84">
        <f>H36*(1+Investment_rate)-H37</f>
        <v>65.494798177729024</v>
      </c>
      <c r="L51" s="151">
        <f t="shared" ref="L51:L59" si="9">J51-K51</f>
        <v>0</v>
      </c>
    </row>
    <row r="52" spans="1:12" x14ac:dyDescent="0.25">
      <c r="A52" s="92">
        <v>3</v>
      </c>
      <c r="B52" s="94">
        <f t="shared" si="5"/>
        <v>-429.40980879949836</v>
      </c>
      <c r="C52" s="71">
        <f>'Cash flows'!H7</f>
        <v>-1.0295596178282898</v>
      </c>
      <c r="D52" s="71">
        <f>'Cash flows'!F7+'Cash flows'!H7-('Liability calculation'!B9-'Liability calculation'!B8)</f>
        <v>0</v>
      </c>
      <c r="E52" s="94">
        <f t="shared" si="6"/>
        <v>-42.082661464558612</v>
      </c>
      <c r="F52" s="71">
        <f>('Cash flows'!C7-'Cash flows'!D7+Tables!I37)*Investment_rate</f>
        <v>12.087667738901901</v>
      </c>
      <c r="G52" s="71">
        <f>'Cash flows'!F7+Tables!F52-(Tables!E52-Tables!I37)</f>
        <v>63.030991912796793</v>
      </c>
      <c r="H52" s="117">
        <f t="shared" si="7"/>
        <v>0.10271545451164955</v>
      </c>
      <c r="I52" s="121">
        <f t="shared" si="4"/>
        <v>9.9723742244319957E-2</v>
      </c>
      <c r="J52" s="84">
        <f t="shared" si="8"/>
        <v>63.030991912796793</v>
      </c>
      <c r="K52" s="84">
        <f>H37*(1+Investment_rate)-H38</f>
        <v>63.030991912796765</v>
      </c>
      <c r="L52" s="151">
        <f t="shared" si="9"/>
        <v>0</v>
      </c>
    </row>
    <row r="53" spans="1:12" x14ac:dyDescent="0.25">
      <c r="A53" s="93">
        <v>4</v>
      </c>
      <c r="B53" s="99">
        <f t="shared" si="5"/>
        <v>-384.06318897249349</v>
      </c>
      <c r="C53" s="74">
        <f>'Cash flows'!H8</f>
        <v>0.1619529926335008</v>
      </c>
      <c r="D53" s="74">
        <f>'Cash flows'!F8+'Cash flows'!H8-('Liability calculation'!B10-'Liability calculation'!B9)</f>
        <v>0</v>
      </c>
      <c r="E53" s="99">
        <f t="shared" si="6"/>
        <v>-47.437348341632401</v>
      </c>
      <c r="F53" s="74">
        <f>('Cash flows'!C8-'Cash flows'!D8+Tables!I38)*Investment_rate</f>
        <v>11.781767412681694</v>
      </c>
      <c r="G53" s="74">
        <f>'Cash flows'!F8+Tables!F53-(Tables!E53-Tables!I38)</f>
        <v>62.321121124126826</v>
      </c>
      <c r="H53" s="118">
        <f t="shared" si="7"/>
        <v>0.10271545451164943</v>
      </c>
      <c r="I53" s="121">
        <f t="shared" si="4"/>
        <v>9.9723742244319832E-2</v>
      </c>
      <c r="J53" s="84">
        <f t="shared" si="8"/>
        <v>62.321121124126819</v>
      </c>
      <c r="K53" s="84">
        <f>H38*(1+Investment_rate)-H39</f>
        <v>62.321121124126876</v>
      </c>
      <c r="L53" s="151">
        <f t="shared" si="9"/>
        <v>-5.6843418860808015E-14</v>
      </c>
    </row>
    <row r="54" spans="1:12" x14ac:dyDescent="0.25">
      <c r="A54" s="92">
        <v>5</v>
      </c>
      <c r="B54" s="94">
        <f t="shared" si="5"/>
        <v>-333.37213474800728</v>
      </c>
      <c r="C54" s="71">
        <f>'Cash flows'!H9</f>
        <v>1.6018712703178091</v>
      </c>
      <c r="D54" s="71">
        <f>'Cash flows'!F9+'Cash flows'!H9-('Liability calculation'!B11-'Liability calculation'!B10)</f>
        <v>0</v>
      </c>
      <c r="E54" s="94">
        <f t="shared" si="6"/>
        <v>-48.768082439512852</v>
      </c>
      <c r="F54" s="71">
        <f>('Cash flows'!C9-'Cash flows'!D9+Tables!I39)*Investment_rate</f>
        <v>11.700646489243644</v>
      </c>
      <c r="G54" s="71">
        <f>'Cash flows'!F9+Tables!F54-(Tables!E54-Tables!I39)</f>
        <v>62.120563541292491</v>
      </c>
      <c r="H54" s="117">
        <f t="shared" si="7"/>
        <v>0.1027154545116494</v>
      </c>
      <c r="I54" s="121">
        <f t="shared" si="4"/>
        <v>9.9723742244319805E-2</v>
      </c>
      <c r="J54" s="84">
        <f t="shared" si="8"/>
        <v>62.120563541292483</v>
      </c>
      <c r="K54" s="84">
        <f>H39*(1+Investment_rate)-H40</f>
        <v>62.120563541292483</v>
      </c>
      <c r="L54" s="151">
        <f t="shared" si="9"/>
        <v>0</v>
      </c>
    </row>
    <row r="55" spans="1:12" x14ac:dyDescent="0.25">
      <c r="A55" s="93">
        <v>6</v>
      </c>
      <c r="B55" s="99">
        <f t="shared" si="5"/>
        <v>-277.52701243825436</v>
      </c>
      <c r="C55" s="74">
        <f>'Cash flows'!H10</f>
        <v>3.1923178304192765</v>
      </c>
      <c r="D55" s="74">
        <f>'Cash flows'!F10+'Cash flows'!H10-('Liability calculation'!B12-'Liability calculation'!B11)</f>
        <v>0</v>
      </c>
      <c r="E55" s="99">
        <f t="shared" si="6"/>
        <v>-46.307094983234236</v>
      </c>
      <c r="F55" s="74">
        <f>('Cash flows'!C10-'Cash flows'!D10+Tables!I40)*Investment_rate</f>
        <v>11.730439399674109</v>
      </c>
      <c r="G55" s="74">
        <f>'Cash flows'!F10+Tables!F55-(Tables!E55-Tables!I40)</f>
        <v>61.922256422729163</v>
      </c>
      <c r="H55" s="119">
        <f t="shared" si="7"/>
        <v>0.10271545451164953</v>
      </c>
      <c r="I55" s="121">
        <f t="shared" si="4"/>
        <v>9.972374224431993E-2</v>
      </c>
      <c r="J55" s="84">
        <f t="shared" si="8"/>
        <v>61.922256422729163</v>
      </c>
      <c r="K55" s="84">
        <f>H40*(1+Investment_rate)-H41</f>
        <v>61.922256422729134</v>
      </c>
      <c r="L55" s="151">
        <f t="shared" si="9"/>
        <v>0</v>
      </c>
    </row>
    <row r="56" spans="1:12" x14ac:dyDescent="0.25">
      <c r="A56" s="92">
        <v>7</v>
      </c>
      <c r="B56" s="94">
        <f t="shared" si="5"/>
        <v>-216.32123927191384</v>
      </c>
      <c r="C56" s="71">
        <f>'Cash flows'!H11</f>
        <v>4.9777338059082652</v>
      </c>
      <c r="D56" s="71">
        <f>'Cash flows'!F11+'Cash flows'!H11-('Liability calculation'!B13-'Liability calculation'!B12)</f>
        <v>0</v>
      </c>
      <c r="E56" s="94">
        <f t="shared" si="6"/>
        <v>-40.101937625212855</v>
      </c>
      <c r="F56" s="71">
        <f>('Cash flows'!C11-'Cash flows'!D11+Tables!I41)*Investment_rate</f>
        <v>11.914331329558872</v>
      </c>
      <c r="G56" s="71">
        <f>'Cash flows'!F11+Tables!F56-(Tables!E56-Tables!I41)</f>
        <v>61.937213331969701</v>
      </c>
      <c r="H56" s="117">
        <f t="shared" si="7"/>
        <v>0.10271545451164935</v>
      </c>
      <c r="I56" s="121">
        <f t="shared" si="4"/>
        <v>9.9723742244319749E-2</v>
      </c>
      <c r="J56" s="84">
        <f t="shared" si="8"/>
        <v>61.937213331969701</v>
      </c>
      <c r="K56" s="84">
        <f>H41*(1+Investment_rate)-H42</f>
        <v>61.937213331969758</v>
      </c>
      <c r="L56" s="151">
        <f t="shared" si="9"/>
        <v>-5.6843418860808015E-14</v>
      </c>
    </row>
    <row r="57" spans="1:12" x14ac:dyDescent="0.25">
      <c r="A57" s="93">
        <v>8</v>
      </c>
      <c r="B57" s="99">
        <f t="shared" si="5"/>
        <v>-149.74233976916011</v>
      </c>
      <c r="C57" s="74">
        <f>'Cash flows'!H12</f>
        <v>6.935106017173073</v>
      </c>
      <c r="D57" s="74">
        <f>'Cash flows'!F12+'Cash flows'!H12-('Liability calculation'!B14-'Liability calculation'!B13)</f>
        <v>0</v>
      </c>
      <c r="E57" s="99">
        <f t="shared" si="6"/>
        <v>-30.273516618022995</v>
      </c>
      <c r="F57" s="74">
        <f>('Cash flows'!C12-'Cash flows'!D12+Tables!I42)*Investment_rate</f>
        <v>12.221685066574105</v>
      </c>
      <c r="G57" s="74">
        <f>'Cash flows'!F12+Tables!F57-(Tables!E57-Tables!I42)</f>
        <v>62.037057544964853</v>
      </c>
      <c r="H57" s="119">
        <f t="shared" si="7"/>
        <v>0.10271545451164935</v>
      </c>
      <c r="I57" s="121">
        <f t="shared" si="4"/>
        <v>9.9723742244319749E-2</v>
      </c>
      <c r="J57" s="84">
        <f t="shared" si="8"/>
        <v>62.037057544964853</v>
      </c>
      <c r="K57" s="84">
        <f>H42*(1+Investment_rate)-H43</f>
        <v>62.03705754496491</v>
      </c>
      <c r="L57" s="151">
        <f t="shared" si="9"/>
        <v>-5.6843418860808015E-14</v>
      </c>
    </row>
    <row r="58" spans="1:12" x14ac:dyDescent="0.25">
      <c r="A58" s="92">
        <v>9</v>
      </c>
      <c r="B58" s="94">
        <f t="shared" si="5"/>
        <v>-77.532346524573143</v>
      </c>
      <c r="C58" s="71">
        <f>'Cash flows'!H13</f>
        <v>9.09462921663612</v>
      </c>
      <c r="D58" s="71">
        <f>'Cash flows'!F13+'Cash flows'!H13-('Liability calculation'!B15-'Liability calculation'!B14)</f>
        <v>0</v>
      </c>
      <c r="E58" s="94">
        <f t="shared" si="6"/>
        <v>-16.82580551923197</v>
      </c>
      <c r="F58" s="71">
        <f>('Cash flows'!C13-'Cash flows'!D13+Tables!I43)*Investment_rate</f>
        <v>12.678693911170237</v>
      </c>
      <c r="G58" s="71">
        <f>'Cash flows'!F13+Tables!F58-(Tables!E58-Tables!I43)</f>
        <v>62.346346840330092</v>
      </c>
      <c r="H58" s="117">
        <f t="shared" si="7"/>
        <v>0.10271545451164951</v>
      </c>
      <c r="I58" s="121">
        <f t="shared" si="4"/>
        <v>9.9723742244319916E-2</v>
      </c>
      <c r="J58" s="84">
        <f t="shared" si="8"/>
        <v>62.346346840330092</v>
      </c>
      <c r="K58" s="84">
        <f>H43*(1+Investment_rate)-H44</f>
        <v>62.346346840330064</v>
      </c>
      <c r="L58" s="151">
        <f t="shared" si="9"/>
        <v>0</v>
      </c>
    </row>
    <row r="59" spans="1:12" x14ac:dyDescent="0.25">
      <c r="A59" s="95">
        <v>10</v>
      </c>
      <c r="B59" s="99">
        <f t="shared" si="5"/>
        <v>0</v>
      </c>
      <c r="C59" s="74">
        <f>'Cash flows'!H14</f>
        <v>11.385882879972906</v>
      </c>
      <c r="D59" s="74">
        <f>'Cash flows'!F14+'Cash flows'!H14-('Liability calculation'!B16-'Liability calculation'!B15)</f>
        <v>0</v>
      </c>
      <c r="E59" s="99">
        <f t="shared" si="6"/>
        <v>0</v>
      </c>
      <c r="F59" s="74">
        <f>('Cash flows'!C14-'Cash flows'!D14+Tables!I44)*Investment_rate</f>
        <v>13.207079110133146</v>
      </c>
      <c r="G59" s="74">
        <f>'Cash flows'!F14+Tables!F59-(Tables!E59-Tables!I44)</f>
        <v>62.527737235501384</v>
      </c>
      <c r="H59" s="119">
        <f t="shared" si="7"/>
        <v>0.10271545451164941</v>
      </c>
      <c r="I59" s="121">
        <f t="shared" si="4"/>
        <v>9.9723742244319818E-2</v>
      </c>
      <c r="J59" s="84">
        <f t="shared" si="8"/>
        <v>62.527737235501384</v>
      </c>
      <c r="K59" s="84">
        <f>H44*(1+Investment_rate)-H45</f>
        <v>62.527737235501412</v>
      </c>
      <c r="L59" s="151">
        <f t="shared" si="9"/>
        <v>0</v>
      </c>
    </row>
    <row r="61" spans="1:12" ht="18.75" customHeight="1" x14ac:dyDescent="0.25">
      <c r="A61" t="s">
        <v>118</v>
      </c>
    </row>
    <row r="62" spans="1:12" x14ac:dyDescent="0.25">
      <c r="A62" t="s">
        <v>119</v>
      </c>
    </row>
    <row r="63" spans="1:12" x14ac:dyDescent="0.25">
      <c r="A63" t="s">
        <v>107</v>
      </c>
      <c r="K63" s="120" t="s">
        <v>125</v>
      </c>
    </row>
  </sheetData>
  <mergeCells count="7">
    <mergeCell ref="I17:L17"/>
    <mergeCell ref="A48:A49"/>
    <mergeCell ref="B48:D48"/>
    <mergeCell ref="E48:H48"/>
    <mergeCell ref="A17:A18"/>
    <mergeCell ref="B17:D17"/>
    <mergeCell ref="E17:H17"/>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Notes</vt:lpstr>
      <vt:lpstr>Data</vt:lpstr>
      <vt:lpstr>Assumptions</vt:lpstr>
      <vt:lpstr>Decrements</vt:lpstr>
      <vt:lpstr>Cash flows</vt:lpstr>
      <vt:lpstr>Liability calculation</vt:lpstr>
      <vt:lpstr>Profit Margin</vt:lpstr>
      <vt:lpstr>Tables</vt:lpstr>
      <vt:lpstr>Age</vt:lpstr>
      <vt:lpstr>Annual_premium</vt:lpstr>
      <vt:lpstr>CB1_factor</vt:lpstr>
      <vt:lpstr>CB2_factor</vt:lpstr>
      <vt:lpstr>Decrement</vt:lpstr>
      <vt:lpstr>Discount_rate</vt:lpstr>
      <vt:lpstr>Factor</vt:lpstr>
      <vt:lpstr>IA95_97UltM</vt:lpstr>
      <vt:lpstr>IC_rate</vt:lpstr>
      <vt:lpstr>Inflation</vt:lpstr>
      <vt:lpstr>Initial_comm_rate</vt:lpstr>
      <vt:lpstr>Initial_expense</vt:lpstr>
      <vt:lpstr>Investment_rate</vt:lpstr>
      <vt:lpstr>lapse_rates</vt:lpstr>
      <vt:lpstr>Profit_Margin</vt:lpstr>
      <vt:lpstr>RC_rate</vt:lpstr>
      <vt:lpstr>Renewal_comm_rate</vt:lpstr>
      <vt:lpstr>Renewal_expense</vt:lpstr>
      <vt:lpstr>Stepped_premium_loading</vt:lpstr>
      <vt:lpstr>Sum_Insured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A</dc:creator>
  <cp:lastModifiedBy>Zhu, Vincent</cp:lastModifiedBy>
  <dcterms:created xsi:type="dcterms:W3CDTF">2018-12-13T02:59:47Z</dcterms:created>
  <dcterms:modified xsi:type="dcterms:W3CDTF">2020-02-25T13:49:56Z</dcterms:modified>
</cp:coreProperties>
</file>