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izhu\Desktop\LIRV\Textbook\"/>
    </mc:Choice>
  </mc:AlternateContent>
  <bookViews>
    <workbookView xWindow="0" yWindow="0" windowWidth="28800" windowHeight="12135" activeTab="4"/>
  </bookViews>
  <sheets>
    <sheet name="Notes" sheetId="1" r:id="rId1"/>
    <sheet name="Data" sheetId="7" r:id="rId2"/>
    <sheet name="Assumptions" sheetId="6" r:id="rId3"/>
    <sheet name="Decrements" sheetId="3" r:id="rId4"/>
    <sheet name="Cash flows" sheetId="4" r:id="rId5"/>
    <sheet name="Liability and profit" sheetId="5" r:id="rId6"/>
    <sheet name="Tables" sheetId="8" r:id="rId7"/>
  </sheets>
  <definedNames>
    <definedName name="Age">Data!$B$4</definedName>
    <definedName name="Annual_premium">Data!$B$6</definedName>
    <definedName name="CB1_factor">Assumptions!$G$7</definedName>
    <definedName name="CB2_factor">Assumptions!$M$7</definedName>
    <definedName name="Decrement">Decrements!$A$5:$H$14</definedName>
    <definedName name="Discount_rate">Assumptions!$B$34</definedName>
    <definedName name="Factor">Assumptions!$B$7</definedName>
    <definedName name="IA95_97UltM">Data!$A$11:$B$110</definedName>
    <definedName name="IC_rate">Assumptions!$B$29</definedName>
    <definedName name="Inflation">Assumptions!$B$26</definedName>
    <definedName name="Initial_comm_rate">Assumptions!$B$29</definedName>
    <definedName name="Initial_expense">Assumptions!$B$24</definedName>
    <definedName name="Investment_rate">Assumptions!$B$32</definedName>
    <definedName name="lapse_rates">Assumptions!$A$12:$B$21</definedName>
    <definedName name="Profit_margin">'Liability and profit'!$E$2</definedName>
    <definedName name="RC_rate">Assumptions!$B$30</definedName>
    <definedName name="Renewal_comm_rate">Assumptions!$B$30</definedName>
    <definedName name="Renewal_expense">Assumptions!$B$25</definedName>
    <definedName name="Sum_Insured">Data!$B$5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0" i="4" l="1"/>
  <c r="R22" i="4" l="1"/>
  <c r="R23" i="4"/>
  <c r="R24" i="4"/>
  <c r="S24" i="4" s="1"/>
  <c r="R25" i="4"/>
  <c r="S25" i="4" s="1"/>
  <c r="R26" i="4"/>
  <c r="R27" i="4"/>
  <c r="R28" i="4"/>
  <c r="S28" i="4" s="1"/>
  <c r="R29" i="4"/>
  <c r="S29" i="4" s="1"/>
  <c r="R30" i="4"/>
  <c r="R21" i="4"/>
  <c r="S21" i="4" s="1"/>
  <c r="S22" i="4"/>
  <c r="S23" i="4"/>
  <c r="S26" i="4"/>
  <c r="S27" i="4"/>
  <c r="S30" i="4"/>
  <c r="S20" i="4"/>
  <c r="Q20" i="4"/>
  <c r="Q22" i="4"/>
  <c r="Q23" i="4"/>
  <c r="Q24" i="4"/>
  <c r="Q25" i="4"/>
  <c r="Q26" i="4"/>
  <c r="Q27" i="4"/>
  <c r="Q28" i="4"/>
  <c r="Q29" i="4"/>
  <c r="Q30" i="4"/>
  <c r="Q21" i="4"/>
  <c r="M21" i="4"/>
  <c r="M22" i="4" s="1"/>
  <c r="M23" i="4" s="1"/>
  <c r="M24" i="4" s="1"/>
  <c r="M25" i="4" s="1"/>
  <c r="M26" i="4" s="1"/>
  <c r="M27" i="4" s="1"/>
  <c r="M28" i="4" s="1"/>
  <c r="M29" i="4" s="1"/>
  <c r="M30" i="4" s="1"/>
  <c r="Q14" i="4"/>
  <c r="M6" i="4"/>
  <c r="M7" i="4" s="1"/>
  <c r="M8" i="4" s="1"/>
  <c r="M9" i="4" s="1"/>
  <c r="M10" i="4" s="1"/>
  <c r="M11" i="4" s="1"/>
  <c r="M12" i="4" s="1"/>
  <c r="M13" i="4" s="1"/>
  <c r="M14" i="4" s="1"/>
  <c r="M5" i="4"/>
  <c r="B5" i="3" l="1"/>
  <c r="E5" i="3" s="1"/>
  <c r="B31" i="5"/>
  <c r="G15" i="8" s="1"/>
  <c r="A22" i="5"/>
  <c r="A23" i="5" s="1"/>
  <c r="A24" i="5" s="1"/>
  <c r="A25" i="5" s="1"/>
  <c r="A26" i="5" s="1"/>
  <c r="A27" i="5" s="1"/>
  <c r="A28" i="5" s="1"/>
  <c r="A29" i="5" s="1"/>
  <c r="A30" i="5" s="1"/>
  <c r="A31" i="5" s="1"/>
  <c r="C16" i="5"/>
  <c r="B6" i="7"/>
  <c r="D21" i="4" l="1"/>
  <c r="C21" i="4"/>
  <c r="B21" i="4"/>
  <c r="E21" i="4" s="1"/>
  <c r="B16" i="5"/>
  <c r="A7" i="5"/>
  <c r="A8" i="5" s="1"/>
  <c r="A9" i="5" s="1"/>
  <c r="A10" i="5" s="1"/>
  <c r="A11" i="5" s="1"/>
  <c r="A12" i="5" s="1"/>
  <c r="A13" i="5" s="1"/>
  <c r="A14" i="5" s="1"/>
  <c r="A15" i="5" s="1"/>
  <c r="A16" i="5" s="1"/>
  <c r="C5" i="4"/>
  <c r="D5" i="4"/>
  <c r="B5" i="4"/>
  <c r="E5" i="4" s="1"/>
  <c r="B6" i="4" l="1"/>
  <c r="B7" i="4" s="1"/>
  <c r="B22" i="4"/>
  <c r="B23" i="4" s="1"/>
  <c r="B24" i="4" s="1"/>
  <c r="G21" i="4"/>
  <c r="F21" i="4"/>
  <c r="O21" i="4" s="1"/>
  <c r="G5" i="4"/>
  <c r="F5" i="4"/>
  <c r="A13" i="6"/>
  <c r="A14" i="6" s="1"/>
  <c r="A15" i="6" s="1"/>
  <c r="A16" i="6" s="1"/>
  <c r="A17" i="6" s="1"/>
  <c r="A18" i="6" s="1"/>
  <c r="A19" i="6" s="1"/>
  <c r="A20" i="6" s="1"/>
  <c r="A21" i="6" s="1"/>
  <c r="A6" i="3"/>
  <c r="B6" i="3" s="1"/>
  <c r="T21" i="4" l="1"/>
  <c r="O5" i="4"/>
  <c r="C5" i="3"/>
  <c r="F5" i="3" s="1"/>
  <c r="G5" i="3" s="1"/>
  <c r="H21" i="4"/>
  <c r="B8" i="4"/>
  <c r="B25" i="4"/>
  <c r="H5" i="4"/>
  <c r="C6" i="3"/>
  <c r="A7" i="3"/>
  <c r="B7" i="3" s="1"/>
  <c r="D6" i="3" l="1"/>
  <c r="H5" i="3"/>
  <c r="B9" i="4"/>
  <c r="B26" i="4"/>
  <c r="E6" i="3"/>
  <c r="F6" i="3" s="1"/>
  <c r="A8" i="3"/>
  <c r="B8" i="3" s="1"/>
  <c r="C7" i="3"/>
  <c r="B10" i="4" l="1"/>
  <c r="B27" i="4"/>
  <c r="A9" i="3"/>
  <c r="C22" i="4" s="1"/>
  <c r="C8" i="3"/>
  <c r="G6" i="3"/>
  <c r="D22" i="4" l="1"/>
  <c r="E23" i="4"/>
  <c r="E6" i="4"/>
  <c r="E22" i="4"/>
  <c r="E7" i="4"/>
  <c r="B9" i="3"/>
  <c r="C6" i="4"/>
  <c r="D7" i="3"/>
  <c r="H6" i="3"/>
  <c r="C23" i="4" s="1"/>
  <c r="B11" i="4"/>
  <c r="B28" i="4"/>
  <c r="A10" i="3"/>
  <c r="B10" i="3" s="1"/>
  <c r="C9" i="3"/>
  <c r="E7" i="3"/>
  <c r="F7" i="3" s="1"/>
  <c r="D6" i="4" l="1"/>
  <c r="F6" i="4" s="1"/>
  <c r="D23" i="4"/>
  <c r="G22" i="4"/>
  <c r="F22" i="4"/>
  <c r="C7" i="4"/>
  <c r="B12" i="4"/>
  <c r="B29" i="4"/>
  <c r="A11" i="3"/>
  <c r="B11" i="3" s="1"/>
  <c r="C10" i="3"/>
  <c r="G7" i="3"/>
  <c r="O22" i="4" l="1"/>
  <c r="O6" i="4"/>
  <c r="G6" i="4"/>
  <c r="F23" i="4"/>
  <c r="H22" i="4"/>
  <c r="G23" i="4" s="1"/>
  <c r="H23" i="4" s="1"/>
  <c r="D7" i="4"/>
  <c r="H6" i="4"/>
  <c r="E8" i="4"/>
  <c r="E24" i="4"/>
  <c r="D8" i="3"/>
  <c r="E8" i="3" s="1"/>
  <c r="F8" i="3" s="1"/>
  <c r="G8" i="3" s="1"/>
  <c r="H7" i="3"/>
  <c r="C8" i="4" s="1"/>
  <c r="B13" i="4"/>
  <c r="B30" i="4"/>
  <c r="A12" i="3"/>
  <c r="C11" i="3"/>
  <c r="O23" i="4" l="1"/>
  <c r="T23" i="4"/>
  <c r="T22" i="4"/>
  <c r="G7" i="4"/>
  <c r="H7" i="4" s="1"/>
  <c r="F7" i="4"/>
  <c r="D8" i="4"/>
  <c r="E25" i="4"/>
  <c r="E9" i="4"/>
  <c r="B12" i="3"/>
  <c r="D9" i="3"/>
  <c r="E9" i="3" s="1"/>
  <c r="F9" i="3" s="1"/>
  <c r="G9" i="3" s="1"/>
  <c r="H8" i="3"/>
  <c r="C24" i="4"/>
  <c r="B14" i="4"/>
  <c r="A13" i="3"/>
  <c r="B13" i="3" s="1"/>
  <c r="C12" i="3"/>
  <c r="O7" i="4" l="1"/>
  <c r="D24" i="4"/>
  <c r="E26" i="4"/>
  <c r="E10" i="4"/>
  <c r="D10" i="3"/>
  <c r="H9" i="3"/>
  <c r="C25" i="4"/>
  <c r="C9" i="4"/>
  <c r="A14" i="3"/>
  <c r="B14" i="3" s="1"/>
  <c r="C13" i="3"/>
  <c r="G24" i="4" l="1"/>
  <c r="D25" i="4"/>
  <c r="F24" i="4"/>
  <c r="D9" i="4"/>
  <c r="C10" i="4"/>
  <c r="E10" i="3"/>
  <c r="F10" i="3" s="1"/>
  <c r="G10" i="3" s="1"/>
  <c r="F8" i="4"/>
  <c r="G8" i="4"/>
  <c r="C26" i="4"/>
  <c r="C14" i="3"/>
  <c r="F25" i="4" l="1"/>
  <c r="H24" i="4"/>
  <c r="O24" i="4"/>
  <c r="O8" i="4"/>
  <c r="D26" i="4"/>
  <c r="F9" i="4"/>
  <c r="D10" i="4"/>
  <c r="F10" i="4" s="1"/>
  <c r="E27" i="4"/>
  <c r="E11" i="4"/>
  <c r="D11" i="3"/>
  <c r="E11" i="3" s="1"/>
  <c r="F11" i="3" s="1"/>
  <c r="G11" i="3" s="1"/>
  <c r="H10" i="3"/>
  <c r="C11" i="4" s="1"/>
  <c r="H8" i="4"/>
  <c r="G25" i="4"/>
  <c r="H25" i="4" s="1"/>
  <c r="T24" i="4" l="1"/>
  <c r="O25" i="4"/>
  <c r="T25" i="4"/>
  <c r="F26" i="4"/>
  <c r="O10" i="4"/>
  <c r="O9" i="4"/>
  <c r="G26" i="4"/>
  <c r="H26" i="4" s="1"/>
  <c r="D11" i="4"/>
  <c r="C27" i="4"/>
  <c r="E28" i="4"/>
  <c r="E12" i="4"/>
  <c r="G9" i="4"/>
  <c r="D12" i="3"/>
  <c r="H11" i="3"/>
  <c r="O26" i="4" l="1"/>
  <c r="T26" i="4"/>
  <c r="D27" i="4"/>
  <c r="H9" i="4"/>
  <c r="G10" i="4" s="1"/>
  <c r="F11" i="4"/>
  <c r="E12" i="3"/>
  <c r="F12" i="3" s="1"/>
  <c r="G12" i="3" s="1"/>
  <c r="C28" i="4"/>
  <c r="C12" i="4"/>
  <c r="G27" i="4" l="1"/>
  <c r="O11" i="4"/>
  <c r="D28" i="4"/>
  <c r="F27" i="4"/>
  <c r="D12" i="4"/>
  <c r="H10" i="4"/>
  <c r="G11" i="4" s="1"/>
  <c r="E13" i="4"/>
  <c r="E29" i="4"/>
  <c r="D13" i="3"/>
  <c r="E13" i="3" s="1"/>
  <c r="F13" i="3" s="1"/>
  <c r="G13" i="3" s="1"/>
  <c r="H12" i="3"/>
  <c r="C13" i="4" s="1"/>
  <c r="F28" i="4"/>
  <c r="O27" i="4" l="1"/>
  <c r="O28" i="4"/>
  <c r="T28" i="4"/>
  <c r="H27" i="4"/>
  <c r="G28" i="4" s="1"/>
  <c r="D13" i="4"/>
  <c r="F12" i="4"/>
  <c r="H11" i="4"/>
  <c r="G12" i="4" s="1"/>
  <c r="C29" i="4"/>
  <c r="E30" i="4"/>
  <c r="E14" i="4"/>
  <c r="D14" i="3"/>
  <c r="E14" i="3" s="1"/>
  <c r="F14" i="3" s="1"/>
  <c r="G14" i="3" s="1"/>
  <c r="H14" i="3" s="1"/>
  <c r="H13" i="3"/>
  <c r="C14" i="4" s="1"/>
  <c r="T27" i="4" l="1"/>
  <c r="C15" i="5"/>
  <c r="C14" i="5" s="1"/>
  <c r="C13" i="5" s="1"/>
  <c r="C12" i="5" s="1"/>
  <c r="C11" i="5" s="1"/>
  <c r="C10" i="5" s="1"/>
  <c r="C9" i="5" s="1"/>
  <c r="C8" i="5" s="1"/>
  <c r="C7" i="5" s="1"/>
  <c r="C6" i="5" s="1"/>
  <c r="Q13" i="4"/>
  <c r="Q4" i="4"/>
  <c r="Q6" i="4"/>
  <c r="Q5" i="4"/>
  <c r="Q7" i="4"/>
  <c r="Q8" i="4"/>
  <c r="Q9" i="4"/>
  <c r="Q11" i="4"/>
  <c r="Q12" i="4"/>
  <c r="O12" i="4"/>
  <c r="Q10" i="4"/>
  <c r="H28" i="4"/>
  <c r="D29" i="4"/>
  <c r="C30" i="4"/>
  <c r="D14" i="4"/>
  <c r="N12" i="4" s="1"/>
  <c r="H12" i="4"/>
  <c r="F13" i="4"/>
  <c r="O13" i="4" l="1"/>
  <c r="N13" i="4"/>
  <c r="N4" i="4"/>
  <c r="N6" i="4"/>
  <c r="N5" i="4"/>
  <c r="N7" i="4"/>
  <c r="N10" i="4"/>
  <c r="N8" i="4"/>
  <c r="N11" i="4"/>
  <c r="N9" i="4"/>
  <c r="D30" i="4"/>
  <c r="N27" i="4" s="1"/>
  <c r="F14" i="4"/>
  <c r="G29" i="4"/>
  <c r="F29" i="4"/>
  <c r="G13" i="4"/>
  <c r="N23" i="4" l="1"/>
  <c r="N28" i="4"/>
  <c r="B30" i="5"/>
  <c r="C31" i="5" s="1"/>
  <c r="N29" i="4"/>
  <c r="N20" i="4"/>
  <c r="N22" i="4"/>
  <c r="N21" i="4"/>
  <c r="N26" i="4"/>
  <c r="O29" i="4"/>
  <c r="N25" i="4"/>
  <c r="N24" i="4"/>
  <c r="O14" i="4"/>
  <c r="P10" i="4" s="1"/>
  <c r="P7" i="4"/>
  <c r="F30" i="4"/>
  <c r="H13" i="4"/>
  <c r="G14" i="4" s="1"/>
  <c r="H29" i="4"/>
  <c r="G30" i="4" s="1"/>
  <c r="B15" i="5"/>
  <c r="B29" i="5" l="1"/>
  <c r="G14" i="8"/>
  <c r="P26" i="4"/>
  <c r="P12" i="4"/>
  <c r="P4" i="4"/>
  <c r="R1" i="4" s="1"/>
  <c r="R10" i="4" s="1"/>
  <c r="S10" i="4" s="1"/>
  <c r="O30" i="4"/>
  <c r="P23" i="4" s="1"/>
  <c r="T30" i="4"/>
  <c r="P6" i="4"/>
  <c r="P5" i="4"/>
  <c r="P9" i="4"/>
  <c r="T29" i="4"/>
  <c r="R14" i="4"/>
  <c r="S14" i="4" s="1"/>
  <c r="R9" i="4"/>
  <c r="S9" i="4" s="1"/>
  <c r="R4" i="4"/>
  <c r="S4" i="4" s="1"/>
  <c r="U5" i="4" s="1"/>
  <c r="R13" i="4"/>
  <c r="S13" i="4" s="1"/>
  <c r="R12" i="4"/>
  <c r="S12" i="4" s="1"/>
  <c r="H30" i="4"/>
  <c r="P8" i="4"/>
  <c r="P13" i="4"/>
  <c r="P11" i="4"/>
  <c r="B28" i="5"/>
  <c r="G13" i="8"/>
  <c r="C30" i="5"/>
  <c r="H14" i="4"/>
  <c r="B14" i="5"/>
  <c r="R6" i="4" l="1"/>
  <c r="S6" i="4" s="1"/>
  <c r="R11" i="4"/>
  <c r="R7" i="4"/>
  <c r="S7" i="4" s="1"/>
  <c r="P24" i="4"/>
  <c r="R5" i="4"/>
  <c r="S5" i="4" s="1"/>
  <c r="R8" i="4"/>
  <c r="P29" i="4"/>
  <c r="P20" i="4"/>
  <c r="P22" i="4"/>
  <c r="P21" i="4"/>
  <c r="P27" i="4"/>
  <c r="P25" i="4"/>
  <c r="P28" i="4"/>
  <c r="U10" i="4"/>
  <c r="T6" i="4"/>
  <c r="U7" i="4"/>
  <c r="V7" i="4" s="1"/>
  <c r="W7" i="4" s="1"/>
  <c r="S11" i="4"/>
  <c r="T12" i="4" s="1"/>
  <c r="T7" i="4"/>
  <c r="U8" i="4"/>
  <c r="T13" i="4"/>
  <c r="U14" i="4"/>
  <c r="T5" i="4"/>
  <c r="V5" i="4" s="1"/>
  <c r="U6" i="4"/>
  <c r="V6" i="4" s="1"/>
  <c r="W6" i="4" s="1"/>
  <c r="S8" i="4"/>
  <c r="T10" i="4"/>
  <c r="U11" i="4"/>
  <c r="U13" i="4"/>
  <c r="T14" i="4"/>
  <c r="B27" i="5"/>
  <c r="C29" i="5"/>
  <c r="G12" i="8"/>
  <c r="B13" i="5"/>
  <c r="V13" i="4" l="1"/>
  <c r="W13" i="4" s="1"/>
  <c r="V10" i="4"/>
  <c r="W10" i="4" s="1"/>
  <c r="W5" i="4"/>
  <c r="T8" i="4"/>
  <c r="V8" i="4" s="1"/>
  <c r="U9" i="4"/>
  <c r="V14" i="4"/>
  <c r="W14" i="4" s="1"/>
  <c r="T11" i="4"/>
  <c r="V11" i="4" s="1"/>
  <c r="W11" i="4" s="1"/>
  <c r="U12" i="4"/>
  <c r="V12" i="4" s="1"/>
  <c r="W12" i="4" s="1"/>
  <c r="T9" i="4"/>
  <c r="B26" i="5"/>
  <c r="G11" i="8"/>
  <c r="C28" i="5"/>
  <c r="B12" i="5"/>
  <c r="B11" i="5" s="1"/>
  <c r="V9" i="4" l="1"/>
  <c r="W9" i="4" s="1"/>
  <c r="W8" i="4"/>
  <c r="B25" i="5"/>
  <c r="C27" i="5"/>
  <c r="G10" i="8"/>
  <c r="B10" i="5"/>
  <c r="B24" i="5" l="1"/>
  <c r="G9" i="8"/>
  <c r="C26" i="5"/>
  <c r="B9" i="5"/>
  <c r="B23" i="5" l="1"/>
  <c r="C25" i="5"/>
  <c r="G8" i="8"/>
  <c r="B8" i="5"/>
  <c r="B22" i="5" l="1"/>
  <c r="G7" i="8"/>
  <c r="C24" i="5"/>
  <c r="B7" i="5"/>
  <c r="B21" i="5" l="1"/>
  <c r="N31" i="4" s="1"/>
  <c r="G6" i="8"/>
  <c r="C23" i="5"/>
  <c r="B6" i="5"/>
  <c r="E2" i="5" l="1"/>
  <c r="D13" i="5" s="1"/>
  <c r="N15" i="4"/>
  <c r="C21" i="5"/>
  <c r="E21" i="5" s="1"/>
  <c r="I21" i="4"/>
  <c r="G5" i="8"/>
  <c r="C22" i="5"/>
  <c r="D7" i="5"/>
  <c r="E7" i="5" s="1"/>
  <c r="C6" i="8" s="1"/>
  <c r="D6" i="5" l="1"/>
  <c r="E6" i="5" s="1"/>
  <c r="G7" i="5" s="1"/>
  <c r="D9" i="5"/>
  <c r="E9" i="5" s="1"/>
  <c r="C8" i="8" s="1"/>
  <c r="D10" i="5"/>
  <c r="E10" i="5" s="1"/>
  <c r="C9" i="8" s="1"/>
  <c r="D15" i="5"/>
  <c r="E15" i="5" s="1"/>
  <c r="C14" i="8" s="1"/>
  <c r="D14" i="5"/>
  <c r="E14" i="5" s="1"/>
  <c r="C13" i="8" s="1"/>
  <c r="D12" i="5"/>
  <c r="E12" i="5" s="1"/>
  <c r="C11" i="8" s="1"/>
  <c r="D11" i="5"/>
  <c r="E11" i="5" s="1"/>
  <c r="C10" i="8" s="1"/>
  <c r="D8" i="5"/>
  <c r="E8" i="5" s="1"/>
  <c r="C7" i="8" s="1"/>
  <c r="D16" i="5"/>
  <c r="E16" i="5" s="1"/>
  <c r="C15" i="8" s="1"/>
  <c r="H5" i="8"/>
  <c r="I5" i="8" s="1"/>
  <c r="G8" i="5"/>
  <c r="B7" i="8" s="1"/>
  <c r="E13" i="5"/>
  <c r="C12" i="8" s="1"/>
  <c r="J21" i="4"/>
  <c r="F7" i="5" l="1"/>
  <c r="K21" i="4"/>
  <c r="D22" i="5"/>
  <c r="H7" i="5"/>
  <c r="B6" i="8"/>
  <c r="G16" i="5"/>
  <c r="F16" i="5"/>
  <c r="G12" i="5"/>
  <c r="F12" i="5"/>
  <c r="G15" i="5"/>
  <c r="B14" i="8" s="1"/>
  <c r="F15" i="5"/>
  <c r="G11" i="5"/>
  <c r="B10" i="8" s="1"/>
  <c r="F11" i="5"/>
  <c r="G14" i="5"/>
  <c r="F14" i="5"/>
  <c r="G10" i="5"/>
  <c r="F10" i="5"/>
  <c r="G13" i="5"/>
  <c r="F13" i="5"/>
  <c r="G9" i="5"/>
  <c r="F9" i="5"/>
  <c r="F8" i="5"/>
  <c r="D6" i="8" l="1"/>
  <c r="E6" i="8" s="1"/>
  <c r="H12" i="5"/>
  <c r="D11" i="8" s="1"/>
  <c r="E11" i="8" s="1"/>
  <c r="B11" i="8"/>
  <c r="H9" i="5"/>
  <c r="D8" i="8" s="1"/>
  <c r="E8" i="8" s="1"/>
  <c r="B8" i="8"/>
  <c r="H13" i="5"/>
  <c r="D12" i="8" s="1"/>
  <c r="E12" i="8" s="1"/>
  <c r="B12" i="8"/>
  <c r="H10" i="5"/>
  <c r="D9" i="8" s="1"/>
  <c r="E9" i="8" s="1"/>
  <c r="B9" i="8"/>
  <c r="H14" i="5"/>
  <c r="D13" i="8" s="1"/>
  <c r="E13" i="8" s="1"/>
  <c r="B13" i="8"/>
  <c r="F6" i="8"/>
  <c r="E22" i="5"/>
  <c r="H16" i="5"/>
  <c r="D15" i="8" s="1"/>
  <c r="E15" i="8" s="1"/>
  <c r="B15" i="8"/>
  <c r="H8" i="5"/>
  <c r="D7" i="8" s="1"/>
  <c r="E7" i="8" s="1"/>
  <c r="H11" i="5"/>
  <c r="D10" i="8" s="1"/>
  <c r="E10" i="8" s="1"/>
  <c r="H15" i="5"/>
  <c r="D14" i="8" s="1"/>
  <c r="E14" i="8" s="1"/>
  <c r="J22" i="4"/>
  <c r="D23" i="5" s="1"/>
  <c r="V15" i="4" l="1"/>
  <c r="H6" i="8"/>
  <c r="I6" i="8" s="1"/>
  <c r="D23" i="8"/>
  <c r="F7" i="8"/>
  <c r="E23" i="5"/>
  <c r="H7" i="8" s="1"/>
  <c r="I7" i="8" s="1"/>
  <c r="K22" i="4"/>
  <c r="J23" i="4" l="1"/>
  <c r="D24" i="5" s="1"/>
  <c r="F8" i="8" l="1"/>
  <c r="E24" i="5"/>
  <c r="K23" i="4"/>
  <c r="H8" i="8" l="1"/>
  <c r="I8" i="8" s="1"/>
  <c r="J24" i="4"/>
  <c r="D25" i="5" s="1"/>
  <c r="F9" i="8" l="1"/>
  <c r="E25" i="5"/>
  <c r="K24" i="4"/>
  <c r="H9" i="8" l="1"/>
  <c r="I9" i="8" s="1"/>
  <c r="J25" i="4"/>
  <c r="D26" i="5" s="1"/>
  <c r="F10" i="8" l="1"/>
  <c r="E26" i="5"/>
  <c r="H10" i="8" s="1"/>
  <c r="I10" i="8" s="1"/>
  <c r="K25" i="4"/>
  <c r="J26" i="4" l="1"/>
  <c r="D27" i="5" s="1"/>
  <c r="F11" i="8" l="1"/>
  <c r="E27" i="5"/>
  <c r="H11" i="8" s="1"/>
  <c r="I11" i="8" s="1"/>
  <c r="K26" i="4"/>
  <c r="J27" i="4" l="1"/>
  <c r="D28" i="5" s="1"/>
  <c r="F12" i="8" l="1"/>
  <c r="E28" i="5"/>
  <c r="H12" i="8" s="1"/>
  <c r="I12" i="8" s="1"/>
  <c r="K27" i="4"/>
  <c r="J28" i="4" l="1"/>
  <c r="D29" i="5" s="1"/>
  <c r="F13" i="8" l="1"/>
  <c r="E29" i="5"/>
  <c r="H13" i="8" s="1"/>
  <c r="I13" i="8" s="1"/>
  <c r="K28" i="4"/>
  <c r="J29" i="4" l="1"/>
  <c r="D30" i="5" s="1"/>
  <c r="F14" i="8" l="1"/>
  <c r="E30" i="5"/>
  <c r="H14" i="8" s="1"/>
  <c r="I14" i="8" s="1"/>
  <c r="K29" i="4"/>
  <c r="J30" i="4" l="1"/>
  <c r="D31" i="5" s="1"/>
  <c r="F15" i="8" l="1"/>
  <c r="E31" i="5"/>
  <c r="S31" i="4" s="1"/>
  <c r="K30" i="4"/>
  <c r="H15" i="8" l="1"/>
  <c r="I15" i="8" s="1"/>
  <c r="D24" i="8"/>
</calcChain>
</file>

<file path=xl/comments1.xml><?xml version="1.0" encoding="utf-8"?>
<comments xmlns="http://schemas.openxmlformats.org/spreadsheetml/2006/main">
  <authors>
    <author>Zhu, Vincent</author>
  </authors>
  <commentList>
    <comment ref="S3" authorId="0" shapeId="0">
      <text>
        <r>
          <rPr>
            <b/>
            <sz val="9"/>
            <color indexed="81"/>
            <rFont val="Tahoma"/>
            <family val="2"/>
          </rPr>
          <t>Zhu, Vincent:</t>
        </r>
        <r>
          <rPr>
            <sz val="9"/>
            <color indexed="81"/>
            <rFont val="Tahoma"/>
            <family val="2"/>
          </rPr>
          <t xml:space="preserve">
BE + PM Basis: Realistic basis, plus a margin for the orderly release profit.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>Zhu, Vincent:</t>
        </r>
        <r>
          <rPr>
            <sz val="9"/>
            <color indexed="81"/>
            <rFont val="Tahoma"/>
            <family val="2"/>
          </rPr>
          <t xml:space="preserve">
Conservative Basis: solvency liability, implicitly containing solvency (or capital) margins.</t>
        </r>
      </text>
    </comment>
  </commentList>
</comments>
</file>

<file path=xl/sharedStrings.xml><?xml version="1.0" encoding="utf-8"?>
<sst xmlns="http://schemas.openxmlformats.org/spreadsheetml/2006/main" count="142" uniqueCount="96">
  <si>
    <t>Pricing basis</t>
  </si>
  <si>
    <t>Mortality</t>
  </si>
  <si>
    <t>IA95-97</t>
  </si>
  <si>
    <t>Lapse Rates</t>
  </si>
  <si>
    <t>Expenses</t>
  </si>
  <si>
    <t xml:space="preserve"> - Table</t>
  </si>
  <si>
    <t xml:space="preserve"> - Factor</t>
  </si>
  <si>
    <t xml:space="preserve">  - Select</t>
  </si>
  <si>
    <t>0 years i.e. Ult rates</t>
  </si>
  <si>
    <t xml:space="preserve"> - Initial </t>
  </si>
  <si>
    <t xml:space="preserve"> - Renewal</t>
  </si>
  <si>
    <t xml:space="preserve"> - Inflation</t>
  </si>
  <si>
    <t>Commission</t>
  </si>
  <si>
    <t xml:space="preserve"> - Initial</t>
  </si>
  <si>
    <t>of first year's premium</t>
  </si>
  <si>
    <t>of subsequent premiums</t>
  </si>
  <si>
    <t xml:space="preserve">Investment rate </t>
  </si>
  <si>
    <t>Discount rate</t>
  </si>
  <si>
    <t>Taxation</t>
  </si>
  <si>
    <t>Gender</t>
  </si>
  <si>
    <t>Male</t>
  </si>
  <si>
    <t>Age</t>
  </si>
  <si>
    <t>Sum Insured</t>
  </si>
  <si>
    <t>Annual premium</t>
  </si>
  <si>
    <t>IA95_97 Ult Male</t>
  </si>
  <si>
    <t>Year</t>
  </si>
  <si>
    <t>lapse</t>
  </si>
  <si>
    <t xml:space="preserve"> Year </t>
  </si>
  <si>
    <t>Decrement table</t>
  </si>
  <si>
    <r>
      <t>q</t>
    </r>
    <r>
      <rPr>
        <vertAlign val="subscript"/>
        <sz val="10"/>
        <color theme="0"/>
        <rFont val="Century Gothic"/>
        <family val="2"/>
      </rPr>
      <t>x</t>
    </r>
  </si>
  <si>
    <r>
      <t>(al)</t>
    </r>
    <r>
      <rPr>
        <vertAlign val="subscript"/>
        <sz val="10"/>
        <color theme="0"/>
        <rFont val="Century Gothic"/>
        <family val="2"/>
      </rPr>
      <t>x</t>
    </r>
  </si>
  <si>
    <r>
      <t>(ad)</t>
    </r>
    <r>
      <rPr>
        <vertAlign val="subscript"/>
        <sz val="10"/>
        <color theme="0"/>
        <rFont val="Century Gothic"/>
        <family val="2"/>
      </rPr>
      <t>x</t>
    </r>
  </si>
  <si>
    <r>
      <t>(aw)</t>
    </r>
    <r>
      <rPr>
        <vertAlign val="subscript"/>
        <sz val="10"/>
        <color theme="0"/>
        <rFont val="Century Gothic"/>
        <family val="2"/>
      </rPr>
      <t>x</t>
    </r>
  </si>
  <si>
    <r>
      <t>(al)</t>
    </r>
    <r>
      <rPr>
        <vertAlign val="subscript"/>
        <sz val="10"/>
        <color theme="0"/>
        <rFont val="Century Gothic"/>
        <family val="2"/>
      </rPr>
      <t>x+1</t>
    </r>
  </si>
  <si>
    <t>Deaths uniform throughout the year</t>
  </si>
  <si>
    <t>Withdrawals at end of year</t>
  </si>
  <si>
    <r>
      <t>(ap)</t>
    </r>
    <r>
      <rPr>
        <vertAlign val="subscript"/>
        <sz val="10"/>
        <color theme="0"/>
        <rFont val="Century Gothic"/>
        <family val="2"/>
      </rPr>
      <t>x</t>
    </r>
  </si>
  <si>
    <t>Conservative basis 1</t>
  </si>
  <si>
    <t xml:space="preserve">This is the pricing basis but mortality rates are </t>
  </si>
  <si>
    <t>in year 2</t>
  </si>
  <si>
    <t>Liability</t>
  </si>
  <si>
    <t>Profit</t>
  </si>
  <si>
    <t>Best estimate basis</t>
  </si>
  <si>
    <t>Realistic basis</t>
  </si>
  <si>
    <t>Premiums (boy)</t>
  </si>
  <si>
    <t>Expenses (boy)</t>
  </si>
  <si>
    <t>Claims (eoy)</t>
  </si>
  <si>
    <t>Cash flow ex. Interest (eoy)</t>
  </si>
  <si>
    <t>Assets from cash flow (eoy)</t>
  </si>
  <si>
    <t>Additional assets (boy)</t>
  </si>
  <si>
    <t>Interest on total assets (eoy)</t>
  </si>
  <si>
    <t>Total assets (eoy)</t>
  </si>
  <si>
    <t>CB1 factor</t>
  </si>
  <si>
    <r>
      <rPr>
        <sz val="10"/>
        <rFont val="Century Gothic"/>
        <family val="2"/>
      </rPr>
      <t xml:space="preserve">Attained Age ( </t>
    </r>
    <r>
      <rPr>
        <i/>
        <sz val="10"/>
        <rFont val="Century Gothic"/>
        <family val="2"/>
      </rPr>
      <t xml:space="preserve">x </t>
    </r>
    <r>
      <rPr>
        <sz val="10"/>
        <rFont val="Century Gothic"/>
        <family val="2"/>
      </rPr>
      <t>)</t>
    </r>
  </si>
  <si>
    <r>
      <rPr>
        <i/>
        <sz val="10"/>
        <rFont val="Century Gothic"/>
        <family val="2"/>
      </rPr>
      <t>qx</t>
    </r>
  </si>
  <si>
    <t>Notes</t>
  </si>
  <si>
    <t>Data</t>
  </si>
  <si>
    <t>The mortality rates for IA95_97 Ult Male are in the following table.</t>
  </si>
  <si>
    <t>Assumptions</t>
  </si>
  <si>
    <t>Conservative Basis 1</t>
  </si>
  <si>
    <t>Interest</t>
  </si>
  <si>
    <t>interest on assets from cash flow (eoy)</t>
  </si>
  <si>
    <t>Interest on assets from cash flow (eoy)</t>
  </si>
  <si>
    <t>There is one policyholder:</t>
  </si>
  <si>
    <t>Assumptions:</t>
  </si>
  <si>
    <t>These results are liability and profit calculations  for a 10 year level premium term assurance.</t>
  </si>
  <si>
    <t>This is  the best estimate basis</t>
  </si>
  <si>
    <t>increased by 25%</t>
  </si>
  <si>
    <t>The liability does not allow for the profit margin offset</t>
  </si>
  <si>
    <t>Conservative basis 1 (25% higher claim)</t>
  </si>
  <si>
    <t>Best estimate liability</t>
  </si>
  <si>
    <t>Value of profit carrier</t>
  </si>
  <si>
    <t>Profit margin</t>
  </si>
  <si>
    <t>Value of profits</t>
  </si>
  <si>
    <t>Policy liability</t>
  </si>
  <si>
    <t>Increase in liability</t>
  </si>
  <si>
    <t>Liability and profit calculation</t>
  </si>
  <si>
    <t>Table 6.9: Accounting vs. distributable profit</t>
  </si>
  <si>
    <t>Profit as a % of premium</t>
  </si>
  <si>
    <t>BE + PM Basis</t>
  </si>
  <si>
    <t>Table 6.10: Present value of accounting and distributable profits</t>
  </si>
  <si>
    <t>Basis</t>
  </si>
  <si>
    <t>Best estimate plus explicit profit margin</t>
  </si>
  <si>
    <t>Conservative Basis</t>
  </si>
  <si>
    <t xml:space="preserve">This workbook derives the results shown in Table 6.9 and Table 6.10.  These are presented in the "Tables" worksheet. </t>
  </si>
  <si>
    <t>Note that the profit as  a % of premium in col. E, is based on the value of profit discounted to the start of the year.</t>
  </si>
  <si>
    <t xml:space="preserve">Note that the 'profit as a % of premium' at time 0 for Conservative Basis 1, -31.5%,  is correct. The value shown in the text book is incorrect. </t>
  </si>
  <si>
    <t>Note that the value shown for the Conservative Basis, $350, is correct. The value shown in the textbook, $365, is incorrect.</t>
  </si>
  <si>
    <t>Vinc</t>
  </si>
  <si>
    <t>BEL</t>
  </si>
  <si>
    <t>Method 1</t>
  </si>
  <si>
    <t>Method 2</t>
  </si>
  <si>
    <t>CF with interest only arising from CF</t>
  </si>
  <si>
    <t>check</t>
  </si>
  <si>
    <t>Value of profits / Profit Margin</t>
  </si>
  <si>
    <t>==&gt; required capital 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</si>
</sst>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8" formatCode="&quot;$&quot;#,##0.00_);[Red]\(&quot;$&quot;#,##0.00\)"/>
    <numFmt numFmtId="164" formatCode="###0;###0"/>
    <numFmt numFmtId="165" formatCode="###0.00000;###0.00000"/>
    <numFmt numFmtId="166" formatCode="0.00000"/>
    <numFmt numFmtId="167" formatCode="&quot;$&quot;#,##0.00"/>
    <numFmt numFmtId="168" formatCode="&quot;$&quot;#,##0"/>
    <numFmt numFmtId="169" formatCode="#,##0.00;[Red]\(#,##0.00\)"/>
    <numFmt numFmtId="170" formatCode="0.0%"/>
    <numFmt numFmtId="172" formatCode="0.00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vertAlign val="subscript"/>
      <sz val="10"/>
      <color theme="0"/>
      <name val="Century Gothic"/>
      <family val="2"/>
    </font>
    <font>
      <i/>
      <sz val="10"/>
      <name val="Century Gothic"/>
      <family val="2"/>
    </font>
    <font>
      <sz val="10"/>
      <color rgb="FF000000"/>
      <name val="Century Gothic"/>
      <family val="2"/>
    </font>
    <font>
      <sz val="10"/>
      <name val="Times New Roman"/>
      <family val="1"/>
    </font>
    <font>
      <b/>
      <sz val="9"/>
      <color rgb="FFFFFFFF"/>
      <name val="Century Gothic"/>
      <family val="2"/>
    </font>
    <font>
      <b/>
      <sz val="10"/>
      <color rgb="FF0098D0"/>
      <name val="Century Gothic"/>
      <family val="2"/>
    </font>
    <font>
      <b/>
      <sz val="10"/>
      <color rgb="FFFFFFFF"/>
      <name val="Century Gothic"/>
      <family val="2"/>
    </font>
    <font>
      <sz val="10"/>
      <color rgb="FF00B050"/>
      <name val="Century Gothic"/>
      <family val="2"/>
    </font>
    <font>
      <sz val="10"/>
      <color rgb="FF0070C0"/>
      <name val="Century Gothic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color theme="1"/>
      <name val="Century Gothic"/>
      <family val="2"/>
    </font>
    <font>
      <b/>
      <sz val="10"/>
      <name val="Times New Roman"/>
      <family val="1"/>
    </font>
    <font>
      <i/>
      <sz val="10"/>
      <name val="Times New Roman"/>
      <family val="1"/>
    </font>
    <font>
      <i/>
      <sz val="10"/>
      <color theme="0" tint="-0.34998626667073579"/>
      <name val="Century Gothic"/>
      <family val="2"/>
    </font>
    <font>
      <sz val="10"/>
      <color theme="0" tint="-0.34998626667073579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0"/>
      <color rgb="FFC00000"/>
      <name val="Century Gothic"/>
      <family val="2"/>
    </font>
    <font>
      <i/>
      <sz val="10"/>
      <color rgb="FFC0000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0070C0"/>
        <bgColor indexed="64"/>
      </patternFill>
    </fill>
    <fill>
      <patternFill patternType="solid">
        <fgColor rgb="FFCCEAF6"/>
        <bgColor indexed="64"/>
      </patternFill>
    </fill>
    <fill>
      <patternFill patternType="solid">
        <fgColor rgb="FF99D6EC"/>
        <bgColor indexed="64"/>
      </patternFill>
    </fill>
    <fill>
      <patternFill patternType="solid">
        <fgColor rgb="FF0079A7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FFFFFF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1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1" xfId="0" applyFont="1" applyBorder="1"/>
    <xf numFmtId="0" fontId="2" fillId="2" borderId="6" xfId="0" applyFont="1" applyFill="1" applyBorder="1" applyAlignment="1">
      <alignment vertical="top" wrapText="1"/>
    </xf>
    <xf numFmtId="0" fontId="6" fillId="3" borderId="17" xfId="0" applyFont="1" applyFill="1" applyBorder="1" applyAlignment="1">
      <alignment horizontal="center"/>
    </xf>
    <xf numFmtId="0" fontId="2" fillId="0" borderId="17" xfId="0" applyFont="1" applyBorder="1"/>
    <xf numFmtId="166" fontId="2" fillId="0" borderId="17" xfId="0" applyNumberFormat="1" applyFont="1" applyBorder="1"/>
    <xf numFmtId="168" fontId="2" fillId="0" borderId="0" xfId="0" applyNumberFormat="1" applyFont="1"/>
    <xf numFmtId="168" fontId="2" fillId="0" borderId="17" xfId="0" applyNumberFormat="1" applyFont="1" applyBorder="1"/>
    <xf numFmtId="0" fontId="2" fillId="0" borderId="2" xfId="0" applyFont="1" applyBorder="1"/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vertical="top" wrapText="1"/>
    </xf>
    <xf numFmtId="164" fontId="9" fillId="0" borderId="5" xfId="0" applyNumberFormat="1" applyFont="1" applyFill="1" applyBorder="1" applyAlignment="1">
      <alignment horizontal="center" vertical="top" wrapText="1"/>
    </xf>
    <xf numFmtId="164" fontId="9" fillId="0" borderId="7" xfId="0" applyNumberFormat="1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vertical="top" wrapText="1"/>
    </xf>
    <xf numFmtId="164" fontId="9" fillId="0" borderId="9" xfId="0" applyNumberFormat="1" applyFont="1" applyFill="1" applyBorder="1" applyAlignment="1">
      <alignment horizontal="center" vertical="top" wrapText="1"/>
    </xf>
    <xf numFmtId="164" fontId="9" fillId="0" borderId="11" xfId="0" applyNumberFormat="1" applyFont="1" applyFill="1" applyBorder="1" applyAlignment="1">
      <alignment horizontal="center" vertical="top" wrapText="1"/>
    </xf>
    <xf numFmtId="164" fontId="9" fillId="0" borderId="13" xfId="0" applyNumberFormat="1" applyFont="1" applyFill="1" applyBorder="1" applyAlignment="1">
      <alignment horizontal="center" vertical="top" wrapText="1"/>
    </xf>
    <xf numFmtId="164" fontId="9" fillId="0" borderId="15" xfId="0" applyNumberFormat="1" applyFont="1" applyFill="1" applyBorder="1" applyAlignment="1">
      <alignment horizontal="center" vertical="top" wrapText="1"/>
    </xf>
    <xf numFmtId="168" fontId="2" fillId="0" borderId="17" xfId="0" applyNumberFormat="1" applyFont="1" applyBorder="1" applyAlignment="1">
      <alignment horizontal="center"/>
    </xf>
    <xf numFmtId="167" fontId="2" fillId="0" borderId="0" xfId="0" applyNumberFormat="1" applyFont="1"/>
    <xf numFmtId="0" fontId="2" fillId="0" borderId="19" xfId="0" applyFont="1" applyBorder="1"/>
    <xf numFmtId="168" fontId="2" fillId="0" borderId="1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8" fontId="2" fillId="0" borderId="19" xfId="0" applyNumberFormat="1" applyFont="1" applyBorder="1"/>
    <xf numFmtId="168" fontId="2" fillId="0" borderId="18" xfId="0" applyNumberFormat="1" applyFont="1" applyBorder="1" applyAlignment="1">
      <alignment horizontal="center"/>
    </xf>
    <xf numFmtId="8" fontId="2" fillId="0" borderId="0" xfId="0" applyNumberFormat="1" applyFont="1"/>
    <xf numFmtId="169" fontId="10" fillId="0" borderId="0" xfId="0" applyNumberFormat="1" applyFont="1"/>
    <xf numFmtId="169" fontId="2" fillId="0" borderId="0" xfId="0" applyNumberFormat="1" applyFont="1"/>
    <xf numFmtId="0" fontId="12" fillId="0" borderId="0" xfId="0" applyFont="1" applyAlignment="1">
      <alignment vertical="center"/>
    </xf>
    <xf numFmtId="0" fontId="6" fillId="3" borderId="19" xfId="0" applyFont="1" applyFill="1" applyBorder="1" applyAlignment="1">
      <alignment horizontal="left"/>
    </xf>
    <xf numFmtId="0" fontId="6" fillId="3" borderId="19" xfId="0" applyFont="1" applyFill="1" applyBorder="1" applyAlignment="1">
      <alignment horizontal="left" wrapText="1"/>
    </xf>
    <xf numFmtId="0" fontId="14" fillId="0" borderId="0" xfId="0" applyFont="1" applyFill="1" applyAlignment="1">
      <alignment horizontal="right"/>
    </xf>
    <xf numFmtId="0" fontId="14" fillId="0" borderId="0" xfId="0" applyFont="1" applyFill="1"/>
    <xf numFmtId="6" fontId="14" fillId="0" borderId="0" xfId="0" applyNumberFormat="1" applyFont="1" applyFill="1"/>
    <xf numFmtId="165" fontId="14" fillId="0" borderId="8" xfId="0" applyNumberFormat="1" applyFont="1" applyFill="1" applyBorder="1" applyAlignment="1">
      <alignment vertical="top" wrapText="1"/>
    </xf>
    <xf numFmtId="165" fontId="14" fillId="0" borderId="10" xfId="0" applyNumberFormat="1" applyFont="1" applyFill="1" applyBorder="1" applyAlignment="1">
      <alignment vertical="top" wrapText="1"/>
    </xf>
    <xf numFmtId="165" fontId="14" fillId="0" borderId="12" xfId="0" applyNumberFormat="1" applyFont="1" applyFill="1" applyBorder="1" applyAlignment="1">
      <alignment horizontal="right" vertical="top" wrapText="1"/>
    </xf>
    <xf numFmtId="165" fontId="14" fillId="0" borderId="14" xfId="0" applyNumberFormat="1" applyFont="1" applyFill="1" applyBorder="1" applyAlignment="1">
      <alignment horizontal="right" vertical="top" wrapText="1"/>
    </xf>
    <xf numFmtId="165" fontId="14" fillId="0" borderId="16" xfId="0" applyNumberFormat="1" applyFont="1" applyFill="1" applyBorder="1" applyAlignment="1">
      <alignment horizontal="right" vertical="top" wrapText="1"/>
    </xf>
    <xf numFmtId="0" fontId="15" fillId="0" borderId="0" xfId="0" applyFont="1"/>
    <xf numFmtId="9" fontId="15" fillId="0" borderId="0" xfId="0" applyNumberFormat="1" applyFont="1"/>
    <xf numFmtId="6" fontId="15" fillId="0" borderId="0" xfId="0" applyNumberFormat="1" applyFont="1"/>
    <xf numFmtId="10" fontId="2" fillId="0" borderId="0" xfId="0" applyNumberFormat="1" applyFont="1"/>
    <xf numFmtId="0" fontId="3" fillId="0" borderId="18" xfId="0" applyFont="1" applyBorder="1"/>
    <xf numFmtId="168" fontId="16" fillId="0" borderId="23" xfId="0" applyNumberFormat="1" applyFont="1" applyBorder="1"/>
    <xf numFmtId="168" fontId="2" fillId="0" borderId="23" xfId="0" applyNumberFormat="1" applyFont="1" applyBorder="1"/>
    <xf numFmtId="0" fontId="16" fillId="0" borderId="23" xfId="0" applyFont="1" applyBorder="1"/>
    <xf numFmtId="1" fontId="16" fillId="0" borderId="23" xfId="0" applyNumberFormat="1" applyFont="1" applyBorder="1"/>
    <xf numFmtId="1" fontId="5" fillId="0" borderId="23" xfId="0" applyNumberFormat="1" applyFont="1" applyBorder="1"/>
    <xf numFmtId="0" fontId="6" fillId="3" borderId="23" xfId="0" applyFont="1" applyFill="1" applyBorder="1" applyAlignment="1">
      <alignment horizontal="center" wrapText="1"/>
    </xf>
    <xf numFmtId="168" fontId="2" fillId="0" borderId="23" xfId="0" applyNumberFormat="1" applyFont="1" applyBorder="1" applyAlignment="1">
      <alignment horizontal="center"/>
    </xf>
    <xf numFmtId="168" fontId="16" fillId="0" borderId="23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8" fontId="5" fillId="0" borderId="23" xfId="0" applyNumberFormat="1" applyFont="1" applyBorder="1" applyAlignment="1">
      <alignment horizontal="center"/>
    </xf>
    <xf numFmtId="168" fontId="5" fillId="0" borderId="23" xfId="0" applyNumberFormat="1" applyFont="1" applyBorder="1" applyAlignment="1">
      <alignment horizontal="center"/>
    </xf>
    <xf numFmtId="1" fontId="9" fillId="4" borderId="0" xfId="0" applyNumberFormat="1" applyFont="1" applyFill="1" applyBorder="1" applyAlignment="1">
      <alignment horizontal="center" vertical="center"/>
    </xf>
    <xf numFmtId="1" fontId="9" fillId="5" borderId="0" xfId="0" applyNumberFormat="1" applyFont="1" applyFill="1" applyBorder="1" applyAlignment="1">
      <alignment horizontal="center" vertical="center"/>
    </xf>
    <xf numFmtId="0" fontId="13" fillId="3" borderId="27" xfId="0" applyFont="1" applyFill="1" applyBorder="1" applyAlignment="1">
      <alignment horizontal="center" vertical="center" wrapText="1"/>
    </xf>
    <xf numFmtId="0" fontId="13" fillId="3" borderId="28" xfId="0" applyFont="1" applyFill="1" applyBorder="1" applyAlignment="1">
      <alignment horizontal="center" vertical="center" wrapText="1"/>
    </xf>
    <xf numFmtId="0" fontId="13" fillId="3" borderId="29" xfId="0" applyFont="1" applyFill="1" applyBorder="1" applyAlignment="1">
      <alignment horizontal="center" vertical="center" wrapText="1"/>
    </xf>
    <xf numFmtId="1" fontId="9" fillId="5" borderId="30" xfId="0" applyNumberFormat="1" applyFont="1" applyFill="1" applyBorder="1" applyAlignment="1">
      <alignment horizontal="center" vertical="center"/>
    </xf>
    <xf numFmtId="170" fontId="9" fillId="5" borderId="31" xfId="0" applyNumberFormat="1" applyFont="1" applyFill="1" applyBorder="1" applyAlignment="1">
      <alignment horizontal="center" vertical="center"/>
    </xf>
    <xf numFmtId="1" fontId="9" fillId="4" borderId="30" xfId="0" applyNumberFormat="1" applyFont="1" applyFill="1" applyBorder="1" applyAlignment="1">
      <alignment horizontal="center" vertical="center"/>
    </xf>
    <xf numFmtId="170" fontId="9" fillId="4" borderId="31" xfId="0" applyNumberFormat="1" applyFont="1" applyFill="1" applyBorder="1" applyAlignment="1">
      <alignment horizontal="center" vertical="center"/>
    </xf>
    <xf numFmtId="1" fontId="9" fillId="5" borderId="32" xfId="0" applyNumberFormat="1" applyFont="1" applyFill="1" applyBorder="1" applyAlignment="1">
      <alignment horizontal="center" vertical="center"/>
    </xf>
    <xf numFmtId="1" fontId="9" fillId="5" borderId="33" xfId="0" applyNumberFormat="1" applyFont="1" applyFill="1" applyBorder="1" applyAlignment="1">
      <alignment horizontal="center" vertical="center"/>
    </xf>
    <xf numFmtId="170" fontId="9" fillId="5" borderId="34" xfId="0" applyNumberFormat="1" applyFont="1" applyFill="1" applyBorder="1" applyAlignment="1">
      <alignment horizontal="center" vertical="center"/>
    </xf>
    <xf numFmtId="0" fontId="9" fillId="5" borderId="36" xfId="0" applyFont="1" applyFill="1" applyBorder="1" applyAlignment="1">
      <alignment horizontal="center" vertical="center"/>
    </xf>
    <xf numFmtId="0" fontId="9" fillId="4" borderId="36" xfId="0" applyFont="1" applyFill="1" applyBorder="1" applyAlignment="1">
      <alignment horizontal="center" vertical="center"/>
    </xf>
    <xf numFmtId="0" fontId="9" fillId="5" borderId="37" xfId="0" applyFont="1" applyFill="1" applyBorder="1" applyAlignment="1">
      <alignment horizontal="center" vertical="center"/>
    </xf>
    <xf numFmtId="0" fontId="11" fillId="6" borderId="21" xfId="0" applyFont="1" applyFill="1" applyBorder="1" applyAlignment="1">
      <alignment horizontal="left" vertical="center" wrapText="1"/>
    </xf>
    <xf numFmtId="6" fontId="9" fillId="5" borderId="20" xfId="0" applyNumberFormat="1" applyFont="1" applyFill="1" applyBorder="1" applyAlignment="1">
      <alignment horizontal="center" vertical="center"/>
    </xf>
    <xf numFmtId="6" fontId="9" fillId="4" borderId="20" xfId="0" applyNumberFormat="1" applyFont="1" applyFill="1" applyBorder="1" applyAlignment="1">
      <alignment horizontal="center" vertical="center"/>
    </xf>
    <xf numFmtId="6" fontId="5" fillId="0" borderId="23" xfId="0" applyNumberFormat="1" applyFont="1" applyBorder="1"/>
    <xf numFmtId="0" fontId="3" fillId="0" borderId="0" xfId="0" applyFont="1" applyBorder="1"/>
    <xf numFmtId="168" fontId="2" fillId="0" borderId="0" xfId="0" applyNumberFormat="1" applyFont="1" applyBorder="1" applyAlignment="1">
      <alignment horizontal="center"/>
    </xf>
    <xf numFmtId="168" fontId="16" fillId="0" borderId="0" xfId="0" applyNumberFormat="1" applyFont="1" applyBorder="1" applyAlignment="1">
      <alignment horizontal="center"/>
    </xf>
    <xf numFmtId="168" fontId="5" fillId="0" borderId="0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4" fillId="3" borderId="26" xfId="0" applyFont="1" applyFill="1" applyBorder="1" applyAlignment="1">
      <alignment horizontal="center"/>
    </xf>
    <xf numFmtId="0" fontId="13" fillId="3" borderId="24" xfId="0" applyFont="1" applyFill="1" applyBorder="1" applyAlignment="1">
      <alignment horizontal="center" vertical="center" wrapText="1"/>
    </xf>
    <xf numFmtId="0" fontId="13" fillId="3" borderId="25" xfId="0" applyFont="1" applyFill="1" applyBorder="1" applyAlignment="1">
      <alignment horizontal="center" vertical="center" wrapText="1"/>
    </xf>
    <xf numFmtId="0" fontId="13" fillId="3" borderId="26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left" vertical="center"/>
    </xf>
    <xf numFmtId="0" fontId="9" fillId="5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 wrapText="1"/>
    </xf>
    <xf numFmtId="0" fontId="13" fillId="3" borderId="35" xfId="0" applyFont="1" applyFill="1" applyBorder="1" applyAlignment="1">
      <alignment horizontal="center" vertical="center" wrapText="1"/>
    </xf>
    <xf numFmtId="0" fontId="13" fillId="3" borderId="36" xfId="0" applyFont="1" applyFill="1" applyBorder="1" applyAlignment="1">
      <alignment horizontal="center" vertical="center" wrapText="1"/>
    </xf>
    <xf numFmtId="0" fontId="18" fillId="0" borderId="0" xfId="0" applyFont="1"/>
    <xf numFmtId="0" fontId="19" fillId="7" borderId="0" xfId="0" applyFont="1" applyFill="1" applyAlignment="1">
      <alignment horizontal="center"/>
    </xf>
    <xf numFmtId="0" fontId="20" fillId="7" borderId="38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wrapText="1"/>
    </xf>
    <xf numFmtId="0" fontId="2" fillId="0" borderId="9" xfId="0" applyFont="1" applyBorder="1"/>
    <xf numFmtId="6" fontId="2" fillId="0" borderId="39" xfId="0" applyNumberFormat="1" applyFont="1" applyBorder="1"/>
    <xf numFmtId="0" fontId="6" fillId="3" borderId="7" xfId="0" applyFont="1" applyFill="1" applyBorder="1" applyAlignment="1">
      <alignment horizontal="center" wrapText="1"/>
    </xf>
    <xf numFmtId="6" fontId="2" fillId="0" borderId="8" xfId="0" applyNumberFormat="1" applyFont="1" applyBorder="1"/>
    <xf numFmtId="0" fontId="2" fillId="0" borderId="18" xfId="0" applyFont="1" applyBorder="1"/>
    <xf numFmtId="168" fontId="2" fillId="0" borderId="7" xfId="0" applyNumberFormat="1" applyFont="1" applyBorder="1"/>
    <xf numFmtId="6" fontId="2" fillId="0" borderId="19" xfId="0" applyNumberFormat="1" applyFont="1" applyBorder="1"/>
    <xf numFmtId="168" fontId="2" fillId="0" borderId="9" xfId="0" applyNumberFormat="1" applyFont="1" applyBorder="1"/>
    <xf numFmtId="6" fontId="2" fillId="0" borderId="10" xfId="0" applyNumberFormat="1" applyFont="1" applyBorder="1"/>
    <xf numFmtId="6" fontId="2" fillId="0" borderId="7" xfId="0" applyNumberFormat="1" applyFont="1" applyBorder="1"/>
    <xf numFmtId="0" fontId="2" fillId="0" borderId="8" xfId="0" applyFont="1" applyBorder="1"/>
    <xf numFmtId="168" fontId="2" fillId="0" borderId="8" xfId="0" applyNumberFormat="1" applyFont="1" applyBorder="1"/>
    <xf numFmtId="6" fontId="2" fillId="0" borderId="9" xfId="0" applyNumberFormat="1" applyFont="1" applyBorder="1"/>
    <xf numFmtId="168" fontId="2" fillId="0" borderId="10" xfId="0" applyNumberFormat="1" applyFont="1" applyBorder="1"/>
    <xf numFmtId="0" fontId="6" fillId="3" borderId="40" xfId="0" applyFont="1" applyFill="1" applyBorder="1" applyAlignment="1">
      <alignment horizontal="center" wrapText="1"/>
    </xf>
    <xf numFmtId="0" fontId="6" fillId="3" borderId="41" xfId="0" applyFont="1" applyFill="1" applyBorder="1" applyAlignment="1">
      <alignment horizontal="center" wrapText="1"/>
    </xf>
    <xf numFmtId="1" fontId="2" fillId="0" borderId="8" xfId="0" applyNumberFormat="1" applyFont="1" applyBorder="1"/>
    <xf numFmtId="1" fontId="2" fillId="0" borderId="10" xfId="0" applyNumberFormat="1" applyFont="1" applyBorder="1"/>
    <xf numFmtId="0" fontId="6" fillId="3" borderId="42" xfId="0" applyFont="1" applyFill="1" applyBorder="1" applyAlignment="1">
      <alignment horizontal="center" wrapText="1"/>
    </xf>
    <xf numFmtId="0" fontId="21" fillId="0" borderId="0" xfId="0" applyFont="1" applyAlignment="1">
      <alignment horizontal="center"/>
    </xf>
    <xf numFmtId="10" fontId="21" fillId="0" borderId="0" xfId="1" applyNumberFormat="1" applyFont="1" applyAlignment="1">
      <alignment horizontal="center"/>
    </xf>
    <xf numFmtId="0" fontId="21" fillId="0" borderId="0" xfId="0" applyFont="1"/>
    <xf numFmtId="6" fontId="21" fillId="0" borderId="0" xfId="0" applyNumberFormat="1" applyFont="1"/>
    <xf numFmtId="0" fontId="22" fillId="0" borderId="0" xfId="0" applyFont="1"/>
    <xf numFmtId="1" fontId="2" fillId="0" borderId="39" xfId="0" applyNumberFormat="1" applyFont="1" applyBorder="1"/>
    <xf numFmtId="1" fontId="2" fillId="0" borderId="19" xfId="0" applyNumberFormat="1" applyFont="1" applyBorder="1"/>
    <xf numFmtId="172" fontId="0" fillId="0" borderId="0" xfId="0" applyNumberFormat="1"/>
    <xf numFmtId="168" fontId="25" fillId="0" borderId="0" xfId="0" applyNumberFormat="1" applyFont="1"/>
    <xf numFmtId="0" fontId="26" fillId="0" borderId="0" xfId="0" quotePrefix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3.5" x14ac:dyDescent="0.25"/>
  <cols>
    <col min="1" max="16384" width="9.140625" style="2"/>
  </cols>
  <sheetData>
    <row r="1" spans="1:1" ht="15" x14ac:dyDescent="0.25">
      <c r="A1" s="1" t="s">
        <v>55</v>
      </c>
    </row>
    <row r="2" spans="1:1" x14ac:dyDescent="0.25">
      <c r="A2" s="2" t="s">
        <v>84</v>
      </c>
    </row>
    <row r="3" spans="1:1" x14ac:dyDescent="0.25">
      <c r="A3" s="2" t="s">
        <v>65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0"/>
  <sheetViews>
    <sheetView workbookViewId="0"/>
  </sheetViews>
  <sheetFormatPr defaultRowHeight="13.5" x14ac:dyDescent="0.25"/>
  <cols>
    <col min="1" max="1" width="16.42578125" style="2" customWidth="1"/>
    <col min="2" max="2" width="10.28515625" style="2" bestFit="1" customWidth="1"/>
    <col min="3" max="16384" width="9.140625" style="2"/>
  </cols>
  <sheetData>
    <row r="1" spans="1:2" ht="15" x14ac:dyDescent="0.25">
      <c r="A1" s="1" t="s">
        <v>56</v>
      </c>
    </row>
    <row r="2" spans="1:2" x14ac:dyDescent="0.25">
      <c r="A2" s="2" t="s">
        <v>63</v>
      </c>
    </row>
    <row r="3" spans="1:2" x14ac:dyDescent="0.25">
      <c r="A3" s="2" t="s">
        <v>19</v>
      </c>
      <c r="B3" s="34" t="s">
        <v>20</v>
      </c>
    </row>
    <row r="4" spans="1:2" x14ac:dyDescent="0.25">
      <c r="A4" s="2" t="s">
        <v>21</v>
      </c>
      <c r="B4" s="35">
        <v>45</v>
      </c>
    </row>
    <row r="5" spans="1:2" x14ac:dyDescent="0.25">
      <c r="A5" s="2" t="s">
        <v>22</v>
      </c>
      <c r="B5" s="36">
        <v>400000</v>
      </c>
    </row>
    <row r="6" spans="1:2" x14ac:dyDescent="0.25">
      <c r="A6" s="2" t="s">
        <v>23</v>
      </c>
      <c r="B6" s="36">
        <f>2.4003/1000*Sum_Insured</f>
        <v>960.12000000000012</v>
      </c>
    </row>
    <row r="8" spans="1:2" x14ac:dyDescent="0.25">
      <c r="A8" s="2" t="s">
        <v>57</v>
      </c>
    </row>
    <row r="9" spans="1:2" x14ac:dyDescent="0.25">
      <c r="A9" s="4" t="s">
        <v>24</v>
      </c>
      <c r="B9" s="11"/>
    </row>
    <row r="10" spans="1:2" ht="27" x14ac:dyDescent="0.25">
      <c r="A10" s="12" t="s">
        <v>53</v>
      </c>
      <c r="B10" s="13" t="s">
        <v>54</v>
      </c>
    </row>
    <row r="11" spans="1:2" x14ac:dyDescent="0.25">
      <c r="A11" s="14">
        <v>0</v>
      </c>
      <c r="B11" s="5"/>
    </row>
    <row r="12" spans="1:2" x14ac:dyDescent="0.25">
      <c r="A12" s="15">
        <v>1</v>
      </c>
      <c r="B12" s="16"/>
    </row>
    <row r="13" spans="1:2" x14ac:dyDescent="0.25">
      <c r="A13" s="15">
        <v>2</v>
      </c>
      <c r="B13" s="16"/>
    </row>
    <row r="14" spans="1:2" x14ac:dyDescent="0.25">
      <c r="A14" s="15">
        <v>3</v>
      </c>
      <c r="B14" s="16"/>
    </row>
    <row r="15" spans="1:2" x14ac:dyDescent="0.25">
      <c r="A15" s="15">
        <v>4</v>
      </c>
      <c r="B15" s="16"/>
    </row>
    <row r="16" spans="1:2" x14ac:dyDescent="0.25">
      <c r="A16" s="15">
        <v>5</v>
      </c>
      <c r="B16" s="16"/>
    </row>
    <row r="17" spans="1:2" x14ac:dyDescent="0.25">
      <c r="A17" s="15">
        <v>6</v>
      </c>
      <c r="B17" s="16"/>
    </row>
    <row r="18" spans="1:2" x14ac:dyDescent="0.25">
      <c r="A18" s="15">
        <v>7</v>
      </c>
      <c r="B18" s="16"/>
    </row>
    <row r="19" spans="1:2" x14ac:dyDescent="0.25">
      <c r="A19" s="15">
        <v>8</v>
      </c>
      <c r="B19" s="16"/>
    </row>
    <row r="20" spans="1:2" x14ac:dyDescent="0.25">
      <c r="A20" s="15">
        <v>9</v>
      </c>
      <c r="B20" s="16"/>
    </row>
    <row r="21" spans="1:2" x14ac:dyDescent="0.25">
      <c r="A21" s="15">
        <v>10</v>
      </c>
      <c r="B21" s="16"/>
    </row>
    <row r="22" spans="1:2" x14ac:dyDescent="0.25">
      <c r="A22" s="15">
        <v>11</v>
      </c>
      <c r="B22" s="16"/>
    </row>
    <row r="23" spans="1:2" x14ac:dyDescent="0.25">
      <c r="A23" s="15">
        <v>12</v>
      </c>
      <c r="B23" s="16"/>
    </row>
    <row r="24" spans="1:2" x14ac:dyDescent="0.25">
      <c r="A24" s="15">
        <v>13</v>
      </c>
      <c r="B24" s="16"/>
    </row>
    <row r="25" spans="1:2" x14ac:dyDescent="0.25">
      <c r="A25" s="15">
        <v>14</v>
      </c>
      <c r="B25" s="16"/>
    </row>
    <row r="26" spans="1:2" x14ac:dyDescent="0.25">
      <c r="A26" s="15">
        <v>15</v>
      </c>
      <c r="B26" s="37">
        <v>4.0999999999999999E-4</v>
      </c>
    </row>
    <row r="27" spans="1:2" x14ac:dyDescent="0.25">
      <c r="A27" s="15">
        <v>16</v>
      </c>
      <c r="B27" s="37">
        <v>5.1999999999999995E-4</v>
      </c>
    </row>
    <row r="28" spans="1:2" x14ac:dyDescent="0.25">
      <c r="A28" s="15">
        <v>17</v>
      </c>
      <c r="B28" s="37">
        <v>6.2E-4</v>
      </c>
    </row>
    <row r="29" spans="1:2" x14ac:dyDescent="0.25">
      <c r="A29" s="15">
        <v>18</v>
      </c>
      <c r="B29" s="37">
        <v>6.9999999999999999E-4</v>
      </c>
    </row>
    <row r="30" spans="1:2" x14ac:dyDescent="0.25">
      <c r="A30" s="15">
        <v>19</v>
      </c>
      <c r="B30" s="37">
        <v>7.7999999999999999E-4</v>
      </c>
    </row>
    <row r="31" spans="1:2" x14ac:dyDescent="0.25">
      <c r="A31" s="15">
        <v>20</v>
      </c>
      <c r="B31" s="37">
        <v>8.3000000000000001E-4</v>
      </c>
    </row>
    <row r="32" spans="1:2" x14ac:dyDescent="0.25">
      <c r="A32" s="15">
        <v>21</v>
      </c>
      <c r="B32" s="37">
        <v>8.7000000000000001E-4</v>
      </c>
    </row>
    <row r="33" spans="1:2" x14ac:dyDescent="0.25">
      <c r="A33" s="15">
        <v>22</v>
      </c>
      <c r="B33" s="37">
        <v>8.8999999999999995E-4</v>
      </c>
    </row>
    <row r="34" spans="1:2" x14ac:dyDescent="0.25">
      <c r="A34" s="15">
        <v>23</v>
      </c>
      <c r="B34" s="37">
        <v>8.9999999999999998E-4</v>
      </c>
    </row>
    <row r="35" spans="1:2" x14ac:dyDescent="0.25">
      <c r="A35" s="17">
        <v>24</v>
      </c>
      <c r="B35" s="38">
        <v>8.9999999999999998E-4</v>
      </c>
    </row>
    <row r="36" spans="1:2" x14ac:dyDescent="0.25">
      <c r="A36" s="18">
        <v>25</v>
      </c>
      <c r="B36" s="39">
        <v>8.8999999999999995E-4</v>
      </c>
    </row>
    <row r="37" spans="1:2" x14ac:dyDescent="0.25">
      <c r="A37" s="18">
        <v>26</v>
      </c>
      <c r="B37" s="39">
        <v>8.8000000000000003E-4</v>
      </c>
    </row>
    <row r="38" spans="1:2" x14ac:dyDescent="0.25">
      <c r="A38" s="18">
        <v>27</v>
      </c>
      <c r="B38" s="39">
        <v>8.5999999999999998E-4</v>
      </c>
    </row>
    <row r="39" spans="1:2" x14ac:dyDescent="0.25">
      <c r="A39" s="18">
        <v>28</v>
      </c>
      <c r="B39" s="39">
        <v>8.4000000000000003E-4</v>
      </c>
    </row>
    <row r="40" spans="1:2" x14ac:dyDescent="0.25">
      <c r="A40" s="18">
        <v>29</v>
      </c>
      <c r="B40" s="39">
        <v>8.1999999999999998E-4</v>
      </c>
    </row>
    <row r="41" spans="1:2" x14ac:dyDescent="0.25">
      <c r="A41" s="18">
        <v>30</v>
      </c>
      <c r="B41" s="39">
        <v>8.0000000000000004E-4</v>
      </c>
    </row>
    <row r="42" spans="1:2" x14ac:dyDescent="0.25">
      <c r="A42" s="18">
        <v>31</v>
      </c>
      <c r="B42" s="39">
        <v>7.6999999999999996E-4</v>
      </c>
    </row>
    <row r="43" spans="1:2" x14ac:dyDescent="0.25">
      <c r="A43" s="18">
        <v>32</v>
      </c>
      <c r="B43" s="39">
        <v>7.5000000000000002E-4</v>
      </c>
    </row>
    <row r="44" spans="1:2" x14ac:dyDescent="0.25">
      <c r="A44" s="18">
        <v>33</v>
      </c>
      <c r="B44" s="39">
        <v>7.3999999999999999E-4</v>
      </c>
    </row>
    <row r="45" spans="1:2" x14ac:dyDescent="0.25">
      <c r="A45" s="18">
        <v>34</v>
      </c>
      <c r="B45" s="39">
        <v>7.3999999999999999E-4</v>
      </c>
    </row>
    <row r="46" spans="1:2" x14ac:dyDescent="0.25">
      <c r="A46" s="18">
        <v>35</v>
      </c>
      <c r="B46" s="39">
        <v>7.5000000000000002E-4</v>
      </c>
    </row>
    <row r="47" spans="1:2" x14ac:dyDescent="0.25">
      <c r="A47" s="18">
        <v>36</v>
      </c>
      <c r="B47" s="39">
        <v>7.6000000000000004E-4</v>
      </c>
    </row>
    <row r="48" spans="1:2" x14ac:dyDescent="0.25">
      <c r="A48" s="18">
        <v>37</v>
      </c>
      <c r="B48" s="39">
        <v>7.7999999999999999E-4</v>
      </c>
    </row>
    <row r="49" spans="1:2" x14ac:dyDescent="0.25">
      <c r="A49" s="18">
        <v>38</v>
      </c>
      <c r="B49" s="39">
        <v>8.0999999999999996E-4</v>
      </c>
    </row>
    <row r="50" spans="1:2" x14ac:dyDescent="0.25">
      <c r="A50" s="18">
        <v>39</v>
      </c>
      <c r="B50" s="39">
        <v>8.4999999999999995E-4</v>
      </c>
    </row>
    <row r="51" spans="1:2" x14ac:dyDescent="0.25">
      <c r="A51" s="18">
        <v>40</v>
      </c>
      <c r="B51" s="39">
        <v>8.8999999999999995E-4</v>
      </c>
    </row>
    <row r="52" spans="1:2" x14ac:dyDescent="0.25">
      <c r="A52" s="18">
        <v>41</v>
      </c>
      <c r="B52" s="39">
        <v>9.3999999999999997E-4</v>
      </c>
    </row>
    <row r="53" spans="1:2" x14ac:dyDescent="0.25">
      <c r="A53" s="18">
        <v>42</v>
      </c>
      <c r="B53" s="39">
        <v>1.01E-3</v>
      </c>
    </row>
    <row r="54" spans="1:2" x14ac:dyDescent="0.25">
      <c r="A54" s="18">
        <v>43</v>
      </c>
      <c r="B54" s="39">
        <v>1.08E-3</v>
      </c>
    </row>
    <row r="55" spans="1:2" x14ac:dyDescent="0.25">
      <c r="A55" s="18">
        <v>44</v>
      </c>
      <c r="B55" s="39">
        <v>1.16E-3</v>
      </c>
    </row>
    <row r="56" spans="1:2" x14ac:dyDescent="0.25">
      <c r="A56" s="18">
        <v>45</v>
      </c>
      <c r="B56" s="39">
        <v>1.2600000000000001E-3</v>
      </c>
    </row>
    <row r="57" spans="1:2" x14ac:dyDescent="0.25">
      <c r="A57" s="18">
        <v>46</v>
      </c>
      <c r="B57" s="39">
        <v>1.3699999999999999E-3</v>
      </c>
    </row>
    <row r="58" spans="1:2" x14ac:dyDescent="0.25">
      <c r="A58" s="18">
        <v>47</v>
      </c>
      <c r="B58" s="39">
        <v>1.5E-3</v>
      </c>
    </row>
    <row r="59" spans="1:2" x14ac:dyDescent="0.25">
      <c r="A59" s="18">
        <v>48</v>
      </c>
      <c r="B59" s="39">
        <v>1.65E-3</v>
      </c>
    </row>
    <row r="60" spans="1:2" x14ac:dyDescent="0.25">
      <c r="A60" s="19">
        <v>49</v>
      </c>
      <c r="B60" s="40">
        <v>1.83E-3</v>
      </c>
    </row>
    <row r="61" spans="1:2" x14ac:dyDescent="0.25">
      <c r="A61" s="20">
        <v>50</v>
      </c>
      <c r="B61" s="41">
        <v>2.0300000000000001E-3</v>
      </c>
    </row>
    <row r="62" spans="1:2" x14ac:dyDescent="0.25">
      <c r="A62" s="18">
        <v>51</v>
      </c>
      <c r="B62" s="39">
        <v>2.2599999999999999E-3</v>
      </c>
    </row>
    <row r="63" spans="1:2" x14ac:dyDescent="0.25">
      <c r="A63" s="18">
        <v>52</v>
      </c>
      <c r="B63" s="39">
        <v>2.5200000000000001E-3</v>
      </c>
    </row>
    <row r="64" spans="1:2" x14ac:dyDescent="0.25">
      <c r="A64" s="18">
        <v>53</v>
      </c>
      <c r="B64" s="39">
        <v>2.82E-3</v>
      </c>
    </row>
    <row r="65" spans="1:2" x14ac:dyDescent="0.25">
      <c r="A65" s="18">
        <v>54</v>
      </c>
      <c r="B65" s="39">
        <v>3.15E-3</v>
      </c>
    </row>
    <row r="66" spans="1:2" x14ac:dyDescent="0.25">
      <c r="A66" s="18">
        <v>55</v>
      </c>
      <c r="B66" s="39">
        <v>3.5200000000000001E-3</v>
      </c>
    </row>
    <row r="67" spans="1:2" x14ac:dyDescent="0.25">
      <c r="A67" s="18">
        <v>56</v>
      </c>
      <c r="B67" s="39">
        <v>3.9300000000000003E-3</v>
      </c>
    </row>
    <row r="68" spans="1:2" x14ac:dyDescent="0.25">
      <c r="A68" s="18">
        <v>57</v>
      </c>
      <c r="B68" s="39">
        <v>4.3899999999999998E-3</v>
      </c>
    </row>
    <row r="69" spans="1:2" x14ac:dyDescent="0.25">
      <c r="A69" s="18">
        <v>58</v>
      </c>
      <c r="B69" s="39">
        <v>4.9100000000000003E-3</v>
      </c>
    </row>
    <row r="70" spans="1:2" x14ac:dyDescent="0.25">
      <c r="A70" s="18">
        <v>59</v>
      </c>
      <c r="B70" s="39">
        <v>5.5100000000000001E-3</v>
      </c>
    </row>
    <row r="71" spans="1:2" x14ac:dyDescent="0.25">
      <c r="A71" s="18">
        <v>60</v>
      </c>
      <c r="B71" s="39">
        <v>6.1999999999999998E-3</v>
      </c>
    </row>
    <row r="72" spans="1:2" x14ac:dyDescent="0.25">
      <c r="A72" s="18">
        <v>61</v>
      </c>
      <c r="B72" s="39">
        <v>7.0000000000000001E-3</v>
      </c>
    </row>
    <row r="73" spans="1:2" x14ac:dyDescent="0.25">
      <c r="A73" s="18">
        <v>62</v>
      </c>
      <c r="B73" s="39">
        <v>7.92E-3</v>
      </c>
    </row>
    <row r="74" spans="1:2" x14ac:dyDescent="0.25">
      <c r="A74" s="18">
        <v>63</v>
      </c>
      <c r="B74" s="39">
        <v>8.9700000000000005E-3</v>
      </c>
    </row>
    <row r="75" spans="1:2" x14ac:dyDescent="0.25">
      <c r="A75" s="18">
        <v>64</v>
      </c>
      <c r="B75" s="39">
        <v>1.017E-2</v>
      </c>
    </row>
    <row r="76" spans="1:2" x14ac:dyDescent="0.25">
      <c r="A76" s="18">
        <v>65</v>
      </c>
      <c r="B76" s="39">
        <v>1.153E-2</v>
      </c>
    </row>
    <row r="77" spans="1:2" x14ac:dyDescent="0.25">
      <c r="A77" s="18">
        <v>66</v>
      </c>
      <c r="B77" s="39">
        <v>1.306E-2</v>
      </c>
    </row>
    <row r="78" spans="1:2" x14ac:dyDescent="0.25">
      <c r="A78" s="18">
        <v>67</v>
      </c>
      <c r="B78" s="39">
        <v>1.477E-2</v>
      </c>
    </row>
    <row r="79" spans="1:2" x14ac:dyDescent="0.25">
      <c r="A79" s="18">
        <v>68</v>
      </c>
      <c r="B79" s="39">
        <v>1.67E-2</v>
      </c>
    </row>
    <row r="80" spans="1:2" x14ac:dyDescent="0.25">
      <c r="A80" s="18">
        <v>69</v>
      </c>
      <c r="B80" s="39">
        <v>1.8849999999999999E-2</v>
      </c>
    </row>
    <row r="81" spans="1:2" x14ac:dyDescent="0.25">
      <c r="A81" s="18">
        <v>70</v>
      </c>
      <c r="B81" s="39">
        <v>2.1250000000000002E-2</v>
      </c>
    </row>
    <row r="82" spans="1:2" x14ac:dyDescent="0.25">
      <c r="A82" s="18">
        <v>71</v>
      </c>
      <c r="B82" s="39">
        <v>2.393E-2</v>
      </c>
    </row>
    <row r="83" spans="1:2" x14ac:dyDescent="0.25">
      <c r="A83" s="18">
        <v>72</v>
      </c>
      <c r="B83" s="39">
        <v>2.69E-2</v>
      </c>
    </row>
    <row r="84" spans="1:2" x14ac:dyDescent="0.25">
      <c r="A84" s="18">
        <v>73</v>
      </c>
      <c r="B84" s="39">
        <v>3.022E-2</v>
      </c>
    </row>
    <row r="85" spans="1:2" x14ac:dyDescent="0.25">
      <c r="A85" s="19">
        <v>74</v>
      </c>
      <c r="B85" s="40">
        <v>3.39E-2</v>
      </c>
    </row>
    <row r="86" spans="1:2" x14ac:dyDescent="0.25">
      <c r="A86" s="20">
        <v>75</v>
      </c>
      <c r="B86" s="41">
        <v>3.8010000000000002E-2</v>
      </c>
    </row>
    <row r="87" spans="1:2" x14ac:dyDescent="0.25">
      <c r="A87" s="18">
        <v>76</v>
      </c>
      <c r="B87" s="39">
        <v>4.2590000000000003E-2</v>
      </c>
    </row>
    <row r="88" spans="1:2" x14ac:dyDescent="0.25">
      <c r="A88" s="18">
        <v>77</v>
      </c>
      <c r="B88" s="39">
        <v>4.768E-2</v>
      </c>
    </row>
    <row r="89" spans="1:2" x14ac:dyDescent="0.25">
      <c r="A89" s="18">
        <v>78</v>
      </c>
      <c r="B89" s="39">
        <v>5.3350000000000002E-2</v>
      </c>
    </row>
    <row r="90" spans="1:2" x14ac:dyDescent="0.25">
      <c r="A90" s="18">
        <v>79</v>
      </c>
      <c r="B90" s="39">
        <v>5.9659999999999998E-2</v>
      </c>
    </row>
    <row r="91" spans="1:2" x14ac:dyDescent="0.25">
      <c r="A91" s="18">
        <v>80</v>
      </c>
      <c r="B91" s="39">
        <v>6.6650000000000001E-2</v>
      </c>
    </row>
    <row r="92" spans="1:2" x14ac:dyDescent="0.25">
      <c r="A92" s="18">
        <v>81</v>
      </c>
      <c r="B92" s="39">
        <v>7.4380000000000002E-2</v>
      </c>
    </row>
    <row r="93" spans="1:2" x14ac:dyDescent="0.25">
      <c r="A93" s="18">
        <v>82</v>
      </c>
      <c r="B93" s="39">
        <v>8.2839999999999997E-2</v>
      </c>
    </row>
    <row r="94" spans="1:2" x14ac:dyDescent="0.25">
      <c r="A94" s="18">
        <v>83</v>
      </c>
      <c r="B94" s="39">
        <v>9.2030000000000001E-2</v>
      </c>
    </row>
    <row r="95" spans="1:2" x14ac:dyDescent="0.25">
      <c r="A95" s="18">
        <v>84</v>
      </c>
      <c r="B95" s="39">
        <v>0.10188999999999999</v>
      </c>
    </row>
    <row r="96" spans="1:2" x14ac:dyDescent="0.25">
      <c r="A96" s="18">
        <v>85</v>
      </c>
      <c r="B96" s="39">
        <v>0.11239</v>
      </c>
    </row>
    <row r="97" spans="1:2" x14ac:dyDescent="0.25">
      <c r="A97" s="18">
        <v>86</v>
      </c>
      <c r="B97" s="39">
        <v>0.12346</v>
      </c>
    </row>
    <row r="98" spans="1:2" x14ac:dyDescent="0.25">
      <c r="A98" s="18">
        <v>87</v>
      </c>
      <c r="B98" s="39">
        <v>0.13503000000000001</v>
      </c>
    </row>
    <row r="99" spans="1:2" x14ac:dyDescent="0.25">
      <c r="A99" s="18">
        <v>88</v>
      </c>
      <c r="B99" s="39">
        <v>0.14704</v>
      </c>
    </row>
    <row r="100" spans="1:2" x14ac:dyDescent="0.25">
      <c r="A100" s="18">
        <v>89</v>
      </c>
      <c r="B100" s="39">
        <v>0.15939</v>
      </c>
    </row>
    <row r="101" spans="1:2" x14ac:dyDescent="0.25">
      <c r="A101" s="18">
        <v>90</v>
      </c>
      <c r="B101" s="39">
        <v>0.17194000000000001</v>
      </c>
    </row>
    <row r="102" spans="1:2" x14ac:dyDescent="0.25">
      <c r="A102" s="18">
        <v>91</v>
      </c>
      <c r="B102" s="39">
        <v>0.18453</v>
      </c>
    </row>
    <row r="103" spans="1:2" x14ac:dyDescent="0.25">
      <c r="A103" s="18">
        <v>92</v>
      </c>
      <c r="B103" s="39">
        <v>0.19694999999999999</v>
      </c>
    </row>
    <row r="104" spans="1:2" x14ac:dyDescent="0.25">
      <c r="A104" s="18">
        <v>93</v>
      </c>
      <c r="B104" s="39">
        <v>0.20899000000000001</v>
      </c>
    </row>
    <row r="105" spans="1:2" x14ac:dyDescent="0.25">
      <c r="A105" s="18">
        <v>94</v>
      </c>
      <c r="B105" s="39">
        <v>0.22037999999999999</v>
      </c>
    </row>
    <row r="106" spans="1:2" x14ac:dyDescent="0.25">
      <c r="A106" s="18">
        <v>95</v>
      </c>
      <c r="B106" s="39">
        <v>0.23077</v>
      </c>
    </row>
    <row r="107" spans="1:2" x14ac:dyDescent="0.25">
      <c r="A107" s="18">
        <v>96</v>
      </c>
      <c r="B107" s="39">
        <v>0.23987</v>
      </c>
    </row>
    <row r="108" spans="1:2" x14ac:dyDescent="0.25">
      <c r="A108" s="18">
        <v>97</v>
      </c>
      <c r="B108" s="39">
        <v>0.24747</v>
      </c>
    </row>
    <row r="109" spans="1:2" x14ac:dyDescent="0.25">
      <c r="A109" s="18">
        <v>98</v>
      </c>
      <c r="B109" s="39">
        <v>0.25355</v>
      </c>
    </row>
    <row r="110" spans="1:2" x14ac:dyDescent="0.25">
      <c r="A110" s="19">
        <v>99</v>
      </c>
      <c r="B110" s="40">
        <v>0.25835000000000002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/>
  </sheetViews>
  <sheetFormatPr defaultRowHeight="13.5" x14ac:dyDescent="0.25"/>
  <cols>
    <col min="1" max="1" width="20.140625" style="2" customWidth="1"/>
    <col min="2" max="2" width="9.140625" style="2"/>
    <col min="3" max="3" width="9.140625" style="2" customWidth="1"/>
    <col min="4" max="5" width="9.140625" style="2"/>
    <col min="6" max="6" width="11" style="2" customWidth="1"/>
    <col min="7" max="11" width="9.140625" style="2"/>
    <col min="12" max="12" width="10.85546875" style="2" customWidth="1"/>
    <col min="13" max="16384" width="9.140625" style="2"/>
  </cols>
  <sheetData>
    <row r="1" spans="1:13" ht="15" x14ac:dyDescent="0.25">
      <c r="A1" s="1" t="s">
        <v>58</v>
      </c>
    </row>
    <row r="3" spans="1:13" x14ac:dyDescent="0.25">
      <c r="A3" s="3" t="s">
        <v>0</v>
      </c>
      <c r="B3" s="2" t="s">
        <v>66</v>
      </c>
      <c r="F3" s="3" t="s">
        <v>37</v>
      </c>
      <c r="L3" s="3"/>
    </row>
    <row r="5" spans="1:13" x14ac:dyDescent="0.25">
      <c r="A5" s="3" t="s">
        <v>1</v>
      </c>
      <c r="F5" s="2" t="s">
        <v>38</v>
      </c>
    </row>
    <row r="6" spans="1:13" x14ac:dyDescent="0.25">
      <c r="A6" s="2" t="s">
        <v>5</v>
      </c>
      <c r="B6" s="42" t="s">
        <v>2</v>
      </c>
      <c r="F6" s="2" t="s">
        <v>67</v>
      </c>
    </row>
    <row r="7" spans="1:13" x14ac:dyDescent="0.25">
      <c r="A7" s="2" t="s">
        <v>6</v>
      </c>
      <c r="B7" s="43">
        <v>0.85</v>
      </c>
      <c r="F7" s="2" t="s">
        <v>52</v>
      </c>
      <c r="G7" s="43">
        <v>0.25</v>
      </c>
      <c r="M7" s="43"/>
    </row>
    <row r="8" spans="1:13" x14ac:dyDescent="0.25">
      <c r="A8" s="2" t="s">
        <v>7</v>
      </c>
      <c r="B8" s="42" t="s">
        <v>8</v>
      </c>
      <c r="F8" s="2" t="s">
        <v>68</v>
      </c>
    </row>
    <row r="10" spans="1:13" x14ac:dyDescent="0.25">
      <c r="A10" s="3" t="s">
        <v>3</v>
      </c>
    </row>
    <row r="11" spans="1:13" x14ac:dyDescent="0.25">
      <c r="A11" s="2" t="s">
        <v>27</v>
      </c>
    </row>
    <row r="12" spans="1:13" x14ac:dyDescent="0.25">
      <c r="A12" s="2">
        <v>1</v>
      </c>
      <c r="B12" s="43">
        <v>0.12</v>
      </c>
    </row>
    <row r="13" spans="1:13" x14ac:dyDescent="0.25">
      <c r="A13" s="2">
        <f>1+A12</f>
        <v>2</v>
      </c>
      <c r="B13" s="43">
        <v>0.12</v>
      </c>
    </row>
    <row r="14" spans="1:13" x14ac:dyDescent="0.25">
      <c r="A14" s="2">
        <f t="shared" ref="A14:A21" si="0">1+A13</f>
        <v>3</v>
      </c>
      <c r="B14" s="43">
        <v>0.1</v>
      </c>
    </row>
    <row r="15" spans="1:13" x14ac:dyDescent="0.25">
      <c r="A15" s="2">
        <f t="shared" si="0"/>
        <v>4</v>
      </c>
      <c r="B15" s="43">
        <v>0.1</v>
      </c>
    </row>
    <row r="16" spans="1:13" x14ac:dyDescent="0.25">
      <c r="A16" s="2">
        <f t="shared" si="0"/>
        <v>5</v>
      </c>
      <c r="B16" s="43">
        <v>0.1</v>
      </c>
    </row>
    <row r="17" spans="1:3" x14ac:dyDescent="0.25">
      <c r="A17" s="2">
        <f t="shared" si="0"/>
        <v>6</v>
      </c>
      <c r="B17" s="43">
        <v>0.1</v>
      </c>
    </row>
    <row r="18" spans="1:3" x14ac:dyDescent="0.25">
      <c r="A18" s="2">
        <f t="shared" si="0"/>
        <v>7</v>
      </c>
      <c r="B18" s="43">
        <v>0.1</v>
      </c>
    </row>
    <row r="19" spans="1:3" x14ac:dyDescent="0.25">
      <c r="A19" s="2">
        <f t="shared" si="0"/>
        <v>8</v>
      </c>
      <c r="B19" s="43">
        <v>0.1</v>
      </c>
    </row>
    <row r="20" spans="1:3" x14ac:dyDescent="0.25">
      <c r="A20" s="2">
        <f t="shared" si="0"/>
        <v>9</v>
      </c>
      <c r="B20" s="43">
        <v>0.1</v>
      </c>
    </row>
    <row r="21" spans="1:3" x14ac:dyDescent="0.25">
      <c r="A21" s="2">
        <f t="shared" si="0"/>
        <v>10</v>
      </c>
      <c r="B21" s="43">
        <v>0.1</v>
      </c>
    </row>
    <row r="22" spans="1:3" x14ac:dyDescent="0.25">
      <c r="B22" s="42"/>
    </row>
    <row r="23" spans="1:3" x14ac:dyDescent="0.25">
      <c r="A23" s="3" t="s">
        <v>4</v>
      </c>
      <c r="B23" s="42"/>
    </row>
    <row r="24" spans="1:3" x14ac:dyDescent="0.25">
      <c r="A24" s="2" t="s">
        <v>9</v>
      </c>
      <c r="B24" s="44">
        <v>70</v>
      </c>
    </row>
    <row r="25" spans="1:3" x14ac:dyDescent="0.25">
      <c r="A25" s="2" t="s">
        <v>10</v>
      </c>
      <c r="B25" s="44">
        <v>70</v>
      </c>
      <c r="C25" s="2" t="s">
        <v>39</v>
      </c>
    </row>
    <row r="26" spans="1:3" x14ac:dyDescent="0.25">
      <c r="A26" s="2" t="s">
        <v>11</v>
      </c>
      <c r="B26" s="43">
        <v>0.02</v>
      </c>
    </row>
    <row r="27" spans="1:3" x14ac:dyDescent="0.25">
      <c r="B27" s="42"/>
    </row>
    <row r="28" spans="1:3" x14ac:dyDescent="0.25">
      <c r="A28" s="3" t="s">
        <v>12</v>
      </c>
      <c r="B28" s="42"/>
    </row>
    <row r="29" spans="1:3" x14ac:dyDescent="0.25">
      <c r="A29" s="2" t="s">
        <v>13</v>
      </c>
      <c r="B29" s="43">
        <v>0.2</v>
      </c>
      <c r="C29" s="2" t="s">
        <v>14</v>
      </c>
    </row>
    <row r="30" spans="1:3" x14ac:dyDescent="0.25">
      <c r="A30" s="2" t="s">
        <v>10</v>
      </c>
      <c r="B30" s="43">
        <v>0.2</v>
      </c>
      <c r="C30" s="2" t="s">
        <v>15</v>
      </c>
    </row>
    <row r="31" spans="1:3" x14ac:dyDescent="0.25">
      <c r="B31" s="42"/>
    </row>
    <row r="32" spans="1:3" x14ac:dyDescent="0.25">
      <c r="A32" s="3" t="s">
        <v>16</v>
      </c>
      <c r="B32" s="43">
        <v>0.03</v>
      </c>
    </row>
    <row r="33" spans="1:2" x14ac:dyDescent="0.25">
      <c r="B33" s="42"/>
    </row>
    <row r="34" spans="1:2" x14ac:dyDescent="0.25">
      <c r="A34" s="3" t="s">
        <v>17</v>
      </c>
      <c r="B34" s="43">
        <v>0.03</v>
      </c>
    </row>
    <row r="35" spans="1:2" x14ac:dyDescent="0.25">
      <c r="B35" s="42"/>
    </row>
    <row r="36" spans="1:2" x14ac:dyDescent="0.25">
      <c r="A36" s="3" t="s">
        <v>18</v>
      </c>
      <c r="B36" s="43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/>
  </sheetViews>
  <sheetFormatPr defaultRowHeight="15" x14ac:dyDescent="0.25"/>
  <sheetData>
    <row r="1" spans="1:8" x14ac:dyDescent="0.25">
      <c r="A1" s="1" t="s">
        <v>28</v>
      </c>
      <c r="B1" s="1"/>
      <c r="C1" s="2"/>
      <c r="D1" s="2"/>
      <c r="E1" s="2"/>
      <c r="F1" s="2"/>
      <c r="G1" s="2"/>
    </row>
    <row r="2" spans="1:8" x14ac:dyDescent="0.25">
      <c r="A2" s="2"/>
      <c r="B2" s="2"/>
      <c r="C2" s="2"/>
      <c r="D2" s="2"/>
      <c r="E2" s="2"/>
      <c r="F2" s="2"/>
      <c r="G2" s="2"/>
    </row>
    <row r="3" spans="1:8" x14ac:dyDescent="0.25">
      <c r="A3" s="2"/>
      <c r="B3" s="2"/>
      <c r="C3" s="2"/>
      <c r="D3" s="2"/>
      <c r="E3" s="2"/>
      <c r="F3" s="2"/>
      <c r="G3" s="2"/>
    </row>
    <row r="4" spans="1:8" ht="15.75" x14ac:dyDescent="0.3">
      <c r="A4" s="6" t="s">
        <v>25</v>
      </c>
      <c r="B4" s="6" t="s">
        <v>29</v>
      </c>
      <c r="C4" s="6" t="s">
        <v>26</v>
      </c>
      <c r="D4" s="6" t="s">
        <v>30</v>
      </c>
      <c r="E4" s="6" t="s">
        <v>31</v>
      </c>
      <c r="F4" s="6" t="s">
        <v>32</v>
      </c>
      <c r="G4" s="6" t="s">
        <v>33</v>
      </c>
      <c r="H4" s="6" t="s">
        <v>36</v>
      </c>
    </row>
    <row r="5" spans="1:8" x14ac:dyDescent="0.25">
      <c r="A5" s="7">
        <v>1</v>
      </c>
      <c r="B5" s="7">
        <f>VLOOKUP(Data!$B$4 + Decrements!A5 - 1,IA95_97UltM,2)*Factor</f>
        <v>1.0710000000000001E-3</v>
      </c>
      <c r="C5" s="7">
        <f t="shared" ref="C5:C14" si="0">VLOOKUP(A5,lapse_rates,2)</f>
        <v>0.12</v>
      </c>
      <c r="D5" s="8">
        <v>1</v>
      </c>
      <c r="E5" s="8">
        <f>D5*B5</f>
        <v>1.0710000000000001E-3</v>
      </c>
      <c r="F5" s="8">
        <f>(D5-E5)*C5</f>
        <v>0.11987147999999999</v>
      </c>
      <c r="G5" s="8">
        <f>D5-E5-F5</f>
        <v>0.87905751999999993</v>
      </c>
      <c r="H5" s="8">
        <f>G5/D5</f>
        <v>0.87905751999999993</v>
      </c>
    </row>
    <row r="6" spans="1:8" x14ac:dyDescent="0.25">
      <c r="A6" s="7">
        <f>1+A5</f>
        <v>2</v>
      </c>
      <c r="B6" s="7">
        <f>VLOOKUP(Data!$B$4 + Decrements!A6 - 1,IA95_97UltM,2)*Factor</f>
        <v>1.1645E-3</v>
      </c>
      <c r="C6" s="7">
        <f t="shared" si="0"/>
        <v>0.12</v>
      </c>
      <c r="D6" s="8">
        <f>G5</f>
        <v>0.87905751999999993</v>
      </c>
      <c r="E6" s="8">
        <f>D6*B6</f>
        <v>1.0236624820399998E-3</v>
      </c>
      <c r="F6" s="8">
        <f>(D6-E6)*C6</f>
        <v>0.10536406290215519</v>
      </c>
      <c r="G6" s="8">
        <f>D6-E6-F6</f>
        <v>0.77266979461580476</v>
      </c>
      <c r="H6" s="8">
        <f t="shared" ref="H6:H14" si="1">G6/D6</f>
        <v>0.87897524000000005</v>
      </c>
    </row>
    <row r="7" spans="1:8" x14ac:dyDescent="0.25">
      <c r="A7" s="7">
        <f t="shared" ref="A7:A14" si="2">1+A6</f>
        <v>3</v>
      </c>
      <c r="B7" s="7">
        <f>VLOOKUP(Data!$B$4 + Decrements!A7 - 1,IA95_97UltM,2)*Factor</f>
        <v>1.2750000000000001E-3</v>
      </c>
      <c r="C7" s="7">
        <f t="shared" si="0"/>
        <v>0.1</v>
      </c>
      <c r="D7" s="8">
        <f t="shared" ref="D7:D14" si="3">G6</f>
        <v>0.77266979461580476</v>
      </c>
      <c r="E7" s="8">
        <f t="shared" ref="E7:E14" si="4">D7*B7</f>
        <v>9.8515398813515107E-4</v>
      </c>
      <c r="F7" s="8">
        <f t="shared" ref="F7:F14" si="5">(D7-E7)*C7</f>
        <v>7.7168464062766964E-2</v>
      </c>
      <c r="G7" s="8">
        <f t="shared" ref="G7:G14" si="6">D7-E7-F7</f>
        <v>0.69451617656490261</v>
      </c>
      <c r="H7" s="8">
        <f t="shared" si="1"/>
        <v>0.89885249999999994</v>
      </c>
    </row>
    <row r="8" spans="1:8" x14ac:dyDescent="0.25">
      <c r="A8" s="7">
        <f t="shared" si="2"/>
        <v>4</v>
      </c>
      <c r="B8" s="7">
        <f>VLOOKUP(Data!$B$4 + Decrements!A8 - 1,IA95_97UltM,2)*Factor</f>
        <v>1.4024999999999999E-3</v>
      </c>
      <c r="C8" s="7">
        <f t="shared" si="0"/>
        <v>0.1</v>
      </c>
      <c r="D8" s="8">
        <f t="shared" si="3"/>
        <v>0.69451617656490261</v>
      </c>
      <c r="E8" s="8">
        <f t="shared" si="4"/>
        <v>9.7405893763227583E-4</v>
      </c>
      <c r="F8" s="8">
        <f t="shared" si="5"/>
        <v>6.9354211762727033E-2</v>
      </c>
      <c r="G8" s="8">
        <f t="shared" si="6"/>
        <v>0.62418790586454331</v>
      </c>
      <c r="H8" s="8">
        <f t="shared" si="1"/>
        <v>0.89873775</v>
      </c>
    </row>
    <row r="9" spans="1:8" x14ac:dyDescent="0.25">
      <c r="A9" s="7">
        <f t="shared" si="2"/>
        <v>5</v>
      </c>
      <c r="B9" s="7">
        <f>VLOOKUP(Data!$B$4 + Decrements!A9 - 1,IA95_97UltM,2)*Factor</f>
        <v>1.5555E-3</v>
      </c>
      <c r="C9" s="7">
        <f t="shared" si="0"/>
        <v>0.1</v>
      </c>
      <c r="D9" s="8">
        <f t="shared" si="3"/>
        <v>0.62418790586454331</v>
      </c>
      <c r="E9" s="8">
        <f t="shared" si="4"/>
        <v>9.709242875722971E-4</v>
      </c>
      <c r="F9" s="8">
        <f t="shared" si="5"/>
        <v>6.2321698157697107E-2</v>
      </c>
      <c r="G9" s="8">
        <f t="shared" si="6"/>
        <v>0.56089528341927397</v>
      </c>
      <c r="H9" s="8">
        <f t="shared" si="1"/>
        <v>0.89860005000000009</v>
      </c>
    </row>
    <row r="10" spans="1:8" x14ac:dyDescent="0.25">
      <c r="A10" s="7">
        <f t="shared" si="2"/>
        <v>6</v>
      </c>
      <c r="B10" s="7">
        <f>VLOOKUP(Data!$B$4 + Decrements!A10 - 1,IA95_97UltM,2)*Factor</f>
        <v>1.7255E-3</v>
      </c>
      <c r="C10" s="7">
        <f t="shared" si="0"/>
        <v>0.1</v>
      </c>
      <c r="D10" s="8">
        <f t="shared" si="3"/>
        <v>0.56089528341927397</v>
      </c>
      <c r="E10" s="8">
        <f t="shared" si="4"/>
        <v>9.6782481153995725E-4</v>
      </c>
      <c r="F10" s="8">
        <f t="shared" si="5"/>
        <v>5.59927458607734E-2</v>
      </c>
      <c r="G10" s="8">
        <f t="shared" si="6"/>
        <v>0.50393471274696056</v>
      </c>
      <c r="H10" s="8">
        <f t="shared" si="1"/>
        <v>0.89844704999999991</v>
      </c>
    </row>
    <row r="11" spans="1:8" x14ac:dyDescent="0.25">
      <c r="A11" s="7">
        <f t="shared" si="2"/>
        <v>7</v>
      </c>
      <c r="B11" s="7">
        <f>VLOOKUP(Data!$B$4 + Decrements!A11 - 1,IA95_97UltM,2)*Factor</f>
        <v>1.9209999999999997E-3</v>
      </c>
      <c r="C11" s="7">
        <f t="shared" si="0"/>
        <v>0.1</v>
      </c>
      <c r="D11" s="8">
        <f t="shared" si="3"/>
        <v>0.50393471274696056</v>
      </c>
      <c r="E11" s="8">
        <f t="shared" si="4"/>
        <v>9.6805858318691114E-4</v>
      </c>
      <c r="F11" s="8">
        <f t="shared" si="5"/>
        <v>5.0296665416377367E-2</v>
      </c>
      <c r="G11" s="8">
        <f t="shared" si="6"/>
        <v>0.45266998874739628</v>
      </c>
      <c r="H11" s="8">
        <f t="shared" si="1"/>
        <v>0.89827109999999999</v>
      </c>
    </row>
    <row r="12" spans="1:8" x14ac:dyDescent="0.25">
      <c r="A12" s="7">
        <f t="shared" si="2"/>
        <v>8</v>
      </c>
      <c r="B12" s="7">
        <f>VLOOKUP(Data!$B$4 + Decrements!A12 - 1,IA95_97UltM,2)*Factor</f>
        <v>2.1420000000000002E-3</v>
      </c>
      <c r="C12" s="7">
        <f t="shared" si="0"/>
        <v>0.1</v>
      </c>
      <c r="D12" s="8">
        <f t="shared" si="3"/>
        <v>0.45266998874739628</v>
      </c>
      <c r="E12" s="8">
        <f t="shared" si="4"/>
        <v>9.6961911589692293E-4</v>
      </c>
      <c r="F12" s="8">
        <f t="shared" si="5"/>
        <v>4.5170036963149938E-2</v>
      </c>
      <c r="G12" s="8">
        <f t="shared" si="6"/>
        <v>0.40653033266834943</v>
      </c>
      <c r="H12" s="8">
        <f t="shared" si="1"/>
        <v>0.89807219999999999</v>
      </c>
    </row>
    <row r="13" spans="1:8" x14ac:dyDescent="0.25">
      <c r="A13" s="7">
        <f t="shared" si="2"/>
        <v>9</v>
      </c>
      <c r="B13" s="7">
        <f>VLOOKUP(Data!$B$4 + Decrements!A13 - 1,IA95_97UltM,2)*Factor</f>
        <v>2.3969999999999998E-3</v>
      </c>
      <c r="C13" s="7">
        <f t="shared" si="0"/>
        <v>0.1</v>
      </c>
      <c r="D13" s="8">
        <f t="shared" si="3"/>
        <v>0.40653033266834943</v>
      </c>
      <c r="E13" s="8">
        <f t="shared" si="4"/>
        <v>9.7445320740603355E-4</v>
      </c>
      <c r="F13" s="8">
        <f t="shared" si="5"/>
        <v>4.0555587946094346E-2</v>
      </c>
      <c r="G13" s="8">
        <f t="shared" si="6"/>
        <v>0.36500029151484903</v>
      </c>
      <c r="H13" s="8">
        <f t="shared" si="1"/>
        <v>0.89784269999999999</v>
      </c>
    </row>
    <row r="14" spans="1:8" x14ac:dyDescent="0.25">
      <c r="A14" s="7">
        <f t="shared" si="2"/>
        <v>10</v>
      </c>
      <c r="B14" s="7">
        <f>VLOOKUP(Data!$B$4 + Decrements!A14 - 1,IA95_97UltM,2)*Factor</f>
        <v>2.6774999999999998E-3</v>
      </c>
      <c r="C14" s="7">
        <f t="shared" si="0"/>
        <v>0.1</v>
      </c>
      <c r="D14" s="8">
        <f t="shared" si="3"/>
        <v>0.36500029151484903</v>
      </c>
      <c r="E14" s="8">
        <f t="shared" si="4"/>
        <v>9.7728828053100813E-4</v>
      </c>
      <c r="F14" s="8">
        <f t="shared" si="5"/>
        <v>3.6402300323431801E-2</v>
      </c>
      <c r="G14" s="8">
        <f t="shared" si="6"/>
        <v>0.32762070291088624</v>
      </c>
      <c r="H14" s="8">
        <f t="shared" si="1"/>
        <v>0.89759025000000003</v>
      </c>
    </row>
    <row r="16" spans="1:8" x14ac:dyDescent="0.25">
      <c r="A16" s="2" t="s">
        <v>64</v>
      </c>
      <c r="B16" s="2"/>
      <c r="C16" s="2" t="s">
        <v>34</v>
      </c>
      <c r="D16" s="2"/>
      <c r="E16" s="2"/>
      <c r="F16" s="2"/>
    </row>
    <row r="17" spans="1:6" x14ac:dyDescent="0.25">
      <c r="A17" s="2"/>
      <c r="B17" s="2"/>
      <c r="C17" s="2" t="s">
        <v>35</v>
      </c>
      <c r="D17" s="2"/>
      <c r="E17" s="2"/>
      <c r="F17" s="2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46"/>
  <sheetViews>
    <sheetView tabSelected="1" zoomScaleNormal="100" workbookViewId="0">
      <selection activeCell="U20" sqref="U20"/>
    </sheetView>
  </sheetViews>
  <sheetFormatPr defaultRowHeight="13.5" x14ac:dyDescent="0.25"/>
  <cols>
    <col min="1" max="2" width="9.140625" style="2"/>
    <col min="3" max="3" width="11.140625" style="2" customWidth="1"/>
    <col min="4" max="5" width="9.140625" style="2"/>
    <col min="6" max="6" width="11.85546875" style="2" customWidth="1"/>
    <col min="7" max="7" width="13.42578125" style="2" customWidth="1"/>
    <col min="8" max="8" width="11.85546875" style="2" customWidth="1"/>
    <col min="9" max="9" width="11.140625" style="2" customWidth="1"/>
    <col min="10" max="10" width="10.85546875" style="2" customWidth="1"/>
    <col min="11" max="16" width="9.140625" style="2"/>
    <col min="17" max="17" width="13.28515625" style="2" customWidth="1"/>
    <col min="18" max="18" width="12.42578125" style="2" customWidth="1"/>
    <col min="19" max="16384" width="9.140625" style="2"/>
  </cols>
  <sheetData>
    <row r="1" spans="2:23" x14ac:dyDescent="0.25">
      <c r="M1" s="97" t="s">
        <v>88</v>
      </c>
      <c r="N1" s="98" t="s">
        <v>89</v>
      </c>
      <c r="O1" s="98"/>
      <c r="P1" s="98"/>
      <c r="Q1" s="2" t="s">
        <v>72</v>
      </c>
      <c r="R1" s="45">
        <f>-P4/Q4</f>
        <v>0.10002469497597079</v>
      </c>
    </row>
    <row r="2" spans="2:23" x14ac:dyDescent="0.25">
      <c r="N2" s="99" t="s">
        <v>90</v>
      </c>
      <c r="O2" s="100" t="s">
        <v>91</v>
      </c>
      <c r="P2" s="101"/>
    </row>
    <row r="3" spans="2:23" ht="41.25" customHeight="1" x14ac:dyDescent="0.25">
      <c r="B3" s="81" t="s">
        <v>43</v>
      </c>
      <c r="C3" s="82"/>
      <c r="D3" s="82"/>
      <c r="E3" s="82"/>
      <c r="F3" s="82"/>
      <c r="G3" s="82"/>
      <c r="H3" s="82"/>
      <c r="M3" s="102" t="s">
        <v>25</v>
      </c>
      <c r="N3" s="6" t="s">
        <v>89</v>
      </c>
      <c r="O3" s="103" t="s">
        <v>92</v>
      </c>
      <c r="P3" s="6" t="s">
        <v>89</v>
      </c>
      <c r="Q3" s="122" t="s">
        <v>71</v>
      </c>
      <c r="R3" s="118" t="s">
        <v>94</v>
      </c>
      <c r="S3" s="122" t="s">
        <v>74</v>
      </c>
      <c r="T3" s="119" t="s">
        <v>75</v>
      </c>
      <c r="U3" s="119" t="s">
        <v>60</v>
      </c>
      <c r="V3" s="119" t="s">
        <v>41</v>
      </c>
    </row>
    <row r="4" spans="2:23" ht="56.25" customHeight="1" x14ac:dyDescent="0.25">
      <c r="B4" s="32" t="s">
        <v>25</v>
      </c>
      <c r="C4" s="33" t="s">
        <v>44</v>
      </c>
      <c r="D4" s="33" t="s">
        <v>45</v>
      </c>
      <c r="E4" s="33" t="s">
        <v>46</v>
      </c>
      <c r="F4" s="33" t="s">
        <v>47</v>
      </c>
      <c r="G4" s="33" t="s">
        <v>62</v>
      </c>
      <c r="H4" s="33" t="s">
        <v>48</v>
      </c>
      <c r="M4" s="104">
        <v>0</v>
      </c>
      <c r="N4" s="105">
        <f>NPV(Discount_rate,D5:$D$14)*(1+Discount_rate)+NPV(Discount_rate,E5:$E$14)-NPV(Discount_rate,C5:$C$14)*(1+Discount_rate)</f>
        <v>-542.26820031781608</v>
      </c>
      <c r="O4" s="106"/>
      <c r="P4" s="107">
        <f>-NPV(Discount_rate,O5:$O$14)</f>
        <v>-542.26820031781756</v>
      </c>
      <c r="Q4" s="105">
        <f>NPV(Discount_rate,$C5:C$15)*(1+Discount_rate)</f>
        <v>5421.3432037767088</v>
      </c>
      <c r="R4" s="113">
        <f t="shared" ref="R4:R14" si="0">Q4*$R$1</f>
        <v>542.26820031781756</v>
      </c>
      <c r="S4" s="105">
        <f>R4+P4</f>
        <v>0</v>
      </c>
      <c r="T4" s="114"/>
      <c r="U4" s="114"/>
      <c r="V4" s="114"/>
      <c r="W4" s="123" t="s">
        <v>93</v>
      </c>
    </row>
    <row r="5" spans="2:23" x14ac:dyDescent="0.25">
      <c r="B5" s="7">
        <f>1</f>
        <v>1</v>
      </c>
      <c r="C5" s="21">
        <f>Annual_premium</f>
        <v>960.12000000000012</v>
      </c>
      <c r="D5" s="21">
        <f>Initial_expense+Initial_comm_rate*Annual_premium</f>
        <v>262.024</v>
      </c>
      <c r="E5" s="21">
        <f>Sum_Insured*VLOOKUP(Age+B5-1,IA95_97UltM,2)*Factor</f>
        <v>428.4</v>
      </c>
      <c r="F5" s="21">
        <f>C5-D5-E5</f>
        <v>269.69600000000014</v>
      </c>
      <c r="G5" s="21">
        <f>(C5-D5)*Investment_rate</f>
        <v>20.942880000000002</v>
      </c>
      <c r="H5" s="21">
        <f>F5+G5</f>
        <v>290.63888000000014</v>
      </c>
      <c r="M5" s="108">
        <f>1+M4</f>
        <v>1</v>
      </c>
      <c r="N5" s="105">
        <f>NPV(Discount_rate,D6:$D$14)*(1+Discount_rate)+NPV(Discount_rate,E6:$E$14)-NPV(Discount_rate,C6:$C$14)*(1+Discount_rate)</f>
        <v>-267.89736632735185</v>
      </c>
      <c r="O5" s="109">
        <f t="shared" ref="O5:O14" si="1">F5+(C5-D5)*Investment_rate</f>
        <v>290.63888000000014</v>
      </c>
      <c r="P5" s="107">
        <f>-NPV(Discount_rate,O6:$O$14)</f>
        <v>-267.89736632735207</v>
      </c>
      <c r="Q5" s="105">
        <f>NPV(Discount_rate,$C6:C$15)*(1+Discount_rate)</f>
        <v>4595.0598998900114</v>
      </c>
      <c r="R5" s="113">
        <f t="shared" si="0"/>
        <v>459.61946488281325</v>
      </c>
      <c r="S5" s="105">
        <f t="shared" ref="S5:S14" si="2">R5+P5</f>
        <v>191.72209855546117</v>
      </c>
      <c r="T5" s="107">
        <f>S5-S4</f>
        <v>191.72209855546117</v>
      </c>
      <c r="U5" s="120">
        <f>(C5-D5+S4)*Investment_rate</f>
        <v>20.942880000000002</v>
      </c>
      <c r="V5" s="115">
        <f>F5+U5-T5</f>
        <v>98.916781444538969</v>
      </c>
      <c r="W5" s="124">
        <f>V5/C5/(1+Discount_rate)</f>
        <v>0.1000246949759708</v>
      </c>
    </row>
    <row r="6" spans="2:23" x14ac:dyDescent="0.25">
      <c r="B6" s="7">
        <f>1+B5</f>
        <v>2</v>
      </c>
      <c r="C6" s="21">
        <f t="shared" ref="C6:C14" si="3">C5*VLOOKUP(B5,Decrement,8)</f>
        <v>844.00070610240004</v>
      </c>
      <c r="D6" s="21">
        <f t="shared" ref="D6:D14" si="4">Renewal_expense*(1+Inflation)^(B6-2)*VLOOKUP(B5,Decrement,7) + Renewal_comm_rate*C6</f>
        <v>230.33416762048</v>
      </c>
      <c r="E6" s="21">
        <f t="shared" ref="E6:E14" si="5">Sum_Insured*VLOOKUP(Age+B6-1,IA95_97UltM,2)*Factor*VLOOKUP(B5,Decrement,7)</f>
        <v>409.46499281599995</v>
      </c>
      <c r="F6" s="21">
        <f t="shared" ref="F6:F14" si="6">C6-D6-E6</f>
        <v>204.20154566592009</v>
      </c>
      <c r="G6" s="21">
        <f t="shared" ref="G6:G14" si="7">(H5+C6-D6)*Investment_rate</f>
        <v>27.129162554457608</v>
      </c>
      <c r="H6" s="21">
        <f>H5+F6+G6</f>
        <v>521.96958822037789</v>
      </c>
      <c r="M6" s="108">
        <f t="shared" ref="M6:M14" si="8">1+M5</f>
        <v>2</v>
      </c>
      <c r="N6" s="105">
        <f>NPV(Discount_rate,D7:$D$14)*(1+Discount_rate)+NPV(Discount_rate,E7:$E$14)-NPV(Discount_rate,C7:$C$14)*(1+Discount_rate)</f>
        <v>-53.322745496795051</v>
      </c>
      <c r="O6" s="109">
        <f t="shared" si="1"/>
        <v>222.61154182037768</v>
      </c>
      <c r="P6" s="107">
        <f>-NPV(Discount_rate,O7:$O$14)</f>
        <v>-53.322745496794987</v>
      </c>
      <c r="Q6" s="105">
        <f>NPV(Discount_rate,$C7:C$15)*(1+Discount_rate)</f>
        <v>3863.5909696012395</v>
      </c>
      <c r="R6" s="113">
        <f t="shared" si="0"/>
        <v>386.4545082462792</v>
      </c>
      <c r="S6" s="105">
        <f t="shared" si="2"/>
        <v>333.13176274948421</v>
      </c>
      <c r="T6" s="107">
        <f t="shared" ref="T6:T14" si="9">S6-S5</f>
        <v>141.40966419402304</v>
      </c>
      <c r="U6" s="120">
        <f>(C6-D6+S5)*Investment_rate</f>
        <v>24.161659111121434</v>
      </c>
      <c r="V6" s="115">
        <f t="shared" ref="V6:V14" si="10">F6+U6-T6</f>
        <v>86.95354058301848</v>
      </c>
      <c r="W6" s="124">
        <f>V6/C6/(1+Discount_rate)</f>
        <v>0.10002469497597084</v>
      </c>
    </row>
    <row r="7" spans="2:23" x14ac:dyDescent="0.25">
      <c r="B7" s="7">
        <f t="shared" ref="B7:B14" si="11">1+B6</f>
        <v>3</v>
      </c>
      <c r="C7" s="21">
        <f t="shared" si="3"/>
        <v>741.85572320652659</v>
      </c>
      <c r="D7" s="21">
        <f t="shared" si="4"/>
        <v>203.5397679768738</v>
      </c>
      <c r="E7" s="21">
        <f t="shared" si="5"/>
        <v>394.06159525406042</v>
      </c>
      <c r="F7" s="21">
        <f t="shared" si="6"/>
        <v>144.25435997559237</v>
      </c>
      <c r="G7" s="21">
        <f t="shared" si="7"/>
        <v>31.808566303500918</v>
      </c>
      <c r="H7" s="21">
        <f t="shared" ref="H7:H13" si="12">H6+F7+G7</f>
        <v>698.03251449947118</v>
      </c>
      <c r="M7" s="108">
        <f t="shared" si="8"/>
        <v>3</v>
      </c>
      <c r="N7" s="105">
        <f>NPV(Discount_rate,D8:$D$14)*(1+Discount_rate)+NPV(Discount_rate,E8:$E$14)-NPV(Discount_rate,C8:$C$14)*(1+Discount_rate)</f>
        <v>105.48141077078344</v>
      </c>
      <c r="O7" s="109">
        <f t="shared" si="1"/>
        <v>160.40383863248195</v>
      </c>
      <c r="P7" s="107">
        <f>-NPV(Discount_rate,O8:$O$14)</f>
        <v>105.48141077078323</v>
      </c>
      <c r="Q7" s="105">
        <f>NPV(Discount_rate,$C8:C$15)*(1+Discount_rate)</f>
        <v>3215.3873037865546</v>
      </c>
      <c r="R7" s="113">
        <f t="shared" si="0"/>
        <v>321.61813429085925</v>
      </c>
      <c r="S7" s="105">
        <f t="shared" si="2"/>
        <v>427.09954506164246</v>
      </c>
      <c r="T7" s="107">
        <f t="shared" si="9"/>
        <v>93.967782312158249</v>
      </c>
      <c r="U7" s="120">
        <f>(C7-D7+S6)*Investment_rate</f>
        <v>26.143431539374109</v>
      </c>
      <c r="V7" s="115">
        <f t="shared" si="10"/>
        <v>76.430009202808236</v>
      </c>
      <c r="W7" s="124">
        <f>V7/C7/(1+Discount_rate)</f>
        <v>0.10002469497597062</v>
      </c>
    </row>
    <row r="8" spans="2:23" x14ac:dyDescent="0.25">
      <c r="B8" s="7">
        <f t="shared" si="11"/>
        <v>4</v>
      </c>
      <c r="C8" s="21">
        <f t="shared" si="3"/>
        <v>666.81887144349434</v>
      </c>
      <c r="D8" s="21">
        <f t="shared" si="4"/>
        <v>183.94399839556758</v>
      </c>
      <c r="E8" s="21">
        <f t="shared" si="5"/>
        <v>389.62357505291038</v>
      </c>
      <c r="F8" s="21">
        <f t="shared" si="6"/>
        <v>93.251297995016387</v>
      </c>
      <c r="G8" s="21">
        <f t="shared" si="7"/>
        <v>35.427221626421932</v>
      </c>
      <c r="H8" s="21">
        <f t="shared" si="12"/>
        <v>826.71103412090952</v>
      </c>
      <c r="M8" s="108">
        <f t="shared" si="8"/>
        <v>4</v>
      </c>
      <c r="N8" s="105">
        <f>NPV(Discount_rate,D9:$D$14)*(1+Discount_rate)+NPV(Discount_rate,E9:$E$14)-NPV(Discount_rate,C9:$C$14)*(1+Discount_rate)</f>
        <v>216.3833972803609</v>
      </c>
      <c r="O8" s="109">
        <f t="shared" si="1"/>
        <v>107.73754418645419</v>
      </c>
      <c r="P8" s="107">
        <f>-NPV(Discount_rate,O9:$O$14)</f>
        <v>216.3833972803609</v>
      </c>
      <c r="Q8" s="105">
        <f>NPV(Discount_rate,$C9:C$15)*(1+Discount_rate)</f>
        <v>2625.0254853133524</v>
      </c>
      <c r="R8" s="113">
        <f t="shared" si="0"/>
        <v>262.56737347261776</v>
      </c>
      <c r="S8" s="105">
        <f t="shared" si="2"/>
        <v>478.95077075297866</v>
      </c>
      <c r="T8" s="107">
        <f t="shared" si="9"/>
        <v>51.851225691336197</v>
      </c>
      <c r="U8" s="120">
        <f>(C8-D8+S7)*Investment_rate</f>
        <v>27.299232543287076</v>
      </c>
      <c r="V8" s="115">
        <f t="shared" si="10"/>
        <v>68.699304846967266</v>
      </c>
      <c r="W8" s="124">
        <f>V8/C8/(1+Discount_rate)</f>
        <v>0.10002469497597075</v>
      </c>
    </row>
    <row r="9" spans="2:23" x14ac:dyDescent="0.25">
      <c r="B9" s="7">
        <f t="shared" si="11"/>
        <v>5</v>
      </c>
      <c r="C9" s="21">
        <f t="shared" si="3"/>
        <v>599.29529217866536</v>
      </c>
      <c r="D9" s="21">
        <f t="shared" si="4"/>
        <v>166.2265823802021</v>
      </c>
      <c r="E9" s="21">
        <f t="shared" si="5"/>
        <v>388.36971502891879</v>
      </c>
      <c r="F9" s="21">
        <f t="shared" si="6"/>
        <v>44.69899476954447</v>
      </c>
      <c r="G9" s="21">
        <f t="shared" si="7"/>
        <v>37.79339231758118</v>
      </c>
      <c r="H9" s="21">
        <f t="shared" si="12"/>
        <v>909.20342120803514</v>
      </c>
      <c r="M9" s="108">
        <f t="shared" si="8"/>
        <v>5</v>
      </c>
      <c r="N9" s="105">
        <f>NPV(Discount_rate,D10:$D$14)*(1+Discount_rate)+NPV(Discount_rate,E10:$E$14)-NPV(Discount_rate,C10:$C$14)*(1+Discount_rate)</f>
        <v>280.56595526227011</v>
      </c>
      <c r="O9" s="109">
        <f t="shared" si="1"/>
        <v>57.691056063498365</v>
      </c>
      <c r="P9" s="107">
        <f>-NPV(Discount_rate,O10:$O$14)</f>
        <v>280.56595526227005</v>
      </c>
      <c r="Q9" s="105">
        <f>NPV(Discount_rate,$C10:C$15)*(1+Discount_rate)</f>
        <v>2086.5020989287273</v>
      </c>
      <c r="R9" s="113">
        <f t="shared" si="0"/>
        <v>208.70173601206878</v>
      </c>
      <c r="S9" s="105">
        <f t="shared" si="2"/>
        <v>489.26769127433886</v>
      </c>
      <c r="T9" s="107">
        <f t="shared" si="9"/>
        <v>10.316920521360203</v>
      </c>
      <c r="U9" s="120">
        <f>(C9-D9+S8)*Investment_rate</f>
        <v>27.360584416543258</v>
      </c>
      <c r="V9" s="115">
        <f t="shared" si="10"/>
        <v>61.742658664727529</v>
      </c>
      <c r="W9" s="124">
        <f>V9/C9/(1+Discount_rate)</f>
        <v>0.10002469497597086</v>
      </c>
    </row>
    <row r="10" spans="2:23" x14ac:dyDescent="0.25">
      <c r="B10" s="7">
        <f t="shared" si="11"/>
        <v>6</v>
      </c>
      <c r="C10" s="21">
        <f t="shared" si="3"/>
        <v>538.52677951651333</v>
      </c>
      <c r="D10" s="21">
        <f t="shared" si="4"/>
        <v>150.20453242487628</v>
      </c>
      <c r="E10" s="21">
        <f t="shared" si="5"/>
        <v>387.12992461598287</v>
      </c>
      <c r="F10" s="21">
        <f t="shared" si="6"/>
        <v>1.1923224756541799</v>
      </c>
      <c r="G10" s="21">
        <f t="shared" si="7"/>
        <v>38.925770048990159</v>
      </c>
      <c r="H10" s="21">
        <f t="shared" si="12"/>
        <v>949.32151373267948</v>
      </c>
      <c r="M10" s="108">
        <f t="shared" si="8"/>
        <v>6</v>
      </c>
      <c r="N10" s="105">
        <f>NPV(Discount_rate,D11:$D$14)*(1+Discount_rate)+NPV(Discount_rate,E11:$E$14)-NPV(Discount_rate,C11:$C$14)*(1+Discount_rate)</f>
        <v>301.82492380854137</v>
      </c>
      <c r="O10" s="109">
        <f t="shared" si="1"/>
        <v>12.84198988840329</v>
      </c>
      <c r="P10" s="107">
        <f>-NPV(Discount_rate,O11:$O$14)</f>
        <v>301.82492380854143</v>
      </c>
      <c r="Q10" s="105">
        <f>NPV(Discount_rate,$C11:C$15)*(1+Discount_rate)</f>
        <v>1594.4145789945806</v>
      </c>
      <c r="R10" s="113">
        <f t="shared" si="0"/>
        <v>159.4808319291738</v>
      </c>
      <c r="S10" s="105">
        <f t="shared" si="2"/>
        <v>461.30575573771523</v>
      </c>
      <c r="T10" s="107">
        <f t="shared" si="9"/>
        <v>-27.961935536623628</v>
      </c>
      <c r="U10" s="120">
        <f>(C10-D10+S9)*Investment_rate</f>
        <v>26.327698150979277</v>
      </c>
      <c r="V10" s="115">
        <f t="shared" si="10"/>
        <v>55.481956163257081</v>
      </c>
      <c r="W10" s="124">
        <f>V10/C10/(1+Discount_rate)</f>
        <v>0.10002469497597084</v>
      </c>
    </row>
    <row r="11" spans="2:23" x14ac:dyDescent="0.25">
      <c r="B11" s="7">
        <f t="shared" si="11"/>
        <v>7</v>
      </c>
      <c r="C11" s="21">
        <f t="shared" si="3"/>
        <v>483.83779640261179</v>
      </c>
      <c r="D11" s="21">
        <f t="shared" si="4"/>
        <v>135.71448424922414</v>
      </c>
      <c r="E11" s="21">
        <f t="shared" si="5"/>
        <v>387.22343327476443</v>
      </c>
      <c r="F11" s="21">
        <f t="shared" si="6"/>
        <v>-39.100121121376787</v>
      </c>
      <c r="G11" s="21">
        <f t="shared" si="7"/>
        <v>38.923344776582013</v>
      </c>
      <c r="H11" s="21">
        <f t="shared" si="12"/>
        <v>949.14473738788467</v>
      </c>
      <c r="M11" s="108">
        <f t="shared" si="8"/>
        <v>7</v>
      </c>
      <c r="N11" s="105">
        <f>NPV(Discount_rate,D12:$D$14)*(1+Discount_rate)+NPV(Discount_rate,E12:$E$14)-NPV(Discount_rate,C12:$C$14)*(1+Discount_rate)</f>
        <v>282.22324976602249</v>
      </c>
      <c r="O11" s="109">
        <f t="shared" si="1"/>
        <v>-28.65642175677516</v>
      </c>
      <c r="P11" s="107">
        <f>-NPV(Discount_rate,O12:$O$14)</f>
        <v>282.22324976602255</v>
      </c>
      <c r="Q11" s="105">
        <f>NPV(Discount_rate,$C12:C$15)*(1+Discount_rate)</f>
        <v>1143.8940860697278</v>
      </c>
      <c r="R11" s="113">
        <f t="shared" si="0"/>
        <v>114.4176570439414</v>
      </c>
      <c r="S11" s="105">
        <f t="shared" si="2"/>
        <v>396.64090680996395</v>
      </c>
      <c r="T11" s="107">
        <f t="shared" si="9"/>
        <v>-64.664848927751279</v>
      </c>
      <c r="U11" s="120">
        <f>(C11-D11+S10)*Investment_rate</f>
        <v>24.282872036733089</v>
      </c>
      <c r="V11" s="115">
        <f t="shared" si="10"/>
        <v>49.847599843107581</v>
      </c>
      <c r="W11" s="124">
        <f>V11/C11/(1+Discount_rate)</f>
        <v>0.10002469497597072</v>
      </c>
    </row>
    <row r="12" spans="2:23" x14ac:dyDescent="0.25">
      <c r="B12" s="7">
        <f t="shared" si="11"/>
        <v>8</v>
      </c>
      <c r="C12" s="21">
        <f t="shared" si="3"/>
        <v>434.61750959615011</v>
      </c>
      <c r="D12" s="21">
        <f t="shared" si="4"/>
        <v>122.60809699514832</v>
      </c>
      <c r="E12" s="21">
        <f t="shared" si="5"/>
        <v>387.84764635876911</v>
      </c>
      <c r="F12" s="21">
        <f t="shared" si="6"/>
        <v>-75.838233757767284</v>
      </c>
      <c r="G12" s="21">
        <f t="shared" si="7"/>
        <v>37.834624499666596</v>
      </c>
      <c r="H12" s="21">
        <f t="shared" si="12"/>
        <v>911.14112812978397</v>
      </c>
      <c r="M12" s="108">
        <f t="shared" si="8"/>
        <v>8</v>
      </c>
      <c r="N12" s="105">
        <f>NPV(Discount_rate,D13:$D$14)*(1+Discount_rate)+NPV(Discount_rate,E13:$E$14)-NPV(Discount_rate,C13:$C$14)*(1+Discount_rate)</f>
        <v>224.21199587926594</v>
      </c>
      <c r="O12" s="109">
        <f t="shared" si="1"/>
        <v>-66.477951379737235</v>
      </c>
      <c r="P12" s="107">
        <f>-NPV(Discount_rate,O13:$O$14)</f>
        <v>224.21199587926603</v>
      </c>
      <c r="Q12" s="105">
        <f>NPV(Discount_rate,$C13:C$15)*(1+Discount_rate)</f>
        <v>730.55487376778501</v>
      </c>
      <c r="R12" s="113">
        <f t="shared" si="0"/>
        <v>73.073528411831532</v>
      </c>
      <c r="S12" s="105">
        <f t="shared" si="2"/>
        <v>297.28552429109754</v>
      </c>
      <c r="T12" s="107">
        <f t="shared" si="9"/>
        <v>-99.355382518866406</v>
      </c>
      <c r="U12" s="120">
        <f>(C12-D12+S11)*Investment_rate</f>
        <v>21.25950958232897</v>
      </c>
      <c r="V12" s="115">
        <f t="shared" si="10"/>
        <v>44.776658343428096</v>
      </c>
      <c r="W12" s="124">
        <f>V12/C12/(1+Discount_rate)</f>
        <v>0.10002469497597077</v>
      </c>
    </row>
    <row r="13" spans="2:23" x14ac:dyDescent="0.25">
      <c r="B13" s="7">
        <f t="shared" si="11"/>
        <v>9</v>
      </c>
      <c r="C13" s="21">
        <f t="shared" si="3"/>
        <v>390.31790300153563</v>
      </c>
      <c r="D13" s="21">
        <f t="shared" si="4"/>
        <v>110.751870262365</v>
      </c>
      <c r="E13" s="21">
        <f t="shared" si="5"/>
        <v>389.7812829624134</v>
      </c>
      <c r="F13" s="21">
        <f t="shared" si="6"/>
        <v>-110.21525022324278</v>
      </c>
      <c r="G13" s="21">
        <f t="shared" si="7"/>
        <v>35.721214826068639</v>
      </c>
      <c r="H13" s="21">
        <f t="shared" si="12"/>
        <v>836.64709273260985</v>
      </c>
      <c r="J13" s="9"/>
      <c r="K13" s="22"/>
      <c r="L13" s="22"/>
      <c r="M13" s="108">
        <f t="shared" si="8"/>
        <v>9</v>
      </c>
      <c r="N13" s="105">
        <f>NPV(Discount_rate,D14:$D$14)*(1+Discount_rate)+NPV(Discount_rate,E14:$E$14)-NPV(Discount_rate,C14:$C$14)*(1+Discount_rate)</f>
        <v>129.11008651457632</v>
      </c>
      <c r="O13" s="109">
        <f t="shared" si="1"/>
        <v>-101.82826924106766</v>
      </c>
      <c r="P13" s="107">
        <f>-NPV(Discount_rate,O14:$O$14)</f>
        <v>129.11008651457635</v>
      </c>
      <c r="Q13" s="105">
        <f>NPV(Discount_rate,$C14:C$15)*(1+Discount_rate)</f>
        <v>350.44407988923683</v>
      </c>
      <c r="R13" s="113">
        <f t="shared" si="0"/>
        <v>35.053062197055652</v>
      </c>
      <c r="S13" s="105">
        <f t="shared" si="2"/>
        <v>164.163148711632</v>
      </c>
      <c r="T13" s="107">
        <f t="shared" si="9"/>
        <v>-133.12237557946554</v>
      </c>
      <c r="U13" s="120">
        <f>(C13-D13+S12)*Investment_rate</f>
        <v>17.305546710908043</v>
      </c>
      <c r="V13" s="115">
        <f t="shared" si="10"/>
        <v>40.212672067130811</v>
      </c>
      <c r="W13" s="124">
        <f>V13/C13/(1+Discount_rate)</f>
        <v>0.10002469497597075</v>
      </c>
    </row>
    <row r="14" spans="2:23" x14ac:dyDescent="0.25">
      <c r="B14" s="7">
        <f t="shared" si="11"/>
        <v>10</v>
      </c>
      <c r="C14" s="21">
        <f t="shared" si="3"/>
        <v>350.44407988923683</v>
      </c>
      <c r="D14" s="21">
        <f t="shared" si="4"/>
        <v>100.02473707138279</v>
      </c>
      <c r="E14" s="21">
        <f t="shared" si="5"/>
        <v>390.91531221240331</v>
      </c>
      <c r="F14" s="21">
        <f t="shared" si="6"/>
        <v>-140.49596939454926</v>
      </c>
      <c r="G14" s="21">
        <f t="shared" si="7"/>
        <v>32.611993066513918</v>
      </c>
      <c r="H14" s="21">
        <f>H13+F14+G14</f>
        <v>728.76311640457459</v>
      </c>
      <c r="M14" s="108">
        <f t="shared" si="8"/>
        <v>10</v>
      </c>
      <c r="N14" s="110"/>
      <c r="O14" s="111">
        <f t="shared" si="1"/>
        <v>-132.98338911001363</v>
      </c>
      <c r="P14" s="112"/>
      <c r="Q14" s="110">
        <f>NPV(Discount_rate,$C15:C$15)*(1+Discount_rate)</f>
        <v>0</v>
      </c>
      <c r="R14" s="116">
        <f t="shared" si="0"/>
        <v>0</v>
      </c>
      <c r="S14" s="110">
        <f t="shared" si="2"/>
        <v>0</v>
      </c>
      <c r="T14" s="112">
        <f t="shared" si="9"/>
        <v>-164.163148711632</v>
      </c>
      <c r="U14" s="121">
        <f>(C14-D14+S13)*Investment_rate</f>
        <v>12.437474745884581</v>
      </c>
      <c r="V14" s="117">
        <f t="shared" si="10"/>
        <v>36.104654062967313</v>
      </c>
      <c r="W14" s="124">
        <f>V14/C14/(1+Discount_rate)</f>
        <v>0.10002469497597076</v>
      </c>
    </row>
    <row r="15" spans="2:23" x14ac:dyDescent="0.25">
      <c r="M15" s="125" t="s">
        <v>93</v>
      </c>
      <c r="N15" s="126">
        <f>SUM(N4:N14)-SUM('Liability and profit'!B6:B16)</f>
        <v>3.4106051316484809E-12</v>
      </c>
      <c r="O15" s="127"/>
      <c r="P15" s="127"/>
      <c r="Q15" s="127"/>
      <c r="R15" s="127"/>
      <c r="S15" s="127"/>
      <c r="T15" s="127"/>
      <c r="U15" s="127"/>
      <c r="V15" s="126">
        <f>SUM(V4:V14)-SUM('Liability and profit'!H7:H16)</f>
        <v>0</v>
      </c>
      <c r="W15" s="127"/>
    </row>
    <row r="16" spans="2:23" x14ac:dyDescent="0.25">
      <c r="M16" s="125"/>
      <c r="N16" s="126"/>
      <c r="O16" s="127"/>
      <c r="P16" s="127"/>
      <c r="Q16" s="127"/>
      <c r="R16" s="127"/>
      <c r="S16" s="127"/>
      <c r="T16" s="127"/>
      <c r="U16" s="127"/>
      <c r="V16" s="126"/>
      <c r="W16" s="127"/>
    </row>
    <row r="17" spans="2:22" x14ac:dyDescent="0.25">
      <c r="M17" s="97" t="s">
        <v>88</v>
      </c>
      <c r="N17" s="98" t="s">
        <v>59</v>
      </c>
      <c r="O17" s="98"/>
      <c r="P17" s="98"/>
      <c r="R17" s="45"/>
    </row>
    <row r="18" spans="2:22" x14ac:dyDescent="0.25">
      <c r="N18" s="99" t="s">
        <v>90</v>
      </c>
      <c r="O18" s="100" t="s">
        <v>91</v>
      </c>
      <c r="P18" s="101"/>
    </row>
    <row r="19" spans="2:22" ht="42.75" customHeight="1" x14ac:dyDescent="0.25">
      <c r="B19" s="81" t="s">
        <v>69</v>
      </c>
      <c r="C19" s="81"/>
      <c r="D19" s="81"/>
      <c r="E19" s="81"/>
      <c r="F19" s="81"/>
      <c r="G19" s="81"/>
      <c r="H19" s="81"/>
      <c r="I19" s="81"/>
      <c r="J19" s="81"/>
      <c r="K19" s="81"/>
      <c r="M19" s="102" t="s">
        <v>25</v>
      </c>
      <c r="N19" s="6" t="s">
        <v>40</v>
      </c>
      <c r="O19" s="103" t="s">
        <v>92</v>
      </c>
      <c r="P19" s="6" t="s">
        <v>40</v>
      </c>
      <c r="Q19" s="119" t="s">
        <v>75</v>
      </c>
      <c r="R19" s="119" t="s">
        <v>60</v>
      </c>
      <c r="S19" s="119" t="s">
        <v>41</v>
      </c>
    </row>
    <row r="20" spans="2:22" ht="55.5" customHeight="1" x14ac:dyDescent="0.25">
      <c r="B20" s="32" t="s">
        <v>25</v>
      </c>
      <c r="C20" s="33" t="s">
        <v>44</v>
      </c>
      <c r="D20" s="33" t="s">
        <v>45</v>
      </c>
      <c r="E20" s="33" t="s">
        <v>46</v>
      </c>
      <c r="F20" s="33" t="s">
        <v>47</v>
      </c>
      <c r="G20" s="33" t="s">
        <v>61</v>
      </c>
      <c r="H20" s="33" t="s">
        <v>48</v>
      </c>
      <c r="I20" s="33" t="s">
        <v>49</v>
      </c>
      <c r="J20" s="33" t="s">
        <v>50</v>
      </c>
      <c r="K20" s="33" t="s">
        <v>51</v>
      </c>
      <c r="M20" s="104">
        <v>0</v>
      </c>
      <c r="N20" s="105">
        <f>NPV(Discount_rate,D21:D$31)*(1+Discount_rate)+NPV(Discount_rate,E21:E$31)-NPV(Discount_rate,C21:C$31)*(1+Discount_rate)</f>
        <v>302.36619637202784</v>
      </c>
      <c r="O20" s="106"/>
      <c r="P20" s="107">
        <f>-NPV(Discount_rate,O21:O$31)</f>
        <v>302.36619637202682</v>
      </c>
      <c r="Q20" s="107">
        <f>P20</f>
        <v>302.36619637202682</v>
      </c>
      <c r="R20" s="114"/>
      <c r="S20" s="115">
        <f>-Q20</f>
        <v>-302.36619637202682</v>
      </c>
      <c r="T20" s="123" t="s">
        <v>93</v>
      </c>
      <c r="U20" s="131">
        <f>S20</f>
        <v>-302.36619637202682</v>
      </c>
      <c r="V20" s="132" t="s">
        <v>95</v>
      </c>
    </row>
    <row r="21" spans="2:22" x14ac:dyDescent="0.25">
      <c r="B21" s="23">
        <f>1</f>
        <v>1</v>
      </c>
      <c r="C21" s="24">
        <f>Annual_premium</f>
        <v>960.12000000000012</v>
      </c>
      <c r="D21" s="24">
        <f>Initial_expense+Initial_comm_rate*Annual_premium</f>
        <v>262.024</v>
      </c>
      <c r="E21" s="24">
        <f>Sum_Insured*VLOOKUP(Age+B21-1,IA95_97UltM,2)*Factor*(1+CB1_factor)</f>
        <v>535.5</v>
      </c>
      <c r="F21" s="24">
        <f>C21-D21-E21</f>
        <v>162.59600000000012</v>
      </c>
      <c r="G21" s="24">
        <f>(C21-D21)*Investment_rate</f>
        <v>20.942880000000002</v>
      </c>
      <c r="H21" s="25">
        <f>F21+G21</f>
        <v>183.53888000000012</v>
      </c>
      <c r="I21" s="26">
        <f>'Liability and profit'!B21</f>
        <v>302.36619637202693</v>
      </c>
      <c r="J21" s="26">
        <f>(I21+C21-D21)*Investment_rate</f>
        <v>30.013865891160812</v>
      </c>
      <c r="K21" s="26">
        <f>J21+I21+C21-D21-E21</f>
        <v>494.97606226318794</v>
      </c>
      <c r="L21" s="9"/>
      <c r="M21" s="108">
        <f>1+M20</f>
        <v>1</v>
      </c>
      <c r="N21" s="105">
        <f>NPV(Discount_rate,D22:D$31)*(1+Discount_rate)+NPV(Discount_rate,E22:E$31)-NPV(Discount_rate,C22:C$31)*(1+Discount_rate)</f>
        <v>494.97606226318749</v>
      </c>
      <c r="O21" s="109">
        <f t="shared" ref="O21:O30" si="13">F21+(C21-D21)*Investment_rate</f>
        <v>183.53888000000012</v>
      </c>
      <c r="P21" s="107">
        <f>-NPV(Discount_rate,O22:O$31)</f>
        <v>494.97606226318777</v>
      </c>
      <c r="Q21" s="105">
        <f>P21-P20</f>
        <v>192.60986589116095</v>
      </c>
      <c r="R21" s="128">
        <f>(C5-D5+P20)*Investment_rate</f>
        <v>30.013865891160808</v>
      </c>
      <c r="S21" s="115">
        <f>F5+R21-Q21</f>
        <v>107.10000000000002</v>
      </c>
      <c r="T21" s="124">
        <f>S21/C21/(1+Discount_rate)</f>
        <v>0.10829956934994776</v>
      </c>
    </row>
    <row r="22" spans="2:22" x14ac:dyDescent="0.25">
      <c r="B22" s="7">
        <f>1+B21</f>
        <v>2</v>
      </c>
      <c r="C22" s="21">
        <f t="shared" ref="C22:C30" si="14">C21*VLOOKUP(B21,Decrement,8)</f>
        <v>844.00070610240004</v>
      </c>
      <c r="D22" s="21">
        <f t="shared" ref="D22:D30" si="15">Renewal_expense*(1+Inflation)^(B22-2)*VLOOKUP(B21,Decrement,7) + Renewal_comm_rate*C22</f>
        <v>230.33416762048</v>
      </c>
      <c r="E22" s="21">
        <f t="shared" ref="E22:E30" si="16">Sum_Insured*VLOOKUP(Age+B22-1,IA95_97UltM,2)*Factor*VLOOKUP(B21,Decrement,7)*(1+CB1_factor)</f>
        <v>511.83124101999994</v>
      </c>
      <c r="F22" s="21">
        <f t="shared" ref="F22:F30" si="17">C22-D22-E22</f>
        <v>101.83529746192011</v>
      </c>
      <c r="G22" s="21">
        <f t="shared" ref="G22:G30" si="18">(H21+C22-D22)*Investment_rate</f>
        <v>23.916162554457603</v>
      </c>
      <c r="H22" s="27">
        <f>H21+F22+G22</f>
        <v>309.29034001637785</v>
      </c>
      <c r="I22" s="10"/>
      <c r="J22" s="10">
        <f t="shared" ref="J22:J30" si="19">(K21+C22-D22)*Investment_rate</f>
        <v>33.259278022353236</v>
      </c>
      <c r="K22" s="10">
        <f t="shared" ref="K22:K30" si="20">K21+C22-D22-E22+J22</f>
        <v>630.07063774746132</v>
      </c>
      <c r="L22" s="9"/>
      <c r="M22" s="108">
        <f t="shared" ref="M22:M30" si="21">1+M21</f>
        <v>2</v>
      </c>
      <c r="N22" s="105">
        <f>NPV(Discount_rate,D23:D$31)*(1+Discount_rate)+NPV(Discount_rate,E23:E$31)-NPV(Discount_rate,C23:C$31)*(1+Discount_rate)</f>
        <v>630.07063774746166</v>
      </c>
      <c r="O22" s="109">
        <f t="shared" si="13"/>
        <v>120.24529361637771</v>
      </c>
      <c r="P22" s="107">
        <f>-NPV(Discount_rate,O23:O$31)</f>
        <v>630.07063774746109</v>
      </c>
      <c r="Q22" s="105">
        <f t="shared" ref="Q22:Q30" si="22">P22-P21</f>
        <v>135.09457548427332</v>
      </c>
      <c r="R22" s="128">
        <f>(C6-D6+P21)*Investment_rate</f>
        <v>33.259278022353229</v>
      </c>
      <c r="S22" s="115">
        <f t="shared" ref="S22:S30" si="23">F6+R22-Q22</f>
        <v>102.36624820399999</v>
      </c>
      <c r="T22" s="124">
        <f>S22/C22/(1+Discount_rate)</f>
        <v>0.11775429365827651</v>
      </c>
    </row>
    <row r="23" spans="2:22" x14ac:dyDescent="0.25">
      <c r="B23" s="7">
        <f t="shared" ref="B23:B30" si="24">1+B22</f>
        <v>3</v>
      </c>
      <c r="C23" s="21">
        <f t="shared" si="14"/>
        <v>741.85572320652659</v>
      </c>
      <c r="D23" s="21">
        <f t="shared" si="15"/>
        <v>203.5397679768738</v>
      </c>
      <c r="E23" s="21">
        <f t="shared" si="16"/>
        <v>492.57699406757553</v>
      </c>
      <c r="F23" s="21">
        <f t="shared" si="17"/>
        <v>45.73896116207726</v>
      </c>
      <c r="G23" s="21">
        <f t="shared" si="18"/>
        <v>25.42818885738092</v>
      </c>
      <c r="H23" s="27">
        <f t="shared" ref="H23:H29" si="25">H22+F23+G23</f>
        <v>380.45749003583603</v>
      </c>
      <c r="I23" s="10"/>
      <c r="J23" s="10">
        <f t="shared" si="19"/>
        <v>35.051597789313419</v>
      </c>
      <c r="K23" s="10">
        <f t="shared" si="20"/>
        <v>710.86119669885204</v>
      </c>
      <c r="L23" s="9"/>
      <c r="M23" s="108">
        <f t="shared" si="21"/>
        <v>3</v>
      </c>
      <c r="N23" s="105">
        <f>NPV(Discount_rate,D24:D$31)*(1+Discount_rate)+NPV(Discount_rate,E24:E$31)-NPV(Discount_rate,C24:C$31)*(1+Discount_rate)</f>
        <v>710.86119669885193</v>
      </c>
      <c r="O23" s="109">
        <f t="shared" si="13"/>
        <v>61.888439818966845</v>
      </c>
      <c r="P23" s="107">
        <f>-NPV(Discount_rate,O24:O$31)</f>
        <v>710.86119669885181</v>
      </c>
      <c r="Q23" s="105">
        <f t="shared" si="22"/>
        <v>80.790558951390722</v>
      </c>
      <c r="R23" s="128">
        <f>(C7-D7+P22)*Investment_rate</f>
        <v>35.051597789313412</v>
      </c>
      <c r="S23" s="115">
        <f t="shared" si="23"/>
        <v>98.515398813515048</v>
      </c>
      <c r="T23" s="124">
        <f>S23/C23/(1+Discount_rate)</f>
        <v>0.12892805874993771</v>
      </c>
    </row>
    <row r="24" spans="2:22" x14ac:dyDescent="0.25">
      <c r="B24" s="7">
        <f t="shared" si="24"/>
        <v>4</v>
      </c>
      <c r="C24" s="21">
        <f t="shared" si="14"/>
        <v>666.81887144349434</v>
      </c>
      <c r="D24" s="21">
        <f t="shared" si="15"/>
        <v>183.94399839556758</v>
      </c>
      <c r="E24" s="21">
        <f t="shared" si="16"/>
        <v>487.02946881613798</v>
      </c>
      <c r="F24" s="21">
        <f t="shared" si="17"/>
        <v>-4.1545957682112089</v>
      </c>
      <c r="G24" s="21">
        <f t="shared" si="18"/>
        <v>25.899970892512879</v>
      </c>
      <c r="H24" s="27">
        <f t="shared" si="25"/>
        <v>402.20286516013772</v>
      </c>
      <c r="I24" s="10"/>
      <c r="J24" s="10">
        <f t="shared" si="19"/>
        <v>35.812082092403365</v>
      </c>
      <c r="K24" s="10">
        <f t="shared" si="20"/>
        <v>742.51868302304422</v>
      </c>
      <c r="L24" s="9"/>
      <c r="M24" s="108">
        <f t="shared" si="21"/>
        <v>4</v>
      </c>
      <c r="N24" s="105">
        <f>NPV(Discount_rate,D25:D$31)*(1+Discount_rate)+NPV(Discount_rate,E25:E$31)-NPV(Discount_rate,C25:C$31)*(1+Discount_rate)</f>
        <v>742.51868302304365</v>
      </c>
      <c r="O24" s="109">
        <f t="shared" si="13"/>
        <v>10.331650423226593</v>
      </c>
      <c r="P24" s="107">
        <f>-NPV(Discount_rate,O25:O$31)</f>
        <v>742.5186830230441</v>
      </c>
      <c r="Q24" s="105">
        <f t="shared" si="22"/>
        <v>31.657486324192291</v>
      </c>
      <c r="R24" s="128">
        <f>(C8-D8+P23)*Investment_rate</f>
        <v>35.812082092403358</v>
      </c>
      <c r="S24" s="115">
        <f t="shared" si="23"/>
        <v>97.405893763227454</v>
      </c>
      <c r="T24" s="124">
        <f>S24/C24/(1+Discount_rate)</f>
        <v>0.14182086462493138</v>
      </c>
    </row>
    <row r="25" spans="2:22" x14ac:dyDescent="0.25">
      <c r="B25" s="7">
        <f t="shared" si="24"/>
        <v>5</v>
      </c>
      <c r="C25" s="21">
        <f t="shared" si="14"/>
        <v>599.29529217866536</v>
      </c>
      <c r="D25" s="21">
        <f t="shared" si="15"/>
        <v>166.2265823802021</v>
      </c>
      <c r="E25" s="21">
        <f t="shared" si="16"/>
        <v>485.46214378614849</v>
      </c>
      <c r="F25" s="21">
        <f t="shared" si="17"/>
        <v>-52.393433987685228</v>
      </c>
      <c r="G25" s="21">
        <f t="shared" si="18"/>
        <v>25.058147248758029</v>
      </c>
      <c r="H25" s="27">
        <f t="shared" si="25"/>
        <v>374.86757842121051</v>
      </c>
      <c r="I25" s="10"/>
      <c r="J25" s="10">
        <f t="shared" si="19"/>
        <v>35.267621784645222</v>
      </c>
      <c r="K25" s="10">
        <f t="shared" si="20"/>
        <v>725.39287082000408</v>
      </c>
      <c r="L25" s="9"/>
      <c r="M25" s="108">
        <f t="shared" si="21"/>
        <v>5</v>
      </c>
      <c r="N25" s="105">
        <f>NPV(Discount_rate,D26:D$31)*(1+Discount_rate)+NPV(Discount_rate,E26:E$31)-NPV(Discount_rate,C26:C$31)*(1+Discount_rate)</f>
        <v>725.39287082000374</v>
      </c>
      <c r="O25" s="109">
        <f t="shared" si="13"/>
        <v>-39.401372693731332</v>
      </c>
      <c r="P25" s="107">
        <f>-NPV(Discount_rate,O26:O$31)</f>
        <v>725.39287082000408</v>
      </c>
      <c r="Q25" s="105">
        <f t="shared" si="22"/>
        <v>-17.125812203040027</v>
      </c>
      <c r="R25" s="128">
        <f>(C9-D9+P24)*Investment_rate</f>
        <v>35.267621784645222</v>
      </c>
      <c r="S25" s="115">
        <f t="shared" si="23"/>
        <v>97.092428757229726</v>
      </c>
      <c r="T25" s="124">
        <f>S25/C25/(1+Discount_rate)</f>
        <v>0.15729223167492415</v>
      </c>
    </row>
    <row r="26" spans="2:22" x14ac:dyDescent="0.25">
      <c r="B26" s="7">
        <f t="shared" si="24"/>
        <v>6</v>
      </c>
      <c r="C26" s="21">
        <f t="shared" si="14"/>
        <v>538.52677951651333</v>
      </c>
      <c r="D26" s="21">
        <f t="shared" si="15"/>
        <v>150.20453242487628</v>
      </c>
      <c r="E26" s="21">
        <f t="shared" si="16"/>
        <v>483.91240576997859</v>
      </c>
      <c r="F26" s="21">
        <f t="shared" si="17"/>
        <v>-95.590158678341538</v>
      </c>
      <c r="G26" s="21">
        <f t="shared" si="18"/>
        <v>22.895694765385429</v>
      </c>
      <c r="H26" s="27">
        <f t="shared" si="25"/>
        <v>302.1731145082544</v>
      </c>
      <c r="I26" s="10"/>
      <c r="J26" s="10">
        <f t="shared" si="19"/>
        <v>33.411453537349232</v>
      </c>
      <c r="K26" s="10">
        <f t="shared" si="20"/>
        <v>663.21416567901167</v>
      </c>
      <c r="L26" s="9"/>
      <c r="M26" s="108">
        <f t="shared" si="21"/>
        <v>6</v>
      </c>
      <c r="N26" s="105">
        <f>NPV(Discount_rate,D27:D$31)*(1+Discount_rate)+NPV(Discount_rate,E27:E$31)-NPV(Discount_rate,C27:C$31)*(1+Discount_rate)</f>
        <v>663.21416567901133</v>
      </c>
      <c r="O26" s="109">
        <f t="shared" si="13"/>
        <v>-83.940491265592428</v>
      </c>
      <c r="P26" s="107">
        <f>-NPV(Discount_rate,O27:O$31)</f>
        <v>663.21416567901167</v>
      </c>
      <c r="Q26" s="105">
        <f t="shared" si="22"/>
        <v>-62.178705140992406</v>
      </c>
      <c r="R26" s="128">
        <f>(C10-D10+P25)*Investment_rate</f>
        <v>33.411453537349232</v>
      </c>
      <c r="S26" s="115">
        <f t="shared" si="23"/>
        <v>96.782481153995818</v>
      </c>
      <c r="T26" s="124">
        <f>S26/C26/(1+Discount_rate)</f>
        <v>0.17448263950824933</v>
      </c>
    </row>
    <row r="27" spans="2:22" x14ac:dyDescent="0.25">
      <c r="B27" s="7">
        <f t="shared" si="24"/>
        <v>7</v>
      </c>
      <c r="C27" s="21">
        <f t="shared" si="14"/>
        <v>483.83779640261179</v>
      </c>
      <c r="D27" s="21">
        <f t="shared" si="15"/>
        <v>135.71448424922414</v>
      </c>
      <c r="E27" s="21">
        <f t="shared" si="16"/>
        <v>484.02929159345553</v>
      </c>
      <c r="F27" s="21">
        <f t="shared" si="17"/>
        <v>-135.90597944006788</v>
      </c>
      <c r="G27" s="21">
        <f t="shared" si="18"/>
        <v>19.50889279984926</v>
      </c>
      <c r="H27" s="27">
        <f t="shared" si="25"/>
        <v>185.77602786803578</v>
      </c>
      <c r="I27" s="10"/>
      <c r="J27" s="10">
        <f t="shared" si="19"/>
        <v>30.340124334971978</v>
      </c>
      <c r="K27" s="10">
        <f t="shared" si="20"/>
        <v>557.64831057391575</v>
      </c>
      <c r="L27" s="9"/>
      <c r="M27" s="108">
        <f t="shared" si="21"/>
        <v>7</v>
      </c>
      <c r="N27" s="105">
        <f>NPV(Discount_rate,D28:D$31)*(1+Discount_rate)+NPV(Discount_rate,E28:E$31)-NPV(Discount_rate,C28:C$31)*(1+Discount_rate)</f>
        <v>557.64831057391598</v>
      </c>
      <c r="O27" s="109">
        <f t="shared" si="13"/>
        <v>-125.46228007546625</v>
      </c>
      <c r="P27" s="107">
        <f>-NPV(Discount_rate,O28:O$31)</f>
        <v>557.64831057391586</v>
      </c>
      <c r="Q27" s="105">
        <f t="shared" si="22"/>
        <v>-105.56585510509581</v>
      </c>
      <c r="R27" s="128">
        <f>(C11-D11+P26)*Investment_rate</f>
        <v>30.340124334971978</v>
      </c>
      <c r="S27" s="115">
        <f t="shared" si="23"/>
        <v>96.805858318690994</v>
      </c>
      <c r="T27" s="124">
        <f>S27/C27/(1+Discount_rate)</f>
        <v>0.19425160851657269</v>
      </c>
    </row>
    <row r="28" spans="2:22" x14ac:dyDescent="0.25">
      <c r="B28" s="7">
        <f t="shared" si="24"/>
        <v>8</v>
      </c>
      <c r="C28" s="21">
        <f t="shared" si="14"/>
        <v>434.61750959615011</v>
      </c>
      <c r="D28" s="21">
        <f t="shared" si="15"/>
        <v>122.60809699514832</v>
      </c>
      <c r="E28" s="21">
        <f t="shared" si="16"/>
        <v>484.80955794846136</v>
      </c>
      <c r="F28" s="21">
        <f t="shared" si="17"/>
        <v>-172.80014534745953</v>
      </c>
      <c r="G28" s="21">
        <f t="shared" si="18"/>
        <v>14.933563214071127</v>
      </c>
      <c r="H28" s="27">
        <f t="shared" si="25"/>
        <v>27.909445734647377</v>
      </c>
      <c r="I28" s="10"/>
      <c r="J28" s="10">
        <f t="shared" si="19"/>
        <v>26.089731695247522</v>
      </c>
      <c r="K28" s="10">
        <f t="shared" si="20"/>
        <v>410.93789692170361</v>
      </c>
      <c r="L28" s="9"/>
      <c r="M28" s="108">
        <f t="shared" si="21"/>
        <v>8</v>
      </c>
      <c r="N28" s="105">
        <f>NPV(Discount_rate,D29:D$31)*(1+Discount_rate)+NPV(Discount_rate,E29:E$31)-NPV(Discount_rate,C29:C$31)*(1+Discount_rate)</f>
        <v>410.93789692170367</v>
      </c>
      <c r="O28" s="109">
        <f t="shared" si="13"/>
        <v>-163.43986296942947</v>
      </c>
      <c r="P28" s="107">
        <f>-NPV(Discount_rate,O29:O$31)</f>
        <v>410.93789692170378</v>
      </c>
      <c r="Q28" s="105">
        <f t="shared" si="22"/>
        <v>-146.71041365221208</v>
      </c>
      <c r="R28" s="128">
        <f>(C12-D12+P27)*Investment_rate</f>
        <v>26.089731695247529</v>
      </c>
      <c r="S28" s="115">
        <f t="shared" si="23"/>
        <v>96.961911589692335</v>
      </c>
      <c r="T28" s="124">
        <f>S28/C28/(1+Discount_rate)</f>
        <v>0.21659913869989564</v>
      </c>
    </row>
    <row r="29" spans="2:22" x14ac:dyDescent="0.25">
      <c r="B29" s="7">
        <f t="shared" si="24"/>
        <v>9</v>
      </c>
      <c r="C29" s="21">
        <f t="shared" si="14"/>
        <v>390.31790300153563</v>
      </c>
      <c r="D29" s="21">
        <f t="shared" si="15"/>
        <v>110.751870262365</v>
      </c>
      <c r="E29" s="21">
        <f t="shared" si="16"/>
        <v>487.22660370301674</v>
      </c>
      <c r="F29" s="21">
        <f t="shared" si="17"/>
        <v>-207.66057096384611</v>
      </c>
      <c r="G29" s="21">
        <f t="shared" si="18"/>
        <v>9.2242643542145384</v>
      </c>
      <c r="H29" s="27">
        <f t="shared" si="25"/>
        <v>-170.52686087498421</v>
      </c>
      <c r="I29" s="10"/>
      <c r="J29" s="10">
        <f t="shared" si="19"/>
        <v>20.715117889826228</v>
      </c>
      <c r="K29" s="10">
        <f t="shared" si="20"/>
        <v>223.99244384768377</v>
      </c>
      <c r="L29" s="9"/>
      <c r="M29" s="108">
        <f t="shared" si="21"/>
        <v>9</v>
      </c>
      <c r="N29" s="105">
        <f>NPV(Discount_rate,D30:D$31)*(1+Discount_rate)+NPV(Discount_rate,E30:E$31)-NPV(Discount_rate,C30:C$31)*(1+Discount_rate)</f>
        <v>223.99244384768394</v>
      </c>
      <c r="O29" s="109">
        <f t="shared" si="13"/>
        <v>-199.27358998167099</v>
      </c>
      <c r="P29" s="107">
        <f>-NPV(Discount_rate,O30:O$31)</f>
        <v>223.99244384768392</v>
      </c>
      <c r="Q29" s="105">
        <f t="shared" si="22"/>
        <v>-186.94545307401987</v>
      </c>
      <c r="R29" s="128">
        <f>(C13-D13+P28)*Investment_rate</f>
        <v>20.715117889826232</v>
      </c>
      <c r="S29" s="115">
        <f t="shared" si="23"/>
        <v>97.445320740603321</v>
      </c>
      <c r="T29" s="124">
        <f>S29/C29/(1+Discount_rate)</f>
        <v>0.242384750449883</v>
      </c>
    </row>
    <row r="30" spans="2:22" x14ac:dyDescent="0.25">
      <c r="B30" s="7">
        <f t="shared" si="24"/>
        <v>10</v>
      </c>
      <c r="C30" s="21">
        <f t="shared" si="14"/>
        <v>350.44407988923683</v>
      </c>
      <c r="D30" s="21">
        <f t="shared" si="15"/>
        <v>100.02473707138279</v>
      </c>
      <c r="E30" s="21">
        <f t="shared" si="16"/>
        <v>488.64414026550412</v>
      </c>
      <c r="F30" s="21">
        <f t="shared" si="17"/>
        <v>-238.22479744765008</v>
      </c>
      <c r="G30" s="21">
        <f t="shared" si="18"/>
        <v>2.396774458286095</v>
      </c>
      <c r="H30" s="27">
        <f>H29+F30+G30</f>
        <v>-406.35488386434821</v>
      </c>
      <c r="I30" s="10"/>
      <c r="J30" s="10">
        <f t="shared" si="19"/>
        <v>14.232353599966135</v>
      </c>
      <c r="K30" s="10">
        <f t="shared" si="20"/>
        <v>-1.1013412404281553E-13</v>
      </c>
      <c r="L30" s="9"/>
      <c r="M30" s="108">
        <f t="shared" si="21"/>
        <v>10</v>
      </c>
      <c r="N30" s="110"/>
      <c r="O30" s="111">
        <f t="shared" si="13"/>
        <v>-230.71221716311445</v>
      </c>
      <c r="P30" s="112"/>
      <c r="Q30" s="110">
        <f t="shared" si="22"/>
        <v>-223.99244384768392</v>
      </c>
      <c r="R30" s="129">
        <f>(C14-D14+P29)*Investment_rate</f>
        <v>14.232353599966139</v>
      </c>
      <c r="S30" s="117">
        <f t="shared" si="23"/>
        <v>97.728828053100784</v>
      </c>
      <c r="T30" s="124">
        <f>S30/C30/(1+Discount_rate)</f>
        <v>0.27074892337486928</v>
      </c>
    </row>
    <row r="31" spans="2:22" x14ac:dyDescent="0.25">
      <c r="I31" s="9"/>
      <c r="M31" s="125" t="s">
        <v>93</v>
      </c>
      <c r="N31" s="126">
        <f>SUM(N20:N30)-SUM('Liability and profit'!B21:B31)</f>
        <v>0</v>
      </c>
      <c r="O31" s="127"/>
      <c r="P31" s="127"/>
      <c r="Q31" s="127"/>
      <c r="R31" s="127"/>
      <c r="S31" s="126">
        <f>SUM(S20:S30)-SUM('Liability and profit'!E21:E31)</f>
        <v>0</v>
      </c>
      <c r="T31" s="127"/>
    </row>
    <row r="32" spans="2:22" ht="15" x14ac:dyDescent="0.25">
      <c r="B32"/>
      <c r="C32"/>
      <c r="D32"/>
      <c r="E32"/>
      <c r="F32"/>
      <c r="G32"/>
      <c r="H32"/>
      <c r="I32"/>
      <c r="J32"/>
      <c r="K32"/>
      <c r="M32"/>
      <c r="N32"/>
      <c r="O32"/>
      <c r="P32"/>
    </row>
    <row r="33" spans="2:16" ht="15" x14ac:dyDescent="0.25">
      <c r="B33"/>
      <c r="C33"/>
      <c r="D33"/>
      <c r="E33"/>
      <c r="F33"/>
      <c r="G33"/>
      <c r="H33"/>
      <c r="I33"/>
      <c r="J33"/>
      <c r="K33"/>
      <c r="M33"/>
      <c r="N33"/>
      <c r="O33"/>
      <c r="P33"/>
    </row>
    <row r="34" spans="2:16" ht="15" x14ac:dyDescent="0.25">
      <c r="B34"/>
      <c r="C34"/>
      <c r="D34"/>
      <c r="E34"/>
      <c r="F34"/>
      <c r="G34"/>
      <c r="H34"/>
      <c r="I34"/>
      <c r="J34"/>
      <c r="K34"/>
      <c r="M34"/>
      <c r="N34"/>
      <c r="O34"/>
      <c r="P34"/>
    </row>
    <row r="35" spans="2:16" ht="15" x14ac:dyDescent="0.25">
      <c r="B35"/>
      <c r="C35"/>
      <c r="D35"/>
      <c r="E35"/>
      <c r="F35"/>
      <c r="G35"/>
      <c r="H35"/>
      <c r="I35"/>
      <c r="J35"/>
      <c r="K35"/>
      <c r="M35"/>
      <c r="N35"/>
      <c r="O35"/>
      <c r="P35"/>
    </row>
    <row r="36" spans="2:16" ht="15" x14ac:dyDescent="0.25">
      <c r="B36"/>
      <c r="C36"/>
      <c r="D36"/>
      <c r="E36"/>
      <c r="F36"/>
      <c r="G36"/>
      <c r="H36"/>
      <c r="I36"/>
      <c r="J36"/>
      <c r="K36"/>
      <c r="M36"/>
      <c r="N36"/>
      <c r="O36"/>
      <c r="P36"/>
    </row>
    <row r="37" spans="2:16" ht="15" x14ac:dyDescent="0.25">
      <c r="B37"/>
      <c r="C37"/>
      <c r="D37"/>
      <c r="E37"/>
      <c r="F37"/>
      <c r="G37"/>
      <c r="H37"/>
      <c r="I37"/>
      <c r="J37"/>
      <c r="K37"/>
      <c r="L37" s="29"/>
      <c r="M37"/>
      <c r="N37"/>
      <c r="O37"/>
      <c r="P37"/>
    </row>
    <row r="38" spans="2:16" ht="15" x14ac:dyDescent="0.25">
      <c r="B38"/>
      <c r="C38"/>
      <c r="D38"/>
      <c r="E38"/>
      <c r="F38"/>
      <c r="G38"/>
      <c r="H38"/>
      <c r="I38"/>
      <c r="J38"/>
      <c r="K38"/>
      <c r="L38" s="29"/>
      <c r="M38"/>
      <c r="N38"/>
      <c r="O38"/>
      <c r="P38"/>
    </row>
    <row r="39" spans="2:16" ht="15" x14ac:dyDescent="0.25">
      <c r="B39"/>
      <c r="C39"/>
      <c r="D39"/>
      <c r="E39"/>
      <c r="F39"/>
      <c r="G39"/>
      <c r="H39"/>
      <c r="I39"/>
      <c r="J39"/>
      <c r="K39"/>
      <c r="L39" s="29"/>
      <c r="M39"/>
      <c r="N39"/>
      <c r="O39"/>
      <c r="P39"/>
    </row>
    <row r="40" spans="2:16" ht="15" x14ac:dyDescent="0.25">
      <c r="B40"/>
      <c r="C40"/>
      <c r="D40"/>
      <c r="E40"/>
      <c r="F40"/>
      <c r="G40"/>
      <c r="H40"/>
      <c r="I40"/>
      <c r="J40"/>
      <c r="K40"/>
      <c r="L40" s="29"/>
      <c r="M40"/>
      <c r="N40"/>
      <c r="O40"/>
      <c r="P40"/>
    </row>
    <row r="41" spans="2:16" ht="15" x14ac:dyDescent="0.25">
      <c r="B41"/>
      <c r="C41"/>
      <c r="D41"/>
      <c r="E41"/>
      <c r="F41"/>
      <c r="G41"/>
      <c r="H41"/>
      <c r="I41"/>
      <c r="J41"/>
      <c r="K41"/>
      <c r="L41" s="29"/>
      <c r="M41"/>
      <c r="N41"/>
      <c r="O41"/>
      <c r="P41"/>
    </row>
    <row r="42" spans="2:16" ht="15" x14ac:dyDescent="0.25">
      <c r="B42"/>
      <c r="C42"/>
      <c r="D42"/>
      <c r="E42"/>
      <c r="F42"/>
      <c r="G42"/>
      <c r="H42"/>
      <c r="I42"/>
      <c r="J42"/>
      <c r="K42"/>
      <c r="L42" s="29"/>
      <c r="M42"/>
      <c r="N42"/>
      <c r="O42"/>
      <c r="P42"/>
    </row>
    <row r="43" spans="2:16" ht="15" x14ac:dyDescent="0.25">
      <c r="B43"/>
      <c r="C43"/>
      <c r="D43"/>
      <c r="E43"/>
      <c r="F43"/>
      <c r="G43"/>
      <c r="H43"/>
      <c r="I43"/>
      <c r="J43"/>
      <c r="K43"/>
      <c r="L43" s="29"/>
      <c r="M43"/>
      <c r="N43"/>
      <c r="O43"/>
      <c r="P43"/>
    </row>
    <row r="44" spans="2:16" ht="15" x14ac:dyDescent="0.25">
      <c r="B44"/>
      <c r="C44"/>
      <c r="D44"/>
      <c r="E44"/>
      <c r="F44"/>
      <c r="G44"/>
      <c r="H44"/>
      <c r="I44"/>
      <c r="J44"/>
      <c r="K44"/>
      <c r="L44" s="29"/>
      <c r="M44" s="30"/>
      <c r="N44" s="30"/>
    </row>
    <row r="45" spans="2:16" ht="15" x14ac:dyDescent="0.25">
      <c r="B45"/>
      <c r="C45"/>
      <c r="D45"/>
      <c r="E45"/>
      <c r="F45"/>
      <c r="G45"/>
      <c r="H45"/>
      <c r="I45"/>
      <c r="J45"/>
      <c r="K45"/>
      <c r="L45" s="29"/>
      <c r="M45" s="30"/>
      <c r="N45" s="30"/>
    </row>
    <row r="46" spans="2:16" ht="15" x14ac:dyDescent="0.25">
      <c r="B46"/>
      <c r="C46"/>
      <c r="D46"/>
      <c r="E46"/>
      <c r="F46"/>
      <c r="G46"/>
      <c r="H46"/>
      <c r="I46"/>
      <c r="J46"/>
      <c r="K46"/>
      <c r="L46" s="29"/>
      <c r="M46" s="30"/>
      <c r="N46" s="30"/>
    </row>
  </sheetData>
  <mergeCells count="8">
    <mergeCell ref="B3:H3"/>
    <mergeCell ref="B19:K19"/>
    <mergeCell ref="N1:P1"/>
    <mergeCell ref="O2:P2"/>
    <mergeCell ref="O3:O4"/>
    <mergeCell ref="N17:P17"/>
    <mergeCell ref="O18:P18"/>
    <mergeCell ref="O19:O20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23" sqref="B23"/>
    </sheetView>
  </sheetViews>
  <sheetFormatPr defaultRowHeight="13.5" x14ac:dyDescent="0.25"/>
  <cols>
    <col min="1" max="1" width="9.140625" style="2"/>
    <col min="2" max="2" width="9.5703125" style="2" bestFit="1" customWidth="1"/>
    <col min="3" max="3" width="9.85546875" style="2" customWidth="1"/>
    <col min="4" max="4" width="12.85546875" style="2" bestFit="1" customWidth="1"/>
    <col min="5" max="5" width="13.42578125" style="2" customWidth="1"/>
    <col min="6" max="6" width="11.5703125" style="2" customWidth="1"/>
    <col min="7" max="7" width="12.140625" style="2" customWidth="1"/>
    <col min="8" max="16384" width="9.140625" style="2"/>
  </cols>
  <sheetData>
    <row r="1" spans="1:10" ht="15" x14ac:dyDescent="0.25">
      <c r="A1" s="1" t="s">
        <v>76</v>
      </c>
    </row>
    <row r="2" spans="1:10" x14ac:dyDescent="0.25">
      <c r="D2" s="2" t="s">
        <v>72</v>
      </c>
      <c r="E2" s="45">
        <f>-B6/C6</f>
        <v>0.10002469497597084</v>
      </c>
    </row>
    <row r="4" spans="1:10" ht="15" customHeight="1" x14ac:dyDescent="0.25">
      <c r="A4" s="83" t="s">
        <v>25</v>
      </c>
      <c r="B4" s="85" t="s">
        <v>42</v>
      </c>
      <c r="C4" s="85"/>
      <c r="D4" s="85"/>
      <c r="E4" s="85"/>
      <c r="F4" s="85"/>
      <c r="G4" s="85"/>
      <c r="H4" s="85"/>
    </row>
    <row r="5" spans="1:10" ht="40.5" x14ac:dyDescent="0.25">
      <c r="A5" s="84"/>
      <c r="B5" s="52" t="s">
        <v>70</v>
      </c>
      <c r="C5" s="52" t="s">
        <v>71</v>
      </c>
      <c r="D5" s="52" t="s">
        <v>73</v>
      </c>
      <c r="E5" s="52" t="s">
        <v>74</v>
      </c>
      <c r="F5" s="52" t="s">
        <v>75</v>
      </c>
      <c r="G5" s="52" t="s">
        <v>60</v>
      </c>
      <c r="H5" s="52" t="s">
        <v>41</v>
      </c>
    </row>
    <row r="6" spans="1:10" ht="15" x14ac:dyDescent="0.25">
      <c r="A6" s="46">
        <v>0</v>
      </c>
      <c r="B6" s="53">
        <f>(B7+'Cash flows'!E5)/(1+Discount_rate)-'Cash flows'!C5+'Cash flows'!D5</f>
        <v>-542.2682003178179</v>
      </c>
      <c r="C6" s="53">
        <f>C7/(1+Discount_rate)+'Cash flows'!C5</f>
        <v>5421.3432037767097</v>
      </c>
      <c r="D6" s="54">
        <f t="shared" ref="D6:D16" si="0">Profit_margin*C6</f>
        <v>542.2682003178179</v>
      </c>
      <c r="E6" s="54">
        <f>D6+B6</f>
        <v>0</v>
      </c>
      <c r="F6" s="55"/>
      <c r="G6" s="55"/>
      <c r="H6" s="56"/>
      <c r="I6" s="28"/>
      <c r="J6" s="28"/>
    </row>
    <row r="7" spans="1:10" ht="15" x14ac:dyDescent="0.25">
      <c r="A7" s="46">
        <f>1+A6</f>
        <v>1</v>
      </c>
      <c r="B7" s="53">
        <f>(B8+'Cash flows'!E6)/(1+Discount_rate)-'Cash flows'!C6+'Cash flows'!D6</f>
        <v>-267.8973663273523</v>
      </c>
      <c r="C7" s="53">
        <f>C8/(1+Discount_rate)+'Cash flows'!C6</f>
        <v>4595.0598998900114</v>
      </c>
      <c r="D7" s="54">
        <f t="shared" si="0"/>
        <v>459.61946488281353</v>
      </c>
      <c r="E7" s="54">
        <f t="shared" ref="E7:E16" si="1">D7+B7</f>
        <v>191.72209855546123</v>
      </c>
      <c r="F7" s="54">
        <f>E6-E7</f>
        <v>-191.72209855546123</v>
      </c>
      <c r="G7" s="54">
        <f>('Cash flows'!C5-'Cash flows'!D5+'Liability and profit'!E6)*Investment_rate</f>
        <v>20.942880000000002</v>
      </c>
      <c r="H7" s="57">
        <f>'Cash flows'!F5+'Liability and profit'!G7+'Liability and profit'!F7</f>
        <v>98.916781444538913</v>
      </c>
      <c r="I7" s="28"/>
    </row>
    <row r="8" spans="1:10" ht="15" x14ac:dyDescent="0.25">
      <c r="A8" s="46">
        <f t="shared" ref="A8:A15" si="2">1+A7</f>
        <v>2</v>
      </c>
      <c r="B8" s="53">
        <f>(B9+'Cash flows'!E7)/(1+Discount_rate)-'Cash flows'!C7+'Cash flows'!D7</f>
        <v>-53.322745496795164</v>
      </c>
      <c r="C8" s="53">
        <f>C9/(1+Discount_rate)+'Cash flows'!C7</f>
        <v>3863.5909696012395</v>
      </c>
      <c r="D8" s="54">
        <f t="shared" si="0"/>
        <v>386.45450824627943</v>
      </c>
      <c r="E8" s="54">
        <f t="shared" si="1"/>
        <v>333.13176274948427</v>
      </c>
      <c r="F8" s="54">
        <f t="shared" ref="F8:F15" si="3">E7-E8</f>
        <v>-141.40966419402304</v>
      </c>
      <c r="G8" s="54">
        <f>('Cash flows'!C6-'Cash flows'!D6+'Liability and profit'!E7)*Investment_rate</f>
        <v>24.161659111121438</v>
      </c>
      <c r="H8" s="57">
        <f>'Cash flows'!F6+'Liability and profit'!G8+'Liability and profit'!F8</f>
        <v>86.95354058301848</v>
      </c>
      <c r="I8" s="28"/>
    </row>
    <row r="9" spans="1:10" ht="15" x14ac:dyDescent="0.25">
      <c r="A9" s="46">
        <f t="shared" si="2"/>
        <v>3</v>
      </c>
      <c r="B9" s="53">
        <f>(B10+'Cash flows'!E8)/(1+Discount_rate)-'Cash flows'!C8+'Cash flows'!D8</f>
        <v>105.48141077078293</v>
      </c>
      <c r="C9" s="53">
        <f>C10/(1+Discount_rate)+'Cash flows'!C8</f>
        <v>3215.3873037865542</v>
      </c>
      <c r="D9" s="54">
        <f t="shared" si="0"/>
        <v>321.61813429085936</v>
      </c>
      <c r="E9" s="54">
        <f t="shared" si="1"/>
        <v>427.09954506164229</v>
      </c>
      <c r="F9" s="54">
        <f t="shared" si="3"/>
        <v>-93.967782312158022</v>
      </c>
      <c r="G9" s="54">
        <f>('Cash flows'!C7-'Cash flows'!D7+'Liability and profit'!E8)*Investment_rate</f>
        <v>26.143431539374109</v>
      </c>
      <c r="H9" s="57">
        <f>'Cash flows'!F7+'Liability and profit'!G9+'Liability and profit'!F9</f>
        <v>76.430009202808463</v>
      </c>
      <c r="I9" s="28"/>
    </row>
    <row r="10" spans="1:10" ht="15" x14ac:dyDescent="0.25">
      <c r="A10" s="46">
        <f t="shared" si="2"/>
        <v>4</v>
      </c>
      <c r="B10" s="53">
        <f>(B11+'Cash flows'!E9)/(1+Discount_rate)-'Cash flows'!C9+'Cash flows'!D9</f>
        <v>216.38339728036067</v>
      </c>
      <c r="C10" s="53">
        <f>C11/(1+Discount_rate)+'Cash flows'!C9</f>
        <v>2625.025485313352</v>
      </c>
      <c r="D10" s="54">
        <f t="shared" si="0"/>
        <v>262.56737347261787</v>
      </c>
      <c r="E10" s="54">
        <f t="shared" si="1"/>
        <v>478.95077075297854</v>
      </c>
      <c r="F10" s="54">
        <f t="shared" si="3"/>
        <v>-51.851225691336253</v>
      </c>
      <c r="G10" s="54">
        <f>('Cash flows'!C8-'Cash flows'!D8+'Liability and profit'!E9)*Investment_rate</f>
        <v>27.299232543287072</v>
      </c>
      <c r="H10" s="57">
        <f>'Cash flows'!F8+'Liability and profit'!G10+'Liability and profit'!F10</f>
        <v>68.699304846967209</v>
      </c>
      <c r="I10" s="28"/>
    </row>
    <row r="11" spans="1:10" ht="15" x14ac:dyDescent="0.25">
      <c r="A11" s="46">
        <f t="shared" si="2"/>
        <v>5</v>
      </c>
      <c r="B11" s="53">
        <f>(B12+'Cash flows'!E10)/(1+Discount_rate)-'Cash flows'!C10+'Cash flows'!D10</f>
        <v>280.56595526226994</v>
      </c>
      <c r="C11" s="53">
        <f>C12/(1+Discount_rate)+'Cash flows'!C10</f>
        <v>2086.5020989287273</v>
      </c>
      <c r="D11" s="54">
        <f t="shared" si="0"/>
        <v>208.70173601206889</v>
      </c>
      <c r="E11" s="54">
        <f t="shared" si="1"/>
        <v>489.26769127433886</v>
      </c>
      <c r="F11" s="54">
        <f t="shared" si="3"/>
        <v>-10.316920521360316</v>
      </c>
      <c r="G11" s="54">
        <f>('Cash flows'!C9-'Cash flows'!D9+'Liability and profit'!E10)*Investment_rate</f>
        <v>27.360584416543254</v>
      </c>
      <c r="H11" s="57">
        <f>'Cash flows'!F9+'Liability and profit'!G11+'Liability and profit'!F11</f>
        <v>61.742658664727401</v>
      </c>
      <c r="I11" s="28"/>
    </row>
    <row r="12" spans="1:10" ht="15" x14ac:dyDescent="0.25">
      <c r="A12" s="46">
        <f t="shared" si="2"/>
        <v>6</v>
      </c>
      <c r="B12" s="53">
        <f>(B13+'Cash flows'!E11)/(1+Discount_rate)-'Cash flows'!C11+'Cash flows'!D11</f>
        <v>301.82492380854131</v>
      </c>
      <c r="C12" s="53">
        <f>C13/(1+Discount_rate)+'Cash flows'!C11</f>
        <v>1594.4145789945803</v>
      </c>
      <c r="D12" s="54">
        <f t="shared" si="0"/>
        <v>159.48083192917386</v>
      </c>
      <c r="E12" s="54">
        <f t="shared" si="1"/>
        <v>461.30575573771517</v>
      </c>
      <c r="F12" s="54">
        <f t="shared" si="3"/>
        <v>27.961935536623685</v>
      </c>
      <c r="G12" s="54">
        <f>('Cash flows'!C10-'Cash flows'!D10+'Liability and profit'!E11)*Investment_rate</f>
        <v>26.327698150979277</v>
      </c>
      <c r="H12" s="57">
        <f>'Cash flows'!F10+'Liability and profit'!G12+'Liability and profit'!F12</f>
        <v>55.481956163257138</v>
      </c>
      <c r="I12" s="28"/>
    </row>
    <row r="13" spans="1:10" ht="15" x14ac:dyDescent="0.25">
      <c r="A13" s="46">
        <f t="shared" si="2"/>
        <v>7</v>
      </c>
      <c r="B13" s="53">
        <f>(B14+'Cash flows'!E12)/(1+Discount_rate)-'Cash flows'!C12+'Cash flows'!D12</f>
        <v>282.22324976602249</v>
      </c>
      <c r="C13" s="53">
        <f>C14/(1+Discount_rate)+'Cash flows'!C12</f>
        <v>1143.8940860697278</v>
      </c>
      <c r="D13" s="54">
        <f t="shared" si="0"/>
        <v>114.41765704394146</v>
      </c>
      <c r="E13" s="54">
        <f t="shared" si="1"/>
        <v>396.64090680996395</v>
      </c>
      <c r="F13" s="54">
        <f t="shared" si="3"/>
        <v>64.664848927751223</v>
      </c>
      <c r="G13" s="54">
        <f>('Cash flows'!C11-'Cash flows'!D11+'Liability and profit'!E12)*Investment_rate</f>
        <v>24.282872036733085</v>
      </c>
      <c r="H13" s="57">
        <f>'Cash flows'!F11+'Liability and profit'!G13+'Liability and profit'!F13</f>
        <v>49.847599843107517</v>
      </c>
      <c r="I13" s="28"/>
    </row>
    <row r="14" spans="1:10" ht="15" x14ac:dyDescent="0.25">
      <c r="A14" s="46">
        <f t="shared" si="2"/>
        <v>8</v>
      </c>
      <c r="B14" s="53">
        <f>(B15+'Cash flows'!E13)/(1+Discount_rate)-'Cash flows'!C13+'Cash flows'!D13</f>
        <v>224.21199587926594</v>
      </c>
      <c r="C14" s="53">
        <f>C15/(1+Discount_rate)+'Cash flows'!C13</f>
        <v>730.55487376778501</v>
      </c>
      <c r="D14" s="54">
        <f t="shared" si="0"/>
        <v>73.073528411831575</v>
      </c>
      <c r="E14" s="54">
        <f t="shared" si="1"/>
        <v>297.28552429109754</v>
      </c>
      <c r="F14" s="54">
        <f t="shared" si="3"/>
        <v>99.355382518866406</v>
      </c>
      <c r="G14" s="54">
        <f>('Cash flows'!C12-'Cash flows'!D12+'Liability and profit'!E13)*Investment_rate</f>
        <v>21.25950958232897</v>
      </c>
      <c r="H14" s="57">
        <f>'Cash flows'!F12+'Liability and profit'!G14+'Liability and profit'!F14</f>
        <v>44.776658343428096</v>
      </c>
      <c r="I14" s="28"/>
    </row>
    <row r="15" spans="1:10" ht="15" x14ac:dyDescent="0.25">
      <c r="A15" s="46">
        <f t="shared" si="2"/>
        <v>9</v>
      </c>
      <c r="B15" s="53">
        <f>(B16+'Cash flows'!E14)/(1+Discount_rate)-'Cash flows'!C14+'Cash flows'!D14</f>
        <v>129.11008651457632</v>
      </c>
      <c r="C15" s="53">
        <f>C16/(1+Discount_rate)+'Cash flows'!C14</f>
        <v>350.44407988923683</v>
      </c>
      <c r="D15" s="54">
        <f t="shared" si="0"/>
        <v>35.053062197055674</v>
      </c>
      <c r="E15" s="54">
        <f t="shared" si="1"/>
        <v>164.163148711632</v>
      </c>
      <c r="F15" s="54">
        <f t="shared" si="3"/>
        <v>133.12237557946554</v>
      </c>
      <c r="G15" s="54">
        <f>('Cash flows'!C13-'Cash flows'!D13+'Liability and profit'!E14)*Investment_rate</f>
        <v>17.305546710908043</v>
      </c>
      <c r="H15" s="57">
        <f>'Cash flows'!F13+'Liability and profit'!G15+'Liability and profit'!F15</f>
        <v>40.212672067130811</v>
      </c>
      <c r="I15" s="28"/>
    </row>
    <row r="16" spans="1:10" ht="15" x14ac:dyDescent="0.25">
      <c r="A16" s="46">
        <f>1+A15</f>
        <v>10</v>
      </c>
      <c r="B16" s="53">
        <f>(B18+'Cash flows'!E15)/(1+Discount_rate)-'Cash flows'!C15+'Cash flows'!D15</f>
        <v>0</v>
      </c>
      <c r="C16" s="53">
        <f>C18/(1+Discount_rate)+'Cash flows'!C15</f>
        <v>0</v>
      </c>
      <c r="D16" s="54">
        <f t="shared" si="0"/>
        <v>0</v>
      </c>
      <c r="E16" s="54">
        <f t="shared" si="1"/>
        <v>0</v>
      </c>
      <c r="F16" s="54">
        <f>E15-E16</f>
        <v>164.163148711632</v>
      </c>
      <c r="G16" s="54">
        <f>('Cash flows'!C14-'Cash flows'!D14+'Liability and profit'!E15)*Investment_rate</f>
        <v>12.437474745884581</v>
      </c>
      <c r="H16" s="57">
        <f>'Cash flows'!F14+'Liability and profit'!G16+'Liability and profit'!F16</f>
        <v>36.104654062967313</v>
      </c>
      <c r="I16" s="28"/>
    </row>
    <row r="17" spans="1:9" ht="15" x14ac:dyDescent="0.25">
      <c r="A17" s="77"/>
      <c r="B17" s="78"/>
      <c r="C17" s="78"/>
      <c r="D17" s="79"/>
      <c r="E17" s="79"/>
      <c r="F17" s="79"/>
      <c r="G17" s="79"/>
      <c r="H17" s="80"/>
      <c r="I17" s="28"/>
    </row>
    <row r="18" spans="1:9" ht="15" x14ac:dyDescent="0.25">
      <c r="D18"/>
      <c r="E18"/>
    </row>
    <row r="19" spans="1:9" ht="15" x14ac:dyDescent="0.25">
      <c r="A19" s="83" t="s">
        <v>25</v>
      </c>
      <c r="B19" s="86" t="s">
        <v>59</v>
      </c>
      <c r="C19" s="87"/>
      <c r="D19" s="87"/>
      <c r="E19" s="88"/>
      <c r="F19"/>
      <c r="G19"/>
      <c r="H19"/>
    </row>
    <row r="20" spans="1:9" ht="27" x14ac:dyDescent="0.25">
      <c r="A20" s="84"/>
      <c r="B20" s="52" t="s">
        <v>40</v>
      </c>
      <c r="C20" s="52" t="s">
        <v>75</v>
      </c>
      <c r="D20" s="52" t="s">
        <v>60</v>
      </c>
      <c r="E20" s="52" t="s">
        <v>41</v>
      </c>
    </row>
    <row r="21" spans="1:9" ht="15" x14ac:dyDescent="0.25">
      <c r="A21" s="46">
        <v>0</v>
      </c>
      <c r="B21" s="48">
        <f>(B22+'Cash flows'!E21)/(1+Discount_rate)-'Cash flows'!C21+'Cash flows'!D21</f>
        <v>302.36619637202693</v>
      </c>
      <c r="C21" s="47">
        <f>B21</f>
        <v>302.36619637202693</v>
      </c>
      <c r="D21" s="49"/>
      <c r="E21" s="76">
        <f>-C21</f>
        <v>-302.36619637202693</v>
      </c>
    </row>
    <row r="22" spans="1:9" ht="15" x14ac:dyDescent="0.25">
      <c r="A22" s="46">
        <f>1+A21</f>
        <v>1</v>
      </c>
      <c r="B22" s="48">
        <f>(B23+'Cash flows'!E22)/(1+Discount_rate)-'Cash flows'!C22+'Cash flows'!D22</f>
        <v>494.97606226318794</v>
      </c>
      <c r="C22" s="47">
        <f>B21-B22</f>
        <v>-192.60986589116101</v>
      </c>
      <c r="D22" s="50">
        <f>'Cash flows'!J21</f>
        <v>30.013865891160812</v>
      </c>
      <c r="E22" s="51">
        <f>'Cash flows'!F21+'Liability and profit'!D22+'Liability and profit'!C22+'Cash flows'!E21-'Cash flows'!E5</f>
        <v>107.09999999999991</v>
      </c>
    </row>
    <row r="23" spans="1:9" ht="15" x14ac:dyDescent="0.25">
      <c r="A23" s="46">
        <f t="shared" ref="A23:A31" si="4">1+A22</f>
        <v>2</v>
      </c>
      <c r="B23" s="48">
        <f>(B24+'Cash flows'!E23)/(1+Discount_rate)-'Cash flows'!C23+'Cash flows'!D23</f>
        <v>630.07063774746132</v>
      </c>
      <c r="C23" s="47">
        <f t="shared" ref="C23:C31" si="5">B22-B23</f>
        <v>-135.09457548427338</v>
      </c>
      <c r="D23" s="50">
        <f>'Cash flows'!J22</f>
        <v>33.259278022353236</v>
      </c>
      <c r="E23" s="51">
        <f>'Cash flows'!F22+'Liability and profit'!D23+'Liability and profit'!C23+'Cash flows'!E22-'Cash flows'!E6</f>
        <v>102.36624820399993</v>
      </c>
    </row>
    <row r="24" spans="1:9" ht="15" x14ac:dyDescent="0.25">
      <c r="A24" s="46">
        <f t="shared" si="4"/>
        <v>3</v>
      </c>
      <c r="B24" s="48">
        <f>(B25+'Cash flows'!E24)/(1+Discount_rate)-'Cash flows'!C24+'Cash flows'!D24</f>
        <v>710.86119669885215</v>
      </c>
      <c r="C24" s="47">
        <f t="shared" si="5"/>
        <v>-80.790558951390835</v>
      </c>
      <c r="D24" s="50">
        <f>'Cash flows'!J23</f>
        <v>35.051597789313419</v>
      </c>
      <c r="E24" s="51">
        <f>'Cash flows'!F23+'Liability and profit'!D24+'Liability and profit'!C24+'Cash flows'!E23-'Cash flows'!E7</f>
        <v>98.515398813514935</v>
      </c>
    </row>
    <row r="25" spans="1:9" ht="15" x14ac:dyDescent="0.25">
      <c r="A25" s="46">
        <f t="shared" si="4"/>
        <v>4</v>
      </c>
      <c r="B25" s="48">
        <f>(B26+'Cash flows'!E25)/(1+Discount_rate)-'Cash flows'!C25+'Cash flows'!D25</f>
        <v>742.51868302304433</v>
      </c>
      <c r="C25" s="47">
        <f t="shared" si="5"/>
        <v>-31.657486324192178</v>
      </c>
      <c r="D25" s="50">
        <f>'Cash flows'!J24</f>
        <v>35.812082092403365</v>
      </c>
      <c r="E25" s="51">
        <f>'Cash flows'!F24+'Liability and profit'!D25+'Liability and profit'!C25+'Cash flows'!E24-'Cash flows'!E8</f>
        <v>97.405893763227596</v>
      </c>
    </row>
    <row r="26" spans="1:9" ht="15" x14ac:dyDescent="0.25">
      <c r="A26" s="46">
        <f t="shared" si="4"/>
        <v>5</v>
      </c>
      <c r="B26" s="48">
        <f>(B27+'Cash flows'!E26)/(1+Discount_rate)-'Cash flows'!C26+'Cash flows'!D26</f>
        <v>725.39287082000419</v>
      </c>
      <c r="C26" s="47">
        <f t="shared" si="5"/>
        <v>17.125812203040141</v>
      </c>
      <c r="D26" s="50">
        <f>'Cash flows'!J25</f>
        <v>35.267621784645222</v>
      </c>
      <c r="E26" s="51">
        <f>'Cash flows'!F25+'Liability and profit'!D26+'Liability and profit'!C26+'Cash flows'!E25-'Cash flows'!E9</f>
        <v>97.092428757229811</v>
      </c>
    </row>
    <row r="27" spans="1:9" ht="15" x14ac:dyDescent="0.25">
      <c r="A27" s="46">
        <f t="shared" si="4"/>
        <v>6</v>
      </c>
      <c r="B27" s="48">
        <f>(B28+'Cash flows'!E27)/(1+Discount_rate)-'Cash flows'!C27+'Cash flows'!D27</f>
        <v>663.21416567901178</v>
      </c>
      <c r="C27" s="47">
        <f t="shared" si="5"/>
        <v>62.178705140992406</v>
      </c>
      <c r="D27" s="50">
        <f>'Cash flows'!J26</f>
        <v>33.411453537349232</v>
      </c>
      <c r="E27" s="51">
        <f>'Cash flows'!F26+'Liability and profit'!D27+'Liability and profit'!C27+'Cash flows'!E26-'Cash flows'!E10</f>
        <v>96.782481153995832</v>
      </c>
    </row>
    <row r="28" spans="1:9" ht="15" x14ac:dyDescent="0.25">
      <c r="A28" s="46">
        <f t="shared" si="4"/>
        <v>7</v>
      </c>
      <c r="B28" s="48">
        <f>(B29+'Cash flows'!E28)/(1+Discount_rate)-'Cash flows'!C28+'Cash flows'!D28</f>
        <v>557.64831057391575</v>
      </c>
      <c r="C28" s="47">
        <f t="shared" si="5"/>
        <v>105.56585510509603</v>
      </c>
      <c r="D28" s="50">
        <f>'Cash flows'!J27</f>
        <v>30.340124334971978</v>
      </c>
      <c r="E28" s="51">
        <f>'Cash flows'!F27+'Liability and profit'!D28+'Liability and profit'!C28+'Cash flows'!E27-'Cash flows'!E11</f>
        <v>96.805858318691207</v>
      </c>
    </row>
    <row r="29" spans="1:9" ht="15" x14ac:dyDescent="0.25">
      <c r="A29" s="46">
        <f t="shared" si="4"/>
        <v>8</v>
      </c>
      <c r="B29" s="48">
        <f>(B30+'Cash flows'!E29)/(1+Discount_rate)-'Cash flows'!C29+'Cash flows'!D29</f>
        <v>410.93789692170378</v>
      </c>
      <c r="C29" s="47">
        <f t="shared" si="5"/>
        <v>146.71041365221197</v>
      </c>
      <c r="D29" s="50">
        <f>'Cash flows'!J28</f>
        <v>26.089731695247522</v>
      </c>
      <c r="E29" s="51">
        <f>'Cash flows'!F28+'Liability and profit'!D29+'Liability and profit'!C29+'Cash flows'!E28-'Cash flows'!E12</f>
        <v>96.961911589692193</v>
      </c>
    </row>
    <row r="30" spans="1:9" ht="15" x14ac:dyDescent="0.25">
      <c r="A30" s="46">
        <f t="shared" si="4"/>
        <v>9</v>
      </c>
      <c r="B30" s="48">
        <f>(B31+'Cash flows'!E30)/(1+Discount_rate)-'Cash flows'!C30+'Cash flows'!D30</f>
        <v>223.99244384768394</v>
      </c>
      <c r="C30" s="47">
        <f t="shared" si="5"/>
        <v>186.94545307401984</v>
      </c>
      <c r="D30" s="50">
        <f>'Cash flows'!J29</f>
        <v>20.715117889826228</v>
      </c>
      <c r="E30" s="51">
        <f>'Cash flows'!F29+'Liability and profit'!D30+'Liability and profit'!C30+'Cash flows'!E29-'Cash flows'!E13</f>
        <v>97.445320740603279</v>
      </c>
    </row>
    <row r="31" spans="1:9" ht="15" x14ac:dyDescent="0.25">
      <c r="A31" s="46">
        <f t="shared" si="4"/>
        <v>10</v>
      </c>
      <c r="B31" s="48">
        <f>(B32+'Cash flows'!E31)/(1+Discount_rate)-'Cash flows'!C31+'Cash flows'!D31</f>
        <v>0</v>
      </c>
      <c r="C31" s="47">
        <f t="shared" si="5"/>
        <v>223.99244384768394</v>
      </c>
      <c r="D31" s="50">
        <f>'Cash flows'!J30</f>
        <v>14.232353599966135</v>
      </c>
      <c r="E31" s="51">
        <f>'Cash flows'!F30+'Liability and profit'!D31+'Liability and profit'!C31+'Cash flows'!E30-'Cash flows'!E14</f>
        <v>97.728828053100813</v>
      </c>
    </row>
  </sheetData>
  <mergeCells count="4">
    <mergeCell ref="A4:A5"/>
    <mergeCell ref="B4:H4"/>
    <mergeCell ref="A19:A20"/>
    <mergeCell ref="B19:E19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workbookViewId="0">
      <selection activeCell="D23" sqref="D23"/>
    </sheetView>
  </sheetViews>
  <sheetFormatPr defaultRowHeight="15" x14ac:dyDescent="0.25"/>
  <cols>
    <col min="1" max="10" width="13.7109375" customWidth="1"/>
  </cols>
  <sheetData>
    <row r="2" spans="1:9" x14ac:dyDescent="0.25">
      <c r="A2" s="31" t="s">
        <v>77</v>
      </c>
    </row>
    <row r="3" spans="1:9" x14ac:dyDescent="0.25">
      <c r="A3" s="95" t="s">
        <v>25</v>
      </c>
      <c r="B3" s="89" t="s">
        <v>79</v>
      </c>
      <c r="C3" s="90"/>
      <c r="D3" s="90"/>
      <c r="E3" s="91"/>
      <c r="F3" s="89" t="s">
        <v>59</v>
      </c>
      <c r="G3" s="90"/>
      <c r="H3" s="90"/>
      <c r="I3" s="91"/>
    </row>
    <row r="4" spans="1:9" ht="25.5" x14ac:dyDescent="0.25">
      <c r="A4" s="96"/>
      <c r="B4" s="60" t="s">
        <v>60</v>
      </c>
      <c r="C4" s="61" t="s">
        <v>40</v>
      </c>
      <c r="D4" s="61" t="s">
        <v>41</v>
      </c>
      <c r="E4" s="62" t="s">
        <v>78</v>
      </c>
      <c r="F4" s="60" t="s">
        <v>60</v>
      </c>
      <c r="G4" s="61" t="s">
        <v>40</v>
      </c>
      <c r="H4" s="61" t="s">
        <v>41</v>
      </c>
      <c r="I4" s="62" t="s">
        <v>78</v>
      </c>
    </row>
    <row r="5" spans="1:9" x14ac:dyDescent="0.25">
      <c r="A5" s="70">
        <v>0</v>
      </c>
      <c r="B5" s="63"/>
      <c r="C5" s="59">
        <v>0</v>
      </c>
      <c r="D5" s="59">
        <v>0</v>
      </c>
      <c r="E5" s="64">
        <v>0</v>
      </c>
      <c r="F5" s="63"/>
      <c r="G5" s="59">
        <f>'Liability and profit'!B21</f>
        <v>302.36619637202693</v>
      </c>
      <c r="H5" s="59">
        <f>'Liability and profit'!E21</f>
        <v>-302.36619637202693</v>
      </c>
      <c r="I5" s="64">
        <f>H5/'Cash flows'!C5</f>
        <v>-0.31492542220975178</v>
      </c>
    </row>
    <row r="6" spans="1:9" x14ac:dyDescent="0.25">
      <c r="A6" s="71">
        <v>1</v>
      </c>
      <c r="B6" s="65">
        <f>'Liability and profit'!G7</f>
        <v>20.942880000000002</v>
      </c>
      <c r="C6" s="58">
        <f>'Liability and profit'!E7</f>
        <v>191.72209855546123</v>
      </c>
      <c r="D6" s="58">
        <f>'Liability and profit'!H7</f>
        <v>98.916781444538913</v>
      </c>
      <c r="E6" s="66">
        <f>D6/'Cash flows'!C5/(1+Investment_rate)</f>
        <v>0.10002469497597075</v>
      </c>
      <c r="F6" s="65">
        <f>'Liability and profit'!D22</f>
        <v>30.013865891160812</v>
      </c>
      <c r="G6" s="58">
        <f>'Liability and profit'!B22</f>
        <v>494.97606226318794</v>
      </c>
      <c r="H6" s="58">
        <f>'Liability and profit'!E22</f>
        <v>107.09999999999991</v>
      </c>
      <c r="I6" s="66">
        <f>H6/'Cash flows'!C5/(1+Investment_rate)</f>
        <v>0.10829956934994765</v>
      </c>
    </row>
    <row r="7" spans="1:9" x14ac:dyDescent="0.25">
      <c r="A7" s="70">
        <v>2</v>
      </c>
      <c r="B7" s="63">
        <f>'Liability and profit'!G8</f>
        <v>24.161659111121438</v>
      </c>
      <c r="C7" s="59">
        <f>'Liability and profit'!E8</f>
        <v>333.13176274948427</v>
      </c>
      <c r="D7" s="59">
        <f>'Liability and profit'!H8</f>
        <v>86.95354058301848</v>
      </c>
      <c r="E7" s="64">
        <f>D7/'Cash flows'!C6/(1+Investment_rate)</f>
        <v>0.10002469497597084</v>
      </c>
      <c r="F7" s="63">
        <f>'Liability and profit'!D23</f>
        <v>33.259278022353236</v>
      </c>
      <c r="G7" s="59">
        <f>'Liability and profit'!B23</f>
        <v>630.07063774746132</v>
      </c>
      <c r="H7" s="59">
        <f>'Liability and profit'!E23</f>
        <v>102.36624820399993</v>
      </c>
      <c r="I7" s="64">
        <f>H7/'Cash flows'!C6/(1+Investment_rate)</f>
        <v>0.11775429365827644</v>
      </c>
    </row>
    <row r="8" spans="1:9" x14ac:dyDescent="0.25">
      <c r="A8" s="71">
        <v>3</v>
      </c>
      <c r="B8" s="65">
        <f>'Liability and profit'!G9</f>
        <v>26.143431539374109</v>
      </c>
      <c r="C8" s="58">
        <f>'Liability and profit'!E9</f>
        <v>427.09954506164229</v>
      </c>
      <c r="D8" s="58">
        <f>'Liability and profit'!H9</f>
        <v>76.430009202808463</v>
      </c>
      <c r="E8" s="66">
        <f>D8/'Cash flows'!C7/(1+Investment_rate)</f>
        <v>0.10002469497597091</v>
      </c>
      <c r="F8" s="65">
        <f>'Liability and profit'!D24</f>
        <v>35.051597789313419</v>
      </c>
      <c r="G8" s="58">
        <f>'Liability and profit'!B24</f>
        <v>710.86119669885215</v>
      </c>
      <c r="H8" s="58">
        <f>'Liability and profit'!E24</f>
        <v>98.515398813514935</v>
      </c>
      <c r="I8" s="66">
        <f>H8/'Cash flows'!C7/(1+Investment_rate)</f>
        <v>0.12892805874993757</v>
      </c>
    </row>
    <row r="9" spans="1:9" x14ac:dyDescent="0.25">
      <c r="A9" s="70">
        <v>4</v>
      </c>
      <c r="B9" s="63">
        <f>'Liability and profit'!G10</f>
        <v>27.299232543287072</v>
      </c>
      <c r="C9" s="59">
        <f>'Liability and profit'!E10</f>
        <v>478.95077075297854</v>
      </c>
      <c r="D9" s="59">
        <f>'Liability and profit'!H10</f>
        <v>68.699304846967209</v>
      </c>
      <c r="E9" s="64">
        <f>D9/'Cash flows'!C8/(1+Investment_rate)</f>
        <v>0.10002469497597066</v>
      </c>
      <c r="F9" s="63">
        <f>'Liability and profit'!D25</f>
        <v>35.812082092403365</v>
      </c>
      <c r="G9" s="59">
        <f>'Liability and profit'!B25</f>
        <v>742.51868302304433</v>
      </c>
      <c r="H9" s="59">
        <f>'Liability and profit'!E25</f>
        <v>97.405893763227596</v>
      </c>
      <c r="I9" s="64">
        <f>H9/'Cash flows'!C8/(1+Investment_rate)</f>
        <v>0.14182086462493157</v>
      </c>
    </row>
    <row r="10" spans="1:9" x14ac:dyDescent="0.25">
      <c r="A10" s="71">
        <v>5</v>
      </c>
      <c r="B10" s="65">
        <f>'Liability and profit'!G11</f>
        <v>27.360584416543254</v>
      </c>
      <c r="C10" s="58">
        <f>'Liability and profit'!E11</f>
        <v>489.26769127433886</v>
      </c>
      <c r="D10" s="58">
        <f>'Liability and profit'!H11</f>
        <v>61.742658664727401</v>
      </c>
      <c r="E10" s="66">
        <f>D10/'Cash flows'!C9/(1+Investment_rate)</f>
        <v>0.10002469497597065</v>
      </c>
      <c r="F10" s="65">
        <f>'Liability and profit'!D26</f>
        <v>35.267621784645222</v>
      </c>
      <c r="G10" s="58">
        <f>'Liability and profit'!B26</f>
        <v>725.39287082000419</v>
      </c>
      <c r="H10" s="58">
        <f>'Liability and profit'!E26</f>
        <v>97.092428757229811</v>
      </c>
      <c r="I10" s="66">
        <f>H10/'Cash flows'!C9/(1+Investment_rate)</f>
        <v>0.15729223167492429</v>
      </c>
    </row>
    <row r="11" spans="1:9" x14ac:dyDescent="0.25">
      <c r="A11" s="70">
        <v>6</v>
      </c>
      <c r="B11" s="63">
        <f>'Liability and profit'!G12</f>
        <v>26.327698150979277</v>
      </c>
      <c r="C11" s="59">
        <f>'Liability and profit'!E12</f>
        <v>461.30575573771517</v>
      </c>
      <c r="D11" s="59">
        <f>'Liability and profit'!H12</f>
        <v>55.481956163257138</v>
      </c>
      <c r="E11" s="64">
        <f>D11/'Cash flows'!C10/(1+Investment_rate)</f>
        <v>0.10002469497597094</v>
      </c>
      <c r="F11" s="63">
        <f>'Liability and profit'!D27</f>
        <v>33.411453537349232</v>
      </c>
      <c r="G11" s="59">
        <f>'Liability and profit'!B27</f>
        <v>663.21416567901178</v>
      </c>
      <c r="H11" s="59">
        <f>'Liability and profit'!E27</f>
        <v>96.782481153995832</v>
      </c>
      <c r="I11" s="64">
        <f>H11/'Cash flows'!C10/(1+Investment_rate)</f>
        <v>0.17448263950824935</v>
      </c>
    </row>
    <row r="12" spans="1:9" x14ac:dyDescent="0.25">
      <c r="A12" s="71">
        <v>7</v>
      </c>
      <c r="B12" s="65">
        <f>'Liability and profit'!G13</f>
        <v>24.282872036733085</v>
      </c>
      <c r="C12" s="58">
        <f>'Liability and profit'!E13</f>
        <v>396.64090680996395</v>
      </c>
      <c r="D12" s="58">
        <f>'Liability and profit'!H13</f>
        <v>49.847599843107517</v>
      </c>
      <c r="E12" s="66">
        <f>D12/'Cash flows'!C11/(1+Investment_rate)</f>
        <v>0.10002469497597059</v>
      </c>
      <c r="F12" s="65">
        <f>'Liability and profit'!D28</f>
        <v>30.340124334971978</v>
      </c>
      <c r="G12" s="58">
        <f>'Liability and profit'!B28</f>
        <v>557.64831057391575</v>
      </c>
      <c r="H12" s="58">
        <f>'Liability and profit'!E28</f>
        <v>96.805858318691207</v>
      </c>
      <c r="I12" s="66">
        <f>H12/'Cash flows'!C11/(1+Investment_rate)</f>
        <v>0.19425160851657314</v>
      </c>
    </row>
    <row r="13" spans="1:9" x14ac:dyDescent="0.25">
      <c r="A13" s="70">
        <v>8</v>
      </c>
      <c r="B13" s="63">
        <f>'Liability and profit'!G14</f>
        <v>21.25950958232897</v>
      </c>
      <c r="C13" s="59">
        <f>'Liability and profit'!E14</f>
        <v>297.28552429109754</v>
      </c>
      <c r="D13" s="59">
        <f>'Liability and profit'!H14</f>
        <v>44.776658343428096</v>
      </c>
      <c r="E13" s="64">
        <f>D13/'Cash flows'!C12/(1+Investment_rate)</f>
        <v>0.10002469497597077</v>
      </c>
      <c r="F13" s="63">
        <f>'Liability and profit'!D29</f>
        <v>26.089731695247522</v>
      </c>
      <c r="G13" s="59">
        <f>'Liability and profit'!B29</f>
        <v>410.93789692170378</v>
      </c>
      <c r="H13" s="59">
        <f>'Liability and profit'!E29</f>
        <v>96.961911589692193</v>
      </c>
      <c r="I13" s="64">
        <f>H13/'Cash flows'!C12/(1+Investment_rate)</f>
        <v>0.2165991386998953</v>
      </c>
    </row>
    <row r="14" spans="1:9" x14ac:dyDescent="0.25">
      <c r="A14" s="71">
        <v>9</v>
      </c>
      <c r="B14" s="65">
        <f>'Liability and profit'!G15</f>
        <v>17.305546710908043</v>
      </c>
      <c r="C14" s="58">
        <f>'Liability and profit'!E15</f>
        <v>164.163148711632</v>
      </c>
      <c r="D14" s="58">
        <f>'Liability and profit'!H15</f>
        <v>40.212672067130811</v>
      </c>
      <c r="E14" s="66">
        <f>D14/'Cash flows'!C13/(1+Investment_rate)</f>
        <v>0.10002469497597075</v>
      </c>
      <c r="F14" s="65">
        <f>'Liability and profit'!D30</f>
        <v>20.715117889826228</v>
      </c>
      <c r="G14" s="58">
        <f>'Liability and profit'!B30</f>
        <v>223.99244384768394</v>
      </c>
      <c r="H14" s="58">
        <f>'Liability and profit'!E30</f>
        <v>97.445320740603279</v>
      </c>
      <c r="I14" s="66">
        <f>H14/'Cash flows'!C13/(1+Investment_rate)</f>
        <v>0.24238475044988292</v>
      </c>
    </row>
    <row r="15" spans="1:9" x14ac:dyDescent="0.25">
      <c r="A15" s="72">
        <v>10</v>
      </c>
      <c r="B15" s="67">
        <f>'Liability and profit'!G16</f>
        <v>12.437474745884581</v>
      </c>
      <c r="C15" s="68">
        <f>'Liability and profit'!E16</f>
        <v>0</v>
      </c>
      <c r="D15" s="68">
        <f>'Liability and profit'!H16</f>
        <v>36.104654062967313</v>
      </c>
      <c r="E15" s="69">
        <f>D15/'Cash flows'!C14/(1+Investment_rate)</f>
        <v>0.10002469497597076</v>
      </c>
      <c r="F15" s="67">
        <f>'Liability and profit'!D31</f>
        <v>14.232353599966135</v>
      </c>
      <c r="G15" s="68">
        <f>'Liability and profit'!B31</f>
        <v>0</v>
      </c>
      <c r="H15" s="68">
        <f>'Liability and profit'!E31</f>
        <v>97.728828053100813</v>
      </c>
      <c r="I15" s="69">
        <f>H15/'Cash flows'!C14/(1+Investment_rate)</f>
        <v>0.27074892337486939</v>
      </c>
    </row>
    <row r="17" spans="1:10" x14ac:dyDescent="0.25">
      <c r="A17" t="s">
        <v>85</v>
      </c>
    </row>
    <row r="18" spans="1:10" x14ac:dyDescent="0.25">
      <c r="A18" t="s">
        <v>86</v>
      </c>
    </row>
    <row r="21" spans="1:10" x14ac:dyDescent="0.25">
      <c r="A21" s="31" t="s">
        <v>80</v>
      </c>
      <c r="J21" s="130"/>
    </row>
    <row r="22" spans="1:10" ht="15" customHeight="1" x14ac:dyDescent="0.25">
      <c r="A22" s="94" t="s">
        <v>81</v>
      </c>
      <c r="B22" s="94"/>
      <c r="C22" s="94"/>
      <c r="D22" s="73" t="s">
        <v>73</v>
      </c>
    </row>
    <row r="23" spans="1:10" x14ac:dyDescent="0.25">
      <c r="A23" s="92" t="s">
        <v>82</v>
      </c>
      <c r="B23" s="92"/>
      <c r="C23" s="92"/>
      <c r="D23" s="75">
        <f>NPV(0.085,'Liability and profit'!H7:H16)</f>
        <v>436.24894192824001</v>
      </c>
    </row>
    <row r="24" spans="1:10" x14ac:dyDescent="0.25">
      <c r="A24" s="93" t="s">
        <v>83</v>
      </c>
      <c r="B24" s="93"/>
      <c r="C24" s="93"/>
      <c r="D24" s="74">
        <f>NPV(0.085,'Liability and profit'!E22:E31)+'Liability and profit'!E21</f>
        <v>349.76569484487868</v>
      </c>
    </row>
    <row r="26" spans="1:10" x14ac:dyDescent="0.25">
      <c r="A26" t="s">
        <v>87</v>
      </c>
    </row>
  </sheetData>
  <mergeCells count="6">
    <mergeCell ref="F3:I3"/>
    <mergeCell ref="A23:C23"/>
    <mergeCell ref="A24:C24"/>
    <mergeCell ref="A22:C22"/>
    <mergeCell ref="A3:A4"/>
    <mergeCell ref="B3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19</vt:i4>
      </vt:variant>
    </vt:vector>
  </HeadingPairs>
  <TitlesOfParts>
    <vt:vector size="26" baseType="lpstr">
      <vt:lpstr>Notes</vt:lpstr>
      <vt:lpstr>Data</vt:lpstr>
      <vt:lpstr>Assumptions</vt:lpstr>
      <vt:lpstr>Decrements</vt:lpstr>
      <vt:lpstr>Cash flows</vt:lpstr>
      <vt:lpstr>Liability and profit</vt:lpstr>
      <vt:lpstr>Tables</vt:lpstr>
      <vt:lpstr>Age</vt:lpstr>
      <vt:lpstr>Annual_premium</vt:lpstr>
      <vt:lpstr>CB1_factor</vt:lpstr>
      <vt:lpstr>CB2_factor</vt:lpstr>
      <vt:lpstr>Decrement</vt:lpstr>
      <vt:lpstr>Discount_rate</vt:lpstr>
      <vt:lpstr>Factor</vt:lpstr>
      <vt:lpstr>IA95_97UltM</vt:lpstr>
      <vt:lpstr>IC_rate</vt:lpstr>
      <vt:lpstr>Inflation</vt:lpstr>
      <vt:lpstr>Initial_comm_rate</vt:lpstr>
      <vt:lpstr>Initial_expense</vt:lpstr>
      <vt:lpstr>Investment_rate</vt:lpstr>
      <vt:lpstr>lapse_rates</vt:lpstr>
      <vt:lpstr>Profit_margin</vt:lpstr>
      <vt:lpstr>RC_rate</vt:lpstr>
      <vt:lpstr>Renewal_comm_rate</vt:lpstr>
      <vt:lpstr>Renewal_expense</vt:lpstr>
      <vt:lpstr>Sum_Insured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</dc:creator>
  <cp:lastModifiedBy>Zhu, Vincent</cp:lastModifiedBy>
  <dcterms:created xsi:type="dcterms:W3CDTF">2018-12-13T02:59:47Z</dcterms:created>
  <dcterms:modified xsi:type="dcterms:W3CDTF">2020-01-16T13:09:18Z</dcterms:modified>
</cp:coreProperties>
</file>