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izhu\Documents\GitHub\my_file\C2B\2014 S1\"/>
    </mc:Choice>
  </mc:AlternateContent>
  <bookViews>
    <workbookView xWindow="2175" yWindow="1575" windowWidth="20610" windowHeight="11640" activeTab="1"/>
  </bookViews>
  <sheets>
    <sheet name="Assumptions" sheetId="1" r:id="rId1"/>
    <sheet name="Individual" sheetId="2" r:id="rId2"/>
    <sheet name="Group" sheetId="3" r:id="rId3"/>
    <sheet name="Combined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4" l="1"/>
  <c r="H37" i="4"/>
  <c r="F37" i="4"/>
  <c r="D37" i="4"/>
  <c r="E37" i="4"/>
  <c r="C37" i="4"/>
  <c r="I35" i="4"/>
  <c r="H35" i="4"/>
  <c r="G35" i="4"/>
  <c r="F35" i="4"/>
  <c r="E35" i="4"/>
  <c r="D35" i="4"/>
  <c r="C35" i="4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6" i="3"/>
  <c r="C34" i="3"/>
  <c r="D34" i="3"/>
  <c r="E34" i="3"/>
  <c r="K34" i="3"/>
  <c r="H34" i="3"/>
  <c r="F34" i="3"/>
  <c r="G34" i="3"/>
  <c r="I34" i="3"/>
  <c r="C33" i="3"/>
  <c r="D33" i="3"/>
  <c r="E33" i="3"/>
  <c r="K33" i="3"/>
  <c r="H33" i="3"/>
  <c r="F33" i="3"/>
  <c r="G33" i="3"/>
  <c r="I33" i="3"/>
  <c r="C32" i="3"/>
  <c r="D32" i="3"/>
  <c r="E32" i="3"/>
  <c r="K32" i="3"/>
  <c r="H32" i="3"/>
  <c r="F32" i="3"/>
  <c r="G32" i="3"/>
  <c r="I32" i="3"/>
  <c r="C31" i="3"/>
  <c r="D31" i="3"/>
  <c r="E31" i="3"/>
  <c r="K31" i="3"/>
  <c r="H31" i="3"/>
  <c r="F31" i="3"/>
  <c r="G31" i="3"/>
  <c r="I31" i="3"/>
  <c r="C30" i="3"/>
  <c r="D30" i="3"/>
  <c r="E30" i="3"/>
  <c r="K30" i="3"/>
  <c r="H30" i="3"/>
  <c r="F30" i="3"/>
  <c r="G30" i="3"/>
  <c r="I30" i="3"/>
  <c r="C29" i="3"/>
  <c r="D29" i="3"/>
  <c r="E29" i="3"/>
  <c r="K29" i="3"/>
  <c r="H29" i="3"/>
  <c r="F29" i="3"/>
  <c r="G29" i="3"/>
  <c r="I29" i="3"/>
  <c r="C28" i="3"/>
  <c r="D28" i="3"/>
  <c r="E28" i="3"/>
  <c r="K28" i="3"/>
  <c r="H28" i="3"/>
  <c r="F28" i="3"/>
  <c r="G28" i="3"/>
  <c r="I28" i="3"/>
  <c r="C27" i="3"/>
  <c r="D27" i="3"/>
  <c r="E27" i="3"/>
  <c r="K27" i="3"/>
  <c r="H27" i="3"/>
  <c r="F27" i="3"/>
  <c r="G27" i="3"/>
  <c r="I27" i="3"/>
  <c r="C26" i="3"/>
  <c r="D26" i="3"/>
  <c r="E26" i="3"/>
  <c r="K26" i="3"/>
  <c r="H26" i="3"/>
  <c r="F26" i="3"/>
  <c r="G26" i="3"/>
  <c r="I26" i="3"/>
  <c r="C25" i="3"/>
  <c r="D25" i="3"/>
  <c r="E25" i="3"/>
  <c r="K25" i="3"/>
  <c r="H25" i="3"/>
  <c r="F25" i="3"/>
  <c r="G25" i="3"/>
  <c r="I25" i="3"/>
  <c r="C24" i="3"/>
  <c r="D24" i="3"/>
  <c r="E24" i="3"/>
  <c r="K24" i="3"/>
  <c r="H24" i="3"/>
  <c r="F24" i="3"/>
  <c r="G24" i="3"/>
  <c r="I24" i="3"/>
  <c r="C23" i="3"/>
  <c r="D23" i="3"/>
  <c r="E23" i="3"/>
  <c r="K23" i="3"/>
  <c r="H23" i="3"/>
  <c r="F23" i="3"/>
  <c r="G23" i="3"/>
  <c r="I23" i="3"/>
  <c r="C22" i="3"/>
  <c r="D22" i="3"/>
  <c r="E22" i="3"/>
  <c r="K22" i="3"/>
  <c r="H22" i="3"/>
  <c r="F22" i="3"/>
  <c r="G22" i="3"/>
  <c r="I22" i="3"/>
  <c r="C21" i="3"/>
  <c r="D21" i="3"/>
  <c r="E21" i="3"/>
  <c r="K21" i="3"/>
  <c r="H21" i="3"/>
  <c r="F21" i="3"/>
  <c r="G21" i="3"/>
  <c r="I21" i="3"/>
  <c r="C20" i="3"/>
  <c r="D20" i="3"/>
  <c r="E20" i="3"/>
  <c r="K20" i="3"/>
  <c r="H20" i="3"/>
  <c r="F20" i="3"/>
  <c r="G20" i="3"/>
  <c r="I20" i="3"/>
  <c r="C19" i="3"/>
  <c r="D19" i="3"/>
  <c r="E19" i="3"/>
  <c r="K19" i="3"/>
  <c r="H19" i="3"/>
  <c r="F19" i="3"/>
  <c r="G19" i="3"/>
  <c r="I19" i="3"/>
  <c r="C18" i="3"/>
  <c r="D18" i="3"/>
  <c r="E18" i="3"/>
  <c r="K18" i="3"/>
  <c r="H18" i="3"/>
  <c r="F18" i="3"/>
  <c r="G18" i="3"/>
  <c r="I18" i="3"/>
  <c r="C17" i="3"/>
  <c r="D17" i="3"/>
  <c r="E17" i="3"/>
  <c r="K17" i="3"/>
  <c r="H17" i="3"/>
  <c r="F17" i="3"/>
  <c r="G17" i="3"/>
  <c r="I17" i="3"/>
  <c r="C16" i="3"/>
  <c r="D16" i="3"/>
  <c r="E16" i="3"/>
  <c r="K16" i="3"/>
  <c r="H16" i="3"/>
  <c r="F16" i="3"/>
  <c r="G16" i="3"/>
  <c r="I16" i="3"/>
  <c r="C15" i="3"/>
  <c r="D15" i="3"/>
  <c r="E15" i="3"/>
  <c r="K15" i="3"/>
  <c r="H15" i="3"/>
  <c r="F15" i="3"/>
  <c r="G15" i="3"/>
  <c r="I15" i="3"/>
  <c r="C14" i="3"/>
  <c r="D14" i="3"/>
  <c r="E14" i="3"/>
  <c r="K14" i="3"/>
  <c r="H14" i="3"/>
  <c r="F14" i="3"/>
  <c r="G14" i="3"/>
  <c r="I14" i="3"/>
  <c r="C13" i="3"/>
  <c r="D13" i="3"/>
  <c r="E13" i="3"/>
  <c r="K13" i="3"/>
  <c r="H13" i="3"/>
  <c r="F13" i="3"/>
  <c r="G13" i="3"/>
  <c r="I13" i="3"/>
  <c r="C12" i="3"/>
  <c r="D12" i="3"/>
  <c r="E12" i="3"/>
  <c r="K12" i="3"/>
  <c r="H12" i="3"/>
  <c r="F12" i="3"/>
  <c r="G12" i="3"/>
  <c r="I12" i="3"/>
  <c r="C11" i="3"/>
  <c r="D11" i="3"/>
  <c r="E11" i="3"/>
  <c r="K11" i="3"/>
  <c r="H11" i="3"/>
  <c r="F11" i="3"/>
  <c r="G11" i="3"/>
  <c r="I11" i="3"/>
  <c r="C10" i="3"/>
  <c r="D10" i="3"/>
  <c r="E10" i="3"/>
  <c r="K10" i="3"/>
  <c r="H10" i="3"/>
  <c r="F10" i="3"/>
  <c r="G10" i="3"/>
  <c r="I10" i="3"/>
  <c r="C9" i="3"/>
  <c r="D9" i="3"/>
  <c r="E9" i="3"/>
  <c r="K9" i="3"/>
  <c r="H9" i="3"/>
  <c r="F9" i="3"/>
  <c r="G9" i="3"/>
  <c r="I9" i="3"/>
  <c r="C8" i="3"/>
  <c r="D8" i="3"/>
  <c r="E8" i="3"/>
  <c r="K8" i="3"/>
  <c r="H8" i="3"/>
  <c r="F8" i="3"/>
  <c r="G8" i="3"/>
  <c r="I8" i="3"/>
  <c r="C7" i="3"/>
  <c r="D7" i="3"/>
  <c r="E7" i="3"/>
  <c r="K7" i="3"/>
  <c r="H7" i="3"/>
  <c r="F7" i="3"/>
  <c r="G7" i="3"/>
  <c r="I7" i="3"/>
  <c r="C6" i="3"/>
  <c r="D6" i="3"/>
  <c r="E6" i="3"/>
  <c r="K6" i="3"/>
  <c r="H6" i="3"/>
  <c r="F6" i="3"/>
  <c r="G6" i="3"/>
  <c r="I6" i="3"/>
  <c r="C5" i="3"/>
  <c r="D5" i="3"/>
  <c r="E5" i="3"/>
  <c r="K5" i="3"/>
  <c r="H5" i="3"/>
  <c r="G5" i="3"/>
  <c r="F5" i="3"/>
  <c r="I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5" i="3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5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5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6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5" i="2"/>
  <c r="C6" i="2"/>
  <c r="K6" i="2"/>
  <c r="C7" i="2"/>
  <c r="K7" i="2"/>
  <c r="G6" i="2"/>
  <c r="E6" i="2"/>
  <c r="C8" i="2"/>
  <c r="K8" i="2"/>
  <c r="G7" i="2"/>
  <c r="E7" i="2"/>
  <c r="C9" i="2"/>
  <c r="K9" i="2"/>
  <c r="G8" i="2"/>
  <c r="E8" i="2"/>
  <c r="C10" i="2"/>
  <c r="K10" i="2"/>
  <c r="G9" i="2"/>
  <c r="E9" i="2"/>
  <c r="C11" i="2"/>
  <c r="K11" i="2"/>
  <c r="G10" i="2"/>
  <c r="E10" i="2"/>
  <c r="C12" i="2"/>
  <c r="K12" i="2"/>
  <c r="G11" i="2"/>
  <c r="E11" i="2"/>
  <c r="C13" i="2"/>
  <c r="K13" i="2"/>
  <c r="G12" i="2"/>
  <c r="E12" i="2"/>
  <c r="C14" i="2"/>
  <c r="K14" i="2"/>
  <c r="G13" i="2"/>
  <c r="E13" i="2"/>
  <c r="C15" i="2"/>
  <c r="K15" i="2"/>
  <c r="G14" i="2"/>
  <c r="E14" i="2"/>
  <c r="C16" i="2"/>
  <c r="K16" i="2"/>
  <c r="G15" i="2"/>
  <c r="E15" i="2"/>
  <c r="C17" i="2"/>
  <c r="K17" i="2"/>
  <c r="G16" i="2"/>
  <c r="E16" i="2"/>
  <c r="C18" i="2"/>
  <c r="K18" i="2"/>
  <c r="G17" i="2"/>
  <c r="E17" i="2"/>
  <c r="C19" i="2"/>
  <c r="K19" i="2"/>
  <c r="G18" i="2"/>
  <c r="E18" i="2"/>
  <c r="C20" i="2"/>
  <c r="K20" i="2"/>
  <c r="G19" i="2"/>
  <c r="E19" i="2"/>
  <c r="C21" i="2"/>
  <c r="K21" i="2"/>
  <c r="G20" i="2"/>
  <c r="E20" i="2"/>
  <c r="C22" i="2"/>
  <c r="K22" i="2"/>
  <c r="G21" i="2"/>
  <c r="E21" i="2"/>
  <c r="C23" i="2"/>
  <c r="K23" i="2"/>
  <c r="G22" i="2"/>
  <c r="E22" i="2"/>
  <c r="C24" i="2"/>
  <c r="K24" i="2"/>
  <c r="G23" i="2"/>
  <c r="E23" i="2"/>
  <c r="C25" i="2"/>
  <c r="K25" i="2"/>
  <c r="G24" i="2"/>
  <c r="E24" i="2"/>
  <c r="C26" i="2"/>
  <c r="K26" i="2"/>
  <c r="G25" i="2"/>
  <c r="E25" i="2"/>
  <c r="C27" i="2"/>
  <c r="K27" i="2"/>
  <c r="G26" i="2"/>
  <c r="E26" i="2"/>
  <c r="C28" i="2"/>
  <c r="K28" i="2"/>
  <c r="G27" i="2"/>
  <c r="E27" i="2"/>
  <c r="C29" i="2"/>
  <c r="K29" i="2"/>
  <c r="G28" i="2"/>
  <c r="E28" i="2"/>
  <c r="C30" i="2"/>
  <c r="K30" i="2"/>
  <c r="G29" i="2"/>
  <c r="E29" i="2"/>
  <c r="C31" i="2"/>
  <c r="K31" i="2"/>
  <c r="G30" i="2"/>
  <c r="E30" i="2"/>
  <c r="C32" i="2"/>
  <c r="K32" i="2"/>
  <c r="G31" i="2"/>
  <c r="E31" i="2"/>
  <c r="C33" i="2"/>
  <c r="K33" i="2"/>
  <c r="G32" i="2"/>
  <c r="E32" i="2"/>
  <c r="C34" i="2"/>
  <c r="K34" i="2"/>
  <c r="G33" i="2"/>
  <c r="E33" i="2"/>
  <c r="C35" i="2"/>
  <c r="K35" i="2"/>
  <c r="G34" i="2"/>
  <c r="E34" i="2"/>
  <c r="G35" i="2"/>
  <c r="E35" i="2"/>
  <c r="G5" i="2"/>
  <c r="C5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M5" i="2"/>
  <c r="L5" i="2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H37" i="3"/>
  <c r="G37" i="3"/>
  <c r="F37" i="3"/>
  <c r="E37" i="3"/>
  <c r="D37" i="3"/>
  <c r="C37" i="3"/>
  <c r="H38" i="2"/>
  <c r="G38" i="2"/>
  <c r="E38" i="2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37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F5" i="4"/>
  <c r="D5" i="4"/>
  <c r="F38" i="2"/>
  <c r="D38" i="2"/>
  <c r="C5" i="4"/>
  <c r="I37" i="4"/>
  <c r="K5" i="2"/>
  <c r="C38" i="2"/>
  <c r="I38" i="2"/>
</calcChain>
</file>

<file path=xl/sharedStrings.xml><?xml version="1.0" encoding="utf-8"?>
<sst xmlns="http://schemas.openxmlformats.org/spreadsheetml/2006/main" count="90" uniqueCount="36">
  <si>
    <t>Economic Capital as a % premium</t>
  </si>
  <si>
    <t>$000s</t>
  </si>
  <si>
    <t>Individual</t>
  </si>
  <si>
    <t>Group</t>
  </si>
  <si>
    <t>Premiums</t>
  </si>
  <si>
    <t>BOY</t>
  </si>
  <si>
    <t>Expenses</t>
  </si>
  <si>
    <t>Commission</t>
  </si>
  <si>
    <t>Claims</t>
  </si>
  <si>
    <t xml:space="preserve">Individual </t>
  </si>
  <si>
    <t>Capital</t>
  </si>
  <si>
    <t>Capital Release</t>
  </si>
  <si>
    <t>EOY</t>
  </si>
  <si>
    <t>2014 Expected Premium</t>
  </si>
  <si>
    <t>Survivorship</t>
  </si>
  <si>
    <t>Claim Rate</t>
  </si>
  <si>
    <t>Lapse Rate</t>
  </si>
  <si>
    <t>Premium Rate</t>
  </si>
  <si>
    <t>Investment Income</t>
  </si>
  <si>
    <t>Surplus Arising</t>
  </si>
  <si>
    <t>Working</t>
  </si>
  <si>
    <t>Value at 13%</t>
  </si>
  <si>
    <t>Additional Assumptions</t>
  </si>
  <si>
    <t>Expense Indexation (pa)</t>
  </si>
  <si>
    <t>Lapse Rates (pa)</t>
  </si>
  <si>
    <t>Investment Income (pa)</t>
  </si>
  <si>
    <t>n/a</t>
  </si>
  <si>
    <t>Premium Rate Increase (pa)</t>
  </si>
  <si>
    <t>2014 Claim Rate (qx)</t>
  </si>
  <si>
    <t>Annual Claim Rate Increase</t>
  </si>
  <si>
    <t>2014 Expected Expenses*</t>
  </si>
  <si>
    <t>* Expenses expressed for group as a % of premium</t>
  </si>
  <si>
    <t>Combined</t>
  </si>
  <si>
    <t>2014 Expected Commission Rate</t>
  </si>
  <si>
    <t>2014 Expected Claims Ratio</t>
  </si>
  <si>
    <t>Risk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</si>
</sst>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.00;[Red]\-&quot;$&quot;#,##0.00"/>
    <numFmt numFmtId="165" formatCode="0.0%"/>
    <numFmt numFmtId="167" formatCode="_(* #,##0_);_(* \(#,##0\);_(* &quot;-&quot;??_);_(@_)"/>
    <numFmt numFmtId="169" formatCode="_(* #,##0.0000_);_(* \(#,##0.0000\);_(* &quot;-&quot;??_);_(@_)"/>
    <numFmt numFmtId="172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9" fontId="0" fillId="0" borderId="0" xfId="0" applyNumberFormat="1"/>
    <xf numFmtId="9" fontId="2" fillId="0" borderId="0" xfId="0" applyNumberFormat="1" applyFont="1" applyAlignment="1">
      <alignment horizontal="center" vertical="center"/>
    </xf>
    <xf numFmtId="3" fontId="0" fillId="0" borderId="0" xfId="0" applyNumberFormat="1"/>
    <xf numFmtId="3" fontId="2" fillId="0" borderId="0" xfId="0" applyNumberFormat="1" applyFont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2" xfId="0" applyBorder="1" applyAlignment="1"/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23" applyFont="1" applyAlignment="1">
      <alignment horizontal="center"/>
    </xf>
    <xf numFmtId="3" fontId="0" fillId="2" borderId="0" xfId="0" applyNumberFormat="1" applyFill="1"/>
    <xf numFmtId="3" fontId="0" fillId="2" borderId="0" xfId="0" applyNumberFormat="1" applyFill="1" applyAlignment="1">
      <alignment horizontal="center"/>
    </xf>
    <xf numFmtId="167" fontId="0" fillId="2" borderId="0" xfId="23" applyNumberFormat="1" applyFont="1" applyFill="1"/>
    <xf numFmtId="10" fontId="0" fillId="2" borderId="0" xfId="0" applyNumberFormat="1" applyFill="1"/>
    <xf numFmtId="9" fontId="0" fillId="2" borderId="0" xfId="0" applyNumberFormat="1" applyFill="1"/>
    <xf numFmtId="169" fontId="0" fillId="2" borderId="0" xfId="23" applyNumberFormat="1" applyFont="1" applyFill="1"/>
    <xf numFmtId="10" fontId="0" fillId="2" borderId="0" xfId="24" applyNumberFormat="1" applyFont="1" applyFill="1"/>
    <xf numFmtId="169" fontId="0" fillId="2" borderId="0" xfId="0" applyNumberFormat="1" applyFill="1"/>
    <xf numFmtId="0" fontId="0" fillId="2" borderId="0" xfId="0" applyFill="1"/>
    <xf numFmtId="172" fontId="0" fillId="0" borderId="0" xfId="0" applyNumberFormat="1"/>
    <xf numFmtId="172" fontId="1" fillId="0" borderId="0" xfId="0" applyNumberFormat="1" applyFont="1"/>
  </cellXfs>
  <cellStyles count="25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2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10" sqref="E10"/>
    </sheetView>
  </sheetViews>
  <sheetFormatPr defaultColWidth="8.85546875" defaultRowHeight="15" x14ac:dyDescent="0.25"/>
  <cols>
    <col min="2" max="2" width="15.85546875" customWidth="1"/>
    <col min="3" max="7" width="12.140625" customWidth="1"/>
  </cols>
  <sheetData>
    <row r="2" spans="2:8" ht="15.75" thickBot="1" x14ac:dyDescent="0.3"/>
    <row r="3" spans="2:8" ht="60.75" thickBot="1" x14ac:dyDescent="0.3">
      <c r="B3" s="32" t="s">
        <v>1</v>
      </c>
      <c r="C3" s="1" t="s">
        <v>34</v>
      </c>
      <c r="D3" s="1" t="s">
        <v>13</v>
      </c>
      <c r="E3" s="1" t="s">
        <v>30</v>
      </c>
      <c r="F3" s="1" t="s">
        <v>33</v>
      </c>
      <c r="G3" s="2" t="s">
        <v>0</v>
      </c>
      <c r="H3" s="3"/>
    </row>
    <row r="4" spans="2:8" x14ac:dyDescent="0.25">
      <c r="B4" s="4" t="s">
        <v>2</v>
      </c>
      <c r="C4" s="6">
        <v>0.55000000000000004</v>
      </c>
      <c r="D4" s="8">
        <v>200000</v>
      </c>
      <c r="E4" s="8">
        <v>24000</v>
      </c>
      <c r="F4" s="6">
        <v>0.2</v>
      </c>
      <c r="G4" s="9">
        <v>0.2</v>
      </c>
      <c r="H4" s="3"/>
    </row>
    <row r="5" spans="2:8" ht="15.75" thickBot="1" x14ac:dyDescent="0.3">
      <c r="B5" s="10" t="s">
        <v>3</v>
      </c>
      <c r="C5" s="11">
        <v>0.82</v>
      </c>
      <c r="D5" s="8">
        <v>160000</v>
      </c>
      <c r="E5" s="11">
        <v>0.1</v>
      </c>
      <c r="F5" s="11">
        <v>0.04</v>
      </c>
      <c r="G5" s="12">
        <v>0.3</v>
      </c>
      <c r="H5" s="3"/>
    </row>
    <row r="6" spans="2:8" x14ac:dyDescent="0.25">
      <c r="B6" s="33" t="s">
        <v>31</v>
      </c>
      <c r="C6" s="33"/>
      <c r="D6" s="33"/>
      <c r="E6" s="33"/>
      <c r="F6" s="33"/>
      <c r="G6" s="33"/>
    </row>
    <row r="7" spans="2:8" x14ac:dyDescent="0.25">
      <c r="B7" s="19"/>
      <c r="C7" s="19"/>
      <c r="D7" s="19"/>
      <c r="E7" s="19"/>
      <c r="F7" s="19"/>
      <c r="G7" s="19"/>
    </row>
    <row r="8" spans="2:8" x14ac:dyDescent="0.25">
      <c r="B8" s="25" t="s">
        <v>22</v>
      </c>
      <c r="C8" s="25"/>
      <c r="D8" s="24" t="s">
        <v>9</v>
      </c>
      <c r="E8" s="24" t="s">
        <v>3</v>
      </c>
      <c r="F8" s="19"/>
      <c r="G8" s="19"/>
    </row>
    <row r="9" spans="2:8" x14ac:dyDescent="0.25">
      <c r="B9" s="20" t="s">
        <v>23</v>
      </c>
      <c r="C9" s="26"/>
      <c r="D9" s="21">
        <v>0.02</v>
      </c>
      <c r="E9" s="21" t="s">
        <v>26</v>
      </c>
    </row>
    <row r="10" spans="2:8" x14ac:dyDescent="0.25">
      <c r="B10" s="34" t="s">
        <v>24</v>
      </c>
      <c r="C10" s="35"/>
      <c r="D10" s="21">
        <v>0.12</v>
      </c>
      <c r="E10" s="22" t="s">
        <v>26</v>
      </c>
    </row>
    <row r="11" spans="2:8" x14ac:dyDescent="0.25">
      <c r="B11" s="26" t="s">
        <v>25</v>
      </c>
      <c r="C11" s="26"/>
      <c r="D11" s="23">
        <v>3.5000000000000003E-2</v>
      </c>
      <c r="E11" s="23">
        <v>3.5000000000000003E-2</v>
      </c>
    </row>
    <row r="12" spans="2:8" x14ac:dyDescent="0.25">
      <c r="B12" s="26" t="s">
        <v>27</v>
      </c>
      <c r="C12" s="26"/>
      <c r="D12" s="21">
        <v>0.1</v>
      </c>
      <c r="E12" s="22" t="s">
        <v>26</v>
      </c>
    </row>
    <row r="13" spans="2:8" x14ac:dyDescent="0.25">
      <c r="B13" s="27" t="s">
        <v>28</v>
      </c>
      <c r="C13" s="28"/>
      <c r="D13" s="30">
        <v>1E-3</v>
      </c>
      <c r="E13" s="29" t="s">
        <v>26</v>
      </c>
    </row>
    <row r="14" spans="2:8" x14ac:dyDescent="0.25">
      <c r="B14" s="31" t="s">
        <v>29</v>
      </c>
      <c r="C14" s="28"/>
      <c r="D14" s="21">
        <v>0.1</v>
      </c>
      <c r="E14" s="21">
        <v>0</v>
      </c>
    </row>
    <row r="15" spans="2:8" x14ac:dyDescent="0.25">
      <c r="B15" s="31" t="s">
        <v>35</v>
      </c>
      <c r="C15" s="28"/>
      <c r="D15" s="36">
        <v>0.13</v>
      </c>
      <c r="E15" s="37"/>
    </row>
  </sheetData>
  <mergeCells count="3">
    <mergeCell ref="B6:G6"/>
    <mergeCell ref="B10:C10"/>
    <mergeCell ref="D15:E1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tabSelected="1" workbookViewId="0">
      <pane xSplit="2" ySplit="3" topLeftCell="C4" activePane="bottomRight" state="frozen"/>
      <selection activeCell="B4" sqref="B4"/>
      <selection pane="topRight" activeCell="B4" sqref="B4"/>
      <selection pane="bottomLeft" activeCell="B4" sqref="B4"/>
      <selection pane="bottomRight" activeCell="C38" sqref="C38"/>
    </sheetView>
  </sheetViews>
  <sheetFormatPr defaultColWidth="8.85546875" defaultRowHeight="15" x14ac:dyDescent="0.25"/>
  <cols>
    <col min="2" max="2" width="12.7109375" style="13" customWidth="1"/>
    <col min="3" max="9" width="13.140625" customWidth="1"/>
    <col min="10" max="10" width="5" customWidth="1"/>
    <col min="11" max="19" width="13.140625" customWidth="1"/>
    <col min="20" max="23" width="11.42578125" customWidth="1"/>
  </cols>
  <sheetData>
    <row r="1" spans="2:21" x14ac:dyDescent="0.25">
      <c r="C1" s="38" t="s">
        <v>9</v>
      </c>
      <c r="D1" s="38"/>
      <c r="E1" s="38"/>
      <c r="F1" s="38"/>
      <c r="G1" s="38"/>
      <c r="H1" s="38"/>
      <c r="I1" s="38"/>
      <c r="J1" s="14"/>
      <c r="K1" s="38" t="s">
        <v>20</v>
      </c>
      <c r="L1" s="38"/>
      <c r="M1" s="38"/>
      <c r="N1" s="38"/>
      <c r="O1" s="38"/>
    </row>
    <row r="2" spans="2:21" ht="30" x14ac:dyDescent="0.25">
      <c r="C2" s="13" t="s">
        <v>4</v>
      </c>
      <c r="D2" s="13" t="s">
        <v>7</v>
      </c>
      <c r="E2" s="13" t="s">
        <v>6</v>
      </c>
      <c r="F2" s="13" t="s">
        <v>8</v>
      </c>
      <c r="G2" s="15" t="s">
        <v>11</v>
      </c>
      <c r="H2" s="15" t="s">
        <v>18</v>
      </c>
      <c r="I2" s="15" t="s">
        <v>19</v>
      </c>
      <c r="J2" s="13"/>
      <c r="K2" s="13" t="s">
        <v>10</v>
      </c>
      <c r="L2" s="13" t="s">
        <v>17</v>
      </c>
      <c r="M2" s="13" t="s">
        <v>15</v>
      </c>
      <c r="N2" s="13" t="s">
        <v>16</v>
      </c>
      <c r="O2" s="13" t="s">
        <v>14</v>
      </c>
      <c r="P2" s="13"/>
      <c r="Q2" s="13"/>
      <c r="R2" s="13"/>
      <c r="S2" s="13"/>
      <c r="T2" s="13"/>
      <c r="U2" s="13"/>
    </row>
    <row r="3" spans="2:21" x14ac:dyDescent="0.25">
      <c r="C3" s="13" t="s">
        <v>5</v>
      </c>
      <c r="D3" s="13" t="s">
        <v>5</v>
      </c>
      <c r="E3" s="13" t="s">
        <v>5</v>
      </c>
      <c r="F3" s="13" t="s">
        <v>12</v>
      </c>
      <c r="G3" s="13" t="s">
        <v>12</v>
      </c>
      <c r="H3" s="13" t="s">
        <v>12</v>
      </c>
      <c r="I3" s="13"/>
      <c r="J3" s="13"/>
      <c r="K3" s="13" t="s">
        <v>5</v>
      </c>
      <c r="L3" s="13" t="s">
        <v>5</v>
      </c>
      <c r="M3" s="13" t="s">
        <v>12</v>
      </c>
      <c r="N3" s="13" t="s">
        <v>12</v>
      </c>
      <c r="O3" s="13" t="s">
        <v>5</v>
      </c>
      <c r="P3" s="13"/>
      <c r="Q3" s="13"/>
      <c r="R3" s="13"/>
      <c r="S3" s="13"/>
      <c r="T3" s="13"/>
      <c r="U3" s="13"/>
    </row>
    <row r="4" spans="2:21" x14ac:dyDescent="0.25">
      <c r="B4" s="13">
        <v>2013</v>
      </c>
      <c r="C4" s="13"/>
      <c r="D4" s="13"/>
      <c r="E4" s="13"/>
      <c r="F4" s="13"/>
      <c r="G4" s="39"/>
      <c r="H4" s="13"/>
      <c r="I4" s="13"/>
      <c r="J4" s="13"/>
      <c r="K4" s="16"/>
      <c r="L4" s="16"/>
      <c r="M4" s="13"/>
      <c r="N4" s="13"/>
      <c r="O4" s="13"/>
      <c r="P4" s="13"/>
      <c r="Q4" s="13"/>
      <c r="R4" s="13"/>
      <c r="S4" s="13"/>
      <c r="T4" s="13"/>
      <c r="U4" s="13"/>
    </row>
    <row r="5" spans="2:21" x14ac:dyDescent="0.25">
      <c r="B5" s="13">
        <v>2014</v>
      </c>
      <c r="C5" s="40">
        <f>L5*O5</f>
        <v>200000</v>
      </c>
      <c r="D5" s="40">
        <f>-C5*Assumptions!$F$4</f>
        <v>-40000</v>
      </c>
      <c r="E5" s="40">
        <f>-Assumptions!$E$4</f>
        <v>-24000</v>
      </c>
      <c r="F5" s="40">
        <f>-Assumptions!$C$4*C5</f>
        <v>-110000.00000000001</v>
      </c>
      <c r="G5" s="40">
        <f>K5-K6</f>
        <v>1322.5919999999896</v>
      </c>
      <c r="H5" s="40">
        <f>(C5+D5+E5+K5)*Assumptions!$D$11</f>
        <v>6160.0000000000009</v>
      </c>
      <c r="I5" s="40">
        <f>SUM(C5:H5)</f>
        <v>33482.591999999975</v>
      </c>
      <c r="K5" s="41">
        <f>C5*Assumptions!$G$4</f>
        <v>40000</v>
      </c>
      <c r="L5" s="42">
        <f>Assumptions!$D$4</f>
        <v>200000</v>
      </c>
      <c r="M5" s="43">
        <f>Assumptions!D13</f>
        <v>1E-3</v>
      </c>
      <c r="N5" s="44">
        <f>Assumptions!$D$10</f>
        <v>0.12</v>
      </c>
      <c r="O5" s="45">
        <v>1</v>
      </c>
    </row>
    <row r="6" spans="2:21" x14ac:dyDescent="0.25">
      <c r="B6" s="13">
        <f>B5+1</f>
        <v>2015</v>
      </c>
      <c r="C6" s="40">
        <f t="shared" ref="C6:C35" si="0">L6*O6</f>
        <v>193387.04000000004</v>
      </c>
      <c r="D6" s="40">
        <f>-C6*Assumptions!$F$4</f>
        <v>-38677.40800000001</v>
      </c>
      <c r="E6" s="40">
        <f>E5*(1+Assumptions!$D$9)</f>
        <v>-24480</v>
      </c>
      <c r="F6" s="40">
        <f>-Assumptions!$C$4*C6</f>
        <v>-106362.87200000003</v>
      </c>
      <c r="G6" s="40">
        <f t="shared" ref="G6:G35" si="1">K6-K7</f>
        <v>1282.9791304422324</v>
      </c>
      <c r="H6" s="40">
        <f>(C6+D6+E6+K6)*Assumptions!$D$11</f>
        <v>5911.7464000000018</v>
      </c>
      <c r="I6" s="40">
        <f t="shared" ref="I6:I35" si="2">SUM(C6:H6)</f>
        <v>31061.485530442245</v>
      </c>
      <c r="K6" s="41">
        <f>C6*Assumptions!$G$4</f>
        <v>38677.40800000001</v>
      </c>
      <c r="L6" s="42">
        <f>(Assumptions!$D$12+1)*L5</f>
        <v>220000.00000000003</v>
      </c>
      <c r="M6" s="46">
        <f>(Assumptions!$D$14+1)*M5</f>
        <v>1.1000000000000001E-3</v>
      </c>
      <c r="N6" s="44">
        <f>Assumptions!$D$10</f>
        <v>0.12</v>
      </c>
      <c r="O6" s="47">
        <f>O5*(1-M6)*(1-N6)</f>
        <v>0.87903200000000004</v>
      </c>
    </row>
    <row r="7" spans="2:21" x14ac:dyDescent="0.25">
      <c r="B7" s="13">
        <f t="shared" ref="B7:B33" si="3">B6+1</f>
        <v>2016</v>
      </c>
      <c r="C7" s="40">
        <f t="shared" si="0"/>
        <v>186972.14434778888</v>
      </c>
      <c r="D7" s="40">
        <f>-C7*Assumptions!$F$4</f>
        <v>-37394.428869557778</v>
      </c>
      <c r="E7" s="40">
        <f>E6*(1+Assumptions!$D$9)</f>
        <v>-24969.600000000002</v>
      </c>
      <c r="F7" s="40">
        <f>-Assumptions!$C$4*C7</f>
        <v>-102834.67939128389</v>
      </c>
      <c r="G7" s="40">
        <f t="shared" si="1"/>
        <v>1244.8010051368183</v>
      </c>
      <c r="H7" s="40">
        <f>(C7+D7+E7+K7)*Assumptions!$D$11</f>
        <v>5670.0890521726114</v>
      </c>
      <c r="I7" s="40">
        <f t="shared" si="2"/>
        <v>28688.326144256644</v>
      </c>
      <c r="K7" s="41">
        <f>C7*Assumptions!$G$4</f>
        <v>37394.428869557778</v>
      </c>
      <c r="L7" s="42">
        <f>(Assumptions!$D$12+1)*L6</f>
        <v>242000.00000000006</v>
      </c>
      <c r="M7" s="46">
        <f>(Assumptions!$D$14+1)*M6</f>
        <v>1.2100000000000001E-3</v>
      </c>
      <c r="N7" s="44">
        <f>Assumptions!$D$10</f>
        <v>0.12</v>
      </c>
      <c r="O7" s="47">
        <f t="shared" ref="O7:O35" si="4">O6*(1-M7)*(1-N7)</f>
        <v>0.7726121667264001</v>
      </c>
    </row>
    <row r="8" spans="2:21" x14ac:dyDescent="0.25">
      <c r="B8" s="13">
        <f t="shared" si="3"/>
        <v>2017</v>
      </c>
      <c r="C8" s="40">
        <f t="shared" si="0"/>
        <v>180748.13932210478</v>
      </c>
      <c r="D8" s="40">
        <f>-C8*Assumptions!$F$4</f>
        <v>-36149.62786442096</v>
      </c>
      <c r="E8" s="40">
        <f>E7*(1+Assumptions!$D$9)</f>
        <v>-25468.992000000002</v>
      </c>
      <c r="F8" s="40">
        <f>-Assumptions!$C$4*C8</f>
        <v>-99411.476627157637</v>
      </c>
      <c r="G8" s="40">
        <f t="shared" si="1"/>
        <v>1208.0211083727627</v>
      </c>
      <c r="H8" s="40">
        <f>(C8+D8+E8+K8)*Assumptions!$D$11</f>
        <v>5434.7701562736675</v>
      </c>
      <c r="I8" s="40">
        <f t="shared" si="2"/>
        <v>26360.834095172606</v>
      </c>
      <c r="K8" s="41">
        <f>C8*Assumptions!$G$4</f>
        <v>36149.62786442096</v>
      </c>
      <c r="L8" s="42">
        <f>(Assumptions!$D$12+1)*L7</f>
        <v>266200.00000000006</v>
      </c>
      <c r="M8" s="46">
        <f>(Assumptions!$D$14+1)*M7</f>
        <v>1.3310000000000002E-3</v>
      </c>
      <c r="N8" s="44">
        <f>Assumptions!$D$10</f>
        <v>0.12</v>
      </c>
      <c r="O8" s="47">
        <f t="shared" si="4"/>
        <v>0.67899376154058877</v>
      </c>
    </row>
    <row r="9" spans="2:21" x14ac:dyDescent="0.25">
      <c r="B9" s="13">
        <f t="shared" si="3"/>
        <v>2018</v>
      </c>
      <c r="C9" s="40">
        <f t="shared" si="0"/>
        <v>174708.03378024098</v>
      </c>
      <c r="D9" s="40">
        <f>-C9*Assumptions!$F$4</f>
        <v>-34941.606756048197</v>
      </c>
      <c r="E9" s="40">
        <f>E8*(1+Assumptions!$D$9)</f>
        <v>-25978.371840000003</v>
      </c>
      <c r="F9" s="40">
        <f>-Assumptions!$C$4*C9</f>
        <v>-96089.418579132544</v>
      </c>
      <c r="G9" s="40">
        <f t="shared" si="1"/>
        <v>1172.6044614631246</v>
      </c>
      <c r="H9" s="40">
        <f>(C9+D9+E9+K9)*Assumptions!$D$11</f>
        <v>5205.5381679084348</v>
      </c>
      <c r="I9" s="40">
        <f t="shared" si="2"/>
        <v>24076.779234431797</v>
      </c>
      <c r="K9" s="41">
        <f>C9*Assumptions!$G$4</f>
        <v>34941.606756048197</v>
      </c>
      <c r="L9" s="42">
        <f>(Assumptions!$D$12+1)*L8</f>
        <v>292820.00000000012</v>
      </c>
      <c r="M9" s="46">
        <f>(Assumptions!$D$14+1)*M8</f>
        <v>1.4641000000000003E-3</v>
      </c>
      <c r="N9" s="44">
        <f>Assumptions!$D$10</f>
        <v>0.12</v>
      </c>
      <c r="O9" s="47">
        <f t="shared" si="4"/>
        <v>0.5966396891613992</v>
      </c>
    </row>
    <row r="10" spans="2:21" x14ac:dyDescent="0.25">
      <c r="B10" s="13">
        <f t="shared" si="3"/>
        <v>2019</v>
      </c>
      <c r="C10" s="40">
        <f t="shared" si="0"/>
        <v>168845.01147292534</v>
      </c>
      <c r="D10" s="40">
        <f>-C10*Assumptions!$F$4</f>
        <v>-33769.002294585072</v>
      </c>
      <c r="E10" s="40">
        <f>E9*(1+Assumptions!$D$9)</f>
        <v>-26497.939276800003</v>
      </c>
      <c r="F10" s="40">
        <f>-Assumptions!$C$4*C10</f>
        <v>-92864.756310108947</v>
      </c>
      <c r="G10" s="40">
        <f t="shared" si="1"/>
        <v>1138.5175577815462</v>
      </c>
      <c r="H10" s="40">
        <f>(C10+D10+E10+K10)*Assumptions!$D$11</f>
        <v>4982.1475268643871</v>
      </c>
      <c r="I10" s="40">
        <f t="shared" si="2"/>
        <v>21833.978676077251</v>
      </c>
      <c r="K10" s="41">
        <f>C10*Assumptions!$G$4</f>
        <v>33769.002294585072</v>
      </c>
      <c r="L10" s="42">
        <f>(Assumptions!$D$12+1)*L9</f>
        <v>322102.00000000017</v>
      </c>
      <c r="M10" s="46">
        <f>(Assumptions!$D$14+1)*M9</f>
        <v>1.6105100000000005E-3</v>
      </c>
      <c r="N10" s="44">
        <f>Assumptions!$D$10</f>
        <v>0.12</v>
      </c>
      <c r="O10" s="47">
        <f t="shared" si="4"/>
        <v>0.52419733957853487</v>
      </c>
    </row>
    <row r="11" spans="2:21" x14ac:dyDescent="0.25">
      <c r="B11" s="13">
        <f t="shared" si="3"/>
        <v>2020</v>
      </c>
      <c r="C11" s="40">
        <f t="shared" si="0"/>
        <v>163152.42368401762</v>
      </c>
      <c r="D11" s="40">
        <f>-C11*Assumptions!$F$4</f>
        <v>-32630.484736803526</v>
      </c>
      <c r="E11" s="40">
        <f>E10*(1+Assumptions!$D$9)</f>
        <v>-27027.898062336004</v>
      </c>
      <c r="F11" s="40">
        <f>-Assumptions!$C$4*C11</f>
        <v>-89733.833026209701</v>
      </c>
      <c r="G11" s="40">
        <f t="shared" si="1"/>
        <v>1105.7282924908068</v>
      </c>
      <c r="H11" s="40">
        <f>(C11+D11+E11+K11)*Assumptions!$D$11</f>
        <v>4764.3583967588565</v>
      </c>
      <c r="I11" s="40">
        <f t="shared" si="2"/>
        <v>19630.294547918042</v>
      </c>
      <c r="K11" s="41">
        <f>C11*Assumptions!$G$4</f>
        <v>32630.484736803526</v>
      </c>
      <c r="L11" s="42">
        <f>(Assumptions!$D$12+1)*L10</f>
        <v>354312.20000000024</v>
      </c>
      <c r="M11" s="46">
        <f>(Assumptions!$D$14+1)*M10</f>
        <v>1.7715610000000007E-3</v>
      </c>
      <c r="N11" s="44">
        <f>Assumptions!$D$10</f>
        <v>0.12</v>
      </c>
      <c r="O11" s="47">
        <f t="shared" si="4"/>
        <v>0.46047644897358175</v>
      </c>
    </row>
    <row r="12" spans="2:21" x14ac:dyDescent="0.25">
      <c r="B12" s="13">
        <f t="shared" si="3"/>
        <v>2021</v>
      </c>
      <c r="C12" s="40">
        <f t="shared" si="0"/>
        <v>157623.7822215636</v>
      </c>
      <c r="D12" s="40">
        <f>-C12*Assumptions!$F$4</f>
        <v>-31524.756444312719</v>
      </c>
      <c r="E12" s="40">
        <f>E11*(1+Assumptions!$D$9)</f>
        <v>-27568.456023582723</v>
      </c>
      <c r="F12" s="40">
        <f>-Assumptions!$C$4*C12</f>
        <v>-86693.080221859986</v>
      </c>
      <c r="G12" s="40">
        <f t="shared" si="1"/>
        <v>1074.2058856851472</v>
      </c>
      <c r="H12" s="40">
        <f>(C12+D12+E12+K12)*Assumptions!$D$11</f>
        <v>4551.9364169293312</v>
      </c>
      <c r="I12" s="40">
        <f t="shared" si="2"/>
        <v>17463.631834422646</v>
      </c>
      <c r="K12" s="41">
        <f>C12*Assumptions!$G$4</f>
        <v>31524.756444312719</v>
      </c>
      <c r="L12" s="42">
        <f>(Assumptions!$D$12+1)*L11</f>
        <v>389743.42000000027</v>
      </c>
      <c r="M12" s="46">
        <f>(Assumptions!$D$14+1)*M11</f>
        <v>1.9487171000000009E-3</v>
      </c>
      <c r="N12" s="44">
        <f>Assumptions!$D$10</f>
        <v>0.12</v>
      </c>
      <c r="O12" s="47">
        <f t="shared" si="4"/>
        <v>0.40442961736612126</v>
      </c>
    </row>
    <row r="13" spans="2:21" x14ac:dyDescent="0.25">
      <c r="B13" s="13">
        <f t="shared" si="3"/>
        <v>2022</v>
      </c>
      <c r="C13" s="40">
        <f t="shared" si="0"/>
        <v>152252.75279313786</v>
      </c>
      <c r="D13" s="40">
        <f>-C13*Assumptions!$F$4</f>
        <v>-30450.550558627572</v>
      </c>
      <c r="E13" s="40">
        <f>E12*(1+Assumptions!$D$9)</f>
        <v>-28119.825144054379</v>
      </c>
      <c r="F13" s="40">
        <f>-Assumptions!$C$4*C13</f>
        <v>-83739.014036225824</v>
      </c>
      <c r="G13" s="40">
        <f t="shared" si="1"/>
        <v>1043.9207974833262</v>
      </c>
      <c r="H13" s="40">
        <f>(C13+D13+E13+K13)*Assumptions!$D$11</f>
        <v>4344.6524677179223</v>
      </c>
      <c r="I13" s="40">
        <f t="shared" si="2"/>
        <v>15331.93631943133</v>
      </c>
      <c r="K13" s="41">
        <f>C13*Assumptions!$G$4</f>
        <v>30450.550558627572</v>
      </c>
      <c r="L13" s="42">
        <f>(Assumptions!$D$12+1)*L12</f>
        <v>428717.76200000034</v>
      </c>
      <c r="M13" s="46">
        <f>(Assumptions!$D$14+1)*M12</f>
        <v>2.1435888100000012E-3</v>
      </c>
      <c r="N13" s="44">
        <f>Assumptions!$D$10</f>
        <v>0.12</v>
      </c>
      <c r="O13" s="47">
        <f t="shared" si="4"/>
        <v>0.35513516417623431</v>
      </c>
    </row>
    <row r="14" spans="2:21" x14ac:dyDescent="0.25">
      <c r="B14" s="13">
        <f t="shared" si="3"/>
        <v>2023</v>
      </c>
      <c r="C14" s="40">
        <f t="shared" si="0"/>
        <v>147033.14880572123</v>
      </c>
      <c r="D14" s="40">
        <f>-C14*Assumptions!$F$4</f>
        <v>-29406.629761144246</v>
      </c>
      <c r="E14" s="40">
        <f>E13*(1+Assumptions!$D$9)</f>
        <v>-28682.221646935468</v>
      </c>
      <c r="F14" s="40">
        <f>-Assumptions!$C$4*C14</f>
        <v>-80868.231843146685</v>
      </c>
      <c r="G14" s="40">
        <f t="shared" si="1"/>
        <v>1014.8446334014916</v>
      </c>
      <c r="H14" s="40">
        <f>(C14+D14+E14+K14)*Assumptions!$D$11</f>
        <v>4142.2824505575018</v>
      </c>
      <c r="I14" s="40">
        <f t="shared" si="2"/>
        <v>13233.192638453831</v>
      </c>
      <c r="K14" s="41">
        <f>C14*Assumptions!$G$4</f>
        <v>29406.629761144246</v>
      </c>
      <c r="L14" s="42">
        <f>(Assumptions!$D$12+1)*L13</f>
        <v>471589.53820000042</v>
      </c>
      <c r="M14" s="46">
        <f>(Assumptions!$D$14+1)*M13</f>
        <v>2.3579476910000016E-3</v>
      </c>
      <c r="N14" s="44">
        <f>Assumptions!$D$10</f>
        <v>0.12</v>
      </c>
      <c r="O14" s="47">
        <f t="shared" si="4"/>
        <v>0.31178204115156744</v>
      </c>
    </row>
    <row r="15" spans="2:21" x14ac:dyDescent="0.25">
      <c r="B15" s="13">
        <f t="shared" si="3"/>
        <v>2024</v>
      </c>
      <c r="C15" s="40">
        <f t="shared" si="0"/>
        <v>141958.92563871376</v>
      </c>
      <c r="D15" s="40">
        <f>-C15*Assumptions!$F$4</f>
        <v>-28391.785127742754</v>
      </c>
      <c r="E15" s="40">
        <f>E14*(1+Assumptions!$D$9)</f>
        <v>-29255.866079874177</v>
      </c>
      <c r="F15" s="40">
        <f>-Assumptions!$C$4*C15</f>
        <v>-78077.409101292578</v>
      </c>
      <c r="G15" s="40">
        <f t="shared" si="1"/>
        <v>986.95003810515846</v>
      </c>
      <c r="H15" s="40">
        <f>(C15+D15+E15+K15)*Assumptions!$D$11</f>
        <v>3944.6070845593858</v>
      </c>
      <c r="I15" s="40">
        <f t="shared" si="2"/>
        <v>11165.422452468792</v>
      </c>
      <c r="K15" s="41">
        <f>C15*Assumptions!$G$4</f>
        <v>28391.785127742754</v>
      </c>
      <c r="L15" s="42">
        <f>(Assumptions!$D$12+1)*L14</f>
        <v>518748.49202000053</v>
      </c>
      <c r="M15" s="46">
        <f>(Assumptions!$D$14+1)*M14</f>
        <v>2.5937424601000019E-3</v>
      </c>
      <c r="N15" s="44">
        <f>Assumptions!$D$10</f>
        <v>0.12</v>
      </c>
      <c r="O15" s="47">
        <f t="shared" si="4"/>
        <v>0.27365655577315967</v>
      </c>
    </row>
    <row r="16" spans="2:21" x14ac:dyDescent="0.25">
      <c r="B16" s="13">
        <f t="shared" si="3"/>
        <v>2025</v>
      </c>
      <c r="C16" s="40">
        <f t="shared" si="0"/>
        <v>137024.17544818798</v>
      </c>
      <c r="D16" s="40">
        <f>-C16*Assumptions!$F$4</f>
        <v>-27404.835089637596</v>
      </c>
      <c r="E16" s="40">
        <f>E15*(1+Assumptions!$D$9)</f>
        <v>-29840.983401471662</v>
      </c>
      <c r="F16" s="40">
        <f>-Assumptions!$C$4*C16</f>
        <v>-75363.29649650339</v>
      </c>
      <c r="G16" s="40">
        <f t="shared" si="1"/>
        <v>960.21057538572131</v>
      </c>
      <c r="H16" s="40">
        <f>(C16+D16+E16+K16)*Assumptions!$D$11</f>
        <v>3751.4117216350714</v>
      </c>
      <c r="I16" s="40">
        <f t="shared" si="2"/>
        <v>9126.6827575961252</v>
      </c>
      <c r="K16" s="41">
        <f>C16*Assumptions!$G$4</f>
        <v>27404.835089637596</v>
      </c>
      <c r="L16" s="42">
        <f>(Assumptions!$D$12+1)*L15</f>
        <v>570623.34122200066</v>
      </c>
      <c r="M16" s="46">
        <f>(Assumptions!$D$14+1)*M15</f>
        <v>2.8531167061100022E-3</v>
      </c>
      <c r="N16" s="44">
        <f>Assumptions!$D$10</f>
        <v>0.12</v>
      </c>
      <c r="O16" s="47">
        <f t="shared" si="4"/>
        <v>0.24013068788028916</v>
      </c>
    </row>
    <row r="17" spans="2:15" x14ac:dyDescent="0.25">
      <c r="B17" s="13">
        <f t="shared" si="3"/>
        <v>2026</v>
      </c>
      <c r="C17" s="40">
        <f t="shared" si="0"/>
        <v>132223.12257125936</v>
      </c>
      <c r="D17" s="40">
        <f>-C17*Assumptions!$F$4</f>
        <v>-26444.624514251875</v>
      </c>
      <c r="E17" s="40">
        <f>E16*(1+Assumptions!$D$9)</f>
        <v>-30437.803069501097</v>
      </c>
      <c r="F17" s="40">
        <f>-Assumptions!$C$4*C17</f>
        <v>-72722.717414192652</v>
      </c>
      <c r="G17" s="40">
        <f t="shared" si="1"/>
        <v>934.60059193049165</v>
      </c>
      <c r="H17" s="40">
        <f>(C17+D17+E17+K17)*Assumptions!$D$11</f>
        <v>3562.4861825615394</v>
      </c>
      <c r="I17" s="40">
        <f t="shared" si="2"/>
        <v>7115.0643478057664</v>
      </c>
      <c r="K17" s="41">
        <f>C17*Assumptions!$G$4</f>
        <v>26444.624514251875</v>
      </c>
      <c r="L17" s="42">
        <f>(Assumptions!$D$12+1)*L16</f>
        <v>627685.6753442008</v>
      </c>
      <c r="M17" s="46">
        <f>(Assumptions!$D$14+1)*M16</f>
        <v>3.1384283767210029E-3</v>
      </c>
      <c r="N17" s="44">
        <f>Assumptions!$D$10</f>
        <v>0.12</v>
      </c>
      <c r="O17" s="47">
        <f t="shared" si="4"/>
        <v>0.21065180832548525</v>
      </c>
    </row>
    <row r="18" spans="2:15" x14ac:dyDescent="0.25">
      <c r="B18" s="13">
        <f t="shared" si="3"/>
        <v>2027</v>
      </c>
      <c r="C18" s="40">
        <f t="shared" si="0"/>
        <v>127550.1196116069</v>
      </c>
      <c r="D18" s="40">
        <f>-C18*Assumptions!$F$4</f>
        <v>-25510.023922321383</v>
      </c>
      <c r="E18" s="40">
        <f>E17*(1+Assumptions!$D$9)</f>
        <v>-31046.559130891121</v>
      </c>
      <c r="F18" s="40">
        <f>-Assumptions!$C$4*C18</f>
        <v>-70152.565786383799</v>
      </c>
      <c r="G18" s="40">
        <f t="shared" si="1"/>
        <v>910.09506215779766</v>
      </c>
      <c r="H18" s="40">
        <f>(C18+D18+E18+K18)*Assumptions!$D$11</f>
        <v>3377.6246168250527</v>
      </c>
      <c r="I18" s="40">
        <f t="shared" si="2"/>
        <v>5128.6904509934448</v>
      </c>
      <c r="K18" s="41">
        <f>C18*Assumptions!$G$4</f>
        <v>25510.023922321383</v>
      </c>
      <c r="L18" s="42">
        <f>(Assumptions!$D$12+1)*L17</f>
        <v>690454.24287862098</v>
      </c>
      <c r="M18" s="46">
        <f>(Assumptions!$D$14+1)*M17</f>
        <v>3.4522712143931033E-3</v>
      </c>
      <c r="N18" s="44">
        <f>Assumptions!$D$10</f>
        <v>0.12</v>
      </c>
      <c r="O18" s="47">
        <f t="shared" si="4"/>
        <v>0.18473363141318214</v>
      </c>
    </row>
    <row r="19" spans="2:15" x14ac:dyDescent="0.25">
      <c r="B19" s="13">
        <f t="shared" si="3"/>
        <v>2028</v>
      </c>
      <c r="C19" s="40">
        <f t="shared" si="0"/>
        <v>122999.64430081792</v>
      </c>
      <c r="D19" s="40">
        <f>-C19*Assumptions!$F$4</f>
        <v>-24599.928860163585</v>
      </c>
      <c r="E19" s="40">
        <f>E18*(1+Assumptions!$D$9)</f>
        <v>-31667.490313508944</v>
      </c>
      <c r="F19" s="40">
        <f>-Assumptions!$C$4*C19</f>
        <v>-67649.804365449862</v>
      </c>
      <c r="G19" s="40">
        <f t="shared" si="1"/>
        <v>886.66941107454113</v>
      </c>
      <c r="H19" s="40">
        <f>(C19+D19+E19+K19)*Assumptions!$D$11</f>
        <v>3196.6253895558152</v>
      </c>
      <c r="I19" s="40">
        <f t="shared" si="2"/>
        <v>3165.7155623258955</v>
      </c>
      <c r="K19" s="41">
        <f>C19*Assumptions!$G$4</f>
        <v>24599.928860163585</v>
      </c>
      <c r="L19" s="42">
        <f>(Assumptions!$D$12+1)*L18</f>
        <v>759499.66716648312</v>
      </c>
      <c r="M19" s="46">
        <f>(Assumptions!$D$14+1)*M18</f>
        <v>3.7974983358324138E-3</v>
      </c>
      <c r="N19" s="44">
        <f>Assumptions!$D$10</f>
        <v>0.12</v>
      </c>
      <c r="O19" s="47">
        <f t="shared" si="4"/>
        <v>0.16194825306468011</v>
      </c>
    </row>
    <row r="20" spans="2:15" x14ac:dyDescent="0.25">
      <c r="B20" s="13">
        <f t="shared" si="3"/>
        <v>2029</v>
      </c>
      <c r="C20" s="40">
        <f t="shared" si="0"/>
        <v>118566.29724544521</v>
      </c>
      <c r="D20" s="40">
        <f>-C20*Assumptions!$F$4</f>
        <v>-23713.259449089044</v>
      </c>
      <c r="E20" s="40">
        <f>E19*(1+Assumptions!$D$9)</f>
        <v>-32300.840119779125</v>
      </c>
      <c r="F20" s="40">
        <f>-Assumptions!$C$4*C20</f>
        <v>-65211.463484994871</v>
      </c>
      <c r="G20" s="40">
        <f t="shared" si="1"/>
        <v>864.29931178710831</v>
      </c>
      <c r="H20" s="40">
        <f>(C20+D20+E20+K20)*Assumptions!$D$11</f>
        <v>3019.2909993983135</v>
      </c>
      <c r="I20" s="40">
        <f t="shared" si="2"/>
        <v>1224.3245027675889</v>
      </c>
      <c r="K20" s="41">
        <f>C20*Assumptions!$G$4</f>
        <v>23713.259449089044</v>
      </c>
      <c r="L20" s="42">
        <f>(Assumptions!$D$12+1)*L19</f>
        <v>835449.63388313155</v>
      </c>
      <c r="M20" s="46">
        <f>(Assumptions!$D$14+1)*M19</f>
        <v>4.1772481694156557E-3</v>
      </c>
      <c r="N20" s="44">
        <f>Assumptions!$D$10</f>
        <v>0.12</v>
      </c>
      <c r="O20" s="47">
        <f t="shared" si="4"/>
        <v>0.14191914441850254</v>
      </c>
    </row>
    <row r="21" spans="2:15" x14ac:dyDescent="0.25">
      <c r="B21" s="13">
        <f t="shared" si="3"/>
        <v>2030</v>
      </c>
      <c r="C21" s="40">
        <f t="shared" si="0"/>
        <v>114244.80068650967</v>
      </c>
      <c r="D21" s="40">
        <f>-C21*Assumptions!$F$4</f>
        <v>-22848.960137301936</v>
      </c>
      <c r="E21" s="40">
        <f>E20*(1+Assumptions!$D$9)</f>
        <v>-32946.856922174709</v>
      </c>
      <c r="F21" s="40">
        <f>-Assumptions!$C$4*C21</f>
        <v>-62834.640377580319</v>
      </c>
      <c r="G21" s="40">
        <f t="shared" si="1"/>
        <v>842.96045396881527</v>
      </c>
      <c r="H21" s="40">
        <f>(C21+D21+E21+K21)*Assumptions!$D$11</f>
        <v>2845.4280317517237</v>
      </c>
      <c r="I21" s="40">
        <f t="shared" si="2"/>
        <v>-697.26826482676051</v>
      </c>
      <c r="K21" s="41">
        <f>C21*Assumptions!$G$4</f>
        <v>22848.960137301936</v>
      </c>
      <c r="L21" s="42">
        <f>(Assumptions!$D$12+1)*L20</f>
        <v>918994.59727144474</v>
      </c>
      <c r="M21" s="46">
        <f>(Assumptions!$D$14+1)*M20</f>
        <v>4.5949729863572217E-3</v>
      </c>
      <c r="N21" s="44">
        <f>Assumptions!$D$10</f>
        <v>0.12</v>
      </c>
      <c r="O21" s="47">
        <f t="shared" si="4"/>
        <v>0.12431498620961427</v>
      </c>
    </row>
    <row r="22" spans="2:15" x14ac:dyDescent="0.25">
      <c r="B22" s="13">
        <f t="shared" si="3"/>
        <v>2031</v>
      </c>
      <c r="C22" s="40">
        <f t="shared" si="0"/>
        <v>110029.99841666559</v>
      </c>
      <c r="D22" s="40">
        <f>-C22*Assumptions!$F$4</f>
        <v>-22005.999683333121</v>
      </c>
      <c r="E22" s="40">
        <f>E21*(1+Assumptions!$D$9)</f>
        <v>-33605.794060618202</v>
      </c>
      <c r="F22" s="40">
        <f>-Assumptions!$C$4*C22</f>
        <v>-60516.499129166077</v>
      </c>
      <c r="G22" s="40">
        <f t="shared" si="1"/>
        <v>822.62827927025137</v>
      </c>
      <c r="H22" s="40">
        <f>(C22+D22+E22+K22)*Assumptions!$D$11</f>
        <v>2674.8471524616589</v>
      </c>
      <c r="I22" s="40">
        <f t="shared" si="2"/>
        <v>-2600.8190247199009</v>
      </c>
      <c r="K22" s="41">
        <f>C22*Assumptions!$G$4</f>
        <v>22005.999683333121</v>
      </c>
      <c r="L22" s="42">
        <f>(Assumptions!$D$12+1)*L21</f>
        <v>1010894.0569985893</v>
      </c>
      <c r="M22" s="46">
        <f>(Assumptions!$D$14+1)*M21</f>
        <v>5.0544702849929443E-3</v>
      </c>
      <c r="N22" s="44">
        <f>Assumptions!$D$10</f>
        <v>0.12</v>
      </c>
      <c r="O22" s="47">
        <f t="shared" si="4"/>
        <v>0.10884424302913785</v>
      </c>
    </row>
    <row r="23" spans="2:15" x14ac:dyDescent="0.25">
      <c r="B23" s="13">
        <f t="shared" si="3"/>
        <v>2032</v>
      </c>
      <c r="C23" s="40">
        <f t="shared" si="0"/>
        <v>105916.85702031435</v>
      </c>
      <c r="D23" s="40">
        <f>-C23*Assumptions!$F$4</f>
        <v>-21183.371404062869</v>
      </c>
      <c r="E23" s="40">
        <f>E22*(1+Assumptions!$D$9)</f>
        <v>-34277.909941830563</v>
      </c>
      <c r="F23" s="40">
        <f>-Assumptions!$C$4*C23</f>
        <v>-58254.271361172898</v>
      </c>
      <c r="G23" s="40">
        <f t="shared" si="1"/>
        <v>803.27767937170211</v>
      </c>
      <c r="H23" s="40">
        <f>(C23+D23+E23+K23)*Assumptions!$D$11</f>
        <v>2507.363147746933</v>
      </c>
      <c r="I23" s="40">
        <f t="shared" si="2"/>
        <v>-4488.0548596333483</v>
      </c>
      <c r="K23" s="41">
        <f>C23*Assumptions!$G$4</f>
        <v>21183.371404062869</v>
      </c>
      <c r="L23" s="42">
        <f>(Assumptions!$D$12+1)*L22</f>
        <v>1111983.4626984482</v>
      </c>
      <c r="M23" s="46">
        <f>(Assumptions!$D$14+1)*M22</f>
        <v>5.5599173134922393E-3</v>
      </c>
      <c r="N23" s="44">
        <f>Assumptions!$D$10</f>
        <v>0.12</v>
      </c>
      <c r="O23" s="47">
        <f t="shared" si="4"/>
        <v>9.525038867330464E-2</v>
      </c>
    </row>
    <row r="24" spans="2:15" x14ac:dyDescent="0.25">
      <c r="B24" s="13">
        <f t="shared" si="3"/>
        <v>2033</v>
      </c>
      <c r="C24" s="40">
        <f t="shared" si="0"/>
        <v>101900.46862345583</v>
      </c>
      <c r="D24" s="40">
        <f>-C24*Assumptions!$F$4</f>
        <v>-20380.093724691167</v>
      </c>
      <c r="E24" s="40">
        <f>E23*(1+Assumptions!$D$9)</f>
        <v>-34963.468140667173</v>
      </c>
      <c r="F24" s="40">
        <f>-Assumptions!$C$4*C24</f>
        <v>-56045.257742900714</v>
      </c>
      <c r="G24" s="40">
        <f t="shared" si="1"/>
        <v>784.88265214622515</v>
      </c>
      <c r="H24" s="40">
        <f>(C24+D24+E24+K24)*Assumptions!$D$11</f>
        <v>2342.7950168976031</v>
      </c>
      <c r="I24" s="40">
        <f t="shared" si="2"/>
        <v>-6360.6733157593908</v>
      </c>
      <c r="K24" s="41">
        <f>C24*Assumptions!$G$4</f>
        <v>20380.093724691167</v>
      </c>
      <c r="L24" s="42">
        <f>(Assumptions!$D$12+1)*L23</f>
        <v>1223181.8089682932</v>
      </c>
      <c r="M24" s="46">
        <f>(Assumptions!$D$14+1)*M23</f>
        <v>6.115909044841464E-3</v>
      </c>
      <c r="N24" s="44">
        <f>Assumptions!$D$10</f>
        <v>0.12</v>
      </c>
      <c r="O24" s="47">
        <f t="shared" si="4"/>
        <v>8.3307704444529757E-2</v>
      </c>
    </row>
    <row r="25" spans="2:15" x14ac:dyDescent="0.25">
      <c r="B25" s="13">
        <f t="shared" si="3"/>
        <v>2034</v>
      </c>
      <c r="C25" s="40">
        <f t="shared" si="0"/>
        <v>97976.055362724714</v>
      </c>
      <c r="D25" s="40">
        <f>-C25*Assumptions!$F$4</f>
        <v>-19595.211072544942</v>
      </c>
      <c r="E25" s="40">
        <f>E24*(1+Assumptions!$D$9)</f>
        <v>-35662.737503480515</v>
      </c>
      <c r="F25" s="40">
        <f>-Assumptions!$C$4*C25</f>
        <v>-53886.830449498593</v>
      </c>
      <c r="G25" s="40">
        <f t="shared" si="1"/>
        <v>767.41591126004641</v>
      </c>
      <c r="H25" s="40">
        <f>(C25+D25+E25+K25)*Assumptions!$D$11</f>
        <v>2180.9661250735471</v>
      </c>
      <c r="I25" s="40">
        <f t="shared" si="2"/>
        <v>-8220.3416264657462</v>
      </c>
      <c r="K25" s="41">
        <f>C25*Assumptions!$G$4</f>
        <v>19595.211072544942</v>
      </c>
      <c r="L25" s="42">
        <f>(Assumptions!$D$12+1)*L24</f>
        <v>1345499.9898651226</v>
      </c>
      <c r="M25" s="46">
        <f>(Assumptions!$D$14+1)*M24</f>
        <v>6.7274999493256108E-3</v>
      </c>
      <c r="N25" s="44">
        <f>Assumptions!$D$10</f>
        <v>0.12</v>
      </c>
      <c r="O25" s="47">
        <f t="shared" si="4"/>
        <v>7.2817581643048662E-2</v>
      </c>
    </row>
    <row r="26" spans="2:15" x14ac:dyDescent="0.25">
      <c r="B26" s="13">
        <f t="shared" si="3"/>
        <v>2035</v>
      </c>
      <c r="C26" s="40">
        <f t="shared" si="0"/>
        <v>94138.975806424467</v>
      </c>
      <c r="D26" s="40">
        <f>-C26*Assumptions!$F$4</f>
        <v>-18827.795161284896</v>
      </c>
      <c r="E26" s="40">
        <f>E25*(1+Assumptions!$D$9)</f>
        <v>-36375.992253550125</v>
      </c>
      <c r="F26" s="40">
        <f>-Assumptions!$C$4*C26</f>
        <v>-51776.436693533462</v>
      </c>
      <c r="G26" s="40">
        <f t="shared" si="1"/>
        <v>750.84844453193364</v>
      </c>
      <c r="H26" s="40">
        <f>(C26+D26+E26+K26)*Assumptions!$D$11</f>
        <v>2021.7044243506023</v>
      </c>
      <c r="I26" s="40">
        <f t="shared" si="2"/>
        <v>-10068.695433061483</v>
      </c>
      <c r="K26" s="41">
        <f>C26*Assumptions!$G$4</f>
        <v>18827.795161284896</v>
      </c>
      <c r="L26" s="42">
        <f>(Assumptions!$D$12+1)*L25</f>
        <v>1480049.988851635</v>
      </c>
      <c r="M26" s="46">
        <f>(Assumptions!$D$14+1)*M25</f>
        <v>7.4002499442581728E-3</v>
      </c>
      <c r="N26" s="44">
        <f>Assumptions!$D$10</f>
        <v>0.12</v>
      </c>
      <c r="O26" s="47">
        <f t="shared" si="4"/>
        <v>6.360526773792724E-2</v>
      </c>
    </row>
    <row r="27" spans="2:15" x14ac:dyDescent="0.25">
      <c r="B27" s="13">
        <f t="shared" si="3"/>
        <v>2036</v>
      </c>
      <c r="C27" s="40">
        <f t="shared" si="0"/>
        <v>90384.733583764813</v>
      </c>
      <c r="D27" s="40">
        <f>-C27*Assumptions!$F$4</f>
        <v>-18076.946716752962</v>
      </c>
      <c r="E27" s="40">
        <f>E26*(1+Assumptions!$D$9)</f>
        <v>-37103.512098621126</v>
      </c>
      <c r="F27" s="40">
        <f>-Assumptions!$C$4*C27</f>
        <v>-49711.603471070652</v>
      </c>
      <c r="G27" s="40">
        <f t="shared" si="1"/>
        <v>735.14901656034635</v>
      </c>
      <c r="H27" s="40">
        <f>(C27+D27+E27+K27)*Assumptions!$D$11</f>
        <v>1864.8427519800293</v>
      </c>
      <c r="I27" s="40">
        <f t="shared" si="2"/>
        <v>-11907.336934139554</v>
      </c>
      <c r="K27" s="41">
        <f>C27*Assumptions!$G$4</f>
        <v>18076.946716752962</v>
      </c>
      <c r="L27" s="42">
        <f>(Assumptions!$D$12+1)*L26</f>
        <v>1628054.9877367986</v>
      </c>
      <c r="M27" s="46">
        <f>(Assumptions!$D$14+1)*M26</f>
        <v>8.1402749386839911E-3</v>
      </c>
      <c r="N27" s="44">
        <f>Assumptions!$D$10</f>
        <v>0.12</v>
      </c>
      <c r="O27" s="47">
        <f t="shared" si="4"/>
        <v>5.5517002966472877E-2</v>
      </c>
    </row>
    <row r="28" spans="2:15" x14ac:dyDescent="0.25">
      <c r="B28" s="13">
        <f t="shared" si="3"/>
        <v>2037</v>
      </c>
      <c r="C28" s="40">
        <f t="shared" si="0"/>
        <v>86708.988500963067</v>
      </c>
      <c r="D28" s="40">
        <f>-C28*Assumptions!$F$4</f>
        <v>-17341.797700192616</v>
      </c>
      <c r="E28" s="40">
        <f>E27*(1+Assumptions!$D$9)</f>
        <v>-37845.582340593552</v>
      </c>
      <c r="F28" s="40">
        <f>-Assumptions!$C$4*C28</f>
        <v>-47689.943675529692</v>
      </c>
      <c r="G28" s="40">
        <f t="shared" si="1"/>
        <v>720.28361158412008</v>
      </c>
      <c r="H28" s="40">
        <f>(C28+D28+E28+K28)*Assumptions!$D$11</f>
        <v>1710.2192156129331</v>
      </c>
      <c r="I28" s="40">
        <f t="shared" si="2"/>
        <v>-13737.832388155743</v>
      </c>
      <c r="K28" s="41">
        <f>C28*Assumptions!$G$4</f>
        <v>17341.797700192616</v>
      </c>
      <c r="L28" s="42">
        <f>(Assumptions!$D$12+1)*L27</f>
        <v>1790860.4865104787</v>
      </c>
      <c r="M28" s="46">
        <f>(Assumptions!$D$14+1)*M27</f>
        <v>8.9543024325523905E-3</v>
      </c>
      <c r="N28" s="44">
        <f>Assumptions!$D$10</f>
        <v>0.12</v>
      </c>
      <c r="O28" s="47">
        <f t="shared" si="4"/>
        <v>4.8417500499950708E-2</v>
      </c>
    </row>
    <row r="29" spans="2:15" x14ac:dyDescent="0.25">
      <c r="B29" s="13">
        <f t="shared" si="3"/>
        <v>2038</v>
      </c>
      <c r="C29" s="40">
        <f t="shared" si="0"/>
        <v>83107.570443042467</v>
      </c>
      <c r="D29" s="40">
        <f>-C29*Assumptions!$F$4</f>
        <v>-16621.514088608496</v>
      </c>
      <c r="E29" s="40">
        <f>E28*(1+Assumptions!$D$9)</f>
        <v>-38602.493987405425</v>
      </c>
      <c r="F29" s="40">
        <f>-Assumptions!$C$4*C29</f>
        <v>-45709.163743673358</v>
      </c>
      <c r="G29" s="40">
        <f t="shared" si="1"/>
        <v>706.21481335994758</v>
      </c>
      <c r="H29" s="40">
        <f>(C29+D29+E29+K29)*Assumptions!$D$11</f>
        <v>1557.6776759472966</v>
      </c>
      <c r="I29" s="40">
        <f t="shared" si="2"/>
        <v>-15561.708887337572</v>
      </c>
      <c r="K29" s="41">
        <f>C29*Assumptions!$G$4</f>
        <v>16621.514088608496</v>
      </c>
      <c r="L29" s="42">
        <f>(Assumptions!$D$12+1)*L28</f>
        <v>1969946.5351615266</v>
      </c>
      <c r="M29" s="46">
        <f>(Assumptions!$D$14+1)*M28</f>
        <v>9.8497326758076303E-3</v>
      </c>
      <c r="N29" s="44">
        <f>Assumptions!$D$10</f>
        <v>0.12</v>
      </c>
      <c r="O29" s="47">
        <f t="shared" si="4"/>
        <v>4.2187728935611964E-2</v>
      </c>
    </row>
    <row r="30" spans="2:15" x14ac:dyDescent="0.25">
      <c r="B30" s="13">
        <f t="shared" si="3"/>
        <v>2039</v>
      </c>
      <c r="C30" s="40">
        <f t="shared" si="0"/>
        <v>79576.496376242736</v>
      </c>
      <c r="D30" s="40">
        <f>-C30*Assumptions!$F$4</f>
        <v>-15915.299275248548</v>
      </c>
      <c r="E30" s="40">
        <f>E29*(1+Assumptions!$D$9)</f>
        <v>-39374.543867153538</v>
      </c>
      <c r="F30" s="40">
        <f>-Assumptions!$C$4*C30</f>
        <v>-43767.073006933511</v>
      </c>
      <c r="G30" s="40">
        <f t="shared" si="1"/>
        <v>692.90112013590624</v>
      </c>
      <c r="H30" s="40">
        <f>(C30+D30+E30+K30)*Assumptions!$D$11</f>
        <v>1407.068337818122</v>
      </c>
      <c r="I30" s="40">
        <f t="shared" si="2"/>
        <v>-17380.450315138827</v>
      </c>
      <c r="K30" s="41">
        <f>C30*Assumptions!$G$4</f>
        <v>15915.299275248548</v>
      </c>
      <c r="L30" s="42">
        <f>(Assumptions!$D$12+1)*L29</f>
        <v>2166941.1886776793</v>
      </c>
      <c r="M30" s="46">
        <f>(Assumptions!$D$14+1)*M29</f>
        <v>1.0834705943388393E-2</v>
      </c>
      <c r="N30" s="44">
        <f>Assumptions!$D$10</f>
        <v>0.12</v>
      </c>
      <c r="O30" s="47">
        <f t="shared" si="4"/>
        <v>3.67229608223942E-2</v>
      </c>
    </row>
    <row r="31" spans="2:15" x14ac:dyDescent="0.25">
      <c r="B31" s="13">
        <f t="shared" si="3"/>
        <v>2040</v>
      </c>
      <c r="C31" s="40">
        <f t="shared" si="0"/>
        <v>76111.990775563201</v>
      </c>
      <c r="D31" s="40">
        <f>-C31*Assumptions!$F$4</f>
        <v>-15222.398155112642</v>
      </c>
      <c r="E31" s="40">
        <f>E30*(1+Assumptions!$D$9)</f>
        <v>-40162.03474449661</v>
      </c>
      <c r="F31" s="40">
        <f>-Assumptions!$C$4*C31</f>
        <v>-41861.594926559766</v>
      </c>
      <c r="G31" s="40">
        <f t="shared" si="1"/>
        <v>680.29619471321348</v>
      </c>
      <c r="H31" s="40">
        <f>(C31+D31+E31+K31)*Assumptions!$D$11</f>
        <v>1258.2484610873307</v>
      </c>
      <c r="I31" s="40">
        <f t="shared" si="2"/>
        <v>-19195.492394805275</v>
      </c>
      <c r="K31" s="41">
        <f>C31*Assumptions!$G$4</f>
        <v>15222.398155112642</v>
      </c>
      <c r="L31" s="42">
        <f>(Assumptions!$D$12+1)*L30</f>
        <v>2383635.3075454473</v>
      </c>
      <c r="M31" s="46">
        <f>(Assumptions!$D$14+1)*M30</f>
        <v>1.1918176537727233E-2</v>
      </c>
      <c r="N31" s="44">
        <f>Assumptions!$D$10</f>
        <v>0.12</v>
      </c>
      <c r="O31" s="47">
        <f t="shared" si="4"/>
        <v>3.1931055281245881E-2</v>
      </c>
    </row>
    <row r="32" spans="2:15" x14ac:dyDescent="0.25">
      <c r="B32" s="13">
        <f t="shared" si="3"/>
        <v>2041</v>
      </c>
      <c r="C32" s="40">
        <f t="shared" si="0"/>
        <v>72710.509801997134</v>
      </c>
      <c r="D32" s="40">
        <f>-C32*Assumptions!$F$4</f>
        <v>-14542.101960399428</v>
      </c>
      <c r="E32" s="40">
        <f>E31*(1+Assumptions!$D$9)</f>
        <v>-40965.27543938654</v>
      </c>
      <c r="F32" s="40">
        <f>-Assumptions!$C$4*C32</f>
        <v>-39990.780391098429</v>
      </c>
      <c r="G32" s="40">
        <f t="shared" si="1"/>
        <v>668.34805228652112</v>
      </c>
      <c r="H32" s="40">
        <f>(C32+D32+E32+K32)*Assumptions!$D$11</f>
        <v>1111.0832026913708</v>
      </c>
      <c r="I32" s="40">
        <f t="shared" si="2"/>
        <v>-21008.216733909372</v>
      </c>
      <c r="K32" s="41">
        <f>C32*Assumptions!$G$4</f>
        <v>14542.101960399428</v>
      </c>
      <c r="L32" s="42">
        <f>(Assumptions!$D$12+1)*L31</f>
        <v>2621998.838299992</v>
      </c>
      <c r="M32" s="46">
        <f>(Assumptions!$D$14+1)*M31</f>
        <v>1.3109994191499958E-2</v>
      </c>
      <c r="N32" s="44">
        <f>Assumptions!$D$10</f>
        <v>0.12</v>
      </c>
      <c r="O32" s="47">
        <f t="shared" si="4"/>
        <v>2.7730946612142652E-2</v>
      </c>
    </row>
    <row r="33" spans="2:15" x14ac:dyDescent="0.25">
      <c r="B33" s="13">
        <f t="shared" si="3"/>
        <v>2042</v>
      </c>
      <c r="C33" s="40">
        <f t="shared" si="0"/>
        <v>69368.769540564535</v>
      </c>
      <c r="D33" s="40">
        <f>-C33*Assumptions!$F$4</f>
        <v>-13873.753908112907</v>
      </c>
      <c r="E33" s="40">
        <f>E32*(1+Assumptions!$D$9)</f>
        <v>-41784.580948174269</v>
      </c>
      <c r="F33" s="40">
        <f>-Assumptions!$C$4*C33</f>
        <v>-38152.823247310494</v>
      </c>
      <c r="G33" s="40">
        <f t="shared" si="1"/>
        <v>656.99819243114325</v>
      </c>
      <c r="H33" s="40">
        <f>(C33+D33+E33+K33)*Assumptions!$D$11</f>
        <v>965.44660073365947</v>
      </c>
      <c r="I33" s="40">
        <f t="shared" si="2"/>
        <v>-22819.943769868332</v>
      </c>
      <c r="K33" s="41">
        <f>C33*Assumptions!$G$4</f>
        <v>13873.753908112907</v>
      </c>
      <c r="L33" s="42">
        <f>(Assumptions!$D$12+1)*L32</f>
        <v>2884198.7221299913</v>
      </c>
      <c r="M33" s="46">
        <f>(Assumptions!$D$14+1)*M32</f>
        <v>1.4420993610649954E-2</v>
      </c>
      <c r="N33" s="44">
        <f>Assumptions!$D$10</f>
        <v>0.12</v>
      </c>
      <c r="O33" s="47">
        <f t="shared" si="4"/>
        <v>2.4051314151243869E-2</v>
      </c>
    </row>
    <row r="34" spans="2:15" x14ac:dyDescent="0.25">
      <c r="B34" s="13">
        <f t="shared" ref="B34:B35" si="5">B33+1</f>
        <v>2043</v>
      </c>
      <c r="C34" s="40">
        <f t="shared" si="0"/>
        <v>66083.778578408819</v>
      </c>
      <c r="D34" s="40">
        <f>-C34*Assumptions!$F$4</f>
        <v>-13216.755715681764</v>
      </c>
      <c r="E34" s="40">
        <f>E33*(1+Assumptions!$D$9)</f>
        <v>-42620.272567137756</v>
      </c>
      <c r="F34" s="40">
        <f>-Assumptions!$C$4*C34</f>
        <v>-36346.078218124851</v>
      </c>
      <c r="G34" s="40">
        <f t="shared" si="1"/>
        <v>646.18068648483131</v>
      </c>
      <c r="H34" s="40">
        <f>(C34+D34+E34+K34)*Assumptions!$D$11</f>
        <v>821.22271039448731</v>
      </c>
      <c r="I34" s="40">
        <f t="shared" si="2"/>
        <v>-24631.924525656232</v>
      </c>
      <c r="K34" s="41">
        <f>C34*Assumptions!$G$4</f>
        <v>13216.755715681764</v>
      </c>
      <c r="L34" s="42">
        <f>(Assumptions!$D$12+1)*L33</f>
        <v>3172618.5943429908</v>
      </c>
      <c r="M34" s="46">
        <f>(Assumptions!$D$14+1)*M33</f>
        <v>1.586309297171495E-2</v>
      </c>
      <c r="N34" s="44">
        <f>Assumptions!$D$10</f>
        <v>0.12</v>
      </c>
      <c r="O34" s="47">
        <f t="shared" si="4"/>
        <v>2.0829411608518273E-2</v>
      </c>
    </row>
    <row r="35" spans="2:15" x14ac:dyDescent="0.25">
      <c r="B35" s="13">
        <f t="shared" si="5"/>
        <v>2044</v>
      </c>
      <c r="C35" s="40">
        <f t="shared" si="0"/>
        <v>62852.875145984661</v>
      </c>
      <c r="D35" s="40">
        <f>-C35*Assumptions!$F$4</f>
        <v>-12570.575029196933</v>
      </c>
      <c r="E35" s="40">
        <f>E34*(1+Assumptions!$D$9)</f>
        <v>-43472.67801848051</v>
      </c>
      <c r="F35" s="40">
        <f>-Assumptions!$C$4*C35</f>
        <v>-34569.081330291563</v>
      </c>
      <c r="G35" s="40">
        <f t="shared" si="1"/>
        <v>12570.575029196933</v>
      </c>
      <c r="H35" s="40">
        <f>(C35+D35+E35+K35)*Assumptions!$D$11</f>
        <v>678.30689946264533</v>
      </c>
      <c r="I35" s="40">
        <f t="shared" si="2"/>
        <v>-14510.577303324766</v>
      </c>
      <c r="K35" s="41">
        <f>C35*Assumptions!$G$4</f>
        <v>12570.575029196933</v>
      </c>
      <c r="L35" s="42">
        <f>(Assumptions!$D$12+1)*L34</f>
        <v>3489880.4537772899</v>
      </c>
      <c r="M35" s="46">
        <f>(Assumptions!$D$14+1)*M34</f>
        <v>1.7449402268886447E-2</v>
      </c>
      <c r="N35" s="44">
        <f>Assumptions!$D$10</f>
        <v>0.12</v>
      </c>
      <c r="O35" s="47">
        <f t="shared" si="4"/>
        <v>1.8010036727176579E-2</v>
      </c>
    </row>
    <row r="36" spans="2:15" x14ac:dyDescent="0.25">
      <c r="C36" s="7"/>
      <c r="D36" s="7"/>
      <c r="E36" s="7"/>
      <c r="F36" s="7"/>
      <c r="G36" s="7"/>
      <c r="H36" s="7"/>
      <c r="I36" s="7"/>
      <c r="K36" s="16"/>
      <c r="N36" s="5"/>
    </row>
    <row r="38" spans="2:15" x14ac:dyDescent="0.25">
      <c r="B38" s="13" t="s">
        <v>21</v>
      </c>
      <c r="C38" s="17">
        <f>NPV(Assumptions!$D$15,C5:C35)*(1+Assumptions!$D$15)</f>
        <v>1367045.9381323976</v>
      </c>
      <c r="D38" s="17">
        <f>NPV(Assumptions!$D$15,D5:D35)*(1+Assumptions!$D$15)</f>
        <v>-273409.18762647966</v>
      </c>
      <c r="E38" s="17">
        <f>NPV(Assumptions!$D$15,E5:E35)*(1+Assumptions!$D$15)</f>
        <v>-236239.91873696915</v>
      </c>
      <c r="F38" s="17">
        <f>NPV(Assumptions!$D$15,F5:F35)</f>
        <v>-665376.34156886651</v>
      </c>
      <c r="G38" s="17">
        <f>NPV(Assumptions!$D$15,G5:G35)</f>
        <v>8545.8456712899842</v>
      </c>
      <c r="H38" s="17">
        <f>NPV(Assumptions!$D$15,H5:H35)</f>
        <v>35024.965202513296</v>
      </c>
      <c r="I38" s="18">
        <f>SUM(C38:H38)</f>
        <v>235591.30107388558</v>
      </c>
    </row>
    <row r="45" spans="2:15" x14ac:dyDescent="0.25">
      <c r="C45" s="17"/>
    </row>
  </sheetData>
  <mergeCells count="2">
    <mergeCell ref="C1:I1"/>
    <mergeCell ref="K1:O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workbookViewId="0">
      <pane xSplit="2" ySplit="3" topLeftCell="C4" activePane="bottomRight" state="frozen"/>
      <selection activeCell="B4" sqref="B4"/>
      <selection pane="topRight" activeCell="B4" sqref="B4"/>
      <selection pane="bottomLeft" activeCell="B4" sqref="B4"/>
      <selection pane="bottomRight" activeCell="C37" sqref="C37"/>
    </sheetView>
  </sheetViews>
  <sheetFormatPr defaultColWidth="8.85546875" defaultRowHeight="15" x14ac:dyDescent="0.25"/>
  <cols>
    <col min="2" max="2" width="12.7109375" style="13" customWidth="1"/>
    <col min="3" max="9" width="13.140625" customWidth="1"/>
    <col min="10" max="10" width="5" customWidth="1"/>
    <col min="11" max="19" width="13.140625" customWidth="1"/>
    <col min="20" max="23" width="11.42578125" customWidth="1"/>
  </cols>
  <sheetData>
    <row r="1" spans="2:21" x14ac:dyDescent="0.25">
      <c r="C1" s="38" t="s">
        <v>3</v>
      </c>
      <c r="D1" s="38"/>
      <c r="E1" s="38"/>
      <c r="F1" s="38"/>
      <c r="G1" s="38"/>
      <c r="H1" s="38"/>
      <c r="I1" s="38"/>
      <c r="J1" s="14"/>
      <c r="K1" s="38" t="s">
        <v>20</v>
      </c>
      <c r="L1" s="38"/>
      <c r="M1" s="38"/>
      <c r="N1" s="38"/>
      <c r="O1" s="38"/>
    </row>
    <row r="2" spans="2:21" ht="30" x14ac:dyDescent="0.25">
      <c r="C2" s="13" t="s">
        <v>4</v>
      </c>
      <c r="D2" s="13" t="s">
        <v>7</v>
      </c>
      <c r="E2" s="13" t="s">
        <v>6</v>
      </c>
      <c r="F2" s="13" t="s">
        <v>8</v>
      </c>
      <c r="G2" s="15" t="s">
        <v>11</v>
      </c>
      <c r="H2" s="15" t="s">
        <v>18</v>
      </c>
      <c r="I2" s="15" t="s">
        <v>19</v>
      </c>
      <c r="J2" s="13"/>
      <c r="K2" s="13" t="s">
        <v>10</v>
      </c>
      <c r="L2" s="13" t="s">
        <v>17</v>
      </c>
      <c r="M2" s="13" t="s">
        <v>15</v>
      </c>
      <c r="N2" s="13" t="s">
        <v>16</v>
      </c>
      <c r="O2" s="13" t="s">
        <v>14</v>
      </c>
      <c r="P2" s="13"/>
      <c r="Q2" s="13"/>
      <c r="R2" s="13"/>
      <c r="S2" s="13"/>
      <c r="T2" s="13"/>
      <c r="U2" s="13"/>
    </row>
    <row r="3" spans="2:21" x14ac:dyDescent="0.25">
      <c r="C3" s="13" t="s">
        <v>5</v>
      </c>
      <c r="D3" s="13" t="s">
        <v>5</v>
      </c>
      <c r="E3" s="13" t="s">
        <v>5</v>
      </c>
      <c r="F3" s="13" t="s">
        <v>12</v>
      </c>
      <c r="G3" s="13" t="s">
        <v>12</v>
      </c>
      <c r="H3" s="13" t="s">
        <v>12</v>
      </c>
      <c r="I3" s="13"/>
      <c r="J3" s="13"/>
      <c r="K3" s="13" t="s">
        <v>5</v>
      </c>
      <c r="L3" s="13" t="s">
        <v>5</v>
      </c>
      <c r="M3" s="13" t="s">
        <v>12</v>
      </c>
      <c r="N3" s="13" t="s">
        <v>12</v>
      </c>
      <c r="O3" s="13" t="s">
        <v>5</v>
      </c>
      <c r="P3" s="13"/>
      <c r="Q3" s="13"/>
      <c r="R3" s="13"/>
      <c r="S3" s="13"/>
      <c r="T3" s="13"/>
      <c r="U3" s="13"/>
    </row>
    <row r="4" spans="2:21" x14ac:dyDescent="0.25">
      <c r="B4" s="13">
        <v>2013</v>
      </c>
      <c r="C4" s="13"/>
      <c r="D4" s="13"/>
      <c r="E4" s="13"/>
      <c r="F4" s="13"/>
      <c r="G4" s="13"/>
      <c r="H4" s="13"/>
      <c r="I4" s="13"/>
      <c r="J4" s="13"/>
      <c r="K4" s="16"/>
      <c r="L4" s="16"/>
      <c r="M4" s="13"/>
      <c r="N4" s="13"/>
      <c r="O4" s="13"/>
      <c r="P4" s="13"/>
      <c r="Q4" s="13"/>
      <c r="R4" s="13"/>
      <c r="S4" s="13"/>
      <c r="T4" s="13"/>
      <c r="U4" s="13"/>
    </row>
    <row r="5" spans="2:21" x14ac:dyDescent="0.25">
      <c r="B5" s="13">
        <v>2014</v>
      </c>
      <c r="C5" s="40">
        <f>L5*O5</f>
        <v>160000</v>
      </c>
      <c r="D5" s="40">
        <f>-C5*Assumptions!$F$5</f>
        <v>-6400</v>
      </c>
      <c r="E5" s="40">
        <f>-C5*Assumptions!$E$5</f>
        <v>-16000</v>
      </c>
      <c r="F5" s="40">
        <f>-C5*Assumptions!$C$5</f>
        <v>-131200</v>
      </c>
      <c r="G5" s="40">
        <f>K5-K6</f>
        <v>15840.000000000007</v>
      </c>
      <c r="H5" s="40">
        <f>(C5+D5+E5+K5)*Assumptions!$D$11</f>
        <v>6496.0000000000009</v>
      </c>
      <c r="I5" s="40">
        <f>SUM(C5:H5)</f>
        <v>28736.000000000007</v>
      </c>
      <c r="K5" s="41">
        <f>C5*Assumptions!$G$5</f>
        <v>48000</v>
      </c>
      <c r="L5" s="40">
        <f>Assumptions!$D$5</f>
        <v>160000</v>
      </c>
      <c r="M5" s="48">
        <v>0</v>
      </c>
      <c r="N5" s="44">
        <v>0.33</v>
      </c>
      <c r="O5" s="45">
        <v>1</v>
      </c>
    </row>
    <row r="6" spans="2:21" x14ac:dyDescent="0.25">
      <c r="B6" s="13">
        <f>B5+1</f>
        <v>2015</v>
      </c>
      <c r="C6" s="40">
        <f t="shared" ref="C6:C34" si="0">L6*O6</f>
        <v>107199.99999999999</v>
      </c>
      <c r="D6" s="40">
        <f>-C6*Assumptions!$F$5</f>
        <v>-4287.9999999999991</v>
      </c>
      <c r="E6" s="40">
        <f>-C6*Assumptions!$E$5</f>
        <v>-10720</v>
      </c>
      <c r="F6" s="40">
        <f>-C6*Assumptions!$C$5</f>
        <v>-87903.999999999985</v>
      </c>
      <c r="G6" s="40">
        <f t="shared" ref="G6:G34" si="1">K6-K7</f>
        <v>10612.8</v>
      </c>
      <c r="H6" s="40">
        <f>(C6+D6+E6+K6)*Assumptions!$D$11</f>
        <v>4352.32</v>
      </c>
      <c r="I6" s="40">
        <f t="shared" ref="I6:I35" si="2">SUM(C6:H6)</f>
        <v>19253.12</v>
      </c>
      <c r="K6" s="41">
        <f>C6*Assumptions!$G$5</f>
        <v>32159.999999999993</v>
      </c>
      <c r="L6" s="40">
        <f>Assumptions!$D$5</f>
        <v>160000</v>
      </c>
      <c r="M6" s="48">
        <v>0</v>
      </c>
      <c r="N6" s="44">
        <v>0.33</v>
      </c>
      <c r="O6" s="47">
        <f>O5*(1-M6)*(1-N5)</f>
        <v>0.66999999999999993</v>
      </c>
    </row>
    <row r="7" spans="2:21" x14ac:dyDescent="0.25">
      <c r="B7" s="13">
        <f t="shared" ref="B7:B34" si="3">B6+1</f>
        <v>2016</v>
      </c>
      <c r="C7" s="40">
        <f t="shared" si="0"/>
        <v>71823.999999999985</v>
      </c>
      <c r="D7" s="40">
        <f>-C7*Assumptions!$F$5</f>
        <v>-2872.9599999999996</v>
      </c>
      <c r="E7" s="40">
        <f>-C7*Assumptions!$E$5</f>
        <v>-7182.3999999999987</v>
      </c>
      <c r="F7" s="40">
        <f>-C7*Assumptions!$C$5</f>
        <v>-58895.679999999986</v>
      </c>
      <c r="G7" s="40">
        <f t="shared" si="1"/>
        <v>21547.199999999993</v>
      </c>
      <c r="H7" s="40">
        <f>(C7+D7+E7+K7)*Assumptions!$D$11</f>
        <v>2916.0543999999991</v>
      </c>
      <c r="I7" s="40">
        <f t="shared" si="2"/>
        <v>27336.214399999983</v>
      </c>
      <c r="K7" s="41">
        <f>C7*Assumptions!$G$5</f>
        <v>21547.199999999993</v>
      </c>
      <c r="L7" s="40">
        <f>Assumptions!$D$5</f>
        <v>160000</v>
      </c>
      <c r="M7" s="48">
        <v>0</v>
      </c>
      <c r="N7" s="44">
        <v>1</v>
      </c>
      <c r="O7" s="47">
        <f t="shared" ref="O7:O35" si="4">O6*(1-M7)*(1-N6)</f>
        <v>0.44889999999999991</v>
      </c>
    </row>
    <row r="8" spans="2:21" x14ac:dyDescent="0.25">
      <c r="B8" s="13">
        <f t="shared" si="3"/>
        <v>2017</v>
      </c>
      <c r="C8" s="40">
        <f t="shared" si="0"/>
        <v>0</v>
      </c>
      <c r="D8" s="40">
        <f>-C8*Assumptions!$F$5</f>
        <v>0</v>
      </c>
      <c r="E8" s="40">
        <f>-C8*Assumptions!$E$5</f>
        <v>0</v>
      </c>
      <c r="F8" s="40">
        <f>-C8*Assumptions!$C$5</f>
        <v>0</v>
      </c>
      <c r="G8" s="40">
        <f t="shared" si="1"/>
        <v>0</v>
      </c>
      <c r="H8" s="40">
        <f>(C8+D8+E8+K8)*Assumptions!$D$11</f>
        <v>0</v>
      </c>
      <c r="I8" s="40">
        <f t="shared" si="2"/>
        <v>0</v>
      </c>
      <c r="K8" s="41">
        <f>C8*Assumptions!$G$5</f>
        <v>0</v>
      </c>
      <c r="L8" s="40">
        <f>Assumptions!$D$5</f>
        <v>160000</v>
      </c>
      <c r="M8" s="48">
        <v>0</v>
      </c>
      <c r="N8" s="44">
        <v>0</v>
      </c>
      <c r="O8" s="47">
        <f t="shared" si="4"/>
        <v>0</v>
      </c>
    </row>
    <row r="9" spans="2:21" x14ac:dyDescent="0.25">
      <c r="B9" s="13">
        <f t="shared" si="3"/>
        <v>2018</v>
      </c>
      <c r="C9" s="40">
        <f t="shared" si="0"/>
        <v>0</v>
      </c>
      <c r="D9" s="40">
        <f>-C9*Assumptions!$F$5</f>
        <v>0</v>
      </c>
      <c r="E9" s="40">
        <f>-C9*Assumptions!$E$5</f>
        <v>0</v>
      </c>
      <c r="F9" s="40">
        <f>-C9*Assumptions!$C$5</f>
        <v>0</v>
      </c>
      <c r="G9" s="40">
        <f t="shared" si="1"/>
        <v>0</v>
      </c>
      <c r="H9" s="40">
        <f>(C9+D9+E9+K9)*Assumptions!$D$11</f>
        <v>0</v>
      </c>
      <c r="I9" s="40">
        <f t="shared" si="2"/>
        <v>0</v>
      </c>
      <c r="K9" s="41">
        <f>C9*Assumptions!$G$5</f>
        <v>0</v>
      </c>
      <c r="L9" s="40">
        <f>Assumptions!$D$5</f>
        <v>160000</v>
      </c>
      <c r="M9" s="48">
        <v>0</v>
      </c>
      <c r="N9" s="44">
        <v>0</v>
      </c>
      <c r="O9" s="47">
        <f t="shared" si="4"/>
        <v>0</v>
      </c>
    </row>
    <row r="10" spans="2:21" x14ac:dyDescent="0.25">
      <c r="B10" s="13">
        <f t="shared" si="3"/>
        <v>2019</v>
      </c>
      <c r="C10" s="40">
        <f t="shared" si="0"/>
        <v>0</v>
      </c>
      <c r="D10" s="40">
        <f>-C10*Assumptions!$F$5</f>
        <v>0</v>
      </c>
      <c r="E10" s="40">
        <f>-C10*Assumptions!$E$5</f>
        <v>0</v>
      </c>
      <c r="F10" s="40">
        <f>-C10*Assumptions!$C$5</f>
        <v>0</v>
      </c>
      <c r="G10" s="40">
        <f t="shared" si="1"/>
        <v>0</v>
      </c>
      <c r="H10" s="40">
        <f>(C10+D10+E10+K10)*Assumptions!$D$11</f>
        <v>0</v>
      </c>
      <c r="I10" s="40">
        <f t="shared" si="2"/>
        <v>0</v>
      </c>
      <c r="K10" s="41">
        <f>C10*Assumptions!$G$5</f>
        <v>0</v>
      </c>
      <c r="L10" s="40">
        <f>Assumptions!$D$5</f>
        <v>160000</v>
      </c>
      <c r="M10" s="48">
        <v>0</v>
      </c>
      <c r="N10" s="44">
        <v>0</v>
      </c>
      <c r="O10" s="47">
        <f t="shared" si="4"/>
        <v>0</v>
      </c>
    </row>
    <row r="11" spans="2:21" x14ac:dyDescent="0.25">
      <c r="B11" s="13">
        <f t="shared" si="3"/>
        <v>2020</v>
      </c>
      <c r="C11" s="40">
        <f t="shared" si="0"/>
        <v>0</v>
      </c>
      <c r="D11" s="40">
        <f>-C11*Assumptions!$F$5</f>
        <v>0</v>
      </c>
      <c r="E11" s="40">
        <f>-C11*Assumptions!$E$5</f>
        <v>0</v>
      </c>
      <c r="F11" s="40">
        <f>-C11*Assumptions!$C$5</f>
        <v>0</v>
      </c>
      <c r="G11" s="40">
        <f t="shared" si="1"/>
        <v>0</v>
      </c>
      <c r="H11" s="40">
        <f>(C11+D11+E11+K11)*Assumptions!$D$11</f>
        <v>0</v>
      </c>
      <c r="I11" s="40">
        <f t="shared" si="2"/>
        <v>0</v>
      </c>
      <c r="K11" s="41">
        <f>C11*Assumptions!$G$5</f>
        <v>0</v>
      </c>
      <c r="L11" s="40">
        <f>Assumptions!$D$5</f>
        <v>160000</v>
      </c>
      <c r="M11" s="48">
        <v>0</v>
      </c>
      <c r="N11" s="44">
        <v>0</v>
      </c>
      <c r="O11" s="47">
        <f t="shared" si="4"/>
        <v>0</v>
      </c>
    </row>
    <row r="12" spans="2:21" x14ac:dyDescent="0.25">
      <c r="B12" s="13">
        <f t="shared" si="3"/>
        <v>2021</v>
      </c>
      <c r="C12" s="40">
        <f t="shared" si="0"/>
        <v>0</v>
      </c>
      <c r="D12" s="40">
        <f>-C12*Assumptions!$F$5</f>
        <v>0</v>
      </c>
      <c r="E12" s="40">
        <f>-C12*Assumptions!$E$5</f>
        <v>0</v>
      </c>
      <c r="F12" s="40">
        <f>-C12*Assumptions!$C$5</f>
        <v>0</v>
      </c>
      <c r="G12" s="40">
        <f t="shared" si="1"/>
        <v>0</v>
      </c>
      <c r="H12" s="40">
        <f>(C12+D12+E12+K12)*Assumptions!$D$11</f>
        <v>0</v>
      </c>
      <c r="I12" s="40">
        <f t="shared" si="2"/>
        <v>0</v>
      </c>
      <c r="K12" s="41">
        <f>C12*Assumptions!$G$5</f>
        <v>0</v>
      </c>
      <c r="L12" s="40">
        <f>Assumptions!$D$5</f>
        <v>160000</v>
      </c>
      <c r="M12" s="48">
        <v>0</v>
      </c>
      <c r="N12" s="44">
        <v>0</v>
      </c>
      <c r="O12" s="47">
        <f t="shared" si="4"/>
        <v>0</v>
      </c>
    </row>
    <row r="13" spans="2:21" x14ac:dyDescent="0.25">
      <c r="B13" s="13">
        <f t="shared" si="3"/>
        <v>2022</v>
      </c>
      <c r="C13" s="40">
        <f t="shared" si="0"/>
        <v>0</v>
      </c>
      <c r="D13" s="40">
        <f>-C13*Assumptions!$F$5</f>
        <v>0</v>
      </c>
      <c r="E13" s="40">
        <f>-C13*Assumptions!$E$5</f>
        <v>0</v>
      </c>
      <c r="F13" s="40">
        <f>-C13*Assumptions!$C$5</f>
        <v>0</v>
      </c>
      <c r="G13" s="40">
        <f t="shared" si="1"/>
        <v>0</v>
      </c>
      <c r="H13" s="40">
        <f>(C13+D13+E13+K13)*Assumptions!$D$11</f>
        <v>0</v>
      </c>
      <c r="I13" s="40">
        <f t="shared" si="2"/>
        <v>0</v>
      </c>
      <c r="K13" s="41">
        <f>C13*Assumptions!$G$5</f>
        <v>0</v>
      </c>
      <c r="L13" s="40">
        <f>Assumptions!$D$5</f>
        <v>160000</v>
      </c>
      <c r="M13" s="48">
        <v>0</v>
      </c>
      <c r="N13" s="44">
        <v>0</v>
      </c>
      <c r="O13" s="47">
        <f t="shared" si="4"/>
        <v>0</v>
      </c>
    </row>
    <row r="14" spans="2:21" x14ac:dyDescent="0.25">
      <c r="B14" s="13">
        <f t="shared" si="3"/>
        <v>2023</v>
      </c>
      <c r="C14" s="40">
        <f t="shared" si="0"/>
        <v>0</v>
      </c>
      <c r="D14" s="40">
        <f>-C14*Assumptions!$F$5</f>
        <v>0</v>
      </c>
      <c r="E14" s="40">
        <f>-C14*Assumptions!$E$5</f>
        <v>0</v>
      </c>
      <c r="F14" s="40">
        <f>-C14*Assumptions!$C$5</f>
        <v>0</v>
      </c>
      <c r="G14" s="40">
        <f t="shared" si="1"/>
        <v>0</v>
      </c>
      <c r="H14" s="40">
        <f>(C14+D14+E14+K14)*Assumptions!$D$11</f>
        <v>0</v>
      </c>
      <c r="I14" s="40">
        <f t="shared" si="2"/>
        <v>0</v>
      </c>
      <c r="K14" s="41">
        <f>C14*Assumptions!$G$5</f>
        <v>0</v>
      </c>
      <c r="L14" s="40">
        <f>Assumptions!$D$5</f>
        <v>160000</v>
      </c>
      <c r="M14" s="48">
        <v>0</v>
      </c>
      <c r="N14" s="44">
        <v>0</v>
      </c>
      <c r="O14" s="47">
        <f t="shared" si="4"/>
        <v>0</v>
      </c>
    </row>
    <row r="15" spans="2:21" x14ac:dyDescent="0.25">
      <c r="B15" s="13">
        <f t="shared" si="3"/>
        <v>2024</v>
      </c>
      <c r="C15" s="40">
        <f t="shared" si="0"/>
        <v>0</v>
      </c>
      <c r="D15" s="40">
        <f>-C15*Assumptions!$F$5</f>
        <v>0</v>
      </c>
      <c r="E15" s="40">
        <f>-C15*Assumptions!$E$5</f>
        <v>0</v>
      </c>
      <c r="F15" s="40">
        <f>-C15*Assumptions!$C$5</f>
        <v>0</v>
      </c>
      <c r="G15" s="40">
        <f t="shared" si="1"/>
        <v>0</v>
      </c>
      <c r="H15" s="40">
        <f>(C15+D15+E15+K15)*Assumptions!$D$11</f>
        <v>0</v>
      </c>
      <c r="I15" s="40">
        <f t="shared" si="2"/>
        <v>0</v>
      </c>
      <c r="K15" s="41">
        <f>C15*Assumptions!$G$5</f>
        <v>0</v>
      </c>
      <c r="L15" s="40">
        <f>Assumptions!$D$5</f>
        <v>160000</v>
      </c>
      <c r="M15" s="48">
        <v>0</v>
      </c>
      <c r="N15" s="44">
        <v>0</v>
      </c>
      <c r="O15" s="47">
        <f t="shared" si="4"/>
        <v>0</v>
      </c>
    </row>
    <row r="16" spans="2:21" x14ac:dyDescent="0.25">
      <c r="B16" s="13">
        <f t="shared" si="3"/>
        <v>2025</v>
      </c>
      <c r="C16" s="40">
        <f t="shared" si="0"/>
        <v>0</v>
      </c>
      <c r="D16" s="40">
        <f>-C16*Assumptions!$F$5</f>
        <v>0</v>
      </c>
      <c r="E16" s="40">
        <f>-C16*Assumptions!$E$5</f>
        <v>0</v>
      </c>
      <c r="F16" s="40">
        <f>-C16*Assumptions!$C$5</f>
        <v>0</v>
      </c>
      <c r="G16" s="40">
        <f t="shared" si="1"/>
        <v>0</v>
      </c>
      <c r="H16" s="40">
        <f>(C16+D16+E16+K16)*Assumptions!$D$11</f>
        <v>0</v>
      </c>
      <c r="I16" s="40">
        <f t="shared" si="2"/>
        <v>0</v>
      </c>
      <c r="K16" s="41">
        <f>C16*Assumptions!$G$5</f>
        <v>0</v>
      </c>
      <c r="L16" s="40">
        <f>Assumptions!$D$5</f>
        <v>160000</v>
      </c>
      <c r="M16" s="48">
        <v>0</v>
      </c>
      <c r="N16" s="44">
        <v>0</v>
      </c>
      <c r="O16" s="47">
        <f t="shared" si="4"/>
        <v>0</v>
      </c>
    </row>
    <row r="17" spans="2:15" x14ac:dyDescent="0.25">
      <c r="B17" s="13">
        <f t="shared" si="3"/>
        <v>2026</v>
      </c>
      <c r="C17" s="40">
        <f t="shared" si="0"/>
        <v>0</v>
      </c>
      <c r="D17" s="40">
        <f>-C17*Assumptions!$F$5</f>
        <v>0</v>
      </c>
      <c r="E17" s="40">
        <f>-C17*Assumptions!$E$5</f>
        <v>0</v>
      </c>
      <c r="F17" s="40">
        <f>-C17*Assumptions!$C$5</f>
        <v>0</v>
      </c>
      <c r="G17" s="40">
        <f t="shared" si="1"/>
        <v>0</v>
      </c>
      <c r="H17" s="40">
        <f>(C17+D17+E17+K17)*Assumptions!$D$11</f>
        <v>0</v>
      </c>
      <c r="I17" s="40">
        <f t="shared" si="2"/>
        <v>0</v>
      </c>
      <c r="K17" s="41">
        <f>C17*Assumptions!$G$5</f>
        <v>0</v>
      </c>
      <c r="L17" s="40">
        <f>Assumptions!$D$5</f>
        <v>160000</v>
      </c>
      <c r="M17" s="48">
        <v>0</v>
      </c>
      <c r="N17" s="44">
        <v>0</v>
      </c>
      <c r="O17" s="47">
        <f t="shared" si="4"/>
        <v>0</v>
      </c>
    </row>
    <row r="18" spans="2:15" x14ac:dyDescent="0.25">
      <c r="B18" s="13">
        <f t="shared" si="3"/>
        <v>2027</v>
      </c>
      <c r="C18" s="40">
        <f t="shared" si="0"/>
        <v>0</v>
      </c>
      <c r="D18" s="40">
        <f>-C18*Assumptions!$F$5</f>
        <v>0</v>
      </c>
      <c r="E18" s="40">
        <f>-C18*Assumptions!$E$5</f>
        <v>0</v>
      </c>
      <c r="F18" s="40">
        <f>-C18*Assumptions!$C$5</f>
        <v>0</v>
      </c>
      <c r="G18" s="40">
        <f t="shared" si="1"/>
        <v>0</v>
      </c>
      <c r="H18" s="40">
        <f>(C18+D18+E18+K18)*Assumptions!$D$11</f>
        <v>0</v>
      </c>
      <c r="I18" s="40">
        <f t="shared" si="2"/>
        <v>0</v>
      </c>
      <c r="K18" s="41">
        <f>C18*Assumptions!$G$5</f>
        <v>0</v>
      </c>
      <c r="L18" s="40">
        <f>Assumptions!$D$5</f>
        <v>160000</v>
      </c>
      <c r="M18" s="48">
        <v>0</v>
      </c>
      <c r="N18" s="44">
        <v>0</v>
      </c>
      <c r="O18" s="47">
        <f t="shared" si="4"/>
        <v>0</v>
      </c>
    </row>
    <row r="19" spans="2:15" x14ac:dyDescent="0.25">
      <c r="B19" s="13">
        <f t="shared" si="3"/>
        <v>2028</v>
      </c>
      <c r="C19" s="40">
        <f t="shared" si="0"/>
        <v>0</v>
      </c>
      <c r="D19" s="40">
        <f>-C19*Assumptions!$F$5</f>
        <v>0</v>
      </c>
      <c r="E19" s="40">
        <f>-C19*Assumptions!$E$5</f>
        <v>0</v>
      </c>
      <c r="F19" s="40">
        <f>-C19*Assumptions!$C$5</f>
        <v>0</v>
      </c>
      <c r="G19" s="40">
        <f t="shared" si="1"/>
        <v>0</v>
      </c>
      <c r="H19" s="40">
        <f>(C19+D19+E19+K19)*Assumptions!$D$11</f>
        <v>0</v>
      </c>
      <c r="I19" s="40">
        <f t="shared" si="2"/>
        <v>0</v>
      </c>
      <c r="K19" s="41">
        <f>C19*Assumptions!$G$5</f>
        <v>0</v>
      </c>
      <c r="L19" s="40">
        <f>Assumptions!$D$5</f>
        <v>160000</v>
      </c>
      <c r="M19" s="48">
        <v>0</v>
      </c>
      <c r="N19" s="44">
        <v>0</v>
      </c>
      <c r="O19" s="47">
        <f t="shared" si="4"/>
        <v>0</v>
      </c>
    </row>
    <row r="20" spans="2:15" x14ac:dyDescent="0.25">
      <c r="B20" s="13">
        <f t="shared" si="3"/>
        <v>2029</v>
      </c>
      <c r="C20" s="40">
        <f t="shared" si="0"/>
        <v>0</v>
      </c>
      <c r="D20" s="40">
        <f>-C20*Assumptions!$F$5</f>
        <v>0</v>
      </c>
      <c r="E20" s="40">
        <f>-C20*Assumptions!$E$5</f>
        <v>0</v>
      </c>
      <c r="F20" s="40">
        <f>-C20*Assumptions!$C$5</f>
        <v>0</v>
      </c>
      <c r="G20" s="40">
        <f t="shared" si="1"/>
        <v>0</v>
      </c>
      <c r="H20" s="40">
        <f>(C20+D20+E20+K20)*Assumptions!$D$11</f>
        <v>0</v>
      </c>
      <c r="I20" s="40">
        <f t="shared" si="2"/>
        <v>0</v>
      </c>
      <c r="K20" s="41">
        <f>C20*Assumptions!$G$5</f>
        <v>0</v>
      </c>
      <c r="L20" s="40">
        <f>Assumptions!$D$5</f>
        <v>160000</v>
      </c>
      <c r="M20" s="48">
        <v>0</v>
      </c>
      <c r="N20" s="44">
        <v>0</v>
      </c>
      <c r="O20" s="47">
        <f t="shared" si="4"/>
        <v>0</v>
      </c>
    </row>
    <row r="21" spans="2:15" x14ac:dyDescent="0.25">
      <c r="B21" s="13">
        <f t="shared" si="3"/>
        <v>2030</v>
      </c>
      <c r="C21" s="40">
        <f t="shared" si="0"/>
        <v>0</v>
      </c>
      <c r="D21" s="40">
        <f>-C21*Assumptions!$F$5</f>
        <v>0</v>
      </c>
      <c r="E21" s="40">
        <f>-C21*Assumptions!$E$5</f>
        <v>0</v>
      </c>
      <c r="F21" s="40">
        <f>-C21*Assumptions!$C$5</f>
        <v>0</v>
      </c>
      <c r="G21" s="40">
        <f t="shared" si="1"/>
        <v>0</v>
      </c>
      <c r="H21" s="40">
        <f>(C21+D21+E21+K21)*Assumptions!$D$11</f>
        <v>0</v>
      </c>
      <c r="I21" s="40">
        <f t="shared" si="2"/>
        <v>0</v>
      </c>
      <c r="K21" s="41">
        <f>C21*Assumptions!$G$5</f>
        <v>0</v>
      </c>
      <c r="L21" s="40">
        <f>Assumptions!$D$5</f>
        <v>160000</v>
      </c>
      <c r="M21" s="48">
        <v>0</v>
      </c>
      <c r="N21" s="44">
        <v>0</v>
      </c>
      <c r="O21" s="47">
        <f t="shared" si="4"/>
        <v>0</v>
      </c>
    </row>
    <row r="22" spans="2:15" x14ac:dyDescent="0.25">
      <c r="B22" s="13">
        <f t="shared" si="3"/>
        <v>2031</v>
      </c>
      <c r="C22" s="40">
        <f t="shared" si="0"/>
        <v>0</v>
      </c>
      <c r="D22" s="40">
        <f>-C22*Assumptions!$F$5</f>
        <v>0</v>
      </c>
      <c r="E22" s="40">
        <f>-C22*Assumptions!$E$5</f>
        <v>0</v>
      </c>
      <c r="F22" s="40">
        <f>-C22*Assumptions!$C$5</f>
        <v>0</v>
      </c>
      <c r="G22" s="40">
        <f t="shared" si="1"/>
        <v>0</v>
      </c>
      <c r="H22" s="40">
        <f>(C22+D22+E22+K22)*Assumptions!$D$11</f>
        <v>0</v>
      </c>
      <c r="I22" s="40">
        <f t="shared" si="2"/>
        <v>0</v>
      </c>
      <c r="K22" s="41">
        <f>C22*Assumptions!$G$5</f>
        <v>0</v>
      </c>
      <c r="L22" s="40">
        <f>Assumptions!$D$5</f>
        <v>160000</v>
      </c>
      <c r="M22" s="48">
        <v>0</v>
      </c>
      <c r="N22" s="44">
        <v>0</v>
      </c>
      <c r="O22" s="47">
        <f t="shared" si="4"/>
        <v>0</v>
      </c>
    </row>
    <row r="23" spans="2:15" x14ac:dyDescent="0.25">
      <c r="B23" s="13">
        <f t="shared" si="3"/>
        <v>2032</v>
      </c>
      <c r="C23" s="40">
        <f t="shared" si="0"/>
        <v>0</v>
      </c>
      <c r="D23" s="40">
        <f>-C23*Assumptions!$F$5</f>
        <v>0</v>
      </c>
      <c r="E23" s="40">
        <f>-C23*Assumptions!$E$5</f>
        <v>0</v>
      </c>
      <c r="F23" s="40">
        <f>-C23*Assumptions!$C$5</f>
        <v>0</v>
      </c>
      <c r="G23" s="40">
        <f t="shared" si="1"/>
        <v>0</v>
      </c>
      <c r="H23" s="40">
        <f>(C23+D23+E23+K23)*Assumptions!$D$11</f>
        <v>0</v>
      </c>
      <c r="I23" s="40">
        <f t="shared" si="2"/>
        <v>0</v>
      </c>
      <c r="K23" s="41">
        <f>C23*Assumptions!$G$5</f>
        <v>0</v>
      </c>
      <c r="L23" s="40">
        <f>Assumptions!$D$5</f>
        <v>160000</v>
      </c>
      <c r="M23" s="48">
        <v>0</v>
      </c>
      <c r="N23" s="44">
        <v>0</v>
      </c>
      <c r="O23" s="47">
        <f t="shared" si="4"/>
        <v>0</v>
      </c>
    </row>
    <row r="24" spans="2:15" x14ac:dyDescent="0.25">
      <c r="B24" s="13">
        <f t="shared" si="3"/>
        <v>2033</v>
      </c>
      <c r="C24" s="40">
        <f t="shared" si="0"/>
        <v>0</v>
      </c>
      <c r="D24" s="40">
        <f>-C24*Assumptions!$F$5</f>
        <v>0</v>
      </c>
      <c r="E24" s="40">
        <f>-C24*Assumptions!$E$5</f>
        <v>0</v>
      </c>
      <c r="F24" s="40">
        <f>-C24*Assumptions!$C$5</f>
        <v>0</v>
      </c>
      <c r="G24" s="40">
        <f t="shared" si="1"/>
        <v>0</v>
      </c>
      <c r="H24" s="40">
        <f>(C24+D24+E24+K24)*Assumptions!$D$11</f>
        <v>0</v>
      </c>
      <c r="I24" s="40">
        <f t="shared" si="2"/>
        <v>0</v>
      </c>
      <c r="K24" s="41">
        <f>C24*Assumptions!$G$5</f>
        <v>0</v>
      </c>
      <c r="L24" s="40">
        <f>Assumptions!$D$5</f>
        <v>160000</v>
      </c>
      <c r="M24" s="48">
        <v>0</v>
      </c>
      <c r="N24" s="44">
        <v>0</v>
      </c>
      <c r="O24" s="47">
        <f t="shared" si="4"/>
        <v>0</v>
      </c>
    </row>
    <row r="25" spans="2:15" x14ac:dyDescent="0.25">
      <c r="B25" s="13">
        <f t="shared" si="3"/>
        <v>2034</v>
      </c>
      <c r="C25" s="40">
        <f t="shared" si="0"/>
        <v>0</v>
      </c>
      <c r="D25" s="40">
        <f>-C25*Assumptions!$F$5</f>
        <v>0</v>
      </c>
      <c r="E25" s="40">
        <f>-C25*Assumptions!$E$5</f>
        <v>0</v>
      </c>
      <c r="F25" s="40">
        <f>-C25*Assumptions!$C$5</f>
        <v>0</v>
      </c>
      <c r="G25" s="40">
        <f t="shared" si="1"/>
        <v>0</v>
      </c>
      <c r="H25" s="40">
        <f>(C25+D25+E25+K25)*Assumptions!$D$11</f>
        <v>0</v>
      </c>
      <c r="I25" s="40">
        <f t="shared" si="2"/>
        <v>0</v>
      </c>
      <c r="K25" s="41">
        <f>C25*Assumptions!$G$5</f>
        <v>0</v>
      </c>
      <c r="L25" s="40">
        <f>Assumptions!$D$5</f>
        <v>160000</v>
      </c>
      <c r="M25" s="48">
        <v>0</v>
      </c>
      <c r="N25" s="44">
        <v>0</v>
      </c>
      <c r="O25" s="47">
        <f t="shared" si="4"/>
        <v>0</v>
      </c>
    </row>
    <row r="26" spans="2:15" x14ac:dyDescent="0.25">
      <c r="B26" s="13">
        <f t="shared" si="3"/>
        <v>2035</v>
      </c>
      <c r="C26" s="40">
        <f t="shared" si="0"/>
        <v>0</v>
      </c>
      <c r="D26" s="40">
        <f>-C26*Assumptions!$F$5</f>
        <v>0</v>
      </c>
      <c r="E26" s="40">
        <f>-C26*Assumptions!$E$5</f>
        <v>0</v>
      </c>
      <c r="F26" s="40">
        <f>-C26*Assumptions!$C$5</f>
        <v>0</v>
      </c>
      <c r="G26" s="40">
        <f t="shared" si="1"/>
        <v>0</v>
      </c>
      <c r="H26" s="40">
        <f>(C26+D26+E26+K26)*Assumptions!$D$11</f>
        <v>0</v>
      </c>
      <c r="I26" s="40">
        <f t="shared" si="2"/>
        <v>0</v>
      </c>
      <c r="K26" s="41">
        <f>C26*Assumptions!$G$5</f>
        <v>0</v>
      </c>
      <c r="L26" s="40">
        <f>Assumptions!$D$5</f>
        <v>160000</v>
      </c>
      <c r="M26" s="48">
        <v>0</v>
      </c>
      <c r="N26" s="44">
        <v>0</v>
      </c>
      <c r="O26" s="47">
        <f t="shared" si="4"/>
        <v>0</v>
      </c>
    </row>
    <row r="27" spans="2:15" x14ac:dyDescent="0.25">
      <c r="B27" s="13">
        <f t="shared" si="3"/>
        <v>2036</v>
      </c>
      <c r="C27" s="40">
        <f t="shared" si="0"/>
        <v>0</v>
      </c>
      <c r="D27" s="40">
        <f>-C27*Assumptions!$F$5</f>
        <v>0</v>
      </c>
      <c r="E27" s="40">
        <f>-C27*Assumptions!$E$5</f>
        <v>0</v>
      </c>
      <c r="F27" s="40">
        <f>-C27*Assumptions!$C$5</f>
        <v>0</v>
      </c>
      <c r="G27" s="40">
        <f t="shared" si="1"/>
        <v>0</v>
      </c>
      <c r="H27" s="40">
        <f>(C27+D27+E27+K27)*Assumptions!$D$11</f>
        <v>0</v>
      </c>
      <c r="I27" s="40">
        <f t="shared" si="2"/>
        <v>0</v>
      </c>
      <c r="K27" s="41">
        <f>C27*Assumptions!$G$5</f>
        <v>0</v>
      </c>
      <c r="L27" s="40">
        <f>Assumptions!$D$5</f>
        <v>160000</v>
      </c>
      <c r="M27" s="48">
        <v>0</v>
      </c>
      <c r="N27" s="44">
        <v>0</v>
      </c>
      <c r="O27" s="47">
        <f t="shared" si="4"/>
        <v>0</v>
      </c>
    </row>
    <row r="28" spans="2:15" x14ac:dyDescent="0.25">
      <c r="B28" s="13">
        <f t="shared" si="3"/>
        <v>2037</v>
      </c>
      <c r="C28" s="40">
        <f t="shared" si="0"/>
        <v>0</v>
      </c>
      <c r="D28" s="40">
        <f>-C28*Assumptions!$F$5</f>
        <v>0</v>
      </c>
      <c r="E28" s="40">
        <f>-C28*Assumptions!$E$5</f>
        <v>0</v>
      </c>
      <c r="F28" s="40">
        <f>-C28*Assumptions!$C$5</f>
        <v>0</v>
      </c>
      <c r="G28" s="40">
        <f t="shared" si="1"/>
        <v>0</v>
      </c>
      <c r="H28" s="40">
        <f>(C28+D28+E28+K28)*Assumptions!$D$11</f>
        <v>0</v>
      </c>
      <c r="I28" s="40">
        <f t="shared" si="2"/>
        <v>0</v>
      </c>
      <c r="K28" s="41">
        <f>C28*Assumptions!$G$5</f>
        <v>0</v>
      </c>
      <c r="L28" s="40">
        <f>Assumptions!$D$5</f>
        <v>160000</v>
      </c>
      <c r="M28" s="48">
        <v>0</v>
      </c>
      <c r="N28" s="44">
        <v>0</v>
      </c>
      <c r="O28" s="47">
        <f t="shared" si="4"/>
        <v>0</v>
      </c>
    </row>
    <row r="29" spans="2:15" x14ac:dyDescent="0.25">
      <c r="B29" s="13">
        <f t="shared" si="3"/>
        <v>2038</v>
      </c>
      <c r="C29" s="40">
        <f t="shared" si="0"/>
        <v>0</v>
      </c>
      <c r="D29" s="40">
        <f>-C29*Assumptions!$F$5</f>
        <v>0</v>
      </c>
      <c r="E29" s="40">
        <f>-C29*Assumptions!$E$5</f>
        <v>0</v>
      </c>
      <c r="F29" s="40">
        <f>-C29*Assumptions!$C$5</f>
        <v>0</v>
      </c>
      <c r="G29" s="40">
        <f t="shared" si="1"/>
        <v>0</v>
      </c>
      <c r="H29" s="40">
        <f>(C29+D29+E29+K29)*Assumptions!$D$11</f>
        <v>0</v>
      </c>
      <c r="I29" s="40">
        <f t="shared" si="2"/>
        <v>0</v>
      </c>
      <c r="K29" s="41">
        <f>C29*Assumptions!$G$5</f>
        <v>0</v>
      </c>
      <c r="L29" s="40">
        <f>Assumptions!$D$5</f>
        <v>160000</v>
      </c>
      <c r="M29" s="48">
        <v>0</v>
      </c>
      <c r="N29" s="44">
        <v>0</v>
      </c>
      <c r="O29" s="47">
        <f t="shared" si="4"/>
        <v>0</v>
      </c>
    </row>
    <row r="30" spans="2:15" x14ac:dyDescent="0.25">
      <c r="B30" s="13">
        <f t="shared" si="3"/>
        <v>2039</v>
      </c>
      <c r="C30" s="40">
        <f t="shared" si="0"/>
        <v>0</v>
      </c>
      <c r="D30" s="40">
        <f>-C30*Assumptions!$F$5</f>
        <v>0</v>
      </c>
      <c r="E30" s="40">
        <f>-C30*Assumptions!$E$5</f>
        <v>0</v>
      </c>
      <c r="F30" s="40">
        <f>-C30*Assumptions!$C$5</f>
        <v>0</v>
      </c>
      <c r="G30" s="40">
        <f t="shared" si="1"/>
        <v>0</v>
      </c>
      <c r="H30" s="40">
        <f>(C30+D30+E30+K30)*Assumptions!$D$11</f>
        <v>0</v>
      </c>
      <c r="I30" s="40">
        <f t="shared" si="2"/>
        <v>0</v>
      </c>
      <c r="K30" s="41">
        <f>C30*Assumptions!$G$5</f>
        <v>0</v>
      </c>
      <c r="L30" s="40">
        <f>Assumptions!$D$5</f>
        <v>160000</v>
      </c>
      <c r="M30" s="48">
        <v>0</v>
      </c>
      <c r="N30" s="44">
        <v>0</v>
      </c>
      <c r="O30" s="47">
        <f t="shared" si="4"/>
        <v>0</v>
      </c>
    </row>
    <row r="31" spans="2:15" x14ac:dyDescent="0.25">
      <c r="B31" s="13">
        <f t="shared" si="3"/>
        <v>2040</v>
      </c>
      <c r="C31" s="40">
        <f t="shared" si="0"/>
        <v>0</v>
      </c>
      <c r="D31" s="40">
        <f>-C31*Assumptions!$F$5</f>
        <v>0</v>
      </c>
      <c r="E31" s="40">
        <f>-C31*Assumptions!$E$5</f>
        <v>0</v>
      </c>
      <c r="F31" s="40">
        <f>-C31*Assumptions!$C$5</f>
        <v>0</v>
      </c>
      <c r="G31" s="40">
        <f t="shared" si="1"/>
        <v>0</v>
      </c>
      <c r="H31" s="40">
        <f>(C31+D31+E31+K31)*Assumptions!$D$11</f>
        <v>0</v>
      </c>
      <c r="I31" s="40">
        <f t="shared" si="2"/>
        <v>0</v>
      </c>
      <c r="K31" s="41">
        <f>C31*Assumptions!$G$5</f>
        <v>0</v>
      </c>
      <c r="L31" s="40">
        <f>Assumptions!$D$5</f>
        <v>160000</v>
      </c>
      <c r="M31" s="48">
        <v>0</v>
      </c>
      <c r="N31" s="44">
        <v>0</v>
      </c>
      <c r="O31" s="47">
        <f t="shared" si="4"/>
        <v>0</v>
      </c>
    </row>
    <row r="32" spans="2:15" x14ac:dyDescent="0.25">
      <c r="B32" s="13">
        <f t="shared" si="3"/>
        <v>2041</v>
      </c>
      <c r="C32" s="40">
        <f t="shared" si="0"/>
        <v>0</v>
      </c>
      <c r="D32" s="40">
        <f>-C32*Assumptions!$F$5</f>
        <v>0</v>
      </c>
      <c r="E32" s="40">
        <f>-C32*Assumptions!$E$5</f>
        <v>0</v>
      </c>
      <c r="F32" s="40">
        <f>-C32*Assumptions!$C$5</f>
        <v>0</v>
      </c>
      <c r="G32" s="40">
        <f t="shared" si="1"/>
        <v>0</v>
      </c>
      <c r="H32" s="40">
        <f>(C32+D32+E32+K32)*Assumptions!$D$11</f>
        <v>0</v>
      </c>
      <c r="I32" s="40">
        <f t="shared" si="2"/>
        <v>0</v>
      </c>
      <c r="K32" s="41">
        <f>C32*Assumptions!$G$5</f>
        <v>0</v>
      </c>
      <c r="L32" s="40">
        <f>Assumptions!$D$5</f>
        <v>160000</v>
      </c>
      <c r="M32" s="48">
        <v>0</v>
      </c>
      <c r="N32" s="44">
        <v>0</v>
      </c>
      <c r="O32" s="47">
        <f t="shared" si="4"/>
        <v>0</v>
      </c>
    </row>
    <row r="33" spans="2:15" x14ac:dyDescent="0.25">
      <c r="B33" s="13">
        <f t="shared" si="3"/>
        <v>2042</v>
      </c>
      <c r="C33" s="40">
        <f t="shared" si="0"/>
        <v>0</v>
      </c>
      <c r="D33" s="40">
        <f>-C33*Assumptions!$F$5</f>
        <v>0</v>
      </c>
      <c r="E33" s="40">
        <f>-C33*Assumptions!$E$5</f>
        <v>0</v>
      </c>
      <c r="F33" s="40">
        <f>-C33*Assumptions!$C$5</f>
        <v>0</v>
      </c>
      <c r="G33" s="40">
        <f t="shared" si="1"/>
        <v>0</v>
      </c>
      <c r="H33" s="40">
        <f>(C33+D33+E33+K33)*Assumptions!$D$11</f>
        <v>0</v>
      </c>
      <c r="I33" s="40">
        <f t="shared" si="2"/>
        <v>0</v>
      </c>
      <c r="K33" s="41">
        <f>C33*Assumptions!$G$5</f>
        <v>0</v>
      </c>
      <c r="L33" s="40">
        <f>Assumptions!$D$5</f>
        <v>160000</v>
      </c>
      <c r="M33" s="48">
        <v>0</v>
      </c>
      <c r="N33" s="44">
        <v>0</v>
      </c>
      <c r="O33" s="47">
        <f t="shared" si="4"/>
        <v>0</v>
      </c>
    </row>
    <row r="34" spans="2:15" x14ac:dyDescent="0.25">
      <c r="B34" s="13">
        <f t="shared" si="3"/>
        <v>2043</v>
      </c>
      <c r="C34" s="40">
        <f t="shared" si="0"/>
        <v>0</v>
      </c>
      <c r="D34" s="40">
        <f>-C34*Assumptions!$F$5</f>
        <v>0</v>
      </c>
      <c r="E34" s="40">
        <f>-C34*Assumptions!$E$5</f>
        <v>0</v>
      </c>
      <c r="F34" s="40">
        <f>-C34*Assumptions!$C$5</f>
        <v>0</v>
      </c>
      <c r="G34" s="40">
        <f t="shared" si="1"/>
        <v>0</v>
      </c>
      <c r="H34" s="40">
        <f>(C34+D34+E34+K34)*Assumptions!$D$11</f>
        <v>0</v>
      </c>
      <c r="I34" s="40">
        <f t="shared" si="2"/>
        <v>0</v>
      </c>
      <c r="K34" s="41">
        <f>C34*Assumptions!$G$5</f>
        <v>0</v>
      </c>
      <c r="L34" s="40">
        <f>Assumptions!$D$5</f>
        <v>160000</v>
      </c>
      <c r="M34" s="48">
        <v>0</v>
      </c>
      <c r="N34" s="44">
        <v>0</v>
      </c>
      <c r="O34" s="47">
        <f t="shared" si="4"/>
        <v>0</v>
      </c>
    </row>
    <row r="35" spans="2:15" x14ac:dyDescent="0.25">
      <c r="C35" s="7"/>
      <c r="D35" s="7"/>
      <c r="E35" s="7"/>
      <c r="F35" s="7"/>
      <c r="G35" s="7"/>
    </row>
    <row r="37" spans="2:15" x14ac:dyDescent="0.25">
      <c r="B37" s="13" t="s">
        <v>21</v>
      </c>
      <c r="C37" s="17">
        <f>NPV(Assumptions!$D$15,C4:C34)*(1+Assumptions!$D$15)</f>
        <v>311115.98402380763</v>
      </c>
      <c r="D37" s="17">
        <f>NPV(Assumptions!$D$15,D4:D34)*(1+Assumptions!$D$15)</f>
        <v>-12444.639360952307</v>
      </c>
      <c r="E37" s="17">
        <f>NPV(Assumptions!$D$15,E4:E34)*(1+Assumptions!$D$15)</f>
        <v>-31111.598402380769</v>
      </c>
      <c r="F37" s="17">
        <f>NPV(Assumptions!$D$15,F4:F34)</f>
        <v>-225765.58132701088</v>
      </c>
      <c r="G37" s="17">
        <f>NPV(Assumptions!$D$15,G4:G34)</f>
        <v>37262.368692983633</v>
      </c>
      <c r="H37" s="17">
        <f>NPV(Assumptions!$D$15,H4:H34)</f>
        <v>11178.14951448371</v>
      </c>
      <c r="I37" s="18">
        <f>SUM(C37:H37)</f>
        <v>90234.683140931025</v>
      </c>
    </row>
    <row r="44" spans="2:15" x14ac:dyDescent="0.25">
      <c r="C44" s="17"/>
    </row>
  </sheetData>
  <mergeCells count="2">
    <mergeCell ref="C1:I1"/>
    <mergeCell ref="K1:O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workbookViewId="0">
      <pane xSplit="2" ySplit="3" topLeftCell="C4" activePane="bottomRight" state="frozen"/>
      <selection activeCell="B4" sqref="B4"/>
      <selection pane="topRight" activeCell="B4" sqref="B4"/>
      <selection pane="bottomLeft" activeCell="B4" sqref="B4"/>
      <selection pane="bottomRight" activeCell="G38" sqref="G38"/>
    </sheetView>
  </sheetViews>
  <sheetFormatPr defaultColWidth="8.85546875" defaultRowHeight="15" x14ac:dyDescent="0.25"/>
  <cols>
    <col min="2" max="2" width="12.7109375" style="13" customWidth="1"/>
    <col min="3" max="9" width="13.140625" customWidth="1"/>
    <col min="10" max="10" width="5" customWidth="1"/>
    <col min="11" max="14" width="13.140625" customWidth="1"/>
    <col min="15" max="18" width="11.42578125" customWidth="1"/>
  </cols>
  <sheetData>
    <row r="1" spans="2:16" x14ac:dyDescent="0.25">
      <c r="C1" s="38" t="s">
        <v>32</v>
      </c>
      <c r="D1" s="38"/>
      <c r="E1" s="38"/>
      <c r="F1" s="38"/>
      <c r="G1" s="38"/>
      <c r="H1" s="38"/>
      <c r="I1" s="38"/>
      <c r="J1" s="14"/>
    </row>
    <row r="2" spans="2:16" ht="30" x14ac:dyDescent="0.25">
      <c r="C2" s="13" t="s">
        <v>4</v>
      </c>
      <c r="D2" s="13" t="s">
        <v>7</v>
      </c>
      <c r="E2" s="13" t="s">
        <v>6</v>
      </c>
      <c r="F2" s="13" t="s">
        <v>8</v>
      </c>
      <c r="G2" s="15" t="s">
        <v>11</v>
      </c>
      <c r="H2" s="15" t="s">
        <v>18</v>
      </c>
      <c r="I2" s="15" t="s">
        <v>19</v>
      </c>
      <c r="J2" s="13"/>
      <c r="K2" s="13"/>
      <c r="L2" s="13"/>
      <c r="M2" s="13"/>
      <c r="N2" s="13"/>
      <c r="O2" s="13"/>
      <c r="P2" s="13"/>
    </row>
    <row r="3" spans="2:16" x14ac:dyDescent="0.25">
      <c r="C3" s="13" t="s">
        <v>5</v>
      </c>
      <c r="D3" s="13" t="s">
        <v>5</v>
      </c>
      <c r="E3" s="13" t="s">
        <v>5</v>
      </c>
      <c r="F3" s="13" t="s">
        <v>12</v>
      </c>
      <c r="G3" s="13" t="s">
        <v>12</v>
      </c>
      <c r="H3" s="13" t="s">
        <v>12</v>
      </c>
      <c r="I3" s="13"/>
      <c r="J3" s="13"/>
      <c r="K3" s="13"/>
      <c r="L3" s="13"/>
      <c r="M3" s="13"/>
      <c r="N3" s="13"/>
      <c r="O3" s="13"/>
      <c r="P3" s="13"/>
    </row>
    <row r="4" spans="2:16" x14ac:dyDescent="0.25">
      <c r="B4" s="13">
        <v>2013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 s="13">
        <v>2014</v>
      </c>
      <c r="C5" s="7">
        <f>Individual!C5+Group!C5</f>
        <v>360000</v>
      </c>
      <c r="D5" s="7">
        <f>Individual!D5+Group!D5</f>
        <v>-46400</v>
      </c>
      <c r="E5" s="7">
        <f>Individual!E5+Group!E5</f>
        <v>-40000</v>
      </c>
      <c r="F5" s="7">
        <f>Individual!F5+Group!F5</f>
        <v>-241200</v>
      </c>
      <c r="G5" s="7">
        <f>Individual!G5+Group!G5</f>
        <v>17162.591999999997</v>
      </c>
      <c r="H5" s="7">
        <f>Individual!H5+Group!H5</f>
        <v>12656.000000000002</v>
      </c>
      <c r="I5" s="7">
        <f>Individual!I5+Group!I5</f>
        <v>62218.591999999982</v>
      </c>
    </row>
    <row r="6" spans="2:16" x14ac:dyDescent="0.25">
      <c r="B6" s="13">
        <v>2015</v>
      </c>
      <c r="C6" s="7">
        <f>Individual!C6+Group!C6</f>
        <v>300587.04000000004</v>
      </c>
      <c r="D6" s="7">
        <f>Individual!D6+Group!D6</f>
        <v>-42965.40800000001</v>
      </c>
      <c r="E6" s="7">
        <f>Individual!E6+Group!E6</f>
        <v>-35200</v>
      </c>
      <c r="F6" s="7">
        <f>Individual!F6+Group!F6</f>
        <v>-194266.87200000003</v>
      </c>
      <c r="G6" s="7">
        <f>Individual!G6+Group!G6</f>
        <v>11895.779130442232</v>
      </c>
      <c r="H6" s="7">
        <f>Individual!H6+Group!H6</f>
        <v>10264.066400000002</v>
      </c>
      <c r="I6" s="7">
        <f>Individual!I6+Group!I6</f>
        <v>50314.605530442248</v>
      </c>
    </row>
    <row r="7" spans="2:16" x14ac:dyDescent="0.25">
      <c r="B7" s="13">
        <v>2016</v>
      </c>
      <c r="C7" s="7">
        <f>Individual!C7+Group!C7</f>
        <v>258796.14434778888</v>
      </c>
      <c r="D7" s="7">
        <f>Individual!D7+Group!D7</f>
        <v>-40267.388869557777</v>
      </c>
      <c r="E7" s="7">
        <f>Individual!E7+Group!E7</f>
        <v>-32152</v>
      </c>
      <c r="F7" s="7">
        <f>Individual!F7+Group!F7</f>
        <v>-161730.35939128388</v>
      </c>
      <c r="G7" s="7">
        <f>Individual!G7+Group!G7</f>
        <v>22792.001005136812</v>
      </c>
      <c r="H7" s="7">
        <f>Individual!H7+Group!H7</f>
        <v>8586.1434521726114</v>
      </c>
      <c r="I7" s="7">
        <f>Individual!I7+Group!I7</f>
        <v>56024.540544256626</v>
      </c>
    </row>
    <row r="8" spans="2:16" x14ac:dyDescent="0.25">
      <c r="B8" s="13">
        <v>2017</v>
      </c>
      <c r="C8" s="7">
        <f>Individual!C8+Group!C8</f>
        <v>180748.13932210478</v>
      </c>
      <c r="D8" s="7">
        <f>Individual!D8+Group!D8</f>
        <v>-36149.62786442096</v>
      </c>
      <c r="E8" s="7">
        <f>Individual!E8+Group!E8</f>
        <v>-25468.992000000002</v>
      </c>
      <c r="F8" s="7">
        <f>Individual!F8+Group!F8</f>
        <v>-99411.476627157637</v>
      </c>
      <c r="G8" s="7">
        <f>Individual!G8+Group!G8</f>
        <v>1208.0211083727627</v>
      </c>
      <c r="H8" s="7">
        <f>Individual!H8+Group!H8</f>
        <v>5434.7701562736675</v>
      </c>
      <c r="I8" s="7">
        <f>Individual!I8+Group!I8</f>
        <v>26360.834095172606</v>
      </c>
    </row>
    <row r="9" spans="2:16" x14ac:dyDescent="0.25">
      <c r="B9" s="13">
        <v>2018</v>
      </c>
      <c r="C9" s="7">
        <f>Individual!C9+Group!C9</f>
        <v>174708.03378024098</v>
      </c>
      <c r="D9" s="7">
        <f>Individual!D9+Group!D9</f>
        <v>-34941.606756048197</v>
      </c>
      <c r="E9" s="7">
        <f>Individual!E9+Group!E9</f>
        <v>-25978.371840000003</v>
      </c>
      <c r="F9" s="7">
        <f>Individual!F9+Group!F9</f>
        <v>-96089.418579132544</v>
      </c>
      <c r="G9" s="7">
        <f>Individual!G9+Group!G9</f>
        <v>1172.6044614631246</v>
      </c>
      <c r="H9" s="7">
        <f>Individual!H9+Group!H9</f>
        <v>5205.5381679084348</v>
      </c>
      <c r="I9" s="7">
        <f>Individual!I9+Group!I9</f>
        <v>24076.779234431797</v>
      </c>
    </row>
    <row r="10" spans="2:16" x14ac:dyDescent="0.25">
      <c r="B10" s="13">
        <v>2019</v>
      </c>
      <c r="C10" s="7">
        <f>Individual!C10+Group!C10</f>
        <v>168845.01147292534</v>
      </c>
      <c r="D10" s="7">
        <f>Individual!D10+Group!D10</f>
        <v>-33769.002294585072</v>
      </c>
      <c r="E10" s="7">
        <f>Individual!E10+Group!E10</f>
        <v>-26497.939276800003</v>
      </c>
      <c r="F10" s="7">
        <f>Individual!F10+Group!F10</f>
        <v>-92864.756310108947</v>
      </c>
      <c r="G10" s="7">
        <f>Individual!G10+Group!G10</f>
        <v>1138.5175577815462</v>
      </c>
      <c r="H10" s="7">
        <f>Individual!H10+Group!H10</f>
        <v>4982.1475268643871</v>
      </c>
      <c r="I10" s="7">
        <f>Individual!I10+Group!I10</f>
        <v>21833.978676077251</v>
      </c>
    </row>
    <row r="11" spans="2:16" x14ac:dyDescent="0.25">
      <c r="B11" s="13">
        <v>2020</v>
      </c>
      <c r="C11" s="7">
        <f>Individual!C11+Group!C11</f>
        <v>163152.42368401762</v>
      </c>
      <c r="D11" s="7">
        <f>Individual!D11+Group!D11</f>
        <v>-32630.484736803526</v>
      </c>
      <c r="E11" s="7">
        <f>Individual!E11+Group!E11</f>
        <v>-27027.898062336004</v>
      </c>
      <c r="F11" s="7">
        <f>Individual!F11+Group!F11</f>
        <v>-89733.833026209701</v>
      </c>
      <c r="G11" s="7">
        <f>Individual!G11+Group!G11</f>
        <v>1105.7282924908068</v>
      </c>
      <c r="H11" s="7">
        <f>Individual!H11+Group!H11</f>
        <v>4764.3583967588565</v>
      </c>
      <c r="I11" s="7">
        <f>Individual!I11+Group!I11</f>
        <v>19630.294547918042</v>
      </c>
    </row>
    <row r="12" spans="2:16" x14ac:dyDescent="0.25">
      <c r="B12" s="13">
        <v>2021</v>
      </c>
      <c r="C12" s="7">
        <f>Individual!C12+Group!C12</f>
        <v>157623.7822215636</v>
      </c>
      <c r="D12" s="7">
        <f>Individual!D12+Group!D12</f>
        <v>-31524.756444312719</v>
      </c>
      <c r="E12" s="7">
        <f>Individual!E12+Group!E12</f>
        <v>-27568.456023582723</v>
      </c>
      <c r="F12" s="7">
        <f>Individual!F12+Group!F12</f>
        <v>-86693.080221859986</v>
      </c>
      <c r="G12" s="7">
        <f>Individual!G12+Group!G12</f>
        <v>1074.2058856851472</v>
      </c>
      <c r="H12" s="7">
        <f>Individual!H12+Group!H12</f>
        <v>4551.9364169293312</v>
      </c>
      <c r="I12" s="7">
        <f>Individual!I12+Group!I12</f>
        <v>17463.631834422646</v>
      </c>
    </row>
    <row r="13" spans="2:16" x14ac:dyDescent="0.25">
      <c r="B13" s="13">
        <v>2022</v>
      </c>
      <c r="C13" s="7">
        <f>Individual!C13+Group!C13</f>
        <v>152252.75279313786</v>
      </c>
      <c r="D13" s="7">
        <f>Individual!D13+Group!D13</f>
        <v>-30450.550558627572</v>
      </c>
      <c r="E13" s="7">
        <f>Individual!E13+Group!E13</f>
        <v>-28119.825144054379</v>
      </c>
      <c r="F13" s="7">
        <f>Individual!F13+Group!F13</f>
        <v>-83739.014036225824</v>
      </c>
      <c r="G13" s="7">
        <f>Individual!G13+Group!G13</f>
        <v>1043.9207974833262</v>
      </c>
      <c r="H13" s="7">
        <f>Individual!H13+Group!H13</f>
        <v>4344.6524677179223</v>
      </c>
      <c r="I13" s="7">
        <f>Individual!I13+Group!I13</f>
        <v>15331.93631943133</v>
      </c>
    </row>
    <row r="14" spans="2:16" x14ac:dyDescent="0.25">
      <c r="B14" s="13">
        <v>2023</v>
      </c>
      <c r="C14" s="7">
        <f>Individual!C14+Group!C14</f>
        <v>147033.14880572123</v>
      </c>
      <c r="D14" s="7">
        <f>Individual!D14+Group!D14</f>
        <v>-29406.629761144246</v>
      </c>
      <c r="E14" s="7">
        <f>Individual!E14+Group!E14</f>
        <v>-28682.221646935468</v>
      </c>
      <c r="F14" s="7">
        <f>Individual!F14+Group!F14</f>
        <v>-80868.231843146685</v>
      </c>
      <c r="G14" s="7">
        <f>Individual!G14+Group!G14</f>
        <v>1014.8446334014916</v>
      </c>
      <c r="H14" s="7">
        <f>Individual!H14+Group!H14</f>
        <v>4142.2824505575018</v>
      </c>
      <c r="I14" s="7">
        <f>Individual!I14+Group!I14</f>
        <v>13233.192638453831</v>
      </c>
    </row>
    <row r="15" spans="2:16" x14ac:dyDescent="0.25">
      <c r="B15" s="13">
        <v>2024</v>
      </c>
      <c r="C15" s="7">
        <f>Individual!C15+Group!C15</f>
        <v>141958.92563871376</v>
      </c>
      <c r="D15" s="7">
        <f>Individual!D15+Group!D15</f>
        <v>-28391.785127742754</v>
      </c>
      <c r="E15" s="7">
        <f>Individual!E15+Group!E15</f>
        <v>-29255.866079874177</v>
      </c>
      <c r="F15" s="7">
        <f>Individual!F15+Group!F15</f>
        <v>-78077.409101292578</v>
      </c>
      <c r="G15" s="7">
        <f>Individual!G15+Group!G15</f>
        <v>986.95003810515846</v>
      </c>
      <c r="H15" s="7">
        <f>Individual!H15+Group!H15</f>
        <v>3944.6070845593858</v>
      </c>
      <c r="I15" s="7">
        <f>Individual!I15+Group!I15</f>
        <v>11165.422452468792</v>
      </c>
    </row>
    <row r="16" spans="2:16" x14ac:dyDescent="0.25">
      <c r="B16" s="13">
        <v>2025</v>
      </c>
      <c r="C16" s="7">
        <f>Individual!C16+Group!C16</f>
        <v>137024.17544818798</v>
      </c>
      <c r="D16" s="7">
        <f>Individual!D16+Group!D16</f>
        <v>-27404.835089637596</v>
      </c>
      <c r="E16" s="7">
        <f>Individual!E16+Group!E16</f>
        <v>-29840.983401471662</v>
      </c>
      <c r="F16" s="7">
        <f>Individual!F16+Group!F16</f>
        <v>-75363.29649650339</v>
      </c>
      <c r="G16" s="7">
        <f>Individual!G16+Group!G16</f>
        <v>960.21057538572131</v>
      </c>
      <c r="H16" s="7">
        <f>Individual!H16+Group!H16</f>
        <v>3751.4117216350714</v>
      </c>
      <c r="I16" s="7">
        <f>Individual!I16+Group!I16</f>
        <v>9126.6827575961252</v>
      </c>
    </row>
    <row r="17" spans="2:9" x14ac:dyDescent="0.25">
      <c r="B17" s="13">
        <v>2026</v>
      </c>
      <c r="C17" s="7">
        <f>Individual!C17+Group!C17</f>
        <v>132223.12257125936</v>
      </c>
      <c r="D17" s="7">
        <f>Individual!D17+Group!D17</f>
        <v>-26444.624514251875</v>
      </c>
      <c r="E17" s="7">
        <f>Individual!E17+Group!E17</f>
        <v>-30437.803069501097</v>
      </c>
      <c r="F17" s="7">
        <f>Individual!F17+Group!F17</f>
        <v>-72722.717414192652</v>
      </c>
      <c r="G17" s="7">
        <f>Individual!G17+Group!G17</f>
        <v>934.60059193049165</v>
      </c>
      <c r="H17" s="7">
        <f>Individual!H17+Group!H17</f>
        <v>3562.4861825615394</v>
      </c>
      <c r="I17" s="7">
        <f>Individual!I17+Group!I17</f>
        <v>7115.0643478057664</v>
      </c>
    </row>
    <row r="18" spans="2:9" x14ac:dyDescent="0.25">
      <c r="B18" s="13">
        <v>2027</v>
      </c>
      <c r="C18" s="7">
        <f>Individual!C18+Group!C18</f>
        <v>127550.1196116069</v>
      </c>
      <c r="D18" s="7">
        <f>Individual!D18+Group!D18</f>
        <v>-25510.023922321383</v>
      </c>
      <c r="E18" s="7">
        <f>Individual!E18+Group!E18</f>
        <v>-31046.559130891121</v>
      </c>
      <c r="F18" s="7">
        <f>Individual!F18+Group!F18</f>
        <v>-70152.565786383799</v>
      </c>
      <c r="G18" s="7">
        <f>Individual!G18+Group!G18</f>
        <v>910.09506215779766</v>
      </c>
      <c r="H18" s="7">
        <f>Individual!H18+Group!H18</f>
        <v>3377.6246168250527</v>
      </c>
      <c r="I18" s="7">
        <f>Individual!I18+Group!I18</f>
        <v>5128.6904509934448</v>
      </c>
    </row>
    <row r="19" spans="2:9" x14ac:dyDescent="0.25">
      <c r="B19" s="13">
        <v>2028</v>
      </c>
      <c r="C19" s="7">
        <f>Individual!C19+Group!C19</f>
        <v>122999.64430081792</v>
      </c>
      <c r="D19" s="7">
        <f>Individual!D19+Group!D19</f>
        <v>-24599.928860163585</v>
      </c>
      <c r="E19" s="7">
        <f>Individual!E19+Group!E19</f>
        <v>-31667.490313508944</v>
      </c>
      <c r="F19" s="7">
        <f>Individual!F19+Group!F19</f>
        <v>-67649.804365449862</v>
      </c>
      <c r="G19" s="7">
        <f>Individual!G19+Group!G19</f>
        <v>886.66941107454113</v>
      </c>
      <c r="H19" s="7">
        <f>Individual!H19+Group!H19</f>
        <v>3196.6253895558152</v>
      </c>
      <c r="I19" s="7">
        <f>Individual!I19+Group!I19</f>
        <v>3165.7155623258955</v>
      </c>
    </row>
    <row r="20" spans="2:9" x14ac:dyDescent="0.25">
      <c r="B20" s="13">
        <v>2029</v>
      </c>
      <c r="C20" s="7">
        <f>Individual!C20+Group!C20</f>
        <v>118566.29724544521</v>
      </c>
      <c r="D20" s="7">
        <f>Individual!D20+Group!D20</f>
        <v>-23713.259449089044</v>
      </c>
      <c r="E20" s="7">
        <f>Individual!E20+Group!E20</f>
        <v>-32300.840119779125</v>
      </c>
      <c r="F20" s="7">
        <f>Individual!F20+Group!F20</f>
        <v>-65211.463484994871</v>
      </c>
      <c r="G20" s="7">
        <f>Individual!G20+Group!G20</f>
        <v>864.29931178710831</v>
      </c>
      <c r="H20" s="7">
        <f>Individual!H20+Group!H20</f>
        <v>3019.2909993983135</v>
      </c>
      <c r="I20" s="7">
        <f>Individual!I20+Group!I20</f>
        <v>1224.3245027675889</v>
      </c>
    </row>
    <row r="21" spans="2:9" x14ac:dyDescent="0.25">
      <c r="B21" s="13">
        <v>2030</v>
      </c>
      <c r="C21" s="7">
        <f>Individual!C21+Group!C21</f>
        <v>114244.80068650967</v>
      </c>
      <c r="D21" s="7">
        <f>Individual!D21+Group!D21</f>
        <v>-22848.960137301936</v>
      </c>
      <c r="E21" s="7">
        <f>Individual!E21+Group!E21</f>
        <v>-32946.856922174709</v>
      </c>
      <c r="F21" s="7">
        <f>Individual!F21+Group!F21</f>
        <v>-62834.640377580319</v>
      </c>
      <c r="G21" s="7">
        <f>Individual!G21+Group!G21</f>
        <v>842.96045396881527</v>
      </c>
      <c r="H21" s="7">
        <f>Individual!H21+Group!H21</f>
        <v>2845.4280317517237</v>
      </c>
      <c r="I21" s="7">
        <f>Individual!I21+Group!I21</f>
        <v>-697.26826482676051</v>
      </c>
    </row>
    <row r="22" spans="2:9" x14ac:dyDescent="0.25">
      <c r="B22" s="13">
        <v>2031</v>
      </c>
      <c r="C22" s="7">
        <f>Individual!C22+Group!C22</f>
        <v>110029.99841666559</v>
      </c>
      <c r="D22" s="7">
        <f>Individual!D22+Group!D22</f>
        <v>-22005.999683333121</v>
      </c>
      <c r="E22" s="7">
        <f>Individual!E22+Group!E22</f>
        <v>-33605.794060618202</v>
      </c>
      <c r="F22" s="7">
        <f>Individual!F22+Group!F22</f>
        <v>-60516.499129166077</v>
      </c>
      <c r="G22" s="7">
        <f>Individual!G22+Group!G22</f>
        <v>822.62827927025137</v>
      </c>
      <c r="H22" s="7">
        <f>Individual!H22+Group!H22</f>
        <v>2674.8471524616589</v>
      </c>
      <c r="I22" s="7">
        <f>Individual!I22+Group!I22</f>
        <v>-2600.8190247199009</v>
      </c>
    </row>
    <row r="23" spans="2:9" x14ac:dyDescent="0.25">
      <c r="B23" s="13">
        <v>2032</v>
      </c>
      <c r="C23" s="7">
        <f>Individual!C23+Group!C23</f>
        <v>105916.85702031435</v>
      </c>
      <c r="D23" s="7">
        <f>Individual!D23+Group!D23</f>
        <v>-21183.371404062869</v>
      </c>
      <c r="E23" s="7">
        <f>Individual!E23+Group!E23</f>
        <v>-34277.909941830563</v>
      </c>
      <c r="F23" s="7">
        <f>Individual!F23+Group!F23</f>
        <v>-58254.271361172898</v>
      </c>
      <c r="G23" s="7">
        <f>Individual!G23+Group!G23</f>
        <v>803.27767937170211</v>
      </c>
      <c r="H23" s="7">
        <f>Individual!H23+Group!H23</f>
        <v>2507.363147746933</v>
      </c>
      <c r="I23" s="7">
        <f>Individual!I23+Group!I23</f>
        <v>-4488.0548596333483</v>
      </c>
    </row>
    <row r="24" spans="2:9" x14ac:dyDescent="0.25">
      <c r="B24" s="13">
        <v>2033</v>
      </c>
      <c r="C24" s="7">
        <f>Individual!C24+Group!C24</f>
        <v>101900.46862345583</v>
      </c>
      <c r="D24" s="7">
        <f>Individual!D24+Group!D24</f>
        <v>-20380.093724691167</v>
      </c>
      <c r="E24" s="7">
        <f>Individual!E24+Group!E24</f>
        <v>-34963.468140667173</v>
      </c>
      <c r="F24" s="7">
        <f>Individual!F24+Group!F24</f>
        <v>-56045.257742900714</v>
      </c>
      <c r="G24" s="7">
        <f>Individual!G24+Group!G24</f>
        <v>784.88265214622515</v>
      </c>
      <c r="H24" s="7">
        <f>Individual!H24+Group!H24</f>
        <v>2342.7950168976031</v>
      </c>
      <c r="I24" s="7">
        <f>Individual!I24+Group!I24</f>
        <v>-6360.6733157593908</v>
      </c>
    </row>
    <row r="25" spans="2:9" x14ac:dyDescent="0.25">
      <c r="B25" s="13">
        <v>2034</v>
      </c>
      <c r="C25" s="7">
        <f>Individual!C25+Group!C25</f>
        <v>97976.055362724714</v>
      </c>
      <c r="D25" s="7">
        <f>Individual!D25+Group!D25</f>
        <v>-19595.211072544942</v>
      </c>
      <c r="E25" s="7">
        <f>Individual!E25+Group!E25</f>
        <v>-35662.737503480515</v>
      </c>
      <c r="F25" s="7">
        <f>Individual!F25+Group!F25</f>
        <v>-53886.830449498593</v>
      </c>
      <c r="G25" s="7">
        <f>Individual!G25+Group!G25</f>
        <v>767.41591126004641</v>
      </c>
      <c r="H25" s="7">
        <f>Individual!H25+Group!H25</f>
        <v>2180.9661250735471</v>
      </c>
      <c r="I25" s="7">
        <f>Individual!I25+Group!I25</f>
        <v>-8220.3416264657462</v>
      </c>
    </row>
    <row r="26" spans="2:9" x14ac:dyDescent="0.25">
      <c r="B26" s="13">
        <v>2035</v>
      </c>
      <c r="C26" s="7">
        <f>Individual!C26+Group!C26</f>
        <v>94138.975806424467</v>
      </c>
      <c r="D26" s="7">
        <f>Individual!D26+Group!D26</f>
        <v>-18827.795161284896</v>
      </c>
      <c r="E26" s="7">
        <f>Individual!E26+Group!E26</f>
        <v>-36375.992253550125</v>
      </c>
      <c r="F26" s="7">
        <f>Individual!F26+Group!F26</f>
        <v>-51776.436693533462</v>
      </c>
      <c r="G26" s="7">
        <f>Individual!G26+Group!G26</f>
        <v>750.84844453193364</v>
      </c>
      <c r="H26" s="7">
        <f>Individual!H26+Group!H26</f>
        <v>2021.7044243506023</v>
      </c>
      <c r="I26" s="7">
        <f>Individual!I26+Group!I26</f>
        <v>-10068.695433061483</v>
      </c>
    </row>
    <row r="27" spans="2:9" x14ac:dyDescent="0.25">
      <c r="B27" s="13">
        <v>2036</v>
      </c>
      <c r="C27" s="7">
        <f>Individual!C27+Group!C27</f>
        <v>90384.733583764813</v>
      </c>
      <c r="D27" s="7">
        <f>Individual!D27+Group!D27</f>
        <v>-18076.946716752962</v>
      </c>
      <c r="E27" s="7">
        <f>Individual!E27+Group!E27</f>
        <v>-37103.512098621126</v>
      </c>
      <c r="F27" s="7">
        <f>Individual!F27+Group!F27</f>
        <v>-49711.603471070652</v>
      </c>
      <c r="G27" s="7">
        <f>Individual!G27+Group!G27</f>
        <v>735.14901656034635</v>
      </c>
      <c r="H27" s="7">
        <f>Individual!H27+Group!H27</f>
        <v>1864.8427519800293</v>
      </c>
      <c r="I27" s="7">
        <f>Individual!I27+Group!I27</f>
        <v>-11907.336934139554</v>
      </c>
    </row>
    <row r="28" spans="2:9" x14ac:dyDescent="0.25">
      <c r="B28" s="13">
        <v>2037</v>
      </c>
      <c r="C28" s="7">
        <f>Individual!C28+Group!C28</f>
        <v>86708.988500963067</v>
      </c>
      <c r="D28" s="7">
        <f>Individual!D28+Group!D28</f>
        <v>-17341.797700192616</v>
      </c>
      <c r="E28" s="7">
        <f>Individual!E28+Group!E28</f>
        <v>-37845.582340593552</v>
      </c>
      <c r="F28" s="7">
        <f>Individual!F28+Group!F28</f>
        <v>-47689.943675529692</v>
      </c>
      <c r="G28" s="7">
        <f>Individual!G28+Group!G28</f>
        <v>720.28361158412008</v>
      </c>
      <c r="H28" s="7">
        <f>Individual!H28+Group!H28</f>
        <v>1710.2192156129331</v>
      </c>
      <c r="I28" s="7">
        <f>Individual!I28+Group!I28</f>
        <v>-13737.832388155743</v>
      </c>
    </row>
    <row r="29" spans="2:9" x14ac:dyDescent="0.25">
      <c r="B29" s="13">
        <v>2038</v>
      </c>
      <c r="C29" s="7">
        <f>Individual!C29+Group!C29</f>
        <v>83107.570443042467</v>
      </c>
      <c r="D29" s="7">
        <f>Individual!D29+Group!D29</f>
        <v>-16621.514088608496</v>
      </c>
      <c r="E29" s="7">
        <f>Individual!E29+Group!E29</f>
        <v>-38602.493987405425</v>
      </c>
      <c r="F29" s="7">
        <f>Individual!F29+Group!F29</f>
        <v>-45709.163743673358</v>
      </c>
      <c r="G29" s="7">
        <f>Individual!G29+Group!G29</f>
        <v>706.21481335994758</v>
      </c>
      <c r="H29" s="7">
        <f>Individual!H29+Group!H29</f>
        <v>1557.6776759472966</v>
      </c>
      <c r="I29" s="7">
        <f>Individual!I29+Group!I29</f>
        <v>-15561.708887337572</v>
      </c>
    </row>
    <row r="30" spans="2:9" x14ac:dyDescent="0.25">
      <c r="B30" s="13">
        <v>2039</v>
      </c>
      <c r="C30" s="7">
        <f>Individual!C30+Group!C30</f>
        <v>79576.496376242736</v>
      </c>
      <c r="D30" s="7">
        <f>Individual!D30+Group!D30</f>
        <v>-15915.299275248548</v>
      </c>
      <c r="E30" s="7">
        <f>Individual!E30+Group!E30</f>
        <v>-39374.543867153538</v>
      </c>
      <c r="F30" s="7">
        <f>Individual!F30+Group!F30</f>
        <v>-43767.073006933511</v>
      </c>
      <c r="G30" s="7">
        <f>Individual!G30+Group!G30</f>
        <v>692.90112013590624</v>
      </c>
      <c r="H30" s="7">
        <f>Individual!H30+Group!H30</f>
        <v>1407.068337818122</v>
      </c>
      <c r="I30" s="7">
        <f>Individual!I30+Group!I30</f>
        <v>-17380.450315138827</v>
      </c>
    </row>
    <row r="31" spans="2:9" x14ac:dyDescent="0.25">
      <c r="B31" s="13">
        <v>2040</v>
      </c>
      <c r="C31" s="7">
        <f>Individual!C31+Group!C31</f>
        <v>76111.990775563201</v>
      </c>
      <c r="D31" s="7">
        <f>Individual!D31+Group!D31</f>
        <v>-15222.398155112642</v>
      </c>
      <c r="E31" s="7">
        <f>Individual!E31+Group!E31</f>
        <v>-40162.03474449661</v>
      </c>
      <c r="F31" s="7">
        <f>Individual!F31+Group!F31</f>
        <v>-41861.594926559766</v>
      </c>
      <c r="G31" s="7">
        <f>Individual!G31+Group!G31</f>
        <v>680.29619471321348</v>
      </c>
      <c r="H31" s="7">
        <f>Individual!H31+Group!H31</f>
        <v>1258.2484610873307</v>
      </c>
      <c r="I31" s="7">
        <f>Individual!I31+Group!I31</f>
        <v>-19195.492394805275</v>
      </c>
    </row>
    <row r="32" spans="2:9" x14ac:dyDescent="0.25">
      <c r="B32" s="13">
        <v>2041</v>
      </c>
      <c r="C32" s="7">
        <f>Individual!C32+Group!C32</f>
        <v>72710.509801997134</v>
      </c>
      <c r="D32" s="7">
        <f>Individual!D32+Group!D32</f>
        <v>-14542.101960399428</v>
      </c>
      <c r="E32" s="7">
        <f>Individual!E32+Group!E32</f>
        <v>-40965.27543938654</v>
      </c>
      <c r="F32" s="7">
        <f>Individual!F32+Group!F32</f>
        <v>-39990.780391098429</v>
      </c>
      <c r="G32" s="7">
        <f>Individual!G32+Group!G32</f>
        <v>668.34805228652112</v>
      </c>
      <c r="H32" s="7">
        <f>Individual!H32+Group!H32</f>
        <v>1111.0832026913708</v>
      </c>
      <c r="I32" s="7">
        <f>Individual!I32+Group!I32</f>
        <v>-21008.216733909372</v>
      </c>
    </row>
    <row r="33" spans="2:9" x14ac:dyDescent="0.25">
      <c r="B33" s="13">
        <v>2042</v>
      </c>
      <c r="C33" s="7">
        <f>Individual!C33+Group!C33</f>
        <v>69368.769540564535</v>
      </c>
      <c r="D33" s="7">
        <f>Individual!D33+Group!D33</f>
        <v>-13873.753908112907</v>
      </c>
      <c r="E33" s="7">
        <f>Individual!E33+Group!E33</f>
        <v>-41784.580948174269</v>
      </c>
      <c r="F33" s="7">
        <f>Individual!F33+Group!F33</f>
        <v>-38152.823247310494</v>
      </c>
      <c r="G33" s="7">
        <f>Individual!G33+Group!G33</f>
        <v>656.99819243114325</v>
      </c>
      <c r="H33" s="7">
        <f>Individual!H33+Group!H33</f>
        <v>965.44660073365947</v>
      </c>
      <c r="I33" s="7">
        <f>Individual!I33+Group!I33</f>
        <v>-22819.943769868332</v>
      </c>
    </row>
    <row r="34" spans="2:9" x14ac:dyDescent="0.25">
      <c r="B34" s="13">
        <v>2043</v>
      </c>
      <c r="C34" s="7">
        <f>Individual!C34+Group!C34</f>
        <v>66083.778578408819</v>
      </c>
      <c r="D34" s="7">
        <f>Individual!D34+Group!D34</f>
        <v>-13216.755715681764</v>
      </c>
      <c r="E34" s="7">
        <f>Individual!E34+Group!E34</f>
        <v>-42620.272567137756</v>
      </c>
      <c r="F34" s="7">
        <f>Individual!F34+Group!F34</f>
        <v>-36346.078218124851</v>
      </c>
      <c r="G34" s="7">
        <f>Individual!G34+Group!G34</f>
        <v>646.18068648483131</v>
      </c>
      <c r="H34" s="7">
        <f>Individual!H34+Group!H34</f>
        <v>821.22271039448731</v>
      </c>
      <c r="I34" s="7">
        <f>Individual!I34+Group!I34</f>
        <v>-24631.924525656232</v>
      </c>
    </row>
    <row r="35" spans="2:9" x14ac:dyDescent="0.25">
      <c r="B35" s="13">
        <v>2044</v>
      </c>
      <c r="C35" s="7">
        <f>Individual!C35+Group!C35</f>
        <v>62852.875145984661</v>
      </c>
      <c r="D35" s="7">
        <f>Individual!D35+Group!D35</f>
        <v>-12570.575029196933</v>
      </c>
      <c r="E35" s="7">
        <f>Individual!E35+Group!E35</f>
        <v>-43472.67801848051</v>
      </c>
      <c r="F35" s="7">
        <f>Individual!F35+Group!F35</f>
        <v>-34569.081330291563</v>
      </c>
      <c r="G35" s="7">
        <f>Individual!G35+Group!G35</f>
        <v>12570.575029196933</v>
      </c>
      <c r="H35" s="7">
        <f>Individual!H35+Group!H35</f>
        <v>678.30689946264533</v>
      </c>
      <c r="I35" s="7">
        <f>Individual!I35+Group!I35</f>
        <v>-14510.577303324766</v>
      </c>
    </row>
    <row r="37" spans="2:9" x14ac:dyDescent="0.25">
      <c r="B37" s="13" t="s">
        <v>21</v>
      </c>
      <c r="C37" s="49">
        <f>NPV(Assumptions!$D$15,C4:C35)*(1+Assumptions!$D$15)</f>
        <v>1678161.9221562054</v>
      </c>
      <c r="D37" s="49">
        <f>NPV(Assumptions!$D$15,D4:D35)*(1+Assumptions!$D$15)</f>
        <v>-285853.82698743197</v>
      </c>
      <c r="E37" s="49">
        <f>NPV(Assumptions!$D$15,E4:E35)*(1+Assumptions!$D$15)</f>
        <v>-267351.51713934995</v>
      </c>
      <c r="F37" s="49">
        <f>NPV(Assumptions!$D$15,F5:F35)</f>
        <v>-891141.92289587739</v>
      </c>
      <c r="G37" s="49">
        <f>NPV(Assumptions!$D$15,G4:G35)</f>
        <v>45808.214364273597</v>
      </c>
      <c r="H37" s="49">
        <f>NPV(Assumptions!$D$15,H4:H35)</f>
        <v>46203.114716997006</v>
      </c>
      <c r="I37" s="50">
        <f>SUM(C37:H37)</f>
        <v>325825.98421481671</v>
      </c>
    </row>
    <row r="44" spans="2:9" x14ac:dyDescent="0.25">
      <c r="C44" s="17"/>
    </row>
  </sheetData>
  <mergeCells count="1">
    <mergeCell ref="C1:I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Individual</vt:lpstr>
      <vt:lpstr>Group</vt:lpstr>
      <vt:lpstr>Combined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Andrew</dc:creator>
  <cp:lastModifiedBy>Zhu, Vincent</cp:lastModifiedBy>
  <dcterms:created xsi:type="dcterms:W3CDTF">2014-02-17T11:25:21Z</dcterms:created>
  <dcterms:modified xsi:type="dcterms:W3CDTF">2020-03-20T14:17:31Z</dcterms:modified>
</cp:coreProperties>
</file>