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zhu\Documents\GitHub\my_file\C2B\2019 S2\"/>
    </mc:Choice>
  </mc:AlternateContent>
  <bookViews>
    <workbookView xWindow="28680" yWindow="-120" windowWidth="29040" windowHeight="15840" tabRatio="800" activeTab="4"/>
  </bookViews>
  <sheets>
    <sheet name="Key Information" sheetId="2" r:id="rId1"/>
    <sheet name="Embedded Value 31 Dec 2019" sheetId="1" r:id="rId2"/>
    <sheet name="Embedded Value Withdraw" sheetId="8" r:id="rId3"/>
    <sheet name="Embedded Value Withdraw &amp; inv" sheetId="9" r:id="rId4"/>
    <sheet name="Analysis of Movement 2020" sheetId="7" r:id="rId5"/>
  </sheets>
  <definedNames>
    <definedName name="OLE_LINK1" localSheetId="0">'Key Information'!$B$15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9" l="1"/>
  <c r="L19" i="9"/>
  <c r="D22" i="9"/>
  <c r="D21" i="9"/>
  <c r="D20" i="9"/>
  <c r="D19" i="9"/>
  <c r="D18" i="9"/>
  <c r="D18" i="8"/>
  <c r="D8" i="1"/>
  <c r="D22" i="1"/>
  <c r="D21" i="1"/>
  <c r="Q37" i="9"/>
  <c r="O37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I17" i="9"/>
  <c r="Q37" i="8"/>
  <c r="O37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K17" i="8"/>
  <c r="H18" i="8" s="1"/>
  <c r="I17" i="8"/>
  <c r="F14" i="7"/>
  <c r="C14" i="7"/>
  <c r="D11" i="7"/>
  <c r="C11" i="7"/>
  <c r="C10" i="7"/>
  <c r="F10" i="7" s="1"/>
  <c r="F11" i="7"/>
  <c r="O37" i="1"/>
  <c r="L18" i="1"/>
  <c r="Q37" i="1"/>
  <c r="J17" i="9" l="1"/>
  <c r="K17" i="9"/>
  <c r="J17" i="8"/>
  <c r="C8" i="8" s="1"/>
  <c r="E18" i="9" l="1"/>
  <c r="F18" i="9" s="1"/>
  <c r="H18" i="9"/>
  <c r="C8" i="9"/>
  <c r="E18" i="8"/>
  <c r="F18" i="8" s="1"/>
  <c r="I18" i="9" l="1"/>
  <c r="I18" i="8"/>
  <c r="D19" i="8" s="1"/>
  <c r="J18" i="9" l="1"/>
  <c r="L18" i="9" s="1"/>
  <c r="N18" i="9" s="1"/>
  <c r="K18" i="9"/>
  <c r="E19" i="8"/>
  <c r="J18" i="8"/>
  <c r="L18" i="8" s="1"/>
  <c r="N18" i="8" s="1"/>
  <c r="K18" i="8"/>
  <c r="E19" i="9" l="1"/>
  <c r="H19" i="9"/>
  <c r="M18" i="9"/>
  <c r="F19" i="9"/>
  <c r="H19" i="8"/>
  <c r="M18" i="8"/>
  <c r="F19" i="8"/>
  <c r="I19" i="8" s="1"/>
  <c r="D20" i="8" s="1"/>
  <c r="P18" i="9" l="1"/>
  <c r="D8" i="9" s="1"/>
  <c r="C19" i="7" s="1"/>
  <c r="I19" i="9"/>
  <c r="K19" i="8"/>
  <c r="J19" i="8"/>
  <c r="L19" i="8" s="1"/>
  <c r="N19" i="8" s="1"/>
  <c r="P18" i="8"/>
  <c r="D8" i="8" s="1"/>
  <c r="C18" i="7" l="1"/>
  <c r="K19" i="9"/>
  <c r="J19" i="9"/>
  <c r="N19" i="9" s="1"/>
  <c r="E20" i="8"/>
  <c r="H20" i="8"/>
  <c r="M19" i="8"/>
  <c r="P19" i="8" s="1"/>
  <c r="E20" i="9" l="1"/>
  <c r="F20" i="9" s="1"/>
  <c r="H20" i="9"/>
  <c r="M19" i="9"/>
  <c r="P19" i="9" s="1"/>
  <c r="F20" i="8"/>
  <c r="I20" i="8" s="1"/>
  <c r="I20" i="9" l="1"/>
  <c r="D21" i="8"/>
  <c r="J20" i="8"/>
  <c r="L20" i="8" s="1"/>
  <c r="N20" i="8" s="1"/>
  <c r="K20" i="8"/>
  <c r="E21" i="8" l="1"/>
  <c r="F21" i="8" s="1"/>
  <c r="K20" i="9"/>
  <c r="J20" i="9"/>
  <c r="N20" i="9" s="1"/>
  <c r="H21" i="8"/>
  <c r="M20" i="8"/>
  <c r="P20" i="8" s="1"/>
  <c r="I21" i="8" l="1"/>
  <c r="H21" i="9"/>
  <c r="M20" i="9"/>
  <c r="P20" i="9" s="1"/>
  <c r="E21" i="9"/>
  <c r="K21" i="8" l="1"/>
  <c r="D22" i="8"/>
  <c r="E22" i="8" s="1"/>
  <c r="F22" i="8" s="1"/>
  <c r="I22" i="8" s="1"/>
  <c r="D23" i="8" s="1"/>
  <c r="J21" i="8"/>
  <c r="L21" i="8" s="1"/>
  <c r="N21" i="8" s="1"/>
  <c r="F21" i="9"/>
  <c r="I21" i="9" s="1"/>
  <c r="K22" i="8" l="1"/>
  <c r="J22" i="8"/>
  <c r="L22" i="8" s="1"/>
  <c r="N22" i="8" s="1"/>
  <c r="E23" i="8"/>
  <c r="M21" i="8"/>
  <c r="P21" i="8" s="1"/>
  <c r="H22" i="8"/>
  <c r="K21" i="9"/>
  <c r="J21" i="9"/>
  <c r="L21" i="9" s="1"/>
  <c r="N21" i="9" s="1"/>
  <c r="H23" i="8"/>
  <c r="M22" i="8"/>
  <c r="P22" i="8" l="1"/>
  <c r="F23" i="8"/>
  <c r="I23" i="8" s="1"/>
  <c r="H22" i="9"/>
  <c r="M21" i="9"/>
  <c r="P21" i="9" s="1"/>
  <c r="E22" i="9"/>
  <c r="J23" i="8" l="1"/>
  <c r="L23" i="8" s="1"/>
  <c r="N23" i="8" s="1"/>
  <c r="K23" i="8"/>
  <c r="D24" i="8"/>
  <c r="E24" i="8" s="1"/>
  <c r="F24" i="8" s="1"/>
  <c r="I24" i="8" s="1"/>
  <c r="D25" i="8" s="1"/>
  <c r="E25" i="8" s="1"/>
  <c r="F22" i="9"/>
  <c r="I22" i="9" s="1"/>
  <c r="D23" i="9" s="1"/>
  <c r="J24" i="8" l="1"/>
  <c r="L24" i="8" s="1"/>
  <c r="N24" i="8" s="1"/>
  <c r="M23" i="8"/>
  <c r="P23" i="8" s="1"/>
  <c r="H24" i="8"/>
  <c r="K24" i="8"/>
  <c r="M24" i="8" s="1"/>
  <c r="P24" i="8" s="1"/>
  <c r="K22" i="9"/>
  <c r="J22" i="9"/>
  <c r="L22" i="9" s="1"/>
  <c r="N22" i="9" s="1"/>
  <c r="F25" i="8"/>
  <c r="I25" i="8" s="1"/>
  <c r="H25" i="8" l="1"/>
  <c r="H23" i="9"/>
  <c r="M22" i="9"/>
  <c r="P22" i="9" s="1"/>
  <c r="E23" i="9"/>
  <c r="K25" i="8"/>
  <c r="J25" i="8"/>
  <c r="L25" i="8" s="1"/>
  <c r="N25" i="8" s="1"/>
  <c r="D26" i="8"/>
  <c r="F23" i="9" l="1"/>
  <c r="I23" i="9" s="1"/>
  <c r="D24" i="9" s="1"/>
  <c r="E26" i="8"/>
  <c r="F26" i="8" s="1"/>
  <c r="H26" i="8"/>
  <c r="M25" i="8"/>
  <c r="P25" i="8" s="1"/>
  <c r="K23" i="9" l="1"/>
  <c r="J23" i="9"/>
  <c r="L23" i="9" s="1"/>
  <c r="N23" i="9" s="1"/>
  <c r="I26" i="8"/>
  <c r="E24" i="9" l="1"/>
  <c r="F24" i="9" s="1"/>
  <c r="H24" i="9"/>
  <c r="M23" i="9"/>
  <c r="P23" i="9" s="1"/>
  <c r="K26" i="8"/>
  <c r="D27" i="8"/>
  <c r="J26" i="8"/>
  <c r="L26" i="8" s="1"/>
  <c r="N26" i="8" s="1"/>
  <c r="I24" i="9" l="1"/>
  <c r="J24" i="9"/>
  <c r="L24" i="9" s="1"/>
  <c r="N24" i="9" s="1"/>
  <c r="H27" i="8"/>
  <c r="M26" i="8"/>
  <c r="P26" i="8" s="1"/>
  <c r="E27" i="8"/>
  <c r="K24" i="9" l="1"/>
  <c r="D25" i="9"/>
  <c r="E25" i="9" s="1"/>
  <c r="F25" i="9"/>
  <c r="I25" i="9" s="1"/>
  <c r="D26" i="9" s="1"/>
  <c r="H25" i="9"/>
  <c r="M24" i="9"/>
  <c r="P24" i="9" s="1"/>
  <c r="F27" i="8"/>
  <c r="I27" i="8" s="1"/>
  <c r="E26" i="9" l="1"/>
  <c r="K25" i="9"/>
  <c r="M25" i="9" s="1"/>
  <c r="J25" i="9"/>
  <c r="L25" i="9" s="1"/>
  <c r="N25" i="9" s="1"/>
  <c r="K27" i="8"/>
  <c r="J27" i="8"/>
  <c r="L27" i="8" s="1"/>
  <c r="N27" i="8" s="1"/>
  <c r="D28" i="8"/>
  <c r="P25" i="9" l="1"/>
  <c r="H26" i="9"/>
  <c r="F26" i="9"/>
  <c r="I26" i="9" s="1"/>
  <c r="D27" i="9" s="1"/>
  <c r="E28" i="8"/>
  <c r="F28" i="8" s="1"/>
  <c r="H28" i="8"/>
  <c r="M27" i="8"/>
  <c r="P27" i="8" s="1"/>
  <c r="K26" i="9" l="1"/>
  <c r="J26" i="9"/>
  <c r="L26" i="9" s="1"/>
  <c r="N26" i="9" s="1"/>
  <c r="H27" i="9"/>
  <c r="M26" i="9"/>
  <c r="P26" i="9" s="1"/>
  <c r="E27" i="9"/>
  <c r="I28" i="8"/>
  <c r="K28" i="8" s="1"/>
  <c r="J28" i="8" l="1"/>
  <c r="L28" i="8" s="1"/>
  <c r="N28" i="8" s="1"/>
  <c r="D29" i="8"/>
  <c r="E29" i="8" s="1"/>
  <c r="F27" i="9"/>
  <c r="I27" i="9"/>
  <c r="D28" i="9" s="1"/>
  <c r="H29" i="8"/>
  <c r="M28" i="8"/>
  <c r="P28" i="8" s="1"/>
  <c r="F29" i="8" l="1"/>
  <c r="I29" i="8" s="1"/>
  <c r="D30" i="8" s="1"/>
  <c r="K27" i="9"/>
  <c r="J27" i="9"/>
  <c r="L27" i="9" s="1"/>
  <c r="N27" i="9" s="1"/>
  <c r="K29" i="8"/>
  <c r="J29" i="8"/>
  <c r="L29" i="8" s="1"/>
  <c r="N29" i="8" s="1"/>
  <c r="E28" i="9" l="1"/>
  <c r="F28" i="9" s="1"/>
  <c r="I28" i="9" s="1"/>
  <c r="D29" i="9" s="1"/>
  <c r="H28" i="9"/>
  <c r="M27" i="9"/>
  <c r="P27" i="9" s="1"/>
  <c r="E30" i="8"/>
  <c r="F30" i="8" s="1"/>
  <c r="I30" i="8" s="1"/>
  <c r="H30" i="8"/>
  <c r="M29" i="8"/>
  <c r="P29" i="8" s="1"/>
  <c r="K28" i="9" l="1"/>
  <c r="E29" i="9"/>
  <c r="J28" i="9"/>
  <c r="L28" i="9" s="1"/>
  <c r="N28" i="9" s="1"/>
  <c r="K30" i="8"/>
  <c r="D31" i="8"/>
  <c r="E31" i="8" s="1"/>
  <c r="J30" i="8"/>
  <c r="L30" i="8" s="1"/>
  <c r="N30" i="8" s="1"/>
  <c r="H29" i="9" l="1"/>
  <c r="M28" i="9"/>
  <c r="P28" i="9" s="1"/>
  <c r="F29" i="9"/>
  <c r="I29" i="9" s="1"/>
  <c r="D30" i="9" s="1"/>
  <c r="F31" i="8"/>
  <c r="I31" i="8" s="1"/>
  <c r="H31" i="8"/>
  <c r="M30" i="8"/>
  <c r="P30" i="8" s="1"/>
  <c r="K29" i="9" l="1"/>
  <c r="J29" i="9"/>
  <c r="L29" i="9" s="1"/>
  <c r="N29" i="9" s="1"/>
  <c r="K31" i="8"/>
  <c r="D32" i="8"/>
  <c r="J31" i="8"/>
  <c r="L31" i="8" s="1"/>
  <c r="N31" i="8" s="1"/>
  <c r="E30" i="9" l="1"/>
  <c r="H30" i="9"/>
  <c r="M29" i="9"/>
  <c r="P29" i="9" s="1"/>
  <c r="E32" i="8"/>
  <c r="F32" i="8" s="1"/>
  <c r="I32" i="8" s="1"/>
  <c r="H32" i="8"/>
  <c r="M31" i="8"/>
  <c r="P31" i="8" s="1"/>
  <c r="F30" i="9" l="1"/>
  <c r="I30" i="9" s="1"/>
  <c r="D31" i="9" s="1"/>
  <c r="K32" i="8"/>
  <c r="D33" i="8"/>
  <c r="E33" i="8" s="1"/>
  <c r="J32" i="8"/>
  <c r="L32" i="8" s="1"/>
  <c r="N32" i="8" s="1"/>
  <c r="K30" i="9" l="1"/>
  <c r="J30" i="9"/>
  <c r="L30" i="9" s="1"/>
  <c r="N30" i="9" s="1"/>
  <c r="F33" i="8"/>
  <c r="I33" i="8" s="1"/>
  <c r="H33" i="8"/>
  <c r="M32" i="8"/>
  <c r="P32" i="8" s="1"/>
  <c r="H31" i="9" l="1"/>
  <c r="M30" i="9"/>
  <c r="P30" i="9" s="1"/>
  <c r="E31" i="9"/>
  <c r="K33" i="8"/>
  <c r="D34" i="8"/>
  <c r="J33" i="8"/>
  <c r="L33" i="8" s="1"/>
  <c r="N33" i="8" s="1"/>
  <c r="F31" i="9" l="1"/>
  <c r="I31" i="9" s="1"/>
  <c r="D32" i="9" s="1"/>
  <c r="E34" i="8"/>
  <c r="F34" i="8" s="1"/>
  <c r="H34" i="8"/>
  <c r="M33" i="8"/>
  <c r="P33" i="8" s="1"/>
  <c r="K31" i="9" l="1"/>
  <c r="J31" i="9"/>
  <c r="L31" i="9" s="1"/>
  <c r="N31" i="9" s="1"/>
  <c r="I34" i="8"/>
  <c r="K34" i="8" s="1"/>
  <c r="D35" i="8" l="1"/>
  <c r="E35" i="8" s="1"/>
  <c r="J34" i="8"/>
  <c r="L34" i="8" s="1"/>
  <c r="N34" i="8" s="1"/>
  <c r="E32" i="9"/>
  <c r="F32" i="9" s="1"/>
  <c r="H32" i="9"/>
  <c r="M31" i="9"/>
  <c r="P31" i="9" s="1"/>
  <c r="F35" i="8"/>
  <c r="I35" i="8" s="1"/>
  <c r="H35" i="8"/>
  <c r="M34" i="8"/>
  <c r="P34" i="8" s="1"/>
  <c r="I32" i="9" l="1"/>
  <c r="J32" i="9"/>
  <c r="L32" i="9" s="1"/>
  <c r="N32" i="9" s="1"/>
  <c r="K35" i="8"/>
  <c r="J35" i="8"/>
  <c r="L35" i="8" s="1"/>
  <c r="N35" i="8" s="1"/>
  <c r="D36" i="8"/>
  <c r="K32" i="9" l="1"/>
  <c r="D33" i="9"/>
  <c r="E33" i="9"/>
  <c r="F33" i="9" s="1"/>
  <c r="I33" i="9" s="1"/>
  <c r="D34" i="9" s="1"/>
  <c r="H33" i="9"/>
  <c r="M32" i="9"/>
  <c r="P32" i="9" s="1"/>
  <c r="E36" i="8"/>
  <c r="F36" i="8" s="1"/>
  <c r="H36" i="8"/>
  <c r="M35" i="8"/>
  <c r="P35" i="8" s="1"/>
  <c r="K33" i="9" l="1"/>
  <c r="J33" i="9"/>
  <c r="L33" i="9" s="1"/>
  <c r="N33" i="9" s="1"/>
  <c r="I36" i="8"/>
  <c r="K36" i="8" s="1"/>
  <c r="J36" i="8" l="1"/>
  <c r="L36" i="8" s="1"/>
  <c r="N36" i="8" s="1"/>
  <c r="D37" i="8"/>
  <c r="E37" i="8" s="1"/>
  <c r="E34" i="9"/>
  <c r="F34" i="9" s="1"/>
  <c r="H34" i="9"/>
  <c r="M33" i="9"/>
  <c r="P33" i="9" s="1"/>
  <c r="L13" i="8"/>
  <c r="F37" i="8"/>
  <c r="I37" i="8" s="1"/>
  <c r="H37" i="8"/>
  <c r="M36" i="8"/>
  <c r="P36" i="8" s="1"/>
  <c r="I34" i="9" l="1"/>
  <c r="D35" i="9" s="1"/>
  <c r="K34" i="9"/>
  <c r="J34" i="9"/>
  <c r="L34" i="9" s="1"/>
  <c r="N34" i="9" s="1"/>
  <c r="K37" i="8"/>
  <c r="M37" i="8" s="1"/>
  <c r="J37" i="8"/>
  <c r="L37" i="8" s="1"/>
  <c r="N37" i="8" s="1"/>
  <c r="H35" i="9" l="1"/>
  <c r="M34" i="9"/>
  <c r="P34" i="9" s="1"/>
  <c r="E35" i="9"/>
  <c r="P37" i="8"/>
  <c r="Q36" i="8" s="1"/>
  <c r="O36" i="8"/>
  <c r="O17" i="8"/>
  <c r="C10" i="8" s="1"/>
  <c r="O18" i="8"/>
  <c r="D10" i="8" s="1"/>
  <c r="O20" i="8"/>
  <c r="O19" i="8"/>
  <c r="O22" i="8"/>
  <c r="O21" i="8"/>
  <c r="O23" i="8"/>
  <c r="O24" i="8"/>
  <c r="O25" i="8"/>
  <c r="O26" i="8"/>
  <c r="O27" i="8"/>
  <c r="O28" i="8"/>
  <c r="O29" i="8"/>
  <c r="O30" i="8"/>
  <c r="O35" i="8"/>
  <c r="O32" i="8"/>
  <c r="O33" i="8"/>
  <c r="O31" i="8"/>
  <c r="O34" i="8"/>
  <c r="Q33" i="8" l="1"/>
  <c r="Q27" i="8"/>
  <c r="Q23" i="8"/>
  <c r="Q32" i="8"/>
  <c r="Q20" i="8"/>
  <c r="Q30" i="8"/>
  <c r="Q22" i="8"/>
  <c r="Q25" i="8"/>
  <c r="Q21" i="8"/>
  <c r="Q17" i="8"/>
  <c r="C9" i="8" s="1"/>
  <c r="C11" i="8" s="1"/>
  <c r="Q35" i="8"/>
  <c r="Q26" i="8"/>
  <c r="Q18" i="8"/>
  <c r="D9" i="8" s="1"/>
  <c r="Q31" i="8"/>
  <c r="Q29" i="8"/>
  <c r="Q34" i="8"/>
  <c r="Q28" i="8"/>
  <c r="Q24" i="8"/>
  <c r="Q19" i="8"/>
  <c r="F35" i="9"/>
  <c r="I35" i="9" s="1"/>
  <c r="D36" i="9" s="1"/>
  <c r="D11" i="8" l="1"/>
  <c r="K35" i="9"/>
  <c r="J35" i="9"/>
  <c r="L35" i="9" s="1"/>
  <c r="N35" i="9" s="1"/>
  <c r="E36" i="9" l="1"/>
  <c r="F36" i="9" s="1"/>
  <c r="H36" i="9"/>
  <c r="M35" i="9"/>
  <c r="P35" i="9" s="1"/>
  <c r="I36" i="9" l="1"/>
  <c r="D37" i="9" s="1"/>
  <c r="K36" i="9"/>
  <c r="E37" i="9"/>
  <c r="J36" i="9"/>
  <c r="L36" i="9" s="1"/>
  <c r="N36" i="9" s="1"/>
  <c r="F37" i="9" l="1"/>
  <c r="I37" i="9" s="1"/>
  <c r="H37" i="9"/>
  <c r="M36" i="9"/>
  <c r="P36" i="9" s="1"/>
  <c r="L13" i="9"/>
  <c r="K37" i="9" l="1"/>
  <c r="M37" i="9" s="1"/>
  <c r="J37" i="9"/>
  <c r="L37" i="9" s="1"/>
  <c r="N37" i="9" s="1"/>
  <c r="O31" i="9" s="1"/>
  <c r="O34" i="9" l="1"/>
  <c r="O23" i="9"/>
  <c r="O25" i="9"/>
  <c r="O17" i="9"/>
  <c r="C10" i="9" s="1"/>
  <c r="O32" i="9"/>
  <c r="O36" i="9"/>
  <c r="P37" i="9"/>
  <c r="Q20" i="9" s="1"/>
  <c r="O28" i="9"/>
  <c r="O20" i="9"/>
  <c r="O35" i="9"/>
  <c r="O27" i="9"/>
  <c r="O21" i="9"/>
  <c r="O29" i="9"/>
  <c r="O24" i="9"/>
  <c r="O19" i="9"/>
  <c r="Q35" i="9"/>
  <c r="O33" i="9"/>
  <c r="O30" i="9"/>
  <c r="O26" i="9"/>
  <c r="O22" i="9"/>
  <c r="O18" i="9"/>
  <c r="D10" i="9" s="1"/>
  <c r="Q25" i="9" l="1"/>
  <c r="Q18" i="9"/>
  <c r="D9" i="9" s="1"/>
  <c r="D11" i="9" s="1"/>
  <c r="Q21" i="9"/>
  <c r="Q30" i="9"/>
  <c r="Q31" i="9"/>
  <c r="Q27" i="9"/>
  <c r="Q33" i="9"/>
  <c r="Q17" i="9"/>
  <c r="C9" i="9" s="1"/>
  <c r="C11" i="9" s="1"/>
  <c r="Q22" i="9"/>
  <c r="Q23" i="9"/>
  <c r="Q36" i="9"/>
  <c r="Q29" i="9"/>
  <c r="Q24" i="9"/>
  <c r="Q34" i="9"/>
  <c r="Q28" i="9"/>
  <c r="Q26" i="9"/>
  <c r="Q19" i="9"/>
  <c r="Q32" i="9"/>
  <c r="D19" i="7"/>
  <c r="D16" i="7"/>
  <c r="E19" i="7"/>
  <c r="E16" i="7"/>
  <c r="J17" i="1"/>
  <c r="J18" i="1"/>
  <c r="J19" i="1"/>
  <c r="J20" i="1"/>
  <c r="F16" i="7" l="1"/>
  <c r="F19" i="7"/>
  <c r="N18" i="1" l="1"/>
  <c r="L19" i="1"/>
  <c r="N19" i="1" s="1"/>
  <c r="L20" i="1"/>
  <c r="N20" i="1" s="1"/>
  <c r="H19" i="1"/>
  <c r="H20" i="1"/>
  <c r="H21" i="1"/>
  <c r="H18" i="1"/>
  <c r="M19" i="1"/>
  <c r="M20" i="1"/>
  <c r="M18" i="1"/>
  <c r="C8" i="1"/>
  <c r="K18" i="1"/>
  <c r="K19" i="1"/>
  <c r="K20" i="1"/>
  <c r="K17" i="1"/>
  <c r="I18" i="1"/>
  <c r="D19" i="1" s="1"/>
  <c r="F18" i="1"/>
  <c r="E18" i="1"/>
  <c r="G37" i="1"/>
  <c r="G36" i="1"/>
  <c r="G35" i="1"/>
  <c r="G34" i="1"/>
  <c r="G33" i="1"/>
  <c r="G32" i="1"/>
  <c r="G31" i="1"/>
  <c r="G30" i="1"/>
  <c r="G29" i="1"/>
  <c r="G28" i="1"/>
  <c r="G19" i="1"/>
  <c r="G20" i="1"/>
  <c r="G21" i="1"/>
  <c r="G22" i="1"/>
  <c r="G23" i="1"/>
  <c r="G24" i="1"/>
  <c r="G25" i="1"/>
  <c r="G26" i="1"/>
  <c r="G27" i="1"/>
  <c r="G18" i="1"/>
  <c r="D18" i="1"/>
  <c r="P20" i="1" l="1"/>
  <c r="P19" i="1"/>
  <c r="P18" i="1"/>
  <c r="E19" i="1"/>
  <c r="F19" i="1" s="1"/>
  <c r="C38" i="2"/>
  <c r="C36" i="2"/>
  <c r="C30" i="2"/>
  <c r="C29" i="2"/>
  <c r="C19" i="2"/>
  <c r="I19" i="1" l="1"/>
  <c r="I17" i="1"/>
  <c r="D20" i="1" l="1"/>
  <c r="C6" i="7"/>
  <c r="E20" i="1" l="1"/>
  <c r="F20" i="1" l="1"/>
  <c r="I20" i="1" s="1"/>
  <c r="E21" i="1" l="1"/>
  <c r="F21" i="1" l="1"/>
  <c r="I21" i="1" s="1"/>
  <c r="E22" i="1" l="1"/>
  <c r="J21" i="1"/>
  <c r="L21" i="1" s="1"/>
  <c r="N21" i="1" s="1"/>
  <c r="K21" i="1"/>
  <c r="F22" i="1" l="1"/>
  <c r="I22" i="1" s="1"/>
  <c r="D23" i="1" s="1"/>
  <c r="H22" i="1"/>
  <c r="M21" i="1"/>
  <c r="P21" i="1" s="1"/>
  <c r="E23" i="1" l="1"/>
  <c r="J22" i="1"/>
  <c r="L22" i="1" s="1"/>
  <c r="N22" i="1" s="1"/>
  <c r="F23" i="1"/>
  <c r="I23" i="1"/>
  <c r="K22" i="1"/>
  <c r="M22" i="1"/>
  <c r="P22" i="1" s="1"/>
  <c r="D24" i="1" l="1"/>
  <c r="E24" i="1" s="1"/>
  <c r="K23" i="1"/>
  <c r="M23" i="1"/>
  <c r="J23" i="1"/>
  <c r="L23" i="1" s="1"/>
  <c r="N23" i="1" s="1"/>
  <c r="H23" i="1"/>
  <c r="H24" i="1"/>
  <c r="F24" i="1" l="1"/>
  <c r="I24" i="1" s="1"/>
  <c r="D25" i="1" s="1"/>
  <c r="P23" i="1"/>
  <c r="E25" i="1"/>
  <c r="F25" i="1" s="1"/>
  <c r="I25" i="1" s="1"/>
  <c r="K24" i="1"/>
  <c r="M24" i="1" s="1"/>
  <c r="J24" i="1"/>
  <c r="L24" i="1" s="1"/>
  <c r="N24" i="1" s="1"/>
  <c r="H25" i="1"/>
  <c r="J25" i="1" l="1"/>
  <c r="L25" i="1" s="1"/>
  <c r="N25" i="1" s="1"/>
  <c r="D26" i="1"/>
  <c r="P24" i="1"/>
  <c r="K25" i="1"/>
  <c r="M25" i="1" s="1"/>
  <c r="E26" i="1"/>
  <c r="F26" i="1" s="1"/>
  <c r="I26" i="1" s="1"/>
  <c r="D27" i="1" s="1"/>
  <c r="P25" i="1"/>
  <c r="H26" i="1" l="1"/>
  <c r="J26" i="1"/>
  <c r="L26" i="1" s="1"/>
  <c r="N26" i="1" s="1"/>
  <c r="K26" i="1"/>
  <c r="E27" i="1"/>
  <c r="F27" i="1" l="1"/>
  <c r="I27" i="1" s="1"/>
  <c r="D28" i="1" s="1"/>
  <c r="H27" i="1"/>
  <c r="M26" i="1"/>
  <c r="P26" i="1" s="1"/>
  <c r="J27" i="1" l="1"/>
  <c r="L27" i="1" s="1"/>
  <c r="N27" i="1" s="1"/>
  <c r="K27" i="1"/>
  <c r="E28" i="1"/>
  <c r="F28" i="1" l="1"/>
  <c r="I28" i="1" s="1"/>
  <c r="D29" i="1" s="1"/>
  <c r="H28" i="1"/>
  <c r="M27" i="1"/>
  <c r="P27" i="1" s="1"/>
  <c r="J28" i="1" l="1"/>
  <c r="L28" i="1" s="1"/>
  <c r="N28" i="1" s="1"/>
  <c r="K28" i="1"/>
  <c r="E29" i="1"/>
  <c r="F29" i="1" l="1"/>
  <c r="I29" i="1" s="1"/>
  <c r="D30" i="1" s="1"/>
  <c r="H29" i="1"/>
  <c r="M28" i="1"/>
  <c r="P28" i="1" s="1"/>
  <c r="J29" i="1" l="1"/>
  <c r="L29" i="1" s="1"/>
  <c r="N29" i="1" s="1"/>
  <c r="K29" i="1"/>
  <c r="E30" i="1"/>
  <c r="F30" i="1" l="1"/>
  <c r="I30" i="1" s="1"/>
  <c r="D31" i="1" s="1"/>
  <c r="H30" i="1"/>
  <c r="M29" i="1"/>
  <c r="P29" i="1" s="1"/>
  <c r="J30" i="1" l="1"/>
  <c r="L30" i="1" s="1"/>
  <c r="N30" i="1" s="1"/>
  <c r="K30" i="1"/>
  <c r="E31" i="1"/>
  <c r="F31" i="1" l="1"/>
  <c r="H31" i="1"/>
  <c r="M30" i="1"/>
  <c r="P30" i="1" s="1"/>
  <c r="I31" i="1"/>
  <c r="D32" i="1" s="1"/>
  <c r="J31" i="1" l="1"/>
  <c r="L31" i="1" s="1"/>
  <c r="N31" i="1" s="1"/>
  <c r="K31" i="1"/>
  <c r="E32" i="1"/>
  <c r="F32" i="1" s="1"/>
  <c r="H32" i="1" l="1"/>
  <c r="M31" i="1"/>
  <c r="P31" i="1" s="1"/>
  <c r="I32" i="1"/>
  <c r="D33" i="1" s="1"/>
  <c r="J32" i="1" l="1"/>
  <c r="L32" i="1" s="1"/>
  <c r="N32" i="1" s="1"/>
  <c r="K32" i="1"/>
  <c r="E33" i="1"/>
  <c r="F33" i="1" l="1"/>
  <c r="H33" i="1"/>
  <c r="M32" i="1"/>
  <c r="P32" i="1" s="1"/>
  <c r="I33" i="1"/>
  <c r="D34" i="1" s="1"/>
  <c r="J33" i="1" l="1"/>
  <c r="L33" i="1" s="1"/>
  <c r="N33" i="1" s="1"/>
  <c r="K33" i="1"/>
  <c r="E34" i="1"/>
  <c r="H34" i="1" l="1"/>
  <c r="M33" i="1"/>
  <c r="P33" i="1" s="1"/>
  <c r="F34" i="1"/>
  <c r="I34" i="1" s="1"/>
  <c r="D35" i="1" s="1"/>
  <c r="J34" i="1" l="1"/>
  <c r="L34" i="1" s="1"/>
  <c r="N34" i="1" s="1"/>
  <c r="K34" i="1"/>
  <c r="E35" i="1"/>
  <c r="F35" i="1" l="1"/>
  <c r="H35" i="1"/>
  <c r="M34" i="1"/>
  <c r="P34" i="1" s="1"/>
  <c r="I35" i="1"/>
  <c r="D36" i="1" s="1"/>
  <c r="J35" i="1" l="1"/>
  <c r="L35" i="1" s="1"/>
  <c r="N35" i="1" s="1"/>
  <c r="K35" i="1"/>
  <c r="E36" i="1"/>
  <c r="F36" i="1"/>
  <c r="I36" i="1" s="1"/>
  <c r="D37" i="1" s="1"/>
  <c r="J36" i="1" l="1"/>
  <c r="K36" i="1"/>
  <c r="E37" i="1"/>
  <c r="L36" i="1"/>
  <c r="N36" i="1" s="1"/>
  <c r="H36" i="1"/>
  <c r="M35" i="1"/>
  <c r="P35" i="1" s="1"/>
  <c r="F37" i="1" l="1"/>
  <c r="I37" i="1" s="1"/>
  <c r="K37" i="1"/>
  <c r="J37" i="1"/>
  <c r="L37" i="1"/>
  <c r="N37" i="1" s="1"/>
  <c r="O35" i="1" s="1"/>
  <c r="L13" i="1"/>
  <c r="M37" i="1"/>
  <c r="H37" i="1"/>
  <c r="M36" i="1"/>
  <c r="P36" i="1" s="1"/>
  <c r="P37" i="1" l="1"/>
  <c r="Q35" i="1"/>
  <c r="Q31" i="1"/>
  <c r="Q34" i="1"/>
  <c r="Q32" i="1"/>
  <c r="Q33" i="1"/>
  <c r="Q36" i="1"/>
  <c r="Q17" i="1"/>
  <c r="C9" i="1" s="1"/>
  <c r="Q20" i="1"/>
  <c r="Q18" i="1"/>
  <c r="D9" i="1" s="1"/>
  <c r="Q19" i="1"/>
  <c r="Q21" i="1"/>
  <c r="Q22" i="1"/>
  <c r="Q23" i="1"/>
  <c r="Q24" i="1"/>
  <c r="Q25" i="1"/>
  <c r="Q26" i="1"/>
  <c r="Q27" i="1"/>
  <c r="Q28" i="1"/>
  <c r="Q29" i="1"/>
  <c r="Q30" i="1"/>
  <c r="O36" i="1"/>
  <c r="O21" i="1"/>
  <c r="O20" i="1"/>
  <c r="O17" i="1"/>
  <c r="C10" i="1" s="1"/>
  <c r="E6" i="7" s="1"/>
  <c r="E9" i="7" s="1"/>
  <c r="O18" i="1"/>
  <c r="D10" i="1" s="1"/>
  <c r="E15" i="7" s="1"/>
  <c r="E18" i="7" s="1"/>
  <c r="O19" i="1"/>
  <c r="O24" i="1"/>
  <c r="O22" i="1"/>
  <c r="O23" i="1"/>
  <c r="O25" i="1"/>
  <c r="O26" i="1"/>
  <c r="O27" i="1"/>
  <c r="O28" i="1"/>
  <c r="O29" i="1"/>
  <c r="O30" i="1"/>
  <c r="O32" i="1"/>
  <c r="O34" i="1"/>
  <c r="O33" i="1"/>
  <c r="O31" i="1"/>
  <c r="C11" i="1" l="1"/>
  <c r="F6" i="7" s="1"/>
  <c r="D6" i="7"/>
  <c r="D9" i="7" s="1"/>
  <c r="F9" i="7" s="1"/>
  <c r="D15" i="7"/>
  <c r="D11" i="1"/>
  <c r="F15" i="7" l="1"/>
  <c r="D18" i="7"/>
  <c r="F18" i="7" s="1"/>
</calcChain>
</file>

<file path=xl/sharedStrings.xml><?xml version="1.0" encoding="utf-8"?>
<sst xmlns="http://schemas.openxmlformats.org/spreadsheetml/2006/main" count="191" uniqueCount="75">
  <si>
    <t>EOY</t>
  </si>
  <si>
    <t>Projection Year</t>
  </si>
  <si>
    <t>Year Ending 31 December</t>
  </si>
  <si>
    <t>Investment Return on FUM</t>
  </si>
  <si>
    <t>FUM Withdrawals</t>
  </si>
  <si>
    <t>Management Fees</t>
  </si>
  <si>
    <t>Management Expense</t>
  </si>
  <si>
    <t>Policy Liability</t>
  </si>
  <si>
    <t>Reported Profit</t>
  </si>
  <si>
    <t>Capital Release</t>
  </si>
  <si>
    <t>Capital Requirement</t>
  </si>
  <si>
    <t>Embedded Value Components</t>
  </si>
  <si>
    <t>- Assume no adjustments are required to be made to FUM to determine the policy liability</t>
  </si>
  <si>
    <t>- Assume no regulatory adjustments are required to be made to Net Assets to determine the Capital Base</t>
  </si>
  <si>
    <t>Investment Return on Capital Requirements</t>
  </si>
  <si>
    <t>p.a., as % of FUM at start of year</t>
  </si>
  <si>
    <t>as % of FUM</t>
  </si>
  <si>
    <t>Capital Requirement (Regulatory Capital Requirement + Target Surplus)</t>
  </si>
  <si>
    <t>As at 31 December 2019</t>
  </si>
  <si>
    <t>FUM (after cash flows for the year)</t>
  </si>
  <si>
    <t>Expected Movement</t>
  </si>
  <si>
    <t>Value of In-Force Business (VIF)</t>
  </si>
  <si>
    <t>Adjusted Net Worth (ANW)</t>
  </si>
  <si>
    <t>Embedded Value (EV)</t>
  </si>
  <si>
    <t>Actual Value as at 31 December 2019</t>
  </si>
  <si>
    <t>Event 1: Dividend Payment of $10 million</t>
  </si>
  <si>
    <t>Event 2: Impact of Fraud Event</t>
  </si>
  <si>
    <t>Event 3: Impact of Stock Market Crash</t>
  </si>
  <si>
    <t>- For Event 3, assume:</t>
  </si>
  <si>
    <t>- Investment Return on FUM for 2020</t>
  </si>
  <si>
    <t>as % of FUM at start of year</t>
  </si>
  <si>
    <t>Question parts (a) &amp; (b): Embedded Value Valuation Assumptions</t>
  </si>
  <si>
    <t>Question part (b): Further Information and Assumptions on EV Movement over Calendar Year 2020</t>
  </si>
  <si>
    <t>Actual Value as at 31 December 2020</t>
  </si>
  <si>
    <t>p.a., as % of Net Assets at start of year</t>
  </si>
  <si>
    <t>Investment Return on Net Assets (i.e. Capital Requirements &amp; Adjusted Net Worth)</t>
  </si>
  <si>
    <t>Unwinding of Discount Rate</t>
  </si>
  <si>
    <t>- Assets</t>
  </si>
  <si>
    <t>- Liabilities (other than Policy Liabilities)</t>
  </si>
  <si>
    <t>FUM Withdrawal (for projection year 1 to 19)</t>
  </si>
  <si>
    <t>FUM Withdrawal (for projection year 20)</t>
  </si>
  <si>
    <t>As at 31 December 2020</t>
  </si>
  <si>
    <t>Tax on Reported Profit</t>
  </si>
  <si>
    <t>PV of Tax on Reported Profit</t>
  </si>
  <si>
    <t>Value of Imputation Credits (VIC)</t>
  </si>
  <si>
    <t>Transfer between VIF, VIC and ANW</t>
  </si>
  <si>
    <t>Distributable Profit (Net of Tax)</t>
  </si>
  <si>
    <t>PV of Distributable Profits (Net of Tax)</t>
  </si>
  <si>
    <t>- Balance Sheet information as at 31 December 2019:</t>
  </si>
  <si>
    <t>- Investment Return on FUM for 2021 to 2022</t>
  </si>
  <si>
    <t>- Investment Return on FUM for 2023 onwards</t>
  </si>
  <si>
    <t>p.a.</t>
  </si>
  <si>
    <t>Management Expense (Variable)</t>
  </si>
  <si>
    <t>Projection to determine VIF and VIC</t>
  </si>
  <si>
    <t>Risk Discount Rate (p.a.)</t>
  </si>
  <si>
    <t>Key:</t>
  </si>
  <si>
    <t>Provided data</t>
  </si>
  <si>
    <t>To be completed by candidates</t>
  </si>
  <si>
    <t>Imputation credits as a % of future tax payable</t>
  </si>
  <si>
    <t>Question parts (a) &amp; (b): Further Information and Assumptions</t>
  </si>
  <si>
    <t xml:space="preserve">    - Assume no change to the withdrawal rate assumption for future years.</t>
  </si>
  <si>
    <t>- For Event 2, FUM withdrawal above expected (one-off) for year ending 31 December 2020</t>
  </si>
  <si>
    <t>Management Expense (Fixed) for year ending 31 December 2020</t>
  </si>
  <si>
    <t>Management Expense (Fixed) inflation</t>
  </si>
  <si>
    <t>Tax Rate on shareholder profit</t>
  </si>
  <si>
    <t>- Assume no tax on policyholder investment returns</t>
  </si>
  <si>
    <t>- Assume there are no unused franking credits as at 31 December 2018</t>
  </si>
  <si>
    <t>p.a., as % of FUM after investment return credited and management fees deducted</t>
  </si>
  <si>
    <t>p.a., as % of FUM at end of year after investment return credited</t>
  </si>
  <si>
    <t>- For the purposes of the analysis of movement, assume that the Events 1 to 3 occurred at the end of calendar year 2020.</t>
  </si>
  <si>
    <t>Experience Movement (in the order of Event 1, Event 2 then Event 3)</t>
  </si>
  <si>
    <t>- For Event 1 -  Dividend Payment at 31 December 2020 (this being an unfranked distribution)</t>
  </si>
  <si>
    <t>Investment Return on ANW after allowing for tax and imputation credits</t>
  </si>
  <si>
    <t>?</t>
  </si>
  <si>
    <t>Unexplained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</si>
</sst>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_-"/>
    <numFmt numFmtId="165" formatCode="#,##0_ ;[Red]\(#,##0\);&quot;-&quot;_ "/>
    <numFmt numFmtId="166" formatCode="0.0%"/>
    <numFmt numFmtId="167" formatCode="#,##0.000_ ;[Red]\(#,##0.000\);&quot;-&quot;_ "/>
    <numFmt numFmtId="168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entury Gothic"/>
      <family val="2"/>
    </font>
    <font>
      <u/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sz val="10"/>
      <name val="Arial"/>
      <family val="2"/>
    </font>
    <font>
      <sz val="8"/>
      <name val="Calibri"/>
      <family val="2"/>
    </font>
    <font>
      <sz val="10"/>
      <color theme="1"/>
      <name val="Times New Roman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5" borderId="0" applyNumberFormat="0" applyBorder="0" applyAlignment="0" applyProtection="0"/>
    <xf numFmtId="0" fontId="12" fillId="6" borderId="9" applyNumberFormat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6" fontId="2" fillId="0" borderId="0" xfId="4" applyNumberFormat="1" applyFont="1"/>
    <xf numFmtId="165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0" xfId="0" applyNumberFormat="1" applyFont="1" applyBorder="1"/>
    <xf numFmtId="167" fontId="2" fillId="0" borderId="0" xfId="0" applyNumberFormat="1" applyFont="1" applyBorder="1"/>
    <xf numFmtId="165" fontId="2" fillId="0" borderId="8" xfId="0" applyNumberFormat="1" applyFont="1" applyBorder="1"/>
    <xf numFmtId="165" fontId="2" fillId="0" borderId="0" xfId="0" applyNumberFormat="1" applyFont="1" applyFill="1" applyBorder="1"/>
    <xf numFmtId="165" fontId="2" fillId="0" borderId="7" xfId="0" applyNumberFormat="1" applyFont="1" applyFill="1" applyBorder="1"/>
    <xf numFmtId="9" fontId="2" fillId="0" borderId="0" xfId="4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2" xfId="2" applyFont="1" applyBorder="1" applyAlignment="1">
      <alignment horizontal="left" vertical="center"/>
    </xf>
    <xf numFmtId="0" fontId="2" fillId="0" borderId="7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7" xfId="0" applyFont="1" applyBorder="1"/>
    <xf numFmtId="0" fontId="2" fillId="0" borderId="6" xfId="0" applyFont="1" applyBorder="1"/>
    <xf numFmtId="0" fontId="3" fillId="0" borderId="2" xfId="0" applyFont="1" applyBorder="1"/>
    <xf numFmtId="166" fontId="2" fillId="0" borderId="3" xfId="4" applyNumberFormat="1" applyFont="1" applyBorder="1"/>
    <xf numFmtId="166" fontId="2" fillId="0" borderId="8" xfId="4" applyNumberFormat="1" applyFont="1" applyBorder="1"/>
    <xf numFmtId="0" fontId="2" fillId="0" borderId="7" xfId="0" quotePrefix="1" applyFont="1" applyBorder="1"/>
    <xf numFmtId="0" fontId="2" fillId="0" borderId="7" xfId="0" quotePrefix="1" applyFont="1" applyBorder="1" applyAlignment="1">
      <alignment horizontal="left" indent="2"/>
    </xf>
    <xf numFmtId="168" fontId="2" fillId="0" borderId="6" xfId="1" applyNumberFormat="1" applyFont="1" applyBorder="1"/>
    <xf numFmtId="166" fontId="2" fillId="0" borderId="5" xfId="4" applyNumberFormat="1" applyFont="1" applyBorder="1"/>
    <xf numFmtId="166" fontId="4" fillId="0" borderId="7" xfId="4" quotePrefix="1" applyNumberFormat="1" applyFont="1" applyBorder="1"/>
    <xf numFmtId="165" fontId="2" fillId="2" borderId="0" xfId="0" applyNumberFormat="1" applyFont="1" applyFill="1" applyBorder="1"/>
    <xf numFmtId="165" fontId="2" fillId="2" borderId="6" xfId="0" applyNumberFormat="1" applyFont="1" applyFill="1" applyBorder="1"/>
    <xf numFmtId="165" fontId="2" fillId="2" borderId="8" xfId="0" applyNumberFormat="1" applyFont="1" applyFill="1" applyBorder="1"/>
    <xf numFmtId="165" fontId="2" fillId="2" borderId="7" xfId="0" applyNumberFormat="1" applyFont="1" applyFill="1" applyBorder="1"/>
    <xf numFmtId="165" fontId="2" fillId="2" borderId="5" xfId="0" applyNumberFormat="1" applyFont="1" applyFill="1" applyBorder="1"/>
    <xf numFmtId="165" fontId="2" fillId="2" borderId="4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165" fontId="8" fillId="3" borderId="0" xfId="0" applyNumberFormat="1" applyFont="1" applyFill="1"/>
    <xf numFmtId="0" fontId="8" fillId="4" borderId="3" xfId="2" applyFont="1" applyFill="1" applyBorder="1" applyAlignment="1">
      <alignment horizontal="left" vertical="center"/>
    </xf>
    <xf numFmtId="0" fontId="8" fillId="3" borderId="8" xfId="0" applyFont="1" applyFill="1" applyBorder="1"/>
    <xf numFmtId="0" fontId="9" fillId="0" borderId="2" xfId="2" applyFont="1" applyBorder="1" applyAlignment="1">
      <alignment horizontal="left" vertical="center"/>
    </xf>
    <xf numFmtId="0" fontId="8" fillId="0" borderId="0" xfId="0" applyFont="1"/>
    <xf numFmtId="0" fontId="8" fillId="0" borderId="7" xfId="0" applyFont="1" applyBorder="1"/>
    <xf numFmtId="0" fontId="8" fillId="0" borderId="4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3" borderId="8" xfId="0" applyNumberFormat="1" applyFont="1" applyFill="1" applyBorder="1"/>
    <xf numFmtId="0" fontId="8" fillId="0" borderId="8" xfId="0" applyFont="1" applyBorder="1"/>
    <xf numFmtId="0" fontId="10" fillId="0" borderId="7" xfId="0" applyFont="1" applyBorder="1"/>
    <xf numFmtId="165" fontId="8" fillId="0" borderId="0" xfId="0" applyNumberFormat="1" applyFont="1"/>
    <xf numFmtId="165" fontId="8" fillId="4" borderId="0" xfId="0" applyNumberFormat="1" applyFont="1" applyFill="1"/>
    <xf numFmtId="165" fontId="8" fillId="4" borderId="8" xfId="0" applyNumberFormat="1" applyFont="1" applyFill="1" applyBorder="1"/>
    <xf numFmtId="0" fontId="8" fillId="0" borderId="6" xfId="0" applyFont="1" applyBorder="1"/>
    <xf numFmtId="0" fontId="8" fillId="0" borderId="5" xfId="0" applyFont="1" applyBorder="1"/>
    <xf numFmtId="166" fontId="8" fillId="3" borderId="0" xfId="4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6" fontId="2" fillId="0" borderId="8" xfId="4" applyNumberFormat="1" applyFont="1" applyBorder="1" applyAlignment="1">
      <alignment wrapText="1"/>
    </xf>
    <xf numFmtId="166" fontId="8" fillId="3" borderId="0" xfId="4" applyNumberFormat="1" applyFont="1" applyFill="1" applyAlignment="1">
      <alignment horizontal="center" vertical="center"/>
    </xf>
    <xf numFmtId="165" fontId="2" fillId="2" borderId="6" xfId="0" applyNumberFormat="1" applyFont="1" applyFill="1" applyBorder="1"/>
    <xf numFmtId="0" fontId="8" fillId="0" borderId="5" xfId="0" applyFont="1" applyFill="1" applyBorder="1"/>
    <xf numFmtId="0" fontId="2" fillId="0" borderId="0" xfId="0" applyFont="1"/>
    <xf numFmtId="0" fontId="8" fillId="0" borderId="0" xfId="0" applyFont="1"/>
    <xf numFmtId="0" fontId="8" fillId="0" borderId="5" xfId="0" applyFont="1" applyFill="1" applyBorder="1"/>
    <xf numFmtId="168" fontId="2" fillId="0" borderId="0" xfId="1" applyNumberFormat="1" applyFont="1"/>
    <xf numFmtId="168" fontId="2" fillId="0" borderId="0" xfId="0" applyNumberFormat="1" applyFont="1"/>
    <xf numFmtId="166" fontId="2" fillId="0" borderId="0" xfId="4" applyNumberFormat="1" applyFont="1" applyAlignment="1">
      <alignment horizontal="center"/>
    </xf>
    <xf numFmtId="0" fontId="8" fillId="0" borderId="7" xfId="0" applyFont="1" applyBorder="1" applyAlignment="1">
      <alignment wrapText="1"/>
    </xf>
    <xf numFmtId="165" fontId="8" fillId="4" borderId="0" xfId="0" applyNumberFormat="1" applyFont="1" applyFill="1" applyAlignment="1">
      <alignment vertical="center"/>
    </xf>
    <xf numFmtId="165" fontId="8" fillId="0" borderId="0" xfId="0" applyNumberFormat="1" applyFont="1" applyAlignment="1">
      <alignment vertical="center"/>
    </xf>
    <xf numFmtId="165" fontId="8" fillId="4" borderId="8" xfId="0" applyNumberFormat="1" applyFont="1" applyFill="1" applyBorder="1" applyAlignment="1">
      <alignment vertical="center"/>
    </xf>
    <xf numFmtId="0" fontId="11" fillId="5" borderId="7" xfId="6" applyBorder="1"/>
    <xf numFmtId="0" fontId="11" fillId="5" borderId="7" xfId="6" applyBorder="1" applyAlignment="1">
      <alignment horizontal="left" vertical="center"/>
    </xf>
    <xf numFmtId="8" fontId="2" fillId="0" borderId="0" xfId="0" applyNumberFormat="1" applyFont="1" applyBorder="1"/>
    <xf numFmtId="165" fontId="2" fillId="2" borderId="3" xfId="0" applyNumberFormat="1" applyFont="1" applyFill="1" applyBorder="1"/>
    <xf numFmtId="6" fontId="2" fillId="0" borderId="0" xfId="0" applyNumberFormat="1" applyFont="1"/>
    <xf numFmtId="8" fontId="12" fillId="6" borderId="9" xfId="7" applyNumberFormat="1" applyAlignment="1">
      <alignment horizontal="center"/>
    </xf>
    <xf numFmtId="0" fontId="11" fillId="5" borderId="7" xfId="6" quotePrefix="1" applyBorder="1" applyAlignment="1">
      <alignment horizontal="left" indent="2"/>
    </xf>
    <xf numFmtId="0" fontId="11" fillId="5" borderId="7" xfId="6" quotePrefix="1" applyBorder="1"/>
    <xf numFmtId="165" fontId="2" fillId="7" borderId="0" xfId="0" applyNumberFormat="1" applyFont="1" applyFill="1" applyBorder="1"/>
    <xf numFmtId="168" fontId="8" fillId="0" borderId="8" xfId="1" applyNumberFormat="1" applyFont="1" applyBorder="1"/>
  </cellXfs>
  <cellStyles count="8">
    <cellStyle name="Calculation" xfId="7" builtinId="22"/>
    <cellStyle name="Comma" xfId="1" builtinId="3"/>
    <cellStyle name="Comma 2" xfId="5"/>
    <cellStyle name="Good" xfId="6" builtinId="26"/>
    <cellStyle name="Normal" xfId="0" builtinId="0"/>
    <cellStyle name="Normal 3" xfId="2"/>
    <cellStyle name="Normal 4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3" zoomScale="85" zoomScaleNormal="85" workbookViewId="0">
      <selection activeCell="C44" sqref="C44"/>
    </sheetView>
  </sheetViews>
  <sheetFormatPr defaultColWidth="9.140625" defaultRowHeight="16.5" x14ac:dyDescent="0.3"/>
  <cols>
    <col min="1" max="1" width="6.85546875" style="1" bestFit="1" customWidth="1"/>
    <col min="2" max="2" width="95.7109375" style="1" customWidth="1"/>
    <col min="3" max="3" width="25.85546875" style="1" bestFit="1" customWidth="1"/>
    <col min="4" max="4" width="55.85546875" style="1" customWidth="1"/>
    <col min="5" max="16384" width="9.140625" style="1"/>
  </cols>
  <sheetData>
    <row r="1" spans="1:4" x14ac:dyDescent="0.3">
      <c r="A1" s="50" t="s">
        <v>55</v>
      </c>
      <c r="B1" s="48" t="s">
        <v>57</v>
      </c>
      <c r="C1" s="71"/>
      <c r="D1" s="71"/>
    </row>
    <row r="2" spans="1:4" s="2" customFormat="1" x14ac:dyDescent="0.3">
      <c r="A2" s="52"/>
      <c r="B2" s="49" t="s">
        <v>56</v>
      </c>
      <c r="C2" s="71"/>
      <c r="D2" s="4"/>
    </row>
    <row r="3" spans="1:4" s="2" customFormat="1" x14ac:dyDescent="0.3">
      <c r="A3" s="53"/>
      <c r="B3" s="73"/>
      <c r="C3" s="71"/>
      <c r="D3" s="4"/>
    </row>
    <row r="4" spans="1:4" s="2" customFormat="1" x14ac:dyDescent="0.3">
      <c r="A4" s="71"/>
      <c r="B4" s="71"/>
      <c r="C4" s="71"/>
      <c r="D4" s="4"/>
    </row>
    <row r="5" spans="1:4" x14ac:dyDescent="0.3">
      <c r="A5" s="71"/>
      <c r="B5" s="71"/>
      <c r="C5" s="71"/>
      <c r="D5" s="71"/>
    </row>
    <row r="6" spans="1:4" x14ac:dyDescent="0.3">
      <c r="A6" s="71"/>
      <c r="B6" s="32" t="s">
        <v>31</v>
      </c>
      <c r="C6" s="28"/>
      <c r="D6" s="33"/>
    </row>
    <row r="7" spans="1:4" x14ac:dyDescent="0.3">
      <c r="A7" s="71"/>
      <c r="B7" s="35" t="s">
        <v>12</v>
      </c>
      <c r="C7" s="71"/>
      <c r="D7" s="34"/>
    </row>
    <row r="8" spans="1:4" x14ac:dyDescent="0.3">
      <c r="A8" s="71"/>
      <c r="B8" s="35" t="s">
        <v>13</v>
      </c>
      <c r="C8" s="71"/>
      <c r="D8" s="34"/>
    </row>
    <row r="9" spans="1:4" x14ac:dyDescent="0.3">
      <c r="A9" s="71"/>
      <c r="B9" s="35" t="s">
        <v>65</v>
      </c>
      <c r="C9" s="71"/>
      <c r="D9" s="29"/>
    </row>
    <row r="10" spans="1:4" x14ac:dyDescent="0.3">
      <c r="A10" s="71"/>
      <c r="B10" s="35" t="s">
        <v>66</v>
      </c>
      <c r="C10" s="71"/>
      <c r="D10" s="29"/>
    </row>
    <row r="11" spans="1:4" x14ac:dyDescent="0.3">
      <c r="A11" s="71"/>
      <c r="B11" s="35"/>
      <c r="C11" s="71"/>
      <c r="D11" s="29"/>
    </row>
    <row r="12" spans="1:4" x14ac:dyDescent="0.3">
      <c r="A12" s="71"/>
      <c r="B12" s="26"/>
      <c r="C12" s="71"/>
      <c r="D12" s="34"/>
    </row>
    <row r="13" spans="1:4" x14ac:dyDescent="0.3">
      <c r="A13" s="71"/>
      <c r="B13" s="81" t="s">
        <v>54</v>
      </c>
      <c r="C13" s="65">
        <v>7.0000000000000007E-2</v>
      </c>
      <c r="D13" s="29"/>
    </row>
    <row r="14" spans="1:4" x14ac:dyDescent="0.3">
      <c r="A14" s="71"/>
      <c r="B14" s="81" t="s">
        <v>17</v>
      </c>
      <c r="C14" s="65">
        <v>0.08</v>
      </c>
      <c r="D14" s="34" t="s">
        <v>16</v>
      </c>
    </row>
    <row r="15" spans="1:4" x14ac:dyDescent="0.3">
      <c r="A15" s="71"/>
      <c r="B15" s="81" t="s">
        <v>3</v>
      </c>
      <c r="C15" s="65">
        <v>0.08</v>
      </c>
      <c r="D15" s="34" t="s">
        <v>15</v>
      </c>
    </row>
    <row r="16" spans="1:4" ht="33" x14ac:dyDescent="0.3">
      <c r="A16" s="71"/>
      <c r="B16" s="82" t="s">
        <v>5</v>
      </c>
      <c r="C16" s="68">
        <v>0.01</v>
      </c>
      <c r="D16" s="67" t="s">
        <v>68</v>
      </c>
    </row>
    <row r="17" spans="1:4" ht="33" x14ac:dyDescent="0.3">
      <c r="A17" s="71"/>
      <c r="B17" s="82" t="s">
        <v>39</v>
      </c>
      <c r="C17" s="68">
        <v>0.1</v>
      </c>
      <c r="D17" s="67" t="s">
        <v>67</v>
      </c>
    </row>
    <row r="18" spans="1:4" ht="33" x14ac:dyDescent="0.3">
      <c r="A18" s="71"/>
      <c r="B18" s="82" t="s">
        <v>40</v>
      </c>
      <c r="C18" s="68">
        <v>1</v>
      </c>
      <c r="D18" s="67" t="s">
        <v>67</v>
      </c>
    </row>
    <row r="19" spans="1:4" x14ac:dyDescent="0.3">
      <c r="A19" s="71"/>
      <c r="B19" s="81" t="s">
        <v>62</v>
      </c>
      <c r="C19" s="66">
        <f>1*10^6</f>
        <v>1000000</v>
      </c>
      <c r="D19" s="34"/>
    </row>
    <row r="20" spans="1:4" x14ac:dyDescent="0.3">
      <c r="A20" s="71"/>
      <c r="B20" s="81" t="s">
        <v>63</v>
      </c>
      <c r="C20" s="65">
        <v>0.03</v>
      </c>
      <c r="D20" s="34" t="s">
        <v>51</v>
      </c>
    </row>
    <row r="21" spans="1:4" x14ac:dyDescent="0.3">
      <c r="A21" s="71"/>
      <c r="B21" s="81" t="s">
        <v>52</v>
      </c>
      <c r="C21" s="65">
        <v>5.0000000000000001E-3</v>
      </c>
      <c r="D21" s="34" t="s">
        <v>15</v>
      </c>
    </row>
    <row r="22" spans="1:4" x14ac:dyDescent="0.3">
      <c r="A22" s="71"/>
      <c r="B22" s="81" t="s">
        <v>35</v>
      </c>
      <c r="C22" s="65">
        <v>0.03</v>
      </c>
      <c r="D22" s="34" t="s">
        <v>34</v>
      </c>
    </row>
    <row r="23" spans="1:4" x14ac:dyDescent="0.3">
      <c r="A23" s="71"/>
      <c r="B23" s="81" t="s">
        <v>64</v>
      </c>
      <c r="C23" s="65">
        <v>0.3</v>
      </c>
      <c r="D23" s="29"/>
    </row>
    <row r="24" spans="1:4" x14ac:dyDescent="0.3">
      <c r="A24" s="71"/>
      <c r="B24" s="81" t="s">
        <v>58</v>
      </c>
      <c r="C24" s="65">
        <v>0.7</v>
      </c>
      <c r="D24" s="29"/>
    </row>
    <row r="25" spans="1:4" x14ac:dyDescent="0.3">
      <c r="A25" s="71"/>
      <c r="B25" s="10"/>
      <c r="C25" s="31"/>
      <c r="D25" s="11"/>
    </row>
    <row r="26" spans="1:4" x14ac:dyDescent="0.3">
      <c r="A26" s="71"/>
      <c r="B26" s="30" t="s">
        <v>59</v>
      </c>
      <c r="C26" s="71"/>
      <c r="D26" s="34"/>
    </row>
    <row r="27" spans="1:4" x14ac:dyDescent="0.3">
      <c r="A27" s="71"/>
      <c r="B27" s="26"/>
      <c r="C27" s="71"/>
      <c r="D27" s="34"/>
    </row>
    <row r="28" spans="1:4" x14ac:dyDescent="0.3">
      <c r="A28" s="71"/>
      <c r="B28" s="35" t="s">
        <v>48</v>
      </c>
      <c r="C28" s="71"/>
      <c r="D28" s="29"/>
    </row>
    <row r="29" spans="1:4" x14ac:dyDescent="0.3">
      <c r="A29" s="71"/>
      <c r="B29" s="87" t="s">
        <v>37</v>
      </c>
      <c r="C29" s="66">
        <f>1*10^9</f>
        <v>1000000000</v>
      </c>
      <c r="D29" s="34"/>
    </row>
    <row r="30" spans="1:4" x14ac:dyDescent="0.3">
      <c r="A30" s="71"/>
      <c r="B30" s="87" t="s">
        <v>38</v>
      </c>
      <c r="C30" s="66">
        <f>1*10^8</f>
        <v>100000000</v>
      </c>
      <c r="D30" s="34"/>
    </row>
    <row r="31" spans="1:4" x14ac:dyDescent="0.3">
      <c r="A31" s="71"/>
      <c r="B31" s="10"/>
      <c r="C31" s="37"/>
      <c r="D31" s="38"/>
    </row>
    <row r="32" spans="1:4" x14ac:dyDescent="0.3">
      <c r="A32" s="71"/>
      <c r="B32" s="30" t="s">
        <v>32</v>
      </c>
      <c r="C32" s="74"/>
      <c r="D32" s="34"/>
    </row>
    <row r="33" spans="1:4" x14ac:dyDescent="0.3">
      <c r="A33" s="71"/>
      <c r="B33" s="26"/>
      <c r="C33" s="75"/>
      <c r="D33" s="29"/>
    </row>
    <row r="34" spans="1:4" x14ac:dyDescent="0.3">
      <c r="A34" s="71"/>
      <c r="B34" s="39" t="s">
        <v>69</v>
      </c>
      <c r="C34" s="75"/>
      <c r="D34" s="34"/>
    </row>
    <row r="35" spans="1:4" x14ac:dyDescent="0.3">
      <c r="A35" s="71"/>
      <c r="B35" s="26"/>
      <c r="C35" s="75"/>
      <c r="D35" s="34"/>
    </row>
    <row r="36" spans="1:4" x14ac:dyDescent="0.3">
      <c r="A36" s="71"/>
      <c r="B36" s="88" t="s">
        <v>71</v>
      </c>
      <c r="C36" s="66">
        <f>10*10^6</f>
        <v>10000000</v>
      </c>
      <c r="D36" s="34"/>
    </row>
    <row r="37" spans="1:4" x14ac:dyDescent="0.3">
      <c r="A37" s="71"/>
      <c r="B37" s="26"/>
      <c r="C37" s="75"/>
      <c r="D37" s="34"/>
    </row>
    <row r="38" spans="1:4" x14ac:dyDescent="0.3">
      <c r="A38" s="71"/>
      <c r="B38" s="88" t="s">
        <v>61</v>
      </c>
      <c r="C38" s="66">
        <f>100*10^6</f>
        <v>100000000</v>
      </c>
      <c r="D38" s="34"/>
    </row>
    <row r="39" spans="1:4" x14ac:dyDescent="0.3">
      <c r="A39" s="71"/>
      <c r="B39" s="35" t="s">
        <v>60</v>
      </c>
      <c r="C39" s="71"/>
      <c r="D39" s="34"/>
    </row>
    <row r="40" spans="1:4" x14ac:dyDescent="0.3">
      <c r="A40" s="71"/>
      <c r="B40" s="35"/>
      <c r="C40" s="71"/>
      <c r="D40" s="34"/>
    </row>
    <row r="41" spans="1:4" x14ac:dyDescent="0.3">
      <c r="A41" s="71"/>
      <c r="B41" s="35" t="s">
        <v>28</v>
      </c>
      <c r="C41" s="71"/>
      <c r="D41" s="34"/>
    </row>
    <row r="42" spans="1:4" x14ac:dyDescent="0.3">
      <c r="A42" s="71"/>
      <c r="B42" s="36" t="s">
        <v>29</v>
      </c>
      <c r="C42" s="65">
        <v>-0.1</v>
      </c>
      <c r="D42" s="34" t="s">
        <v>30</v>
      </c>
    </row>
    <row r="43" spans="1:4" x14ac:dyDescent="0.3">
      <c r="A43" s="71"/>
      <c r="B43" s="36" t="s">
        <v>49</v>
      </c>
      <c r="C43" s="65">
        <v>0.03</v>
      </c>
      <c r="D43" s="34" t="s">
        <v>15</v>
      </c>
    </row>
    <row r="44" spans="1:4" x14ac:dyDescent="0.3">
      <c r="A44" s="71"/>
      <c r="B44" s="36" t="s">
        <v>50</v>
      </c>
      <c r="C44" s="65">
        <v>0.08</v>
      </c>
      <c r="D44" s="34" t="s">
        <v>15</v>
      </c>
    </row>
    <row r="45" spans="1:4" x14ac:dyDescent="0.3">
      <c r="A45" s="71"/>
      <c r="B45" s="36"/>
      <c r="C45" s="76"/>
      <c r="D45" s="34"/>
    </row>
    <row r="46" spans="1:4" x14ac:dyDescent="0.3">
      <c r="A46" s="71"/>
      <c r="B46" s="10"/>
      <c r="C46" s="31"/>
      <c r="D46" s="38"/>
    </row>
    <row r="47" spans="1:4" x14ac:dyDescent="0.3">
      <c r="A47" s="71"/>
      <c r="B47" s="71"/>
      <c r="C47" s="71"/>
      <c r="D47" s="71"/>
    </row>
    <row r="48" spans="1:4" x14ac:dyDescent="0.3">
      <c r="A48" s="71"/>
      <c r="B48" s="71"/>
      <c r="C48" s="71"/>
      <c r="D48" s="71"/>
    </row>
    <row r="49" spans="1:4" x14ac:dyDescent="0.3">
      <c r="A49" s="71"/>
      <c r="B49" s="71"/>
      <c r="C49" s="71"/>
      <c r="D49" s="4"/>
    </row>
    <row r="50" spans="1:4" x14ac:dyDescent="0.3">
      <c r="B50" s="5"/>
      <c r="D50" s="5"/>
    </row>
    <row r="51" spans="1:4" x14ac:dyDescent="0.3">
      <c r="B51" s="5"/>
      <c r="D51" s="5"/>
    </row>
    <row r="53" spans="1:4" x14ac:dyDescent="0.3">
      <c r="B53" s="5"/>
      <c r="D53" s="5"/>
    </row>
    <row r="54" spans="1:4" x14ac:dyDescent="0.3">
      <c r="B54" s="5"/>
      <c r="D54" s="5"/>
    </row>
    <row r="55" spans="1:4" x14ac:dyDescent="0.3">
      <c r="B55" s="5"/>
      <c r="D55" s="5"/>
    </row>
    <row r="57" spans="1:4" x14ac:dyDescent="0.3">
      <c r="B57" s="5"/>
      <c r="D57" s="5"/>
    </row>
    <row r="58" spans="1:4" x14ac:dyDescent="0.3">
      <c r="B58" s="5"/>
      <c r="D58" s="5"/>
    </row>
    <row r="59" spans="1:4" x14ac:dyDescent="0.3">
      <c r="B59" s="5"/>
      <c r="D59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/>
  </sheetViews>
  <sheetFormatPr defaultColWidth="9.140625" defaultRowHeight="16.5" x14ac:dyDescent="0.3"/>
  <cols>
    <col min="1" max="1" width="6.85546875" style="1" bestFit="1" customWidth="1"/>
    <col min="2" max="2" width="38.5703125" style="1" bestFit="1" customWidth="1"/>
    <col min="3" max="8" width="18.7109375" style="1" customWidth="1"/>
    <col min="9" max="10" width="18.7109375" style="2" customWidth="1"/>
    <col min="11" max="17" width="18.7109375" style="1" customWidth="1"/>
    <col min="18" max="16384" width="9.140625" style="1"/>
  </cols>
  <sheetData>
    <row r="1" spans="1:17" x14ac:dyDescent="0.3">
      <c r="A1" s="25" t="s">
        <v>55</v>
      </c>
      <c r="B1" s="48" t="s">
        <v>57</v>
      </c>
    </row>
    <row r="2" spans="1:17" x14ac:dyDescent="0.3">
      <c r="A2" s="26"/>
      <c r="B2" s="49" t="s">
        <v>56</v>
      </c>
    </row>
    <row r="3" spans="1:17" x14ac:dyDescent="0.3">
      <c r="A3" s="10"/>
      <c r="B3" s="70"/>
    </row>
    <row r="5" spans="1:17" x14ac:dyDescent="0.3">
      <c r="B5" s="3" t="s">
        <v>11</v>
      </c>
    </row>
    <row r="7" spans="1:17" ht="33" x14ac:dyDescent="0.3">
      <c r="B7" s="27"/>
      <c r="C7" s="46" t="s">
        <v>18</v>
      </c>
      <c r="D7" s="46" t="s">
        <v>41</v>
      </c>
    </row>
    <row r="8" spans="1:17" x14ac:dyDescent="0.3">
      <c r="B8" s="26" t="s">
        <v>22</v>
      </c>
      <c r="C8" s="42">
        <f>'Key Information'!C29-'Key Information'!C30-J17-K17</f>
        <v>36000000</v>
      </c>
      <c r="D8" s="42">
        <f>C8*'Key Information'!$C$22+M18+P18</f>
        <v>244123360</v>
      </c>
    </row>
    <row r="9" spans="1:17" x14ac:dyDescent="0.3">
      <c r="B9" s="26" t="s">
        <v>21</v>
      </c>
      <c r="C9" s="42">
        <f>Q17</f>
        <v>65801362.516222991</v>
      </c>
      <c r="D9" s="42">
        <f>Q18</f>
        <v>-170221822.10764137</v>
      </c>
    </row>
    <row r="10" spans="1:17" x14ac:dyDescent="0.3">
      <c r="B10" s="26" t="s">
        <v>44</v>
      </c>
      <c r="C10" s="42">
        <f>O17*'Key Information'!$C$24</f>
        <v>24184567.734601501</v>
      </c>
      <c r="D10" s="42">
        <f>O18*'Key Information'!$C$24</f>
        <v>185936127.47602361</v>
      </c>
    </row>
    <row r="11" spans="1:17" x14ac:dyDescent="0.3">
      <c r="B11" s="10" t="s">
        <v>23</v>
      </c>
      <c r="C11" s="44">
        <f>SUM(C8:C10)</f>
        <v>125985930.25082448</v>
      </c>
      <c r="D11" s="44">
        <f>SUM(D8:D10)</f>
        <v>259837665.36838225</v>
      </c>
    </row>
    <row r="13" spans="1:17" x14ac:dyDescent="0.3">
      <c r="B13" s="3" t="s">
        <v>53</v>
      </c>
      <c r="C13" s="3"/>
      <c r="L13" s="85">
        <f>NPV('Key Information'!$C$15,E18:E37)-NPV('Key Information'!$C$15,G18:G37)</f>
        <v>53846223.565358751</v>
      </c>
      <c r="M13" s="71"/>
    </row>
    <row r="14" spans="1:17" x14ac:dyDescent="0.3">
      <c r="I14" s="83"/>
      <c r="J14" s="86" t="s">
        <v>73</v>
      </c>
      <c r="L14" s="86" t="s">
        <v>73</v>
      </c>
    </row>
    <row r="15" spans="1:17" ht="57.6" customHeight="1" x14ac:dyDescent="0.3">
      <c r="B15" s="6" t="s">
        <v>2</v>
      </c>
      <c r="C15" s="7" t="s">
        <v>1</v>
      </c>
      <c r="D15" s="8" t="s">
        <v>3</v>
      </c>
      <c r="E15" s="8" t="s">
        <v>5</v>
      </c>
      <c r="F15" s="8" t="s">
        <v>4</v>
      </c>
      <c r="G15" s="8" t="s">
        <v>6</v>
      </c>
      <c r="H15" s="9" t="s">
        <v>14</v>
      </c>
      <c r="I15" s="8" t="s">
        <v>19</v>
      </c>
      <c r="J15" s="8" t="s">
        <v>7</v>
      </c>
      <c r="K15" s="9" t="s">
        <v>10</v>
      </c>
      <c r="L15" s="8" t="s">
        <v>8</v>
      </c>
      <c r="M15" s="9" t="s">
        <v>9</v>
      </c>
      <c r="N15" s="6" t="s">
        <v>42</v>
      </c>
      <c r="O15" s="9" t="s">
        <v>43</v>
      </c>
      <c r="P15" s="6" t="s">
        <v>46</v>
      </c>
      <c r="Q15" s="9" t="s">
        <v>47</v>
      </c>
    </row>
    <row r="16" spans="1:17" x14ac:dyDescent="0.3">
      <c r="B16" s="10"/>
      <c r="C16" s="11"/>
      <c r="D16" s="12" t="s">
        <v>0</v>
      </c>
      <c r="E16" s="12" t="s">
        <v>0</v>
      </c>
      <c r="F16" s="12" t="s">
        <v>0</v>
      </c>
      <c r="G16" s="12" t="s">
        <v>0</v>
      </c>
      <c r="H16" s="13" t="s">
        <v>0</v>
      </c>
      <c r="I16" s="12" t="s">
        <v>0</v>
      </c>
      <c r="J16" s="12" t="s">
        <v>0</v>
      </c>
      <c r="K16" s="13" t="s">
        <v>0</v>
      </c>
      <c r="L16" s="12" t="s">
        <v>0</v>
      </c>
      <c r="M16" s="13" t="s">
        <v>0</v>
      </c>
      <c r="N16" s="14" t="s">
        <v>0</v>
      </c>
      <c r="O16" s="13" t="s">
        <v>0</v>
      </c>
      <c r="P16" s="14" t="s">
        <v>0</v>
      </c>
      <c r="Q16" s="13" t="s">
        <v>0</v>
      </c>
    </row>
    <row r="17" spans="1:17" x14ac:dyDescent="0.3">
      <c r="B17" s="15">
        <v>2019</v>
      </c>
      <c r="C17" s="16">
        <v>0</v>
      </c>
      <c r="D17" s="17"/>
      <c r="E17" s="17"/>
      <c r="F17" s="18"/>
      <c r="G17" s="17"/>
      <c r="H17" s="19"/>
      <c r="I17" s="47">
        <f>800*10^6</f>
        <v>800000000</v>
      </c>
      <c r="J17" s="40">
        <f>I17</f>
        <v>800000000</v>
      </c>
      <c r="K17" s="42">
        <f>I17*'Key Information'!$C$14</f>
        <v>64000000</v>
      </c>
      <c r="L17" s="20"/>
      <c r="N17" s="21"/>
      <c r="O17" s="84">
        <f>NPV('Key Information'!$C$13,N18:N37)</f>
        <v>34549382.478002146</v>
      </c>
      <c r="P17" s="21"/>
      <c r="Q17" s="42">
        <f>NPV('Key Information'!$C$13,P18:P37)</f>
        <v>65801362.516222991</v>
      </c>
    </row>
    <row r="18" spans="1:17" x14ac:dyDescent="0.3">
      <c r="A18" s="22"/>
      <c r="B18" s="15">
        <v>2020</v>
      </c>
      <c r="C18" s="16">
        <v>1</v>
      </c>
      <c r="D18" s="40">
        <f>I17*'Key Information'!$C$15</f>
        <v>64000000</v>
      </c>
      <c r="E18" s="40">
        <f>(I17+D18)*'Key Information'!$C$16</f>
        <v>8640000</v>
      </c>
      <c r="F18" s="40">
        <f>(I17+D18-E18)*'Key Information'!$C$17</f>
        <v>85536000</v>
      </c>
      <c r="G18" s="40">
        <f>'Key Information'!$C$19*(1+'Key Information'!$C$20)^(C18-1)</f>
        <v>1000000</v>
      </c>
      <c r="H18" s="42">
        <f>K17*'Key Information'!$C$22</f>
        <v>1920000</v>
      </c>
      <c r="I18" s="40">
        <f>I17+D18-E18-F18</f>
        <v>769824000</v>
      </c>
      <c r="J18" s="40">
        <f t="shared" ref="J18:J36" si="0">I18</f>
        <v>769824000</v>
      </c>
      <c r="K18" s="42">
        <f>I18*'Key Information'!$C$14</f>
        <v>61585920</v>
      </c>
      <c r="L18" s="40">
        <f>E18-G18-J18</f>
        <v>-762184000</v>
      </c>
      <c r="M18" s="42">
        <f>K17-K18</f>
        <v>2414080</v>
      </c>
      <c r="N18" s="43">
        <f>L18*'Key Information'!$C$23</f>
        <v>-228655200</v>
      </c>
      <c r="O18" s="42">
        <f>NPV('Key Information'!$C$13,N19:N38)</f>
        <v>265623039.25146231</v>
      </c>
      <c r="P18" s="43">
        <f>E18-G18+H18+M18-N18</f>
        <v>240629280</v>
      </c>
      <c r="Q18" s="42">
        <f>NPV('Key Information'!$C$13,P19:P38)</f>
        <v>-170221822.10764137</v>
      </c>
    </row>
    <row r="19" spans="1:17" x14ac:dyDescent="0.3">
      <c r="A19" s="22"/>
      <c r="B19" s="15">
        <v>2021</v>
      </c>
      <c r="C19" s="16">
        <v>2</v>
      </c>
      <c r="D19" s="40">
        <f>I18*'Key Information'!$C$15</f>
        <v>61585920</v>
      </c>
      <c r="E19" s="40">
        <f>(I18+D19)*'Key Information'!$C$16</f>
        <v>8314099.2000000002</v>
      </c>
      <c r="F19" s="40">
        <f>(I18+D19-E19)*'Key Information'!$C$17</f>
        <v>82309582.079999998</v>
      </c>
      <c r="G19" s="40">
        <f>'Key Information'!$C$19*(1+'Key Information'!$C$20)^(C19-1)</f>
        <v>1030000</v>
      </c>
      <c r="H19" s="42">
        <f>K18*'Key Information'!$C$22</f>
        <v>1847577.5999999999</v>
      </c>
      <c r="I19" s="40">
        <f t="shared" ref="I19:I37" si="1">I18+D19-E19-F19</f>
        <v>740786238.71999991</v>
      </c>
      <c r="J19" s="40">
        <f t="shared" si="0"/>
        <v>740786238.71999991</v>
      </c>
      <c r="K19" s="42">
        <f>I19*'Key Information'!$C$14</f>
        <v>59262899.097599991</v>
      </c>
      <c r="L19" s="40">
        <f>E19-G19-(J19-J18)+J18*'Key Information'!$C$15</f>
        <v>97907780.480000094</v>
      </c>
      <c r="M19" s="42">
        <f t="shared" ref="M19:M37" si="2">K18-K19</f>
        <v>2323020.9024000093</v>
      </c>
      <c r="N19" s="43">
        <f>L19*'Key Information'!$C$23</f>
        <v>29372334.144000027</v>
      </c>
      <c r="O19" s="42">
        <f>NPV('Key Information'!$C$13,N20:N39)</f>
        <v>254844317.85506466</v>
      </c>
      <c r="P19" s="43">
        <f t="shared" ref="P19:P37" si="3">E19-G19+H19+M19-N19</f>
        <v>-17917636.441600017</v>
      </c>
      <c r="Q19" s="42">
        <f>NPV('Key Information'!$C$13,P20:P39)</f>
        <v>-164219713.21357626</v>
      </c>
    </row>
    <row r="20" spans="1:17" x14ac:dyDescent="0.3">
      <c r="A20" s="22"/>
      <c r="B20" s="15">
        <v>2022</v>
      </c>
      <c r="C20" s="16">
        <v>3</v>
      </c>
      <c r="D20" s="40">
        <f>I19*'Key Information'!$C$15</f>
        <v>59262899.097599991</v>
      </c>
      <c r="E20" s="40">
        <f>(I19+D20)*'Key Information'!$C$16</f>
        <v>8000491.378175999</v>
      </c>
      <c r="F20" s="40">
        <f>(I19+D20-E20)*'Key Information'!$C$17</f>
        <v>79204864.643942401</v>
      </c>
      <c r="G20" s="40">
        <f>'Key Information'!$C$19*(1+'Key Information'!$C$20)^(C20-1)</f>
        <v>1060900</v>
      </c>
      <c r="H20" s="42">
        <f>K19*'Key Information'!$C$22</f>
        <v>1777886.9729279997</v>
      </c>
      <c r="I20" s="40">
        <f t="shared" si="1"/>
        <v>712843781.79548156</v>
      </c>
      <c r="J20" s="40">
        <f t="shared" si="0"/>
        <v>712843781.79548156</v>
      </c>
      <c r="K20" s="42">
        <f>I20*'Key Information'!$C$14</f>
        <v>57027502.543638527</v>
      </c>
      <c r="L20" s="40">
        <f>E20-G20-(J20-J19)+J19*'Key Information'!$C$15</f>
        <v>94144947.400294334</v>
      </c>
      <c r="M20" s="42">
        <f t="shared" si="2"/>
        <v>2235396.5539614633</v>
      </c>
      <c r="N20" s="43">
        <f>L20*'Key Information'!$C$23</f>
        <v>28243484.220088299</v>
      </c>
      <c r="O20" s="42">
        <f>NPV('Key Information'!$C$13,N21:N40)</f>
        <v>244439935.88483089</v>
      </c>
      <c r="P20" s="43">
        <f t="shared" si="3"/>
        <v>-17290609.315022837</v>
      </c>
      <c r="Q20" s="42">
        <f>NPV('Key Information'!$C$13,P21:P40)</f>
        <v>-158424483.82350376</v>
      </c>
    </row>
    <row r="21" spans="1:17" x14ac:dyDescent="0.3">
      <c r="A21" s="22"/>
      <c r="B21" s="15">
        <v>2023</v>
      </c>
      <c r="C21" s="16">
        <v>4</v>
      </c>
      <c r="D21" s="43">
        <f>I20*'Key Information'!$C$44</f>
        <v>57027502.543638527</v>
      </c>
      <c r="E21" s="40">
        <f>(I20+D21)*'Key Information'!$C$16</f>
        <v>7698712.8433912015</v>
      </c>
      <c r="F21" s="40">
        <f>(I20+D21-E21)*'Key Information'!$C$17</f>
        <v>76217257.149572894</v>
      </c>
      <c r="G21" s="40">
        <f>'Key Information'!$C$19*(1+'Key Information'!$C$20)^(C21-1)</f>
        <v>1092727</v>
      </c>
      <c r="H21" s="42">
        <f>K20*'Key Information'!$C$22</f>
        <v>1710825.0763091557</v>
      </c>
      <c r="I21" s="40">
        <f t="shared" si="1"/>
        <v>685955314.34615612</v>
      </c>
      <c r="J21" s="40">
        <f t="shared" si="0"/>
        <v>685955314.34615612</v>
      </c>
      <c r="K21" s="42">
        <f>I21*'Key Information'!$C$14</f>
        <v>54876425.147692494</v>
      </c>
      <c r="L21" s="40">
        <f>E21-G21-(J21-J20)+J20*'Key Information'!$C$15</f>
        <v>90521955.83635518</v>
      </c>
      <c r="M21" s="42">
        <f t="shared" si="2"/>
        <v>2151077.3959460333</v>
      </c>
      <c r="N21" s="43">
        <f>L21*'Key Information'!$C$23</f>
        <v>27156586.750906553</v>
      </c>
      <c r="O21" s="42">
        <f>NPV('Key Information'!$C$13,N22:N41)</f>
        <v>234394144.64586249</v>
      </c>
      <c r="P21" s="43">
        <f t="shared" si="3"/>
        <v>-16688698.435260162</v>
      </c>
      <c r="Q21" s="42">
        <f>NPV('Key Information'!$C$13,P22:P41)</f>
        <v>-152825499.25588891</v>
      </c>
    </row>
    <row r="22" spans="1:17" x14ac:dyDescent="0.3">
      <c r="A22" s="22"/>
      <c r="B22" s="15">
        <v>2024</v>
      </c>
      <c r="C22" s="16">
        <v>5</v>
      </c>
      <c r="D22" s="43">
        <f>I21*'Key Information'!$C$44</f>
        <v>54876425.147692494</v>
      </c>
      <c r="E22" s="40">
        <f>(I21+D22)*'Key Information'!$C$16</f>
        <v>7408317.3949384857</v>
      </c>
      <c r="F22" s="40">
        <f>(I21+D22-E22)*'Key Information'!$C$17</f>
        <v>73342342.209891006</v>
      </c>
      <c r="G22" s="40">
        <f>'Key Information'!$C$19*(1+'Key Information'!$C$20)^(C22-1)</f>
        <v>1125508.8099999998</v>
      </c>
      <c r="H22" s="42">
        <f>K21*'Key Information'!$C$22</f>
        <v>1646292.7544307748</v>
      </c>
      <c r="I22" s="40">
        <f t="shared" si="1"/>
        <v>660081079.88901913</v>
      </c>
      <c r="J22" s="40">
        <f t="shared" si="0"/>
        <v>660081079.88901913</v>
      </c>
      <c r="K22" s="42">
        <f>I22*'Key Information'!$C$14</f>
        <v>52806486.391121529</v>
      </c>
      <c r="L22" s="40">
        <f>E22-G22-(J22-J21)+J21*'Key Information'!$C$15</f>
        <v>87033468.189767972</v>
      </c>
      <c r="M22" s="42">
        <f t="shared" si="2"/>
        <v>2069938.7565709651</v>
      </c>
      <c r="N22" s="43">
        <f>L22*'Key Information'!$C$23</f>
        <v>26110040.456930391</v>
      </c>
      <c r="O22" s="42">
        <f>NPV('Key Information'!$C$13,N23:N42)</f>
        <v>224691694.31414253</v>
      </c>
      <c r="P22" s="43">
        <f t="shared" si="3"/>
        <v>-16111000.360990167</v>
      </c>
      <c r="Q22" s="42">
        <f>NPV('Key Information'!$C$13,P23:P42)</f>
        <v>-147412283.84281096</v>
      </c>
    </row>
    <row r="23" spans="1:17" x14ac:dyDescent="0.3">
      <c r="A23" s="22"/>
      <c r="B23" s="15">
        <v>2025</v>
      </c>
      <c r="C23" s="16">
        <v>6</v>
      </c>
      <c r="D23" s="43">
        <f>I22*'Key Information'!$C$44</f>
        <v>52806486.391121529</v>
      </c>
      <c r="E23" s="40">
        <f>(I22+D23)*'Key Information'!$C$16</f>
        <v>7128875.6628014063</v>
      </c>
      <c r="F23" s="40">
        <f>(I22+D23-E23)*'Key Information'!$C$17</f>
        <v>70575869.061733931</v>
      </c>
      <c r="G23" s="40">
        <f>'Key Information'!$C$19*(1+'Key Information'!$C$20)^(C23-1)</f>
        <v>1159274.0742999997</v>
      </c>
      <c r="H23" s="42">
        <f>K22*'Key Information'!$C$22</f>
        <v>1584194.5917336459</v>
      </c>
      <c r="I23" s="40">
        <f t="shared" si="1"/>
        <v>635182821.55560529</v>
      </c>
      <c r="J23" s="40">
        <f t="shared" si="0"/>
        <v>635182821.55560529</v>
      </c>
      <c r="K23" s="42">
        <f>I23*'Key Information'!$C$14</f>
        <v>50814625.724448428</v>
      </c>
      <c r="L23" s="40">
        <f>E23-G23-(J23-J22)+J22*'Key Information'!$C$15</f>
        <v>83674346.31303677</v>
      </c>
      <c r="M23" s="42">
        <f t="shared" si="2"/>
        <v>1991860.6666731015</v>
      </c>
      <c r="N23" s="43">
        <f>L23*'Key Information'!$C$23</f>
        <v>25102303.89391103</v>
      </c>
      <c r="O23" s="42">
        <f>NPV('Key Information'!$C$13,N24:N43)</f>
        <v>215317809.02222145</v>
      </c>
      <c r="P23" s="43">
        <f t="shared" si="3"/>
        <v>-15556647.047002876</v>
      </c>
      <c r="Q23" s="42">
        <f>NPV('Key Information'!$C$13,P24:P43)</f>
        <v>-142174496.66480488</v>
      </c>
    </row>
    <row r="24" spans="1:17" x14ac:dyDescent="0.3">
      <c r="A24" s="22"/>
      <c r="B24" s="15">
        <v>2026</v>
      </c>
      <c r="C24" s="16">
        <v>7</v>
      </c>
      <c r="D24" s="43">
        <f>I23*'Key Information'!$C$44</f>
        <v>50814625.724448428</v>
      </c>
      <c r="E24" s="40">
        <f>(I23+D24)*'Key Information'!$C$16</f>
        <v>6859974.4728005379</v>
      </c>
      <c r="F24" s="40">
        <f>(I23+D24-E24)*'Key Information'!$C$17</f>
        <v>67913747.28072533</v>
      </c>
      <c r="G24" s="40">
        <f>'Key Information'!$C$19*(1+'Key Information'!$C$20)^(C24-1)</f>
        <v>1194052.2965289999</v>
      </c>
      <c r="H24" s="42">
        <f>K23*'Key Information'!$C$22</f>
        <v>1524438.7717334528</v>
      </c>
      <c r="I24" s="40">
        <f t="shared" si="1"/>
        <v>611223725.52652788</v>
      </c>
      <c r="J24" s="40">
        <f t="shared" si="0"/>
        <v>611223725.52652788</v>
      </c>
      <c r="K24" s="42">
        <f>I24*'Key Information'!$C$14</f>
        <v>48897898.04212223</v>
      </c>
      <c r="L24" s="40">
        <f>E24-G24-(J24-J23)+J23*'Key Information'!$C$15</f>
        <v>80439643.929797381</v>
      </c>
      <c r="M24" s="42">
        <f t="shared" si="2"/>
        <v>1916727.6823261976</v>
      </c>
      <c r="N24" s="43">
        <f>L24*'Key Information'!$C$23</f>
        <v>24131893.178939212</v>
      </c>
      <c r="O24" s="42">
        <f>NPV('Key Information'!$C$13,N25:N44)</f>
        <v>206258162.47483778</v>
      </c>
      <c r="P24" s="43">
        <f t="shared" si="3"/>
        <v>-15024804.548608024</v>
      </c>
      <c r="Q24" s="42">
        <f>NPV('Key Information'!$C$13,P25:P44)</f>
        <v>-137101906.8827332</v>
      </c>
    </row>
    <row r="25" spans="1:17" x14ac:dyDescent="0.3">
      <c r="A25" s="22"/>
      <c r="B25" s="15">
        <v>2027</v>
      </c>
      <c r="C25" s="16">
        <v>8</v>
      </c>
      <c r="D25" s="43">
        <f>I24*'Key Information'!$C$44</f>
        <v>48897898.04212223</v>
      </c>
      <c r="E25" s="40">
        <f>(I24+D25)*'Key Information'!$C$16</f>
        <v>6601216.2356865015</v>
      </c>
      <c r="F25" s="40">
        <f>(I24+D25-E25)*'Key Information'!$C$17</f>
        <v>65352040.733296365</v>
      </c>
      <c r="G25" s="40">
        <f>'Key Information'!$C$19*(1+'Key Information'!$C$20)^(C25-1)</f>
        <v>1229873.86542487</v>
      </c>
      <c r="H25" s="42">
        <f>K24*'Key Information'!$C$22</f>
        <v>1466936.9412636668</v>
      </c>
      <c r="I25" s="40">
        <f t="shared" si="1"/>
        <v>588168366.59966719</v>
      </c>
      <c r="J25" s="40">
        <f t="shared" si="0"/>
        <v>588168366.59966719</v>
      </c>
      <c r="K25" s="42">
        <f>I25*'Key Information'!$C$14</f>
        <v>47053469.327973373</v>
      </c>
      <c r="L25" s="40">
        <f>E25-G25-(J25-J24)+J24*'Key Information'!$C$15</f>
        <v>77324599.339244545</v>
      </c>
      <c r="M25" s="42">
        <f t="shared" si="2"/>
        <v>1844428.7141488567</v>
      </c>
      <c r="N25" s="43">
        <f>L25*'Key Information'!$C$23</f>
        <v>23197379.801773362</v>
      </c>
      <c r="O25" s="42">
        <f>NPV('Key Information'!$C$13,N26:N45)</f>
        <v>197498854.04630306</v>
      </c>
      <c r="P25" s="43">
        <f t="shared" si="3"/>
        <v>-14514671.776099207</v>
      </c>
      <c r="Q25" s="42">
        <f>NPV('Key Information'!$C$13,P26:P45)</f>
        <v>-132184368.58842528</v>
      </c>
    </row>
    <row r="26" spans="1:17" x14ac:dyDescent="0.3">
      <c r="A26" s="22"/>
      <c r="B26" s="15">
        <v>2028</v>
      </c>
      <c r="C26" s="16">
        <v>9</v>
      </c>
      <c r="D26" s="43">
        <f>I25*'Key Information'!$C$44</f>
        <v>47053469.327973373</v>
      </c>
      <c r="E26" s="40">
        <f>(I25+D26)*'Key Information'!$C$16</f>
        <v>6352218.3592764055</v>
      </c>
      <c r="F26" s="40">
        <f>(I25+D26-E26)*'Key Information'!$C$17</f>
        <v>62886961.756836414</v>
      </c>
      <c r="G26" s="40">
        <f>'Key Information'!$C$19*(1+'Key Information'!$C$20)^(C26-1)</f>
        <v>1266770.081387616</v>
      </c>
      <c r="H26" s="42">
        <f>K25*'Key Information'!$C$22</f>
        <v>1411604.0798392012</v>
      </c>
      <c r="I26" s="40">
        <f t="shared" si="1"/>
        <v>565982655.81152773</v>
      </c>
      <c r="J26" s="40">
        <f t="shared" si="0"/>
        <v>565982655.81152773</v>
      </c>
      <c r="K26" s="42">
        <f>I26*'Key Information'!$C$14</f>
        <v>45278612.46492222</v>
      </c>
      <c r="L26" s="40">
        <f>E26-G26-(J26-J25)+J25*'Key Information'!$C$15</f>
        <v>74324628.394001633</v>
      </c>
      <c r="M26" s="42">
        <f t="shared" si="2"/>
        <v>1774856.8630511537</v>
      </c>
      <c r="N26" s="43">
        <f>L26*'Key Information'!$C$23</f>
        <v>22297388.518200491</v>
      </c>
      <c r="O26" s="42">
        <f>NPV('Key Information'!$C$13,N27:N46)</f>
        <v>189026385.31134385</v>
      </c>
      <c r="P26" s="43">
        <f t="shared" si="3"/>
        <v>-14025479.297421345</v>
      </c>
      <c r="Q26" s="42">
        <f>NPV('Key Information'!$C$13,P27:P46)</f>
        <v>-127411795.09219374</v>
      </c>
    </row>
    <row r="27" spans="1:17" x14ac:dyDescent="0.3">
      <c r="A27" s="22"/>
      <c r="B27" s="15">
        <v>2029</v>
      </c>
      <c r="C27" s="16">
        <v>10</v>
      </c>
      <c r="D27" s="43">
        <f>I26*'Key Information'!$C$44</f>
        <v>45278612.46492222</v>
      </c>
      <c r="E27" s="40">
        <f>(I26+D27)*'Key Information'!$C$16</f>
        <v>6112612.6827644994</v>
      </c>
      <c r="F27" s="40">
        <f>(I26+D27-E27)*'Key Information'!$C$17</f>
        <v>60514865.559368543</v>
      </c>
      <c r="G27" s="40">
        <f>'Key Information'!$C$19*(1+'Key Information'!$C$20)^(C27-1)</f>
        <v>1304773.1838292445</v>
      </c>
      <c r="H27" s="42">
        <f>K26*'Key Information'!$C$22</f>
        <v>1358358.3739476665</v>
      </c>
      <c r="I27" s="40">
        <f t="shared" si="1"/>
        <v>544633790.0343169</v>
      </c>
      <c r="J27" s="40">
        <f t="shared" si="0"/>
        <v>544633790.0343169</v>
      </c>
      <c r="K27" s="42">
        <f>I27*'Key Information'!$C$14</f>
        <v>43570703.202745356</v>
      </c>
      <c r="L27" s="40">
        <f>E27-G27-(J27-J26)+J26*'Key Information'!$C$15</f>
        <v>71435317.741068304</v>
      </c>
      <c r="M27" s="42">
        <f t="shared" si="2"/>
        <v>1707909.2621768638</v>
      </c>
      <c r="N27" s="43">
        <f>L27*'Key Information'!$C$23</f>
        <v>21430595.322320491</v>
      </c>
      <c r="O27" s="42">
        <f>NPV('Key Information'!$C$13,N28:N47)</f>
        <v>180827636.9608174</v>
      </c>
      <c r="P27" s="43">
        <f t="shared" si="3"/>
        <v>-13556488.187260706</v>
      </c>
      <c r="Q27" s="42">
        <f>NPV('Key Information'!$C$13,P28:P47)</f>
        <v>-122774132.56138662</v>
      </c>
    </row>
    <row r="28" spans="1:17" x14ac:dyDescent="0.3">
      <c r="A28" s="22"/>
      <c r="B28" s="15">
        <v>2030</v>
      </c>
      <c r="C28" s="16">
        <v>11</v>
      </c>
      <c r="D28" s="43">
        <f>I27*'Key Information'!$C$44</f>
        <v>43570703.202745356</v>
      </c>
      <c r="E28" s="40">
        <f>(I27+D28)*'Key Information'!$C$16</f>
        <v>5882044.9323706226</v>
      </c>
      <c r="F28" s="40">
        <f>(I27+D28-E28)*'Key Information'!$C$17</f>
        <v>58232244.830469161</v>
      </c>
      <c r="G28" s="40">
        <f>'Key Information'!$C$19*(1+'Key Information'!$C$20)^(C28-1)</f>
        <v>1343916.3793441218</v>
      </c>
      <c r="H28" s="42">
        <f>K27*'Key Information'!$C$22</f>
        <v>1307121.0960823607</v>
      </c>
      <c r="I28" s="40">
        <f t="shared" si="1"/>
        <v>524090203.47422242</v>
      </c>
      <c r="J28" s="40">
        <f t="shared" si="0"/>
        <v>524090203.47422242</v>
      </c>
      <c r="K28" s="42">
        <f>I28*'Key Information'!$C$14</f>
        <v>41927216.277937792</v>
      </c>
      <c r="L28" s="40">
        <f>E28-G28-(J28-J27)+J27*'Key Information'!$C$15</f>
        <v>68652418.315866336</v>
      </c>
      <c r="M28" s="42">
        <f t="shared" si="2"/>
        <v>1643486.9248075634</v>
      </c>
      <c r="N28" s="43">
        <f>L28*'Key Information'!$C$23</f>
        <v>20595725.494759899</v>
      </c>
      <c r="O28" s="42">
        <f>NPV('Key Information'!$C$13,N29:N48)</f>
        <v>172889846.05331469</v>
      </c>
      <c r="P28" s="43">
        <f t="shared" si="3"/>
        <v>-13106988.920843475</v>
      </c>
      <c r="Q28" s="42">
        <f>NPV('Key Information'!$C$13,P29:P48)</f>
        <v>-118261332.9198402</v>
      </c>
    </row>
    <row r="29" spans="1:17" x14ac:dyDescent="0.3">
      <c r="A29" s="22"/>
      <c r="B29" s="15">
        <v>2031</v>
      </c>
      <c r="C29" s="16">
        <v>12</v>
      </c>
      <c r="D29" s="43">
        <f>I28*'Key Information'!$C$44</f>
        <v>41927216.277937792</v>
      </c>
      <c r="E29" s="40">
        <f>(I28+D29)*'Key Information'!$C$16</f>
        <v>5660174.1975216018</v>
      </c>
      <c r="F29" s="40">
        <f>(I28+D29-E29)*'Key Information'!$C$17</f>
        <v>56035724.555463865</v>
      </c>
      <c r="G29" s="40">
        <f>'Key Information'!$C$19*(1+'Key Information'!$C$20)^(C29-1)</f>
        <v>1384233.8707244454</v>
      </c>
      <c r="H29" s="42">
        <f>K28*'Key Information'!$C$22</f>
        <v>1257816.4883381338</v>
      </c>
      <c r="I29" s="40">
        <f t="shared" si="1"/>
        <v>504321520.99917477</v>
      </c>
      <c r="J29" s="40">
        <f t="shared" si="0"/>
        <v>504321520.99917477</v>
      </c>
      <c r="K29" s="42">
        <f>I29*'Key Information'!$C$14</f>
        <v>40345721.67993398</v>
      </c>
      <c r="L29" s="40">
        <f>E29-G29-(J29-J28)+J28*'Key Information'!$C$15</f>
        <v>65971839.079782598</v>
      </c>
      <c r="M29" s="42">
        <f t="shared" si="2"/>
        <v>1581494.5980038121</v>
      </c>
      <c r="N29" s="43">
        <f>L29*'Key Information'!$C$23</f>
        <v>19791551.723934777</v>
      </c>
      <c r="O29" s="42">
        <f>NPV('Key Information'!$C$13,N30:N49)</f>
        <v>165200583.553112</v>
      </c>
      <c r="P29" s="43">
        <f t="shared" si="3"/>
        <v>-12676300.310795674</v>
      </c>
      <c r="Q29" s="42">
        <f>NPV('Key Information'!$C$13,P30:P49)</f>
        <v>-113863325.91343334</v>
      </c>
    </row>
    <row r="30" spans="1:17" x14ac:dyDescent="0.3">
      <c r="A30" s="22"/>
      <c r="B30" s="15">
        <v>2032</v>
      </c>
      <c r="C30" s="16">
        <v>13</v>
      </c>
      <c r="D30" s="43">
        <f>I29*'Key Information'!$C$44</f>
        <v>40345721.67993398</v>
      </c>
      <c r="E30" s="40">
        <f>(I29+D30)*'Key Information'!$C$16</f>
        <v>5446672.4267910877</v>
      </c>
      <c r="F30" s="40">
        <f>(I29+D30-E30)*'Key Information'!$C$17</f>
        <v>53922057.025231771</v>
      </c>
      <c r="G30" s="40">
        <f>'Key Information'!$C$19*(1+'Key Information'!$C$20)^(C30-1)</f>
        <v>1425760.8868461787</v>
      </c>
      <c r="H30" s="42">
        <f>K29*'Key Information'!$C$22</f>
        <v>1210371.6503980195</v>
      </c>
      <c r="I30" s="40">
        <f t="shared" si="1"/>
        <v>485298513.22708589</v>
      </c>
      <c r="J30" s="40">
        <f t="shared" si="0"/>
        <v>485298513.22708589</v>
      </c>
      <c r="K30" s="42">
        <f>I30*'Key Information'!$C$14</f>
        <v>38823881.058166869</v>
      </c>
      <c r="L30" s="40">
        <f>E30-G30-(J30-J29)+J29*'Key Information'!$C$15</f>
        <v>63389640.991967775</v>
      </c>
      <c r="M30" s="42">
        <f t="shared" si="2"/>
        <v>1521840.6217671111</v>
      </c>
      <c r="N30" s="43">
        <f>L30*'Key Information'!$C$23</f>
        <v>19016892.29759033</v>
      </c>
      <c r="O30" s="42">
        <f>NPV('Key Information'!$C$13,N31:N50)</f>
        <v>157747732.10423949</v>
      </c>
      <c r="P30" s="43">
        <f t="shared" si="3"/>
        <v>-12263768.48548029</v>
      </c>
      <c r="Q30" s="42">
        <f>NPV('Key Information'!$C$13,P31:P50)</f>
        <v>-109569990.2418934</v>
      </c>
    </row>
    <row r="31" spans="1:17" x14ac:dyDescent="0.3">
      <c r="A31" s="22"/>
      <c r="B31" s="15">
        <v>2033</v>
      </c>
      <c r="C31" s="16">
        <v>14</v>
      </c>
      <c r="D31" s="43">
        <f>I30*'Key Information'!$C$44</f>
        <v>38823881.058166869</v>
      </c>
      <c r="E31" s="40">
        <f>(I30+D31)*'Key Information'!$C$16</f>
        <v>5241223.9428525278</v>
      </c>
      <c r="F31" s="40">
        <f>(I30+D31-E31)*'Key Information'!$C$17</f>
        <v>51888117.034240022</v>
      </c>
      <c r="G31" s="40">
        <f>'Key Information'!$C$19*(1+'Key Information'!$C$20)^(C31-1)</f>
        <v>1468533.7134515638</v>
      </c>
      <c r="H31" s="42">
        <f>K30*'Key Information'!$C$22</f>
        <v>1164716.431745006</v>
      </c>
      <c r="I31" s="40">
        <f t="shared" si="1"/>
        <v>466993053.30816019</v>
      </c>
      <c r="J31" s="40">
        <f t="shared" si="0"/>
        <v>466993053.30816019</v>
      </c>
      <c r="K31" s="42">
        <f>I31*'Key Information'!$C$14</f>
        <v>37359444.264652818</v>
      </c>
      <c r="L31" s="40">
        <f>E31-G31-(J31-J30)+J30*'Key Information'!$C$15</f>
        <v>60902031.206493534</v>
      </c>
      <c r="M31" s="42">
        <f t="shared" si="2"/>
        <v>1464436.7935140505</v>
      </c>
      <c r="N31" s="43">
        <f>L31*'Key Information'!$C$23</f>
        <v>18270609.361948058</v>
      </c>
      <c r="O31" s="42">
        <f>NPV('Key Information'!$C$13,N32:N51)</f>
        <v>150519463.98958826</v>
      </c>
      <c r="P31" s="43">
        <f t="shared" si="3"/>
        <v>-11868765.907288037</v>
      </c>
      <c r="Q31" s="42">
        <f>NPV('Key Information'!$C$13,P32:P51)</f>
        <v>-105371123.65153791</v>
      </c>
    </row>
    <row r="32" spans="1:17" x14ac:dyDescent="0.3">
      <c r="A32" s="22"/>
      <c r="B32" s="15">
        <v>2034</v>
      </c>
      <c r="C32" s="16">
        <v>15</v>
      </c>
      <c r="D32" s="43">
        <f>I31*'Key Information'!$C$44</f>
        <v>37359444.264652818</v>
      </c>
      <c r="E32" s="40">
        <f>(I31+D32)*'Key Information'!$C$16</f>
        <v>5043524.9757281309</v>
      </c>
      <c r="F32" s="40">
        <f>(I31+D32-E32)*'Key Information'!$C$17</f>
        <v>49930897.259708494</v>
      </c>
      <c r="G32" s="40">
        <f>'Key Information'!$C$19*(1+'Key Information'!$C$20)^(C32-1)</f>
        <v>1512589.724855111</v>
      </c>
      <c r="H32" s="42">
        <f>K31*'Key Information'!$C$22</f>
        <v>1120783.3279395846</v>
      </c>
      <c r="I32" s="40">
        <f t="shared" si="1"/>
        <v>449378075.33737636</v>
      </c>
      <c r="J32" s="40">
        <f t="shared" si="0"/>
        <v>449378075.33737636</v>
      </c>
      <c r="K32" s="42">
        <f>I32*'Key Information'!$C$14</f>
        <v>35950246.026990108</v>
      </c>
      <c r="L32" s="40">
        <f>E32-G32-(J32-J31)+J31*'Key Information'!$C$15</f>
        <v>58505357.48630967</v>
      </c>
      <c r="M32" s="42">
        <f t="shared" si="2"/>
        <v>1409198.2376627102</v>
      </c>
      <c r="N32" s="43">
        <f>L32*'Key Information'!$C$23</f>
        <v>17551607.245892901</v>
      </c>
      <c r="O32" s="42">
        <f>NPV('Key Information'!$C$13,N33:N52)</f>
        <v>143504219.22296652</v>
      </c>
      <c r="P32" s="43">
        <f t="shared" si="3"/>
        <v>-11490690.429417586</v>
      </c>
      <c r="Q32" s="42">
        <f>NPV('Key Information'!$C$13,P33:P52)</f>
        <v>-101256411.87772797</v>
      </c>
    </row>
    <row r="33" spans="1:17" x14ac:dyDescent="0.3">
      <c r="A33" s="22"/>
      <c r="B33" s="15">
        <v>2035</v>
      </c>
      <c r="C33" s="16">
        <v>16</v>
      </c>
      <c r="D33" s="43">
        <f>I32*'Key Information'!$C$44</f>
        <v>35950246.026990108</v>
      </c>
      <c r="E33" s="40">
        <f>(I32+D33)*'Key Information'!$C$16</f>
        <v>4853283.2136436645</v>
      </c>
      <c r="F33" s="40">
        <f>(I32+D33-E33)*'Key Information'!$C$17</f>
        <v>48047503.815072283</v>
      </c>
      <c r="G33" s="40">
        <f>'Key Information'!$C$19*(1+'Key Information'!$C$20)^(C33-1)</f>
        <v>1557967.4166007645</v>
      </c>
      <c r="H33" s="42">
        <f>K32*'Key Information'!$C$22</f>
        <v>1078507.3808097031</v>
      </c>
      <c r="I33" s="40">
        <f t="shared" si="1"/>
        <v>432427534.3356505</v>
      </c>
      <c r="J33" s="40">
        <f t="shared" si="0"/>
        <v>432427534.3356505</v>
      </c>
      <c r="K33" s="42">
        <f>I33*'Key Information'!$C$14</f>
        <v>34594202.74685204</v>
      </c>
      <c r="L33" s="40">
        <f>E33-G33-(J33-J32)+J32*'Key Information'!$C$15</f>
        <v>56196102.82575886</v>
      </c>
      <c r="M33" s="42">
        <f t="shared" si="2"/>
        <v>1356043.2801380679</v>
      </c>
      <c r="N33" s="43">
        <f>L33*'Key Information'!$C$23</f>
        <v>16858830.847727656</v>
      </c>
      <c r="O33" s="42">
        <f>NPV('Key Information'!$C$13,N34:N53)</f>
        <v>136690683.72084653</v>
      </c>
      <c r="P33" s="43">
        <f t="shared" si="3"/>
        <v>-11128964.389736986</v>
      </c>
      <c r="Q33" s="42">
        <f>NPV('Key Information'!$C$13,P34:P53)</f>
        <v>-97215396.319431946</v>
      </c>
    </row>
    <row r="34" spans="1:17" x14ac:dyDescent="0.3">
      <c r="A34" s="22"/>
      <c r="B34" s="15">
        <v>2036</v>
      </c>
      <c r="C34" s="16">
        <v>17</v>
      </c>
      <c r="D34" s="43">
        <f>I33*'Key Information'!$C$44</f>
        <v>34594202.74685204</v>
      </c>
      <c r="E34" s="40">
        <f>(I33+D34)*'Key Information'!$C$16</f>
        <v>4670217.3708250253</v>
      </c>
      <c r="F34" s="40">
        <f>(I33+D34-E34)*'Key Information'!$C$17</f>
        <v>46235151.971167751</v>
      </c>
      <c r="G34" s="40">
        <f>'Key Information'!$C$19*(1+'Key Information'!$C$20)^(C34-1)</f>
        <v>1604706.439098787</v>
      </c>
      <c r="H34" s="42">
        <f>K33*'Key Information'!$C$22</f>
        <v>1037826.0824055611</v>
      </c>
      <c r="I34" s="40">
        <f t="shared" si="1"/>
        <v>416116367.74050975</v>
      </c>
      <c r="J34" s="40">
        <f t="shared" si="0"/>
        <v>416116367.74050975</v>
      </c>
      <c r="K34" s="42">
        <f>I34*'Key Information'!$C$14</f>
        <v>33289309.41924078</v>
      </c>
      <c r="L34" s="40">
        <f>E34-G34-(J34-J33)+J33*'Key Information'!$C$15</f>
        <v>53970880.273719035</v>
      </c>
      <c r="M34" s="42">
        <f t="shared" si="2"/>
        <v>1304893.3276112601</v>
      </c>
      <c r="N34" s="43">
        <f>L34*'Key Information'!$C$23</f>
        <v>16191264.08211571</v>
      </c>
      <c r="O34" s="42">
        <f>NPV('Key Information'!$C$13,N35:N54)</f>
        <v>130067767.49919009</v>
      </c>
      <c r="P34" s="43">
        <f t="shared" si="3"/>
        <v>-10783033.74037265</v>
      </c>
      <c r="Q34" s="42">
        <f>NPV('Key Information'!$C$13,P35:P54)</f>
        <v>-93237440.321419552</v>
      </c>
    </row>
    <row r="35" spans="1:17" x14ac:dyDescent="0.3">
      <c r="A35" s="22"/>
      <c r="B35" s="15">
        <v>2037</v>
      </c>
      <c r="C35" s="16">
        <v>18</v>
      </c>
      <c r="D35" s="43">
        <f>I34*'Key Information'!$C$44</f>
        <v>33289309.41924078</v>
      </c>
      <c r="E35" s="40">
        <f>(I34+D35)*'Key Information'!$C$16</f>
        <v>4494056.7715975055</v>
      </c>
      <c r="F35" s="40">
        <f>(I34+D35-E35)*'Key Information'!$C$17</f>
        <v>44491162.038815305</v>
      </c>
      <c r="G35" s="40">
        <f>'Key Information'!$C$19*(1+'Key Information'!$C$20)^(C35-1)</f>
        <v>1652847.6322717506</v>
      </c>
      <c r="H35" s="42">
        <f>K34*'Key Information'!$C$22</f>
        <v>998679.28257722338</v>
      </c>
      <c r="I35" s="40">
        <f t="shared" si="1"/>
        <v>400420458.3493377</v>
      </c>
      <c r="J35" s="40">
        <f t="shared" si="0"/>
        <v>400420458.3493377</v>
      </c>
      <c r="K35" s="42">
        <f>I35*'Key Information'!$C$14</f>
        <v>32033636.667947017</v>
      </c>
      <c r="L35" s="40">
        <f>E35-G35-(J35-J34)+J34*'Key Information'!$C$15</f>
        <v>51826427.949738584</v>
      </c>
      <c r="M35" s="42">
        <f t="shared" si="2"/>
        <v>1255672.7512937635</v>
      </c>
      <c r="N35" s="43">
        <f>L35*'Key Information'!$C$23</f>
        <v>15547928.384921575</v>
      </c>
      <c r="O35" s="42">
        <f>NPV('Key Information'!$C$13,N36:N55)</f>
        <v>123624582.83921182</v>
      </c>
      <c r="P35" s="43">
        <f t="shared" si="3"/>
        <v>-10452367.211724833</v>
      </c>
      <c r="Q35" s="42">
        <f>NPV('Key Information'!$C$13,P36:P55)</f>
        <v>-89311693.932194084</v>
      </c>
    </row>
    <row r="36" spans="1:17" x14ac:dyDescent="0.3">
      <c r="A36" s="22"/>
      <c r="B36" s="15">
        <v>2038</v>
      </c>
      <c r="C36" s="16">
        <v>19</v>
      </c>
      <c r="D36" s="43">
        <f>I35*'Key Information'!$C$44</f>
        <v>32033636.667947017</v>
      </c>
      <c r="E36" s="40">
        <f>(I35+D36)*'Key Information'!$C$16</f>
        <v>4324540.9501728471</v>
      </c>
      <c r="F36" s="40">
        <f>(I35+D36-E36)*'Key Information'!$C$17</f>
        <v>42812955.406711191</v>
      </c>
      <c r="G36" s="40">
        <f>'Key Information'!$C$19*(1+'Key Information'!$C$20)^(C36-1)</f>
        <v>1702433.0612399033</v>
      </c>
      <c r="H36" s="42">
        <f>K35*'Key Information'!$C$22</f>
        <v>961009.10003841051</v>
      </c>
      <c r="I36" s="40">
        <f t="shared" si="1"/>
        <v>385316598.66040063</v>
      </c>
      <c r="J36" s="40">
        <f t="shared" si="0"/>
        <v>385316598.66040063</v>
      </c>
      <c r="K36" s="42">
        <f>I36*'Key Information'!$C$14</f>
        <v>30825327.892832052</v>
      </c>
      <c r="L36" s="40">
        <f>E36-G36-(J36-J35)+J35*'Key Information'!$C$15</f>
        <v>49759604.245817028</v>
      </c>
      <c r="M36" s="42">
        <f t="shared" si="2"/>
        <v>1208308.7751149647</v>
      </c>
      <c r="N36" s="43">
        <f>L36*'Key Information'!$C$23</f>
        <v>14927881.273745108</v>
      </c>
      <c r="O36" s="42">
        <f>NPV('Key Information'!$C$13,N37:N56)</f>
        <v>117350422.36421154</v>
      </c>
      <c r="P36" s="43">
        <f t="shared" si="3"/>
        <v>-10136455.509658789</v>
      </c>
      <c r="Q36" s="42">
        <f>NPV('Key Information'!$C$13,P37:P56)</f>
        <v>-85427056.997788891</v>
      </c>
    </row>
    <row r="37" spans="1:17" x14ac:dyDescent="0.3">
      <c r="A37" s="22"/>
      <c r="B37" s="23">
        <v>2039</v>
      </c>
      <c r="C37" s="24">
        <v>20</v>
      </c>
      <c r="D37" s="45">
        <f>I36*'Key Information'!$C$44</f>
        <v>30825327.892832052</v>
      </c>
      <c r="E37" s="41">
        <f>(I36+D37)*'Key Information'!$C$16</f>
        <v>4161419.2655323269</v>
      </c>
      <c r="F37" s="69">
        <f>(I36+D37-E37)*'Key Information'!$C$18</f>
        <v>411980507.28770036</v>
      </c>
      <c r="G37" s="69">
        <f>'Key Information'!$C$19*(1+'Key Information'!$C$20)^(C37-1)</f>
        <v>1753506.0530771003</v>
      </c>
      <c r="H37" s="44">
        <f>K36*'Key Information'!$C$22</f>
        <v>924759.83678496152</v>
      </c>
      <c r="I37" s="41">
        <f t="shared" si="1"/>
        <v>0</v>
      </c>
      <c r="J37" s="41">
        <f>I37</f>
        <v>0</v>
      </c>
      <c r="K37" s="44">
        <f>I37*'Key Information'!$C$14</f>
        <v>0</v>
      </c>
      <c r="L37" s="45">
        <f>E37-G37-(J37-J36)+J36*'Key Information'!$C$15</f>
        <v>418549839.76568788</v>
      </c>
      <c r="M37" s="44">
        <f t="shared" si="2"/>
        <v>30825327.892832052</v>
      </c>
      <c r="N37" s="45">
        <f>L37*'Key Information'!$C$23</f>
        <v>125564951.92970636</v>
      </c>
      <c r="O37" s="44">
        <f>NPV('Key Information'!$C$13,N38:N57)</f>
        <v>0</v>
      </c>
      <c r="P37" s="45">
        <f t="shared" si="3"/>
        <v>-91406950.987634122</v>
      </c>
      <c r="Q37" s="44">
        <f>NPV('Key Information'!$C$13,P38:P57)</f>
        <v>0</v>
      </c>
    </row>
    <row r="41" spans="1:17" x14ac:dyDescent="0.3">
      <c r="E41" s="22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>
      <selection activeCell="D8" sqref="D8"/>
    </sheetView>
  </sheetViews>
  <sheetFormatPr defaultColWidth="9.140625" defaultRowHeight="16.5" x14ac:dyDescent="0.3"/>
  <cols>
    <col min="1" max="1" width="6.85546875" style="71" bestFit="1" customWidth="1"/>
    <col min="2" max="2" width="38.5703125" style="71" bestFit="1" customWidth="1"/>
    <col min="3" max="8" width="18.7109375" style="71" customWidth="1"/>
    <col min="9" max="10" width="18.7109375" style="2" customWidth="1"/>
    <col min="11" max="17" width="18.7109375" style="71" customWidth="1"/>
    <col min="18" max="16384" width="9.140625" style="71"/>
  </cols>
  <sheetData>
    <row r="1" spans="1:17" x14ac:dyDescent="0.3">
      <c r="A1" s="25" t="s">
        <v>55</v>
      </c>
      <c r="B1" s="48" t="s">
        <v>57</v>
      </c>
    </row>
    <row r="2" spans="1:17" x14ac:dyDescent="0.3">
      <c r="A2" s="26"/>
      <c r="B2" s="49" t="s">
        <v>56</v>
      </c>
    </row>
    <row r="3" spans="1:17" x14ac:dyDescent="0.3">
      <c r="A3" s="10"/>
      <c r="B3" s="73"/>
    </row>
    <row r="5" spans="1:17" x14ac:dyDescent="0.3">
      <c r="B5" s="3" t="s">
        <v>11</v>
      </c>
    </row>
    <row r="7" spans="1:17" ht="33" x14ac:dyDescent="0.3">
      <c r="B7" s="27"/>
      <c r="C7" s="46" t="s">
        <v>18</v>
      </c>
      <c r="D7" s="46" t="s">
        <v>41</v>
      </c>
    </row>
    <row r="8" spans="1:17" x14ac:dyDescent="0.3">
      <c r="B8" s="26" t="s">
        <v>22</v>
      </c>
      <c r="C8" s="42">
        <f>'Key Information'!C29-'Key Information'!C30-J17-K17</f>
        <v>36000000</v>
      </c>
      <c r="D8" s="42">
        <f>C8*'Key Information'!$C$22+M18+P18</f>
        <v>230123360</v>
      </c>
    </row>
    <row r="9" spans="1:17" x14ac:dyDescent="0.3">
      <c r="B9" s="26" t="s">
        <v>21</v>
      </c>
      <c r="C9" s="42">
        <f>Q17</f>
        <v>64778568.499926828</v>
      </c>
      <c r="D9" s="42">
        <f>Q18</f>
        <v>-149316211.70507836</v>
      </c>
    </row>
    <row r="10" spans="1:17" x14ac:dyDescent="0.3">
      <c r="B10" s="26" t="s">
        <v>44</v>
      </c>
      <c r="C10" s="42">
        <f>O17*'Key Information'!$C$24</f>
        <v>20899594.011673585</v>
      </c>
      <c r="D10" s="42">
        <f>O18*'Key Information'!$C$24</f>
        <v>161421205.5924907</v>
      </c>
    </row>
    <row r="11" spans="1:17" x14ac:dyDescent="0.3">
      <c r="B11" s="10" t="s">
        <v>23</v>
      </c>
      <c r="C11" s="44">
        <f>SUM(C8:C10)</f>
        <v>121678162.51160042</v>
      </c>
      <c r="D11" s="44">
        <f>SUM(D8:D10)</f>
        <v>242228353.88741234</v>
      </c>
    </row>
    <row r="13" spans="1:17" x14ac:dyDescent="0.3">
      <c r="B13" s="3" t="s">
        <v>53</v>
      </c>
      <c r="C13" s="3"/>
      <c r="L13" s="85">
        <f>NPV('Key Information'!$C$15,E18:E37)-NPV('Key Information'!$C$15,G18:G37)</f>
        <v>46299529.124818332</v>
      </c>
    </row>
    <row r="14" spans="1:17" x14ac:dyDescent="0.3">
      <c r="I14" s="83"/>
      <c r="J14" s="86" t="s">
        <v>73</v>
      </c>
      <c r="L14" s="86" t="s">
        <v>73</v>
      </c>
    </row>
    <row r="15" spans="1:17" ht="57.6" customHeight="1" x14ac:dyDescent="0.3">
      <c r="B15" s="6" t="s">
        <v>2</v>
      </c>
      <c r="C15" s="7" t="s">
        <v>1</v>
      </c>
      <c r="D15" s="8" t="s">
        <v>3</v>
      </c>
      <c r="E15" s="8" t="s">
        <v>5</v>
      </c>
      <c r="F15" s="8" t="s">
        <v>4</v>
      </c>
      <c r="G15" s="8" t="s">
        <v>6</v>
      </c>
      <c r="H15" s="9" t="s">
        <v>14</v>
      </c>
      <c r="I15" s="8" t="s">
        <v>19</v>
      </c>
      <c r="J15" s="8" t="s">
        <v>7</v>
      </c>
      <c r="K15" s="9" t="s">
        <v>10</v>
      </c>
      <c r="L15" s="8" t="s">
        <v>8</v>
      </c>
      <c r="M15" s="9" t="s">
        <v>9</v>
      </c>
      <c r="N15" s="6" t="s">
        <v>42</v>
      </c>
      <c r="O15" s="9" t="s">
        <v>43</v>
      </c>
      <c r="P15" s="6" t="s">
        <v>46</v>
      </c>
      <c r="Q15" s="9" t="s">
        <v>47</v>
      </c>
    </row>
    <row r="16" spans="1:17" x14ac:dyDescent="0.3">
      <c r="B16" s="10"/>
      <c r="C16" s="11"/>
      <c r="D16" s="12" t="s">
        <v>0</v>
      </c>
      <c r="E16" s="12" t="s">
        <v>0</v>
      </c>
      <c r="F16" s="12" t="s">
        <v>0</v>
      </c>
      <c r="G16" s="12" t="s">
        <v>0</v>
      </c>
      <c r="H16" s="13" t="s">
        <v>0</v>
      </c>
      <c r="I16" s="12" t="s">
        <v>0</v>
      </c>
      <c r="J16" s="12" t="s">
        <v>0</v>
      </c>
      <c r="K16" s="13" t="s">
        <v>0</v>
      </c>
      <c r="L16" s="12" t="s">
        <v>0</v>
      </c>
      <c r="M16" s="13" t="s">
        <v>0</v>
      </c>
      <c r="N16" s="14" t="s">
        <v>0</v>
      </c>
      <c r="O16" s="13" t="s">
        <v>0</v>
      </c>
      <c r="P16" s="14" t="s">
        <v>0</v>
      </c>
      <c r="Q16" s="13" t="s">
        <v>0</v>
      </c>
    </row>
    <row r="17" spans="1:17" x14ac:dyDescent="0.3">
      <c r="B17" s="15">
        <v>2019</v>
      </c>
      <c r="C17" s="16">
        <v>0</v>
      </c>
      <c r="D17" s="17"/>
      <c r="E17" s="17"/>
      <c r="F17" s="18"/>
      <c r="G17" s="17"/>
      <c r="H17" s="19"/>
      <c r="I17" s="47">
        <f>800*10^6</f>
        <v>800000000</v>
      </c>
      <c r="J17" s="40">
        <f>I17</f>
        <v>800000000</v>
      </c>
      <c r="K17" s="42">
        <f>I17*'Key Information'!$C$14</f>
        <v>64000000</v>
      </c>
      <c r="L17" s="20"/>
      <c r="N17" s="21"/>
      <c r="O17" s="84">
        <f>NPV('Key Information'!$C$13,N18:N37)</f>
        <v>29856562.873819407</v>
      </c>
      <c r="P17" s="21"/>
      <c r="Q17" s="42">
        <f>NPV('Key Information'!$C$13,P18:P37)</f>
        <v>64778568.499926828</v>
      </c>
    </row>
    <row r="18" spans="1:17" x14ac:dyDescent="0.3">
      <c r="A18" s="22"/>
      <c r="B18" s="15">
        <v>2020</v>
      </c>
      <c r="C18" s="16">
        <v>1</v>
      </c>
      <c r="D18" s="40">
        <f>I17*'Key Information'!$C$15</f>
        <v>64000000</v>
      </c>
      <c r="E18" s="40">
        <f>(I17+D18)*'Key Information'!$C$16</f>
        <v>8640000</v>
      </c>
      <c r="F18" s="89">
        <f>(I17+D18-E18)*'Key Information'!$C$17+'Key Information'!C38</f>
        <v>185536000</v>
      </c>
      <c r="G18" s="40">
        <f>'Key Information'!$C$19*(1+'Key Information'!$C$20)^(C18-1)</f>
        <v>1000000</v>
      </c>
      <c r="H18" s="42">
        <f>K17*'Key Information'!$C$22</f>
        <v>1920000</v>
      </c>
      <c r="I18" s="40">
        <f>I17+D18-E18-F18</f>
        <v>669824000</v>
      </c>
      <c r="J18" s="40">
        <f t="shared" ref="J18:J36" si="0">I18</f>
        <v>669824000</v>
      </c>
      <c r="K18" s="42">
        <f>I18*'Key Information'!$C$14</f>
        <v>53585920</v>
      </c>
      <c r="L18" s="40">
        <f>E18-G18-J18</f>
        <v>-662184000</v>
      </c>
      <c r="M18" s="42">
        <f>K17-K18</f>
        <v>10414080</v>
      </c>
      <c r="N18" s="43">
        <f>L18*'Key Information'!$C$23</f>
        <v>-198655200</v>
      </c>
      <c r="O18" s="42">
        <f>NPV('Key Information'!$C$13,N19:N38)</f>
        <v>230601722.27498674</v>
      </c>
      <c r="P18" s="43">
        <f>E18-G18+H18+M18-N18</f>
        <v>218629280</v>
      </c>
      <c r="Q18" s="42">
        <f>NPV('Key Information'!$C$13,P19:P38)</f>
        <v>-149316211.70507836</v>
      </c>
    </row>
    <row r="19" spans="1:17" x14ac:dyDescent="0.3">
      <c r="A19" s="22"/>
      <c r="B19" s="15">
        <v>2021</v>
      </c>
      <c r="C19" s="16">
        <v>2</v>
      </c>
      <c r="D19" s="40">
        <f>I18*'Key Information'!$C$15</f>
        <v>53585920</v>
      </c>
      <c r="E19" s="40">
        <f>(I18+D19)*'Key Information'!$C$16</f>
        <v>7234099.2000000002</v>
      </c>
      <c r="F19" s="40">
        <f>(I18+D19-E19)*'Key Information'!$C$17</f>
        <v>71617582.079999998</v>
      </c>
      <c r="G19" s="40">
        <f>'Key Information'!$C$19*(1+'Key Information'!$C$20)^(C19-1)</f>
        <v>1030000</v>
      </c>
      <c r="H19" s="42">
        <f>K18*'Key Information'!$C$22</f>
        <v>1607577.5999999999</v>
      </c>
      <c r="I19" s="40">
        <f t="shared" ref="I19:I37" si="1">I18+D19-E19-F19</f>
        <v>644558238.71999991</v>
      </c>
      <c r="J19" s="40">
        <f t="shared" si="0"/>
        <v>644558238.71999991</v>
      </c>
      <c r="K19" s="42">
        <f>I19*'Key Information'!$C$14</f>
        <v>51564659.097599991</v>
      </c>
      <c r="L19" s="40">
        <f>E19-G19-(J19-J18)+J18*'Key Information'!$C$15</f>
        <v>85055780.480000094</v>
      </c>
      <c r="M19" s="42">
        <f t="shared" ref="M19:M37" si="2">K18-K19</f>
        <v>2021260.9024000093</v>
      </c>
      <c r="N19" s="43">
        <f>L19*'Key Information'!$C$23</f>
        <v>25516734.144000027</v>
      </c>
      <c r="O19" s="42">
        <f>NPV('Key Information'!$C$13,N20:N39)</f>
        <v>221227108.69023588</v>
      </c>
      <c r="P19" s="43">
        <f t="shared" ref="P19:P37" si="3">E19-G19+H19+M19-N19</f>
        <v>-15683796.441600017</v>
      </c>
      <c r="Q19" s="42">
        <f>NPV('Key Information'!$C$13,P20:P39)</f>
        <v>-144084550.08283386</v>
      </c>
    </row>
    <row r="20" spans="1:17" x14ac:dyDescent="0.3">
      <c r="A20" s="22"/>
      <c r="B20" s="15">
        <v>2022</v>
      </c>
      <c r="C20" s="16">
        <v>3</v>
      </c>
      <c r="D20" s="40">
        <f>I19*'Key Information'!$C$15</f>
        <v>51564659.097599991</v>
      </c>
      <c r="E20" s="40">
        <f>(I19+D20)*'Key Information'!$C$16</f>
        <v>6961228.9781759987</v>
      </c>
      <c r="F20" s="40">
        <f>(I19+D20-E20)*'Key Information'!$C$17</f>
        <v>68916166.883942395</v>
      </c>
      <c r="G20" s="40">
        <f>'Key Information'!$C$19*(1+'Key Information'!$C$20)^(C20-1)</f>
        <v>1060900</v>
      </c>
      <c r="H20" s="42">
        <f>K19*'Key Information'!$C$22</f>
        <v>1546939.7729279997</v>
      </c>
      <c r="I20" s="40">
        <f t="shared" si="1"/>
        <v>620245501.95548153</v>
      </c>
      <c r="J20" s="40">
        <f t="shared" si="0"/>
        <v>620245501.95548153</v>
      </c>
      <c r="K20" s="42">
        <f>I20*'Key Information'!$C$14</f>
        <v>49619640.156438522</v>
      </c>
      <c r="L20" s="40">
        <f>E20-G20-(J20-J19)+J19*'Key Information'!$C$15</f>
        <v>81777724.840294361</v>
      </c>
      <c r="M20" s="42">
        <f t="shared" si="2"/>
        <v>1945018.9411614686</v>
      </c>
      <c r="N20" s="43">
        <f>L20*'Key Information'!$C$23</f>
        <v>24533317.452088308</v>
      </c>
      <c r="O20" s="42">
        <f>NPV('Key Information'!$C$13,N21:N40)</f>
        <v>212179688.84646407</v>
      </c>
      <c r="P20" s="43">
        <f t="shared" si="3"/>
        <v>-15141029.759822842</v>
      </c>
      <c r="Q20" s="42">
        <f>NPV('Key Information'!$C$13,P21:P40)</f>
        <v>-139029438.82880941</v>
      </c>
    </row>
    <row r="21" spans="1:17" x14ac:dyDescent="0.3">
      <c r="A21" s="22"/>
      <c r="B21" s="15">
        <v>2023</v>
      </c>
      <c r="C21" s="16">
        <v>4</v>
      </c>
      <c r="D21" s="40">
        <f>I20*'Key Information'!$C$15</f>
        <v>49619640.156438522</v>
      </c>
      <c r="E21" s="40">
        <f>(I20+D21)*'Key Information'!$C$16</f>
        <v>6698651.4211192001</v>
      </c>
      <c r="F21" s="40">
        <f>(I20+D21-E21)*'Key Information'!$C$17</f>
        <v>66316649.069080085</v>
      </c>
      <c r="G21" s="40">
        <f>'Key Information'!$C$19*(1+'Key Information'!$C$20)^(C21-1)</f>
        <v>1092727</v>
      </c>
      <c r="H21" s="42">
        <f>K20*'Key Information'!$C$22</f>
        <v>1488589.2046931556</v>
      </c>
      <c r="I21" s="40">
        <f t="shared" si="1"/>
        <v>596849841.62172067</v>
      </c>
      <c r="J21" s="40">
        <f t="shared" si="0"/>
        <v>596849841.62172067</v>
      </c>
      <c r="K21" s="42">
        <f>I21*'Key Information'!$C$14</f>
        <v>47747987.329737656</v>
      </c>
      <c r="L21" s="40">
        <f>E21-G21-(J21-J20)+J20*'Key Information'!$C$15</f>
        <v>78621224.91131857</v>
      </c>
      <c r="M21" s="42">
        <f t="shared" si="2"/>
        <v>1871652.8267008662</v>
      </c>
      <c r="N21" s="43">
        <f>L21*'Key Information'!$C$23</f>
        <v>23586367.473395571</v>
      </c>
      <c r="O21" s="42">
        <f>NPV('Key Information'!$C$13,N22:N41)</f>
        <v>203445899.59232098</v>
      </c>
      <c r="P21" s="43">
        <f t="shared" si="3"/>
        <v>-14620201.020882349</v>
      </c>
      <c r="Q21" s="42">
        <f>NPV('Key Information'!$C$13,P22:P41)</f>
        <v>-134141298.5259437</v>
      </c>
    </row>
    <row r="22" spans="1:17" x14ac:dyDescent="0.3">
      <c r="A22" s="22"/>
      <c r="B22" s="15">
        <v>2024</v>
      </c>
      <c r="C22" s="16">
        <v>5</v>
      </c>
      <c r="D22" s="40">
        <f>I21*'Key Information'!$C$15</f>
        <v>47747987.329737656</v>
      </c>
      <c r="E22" s="40">
        <f>(I21+D22)*'Key Information'!$C$16</f>
        <v>6445978.2895145835</v>
      </c>
      <c r="F22" s="40">
        <f>(I21+D22-E22)*'Key Information'!$C$17</f>
        <v>63815185.066194385</v>
      </c>
      <c r="G22" s="40">
        <f>'Key Information'!$C$19*(1+'Key Information'!$C$20)^(C22-1)</f>
        <v>1125508.8099999998</v>
      </c>
      <c r="H22" s="42">
        <f>K21*'Key Information'!$C$22</f>
        <v>1432439.6198921297</v>
      </c>
      <c r="I22" s="40">
        <f t="shared" si="1"/>
        <v>574336665.59574938</v>
      </c>
      <c r="J22" s="40">
        <f t="shared" si="0"/>
        <v>574336665.59574938</v>
      </c>
      <c r="K22" s="42">
        <f>I22*'Key Information'!$C$14</f>
        <v>45946933.247659951</v>
      </c>
      <c r="L22" s="40">
        <f>E22-G22-(J22-J21)+J21*'Key Information'!$C$15</f>
        <v>75581632.835223526</v>
      </c>
      <c r="M22" s="42">
        <f t="shared" si="2"/>
        <v>1801054.0820777044</v>
      </c>
      <c r="N22" s="43">
        <f>L22*'Key Information'!$C$23</f>
        <v>22674489.850567058</v>
      </c>
      <c r="O22" s="42">
        <f>NPV('Key Information'!$C$13,N23:N42)</f>
        <v>195012622.71321642</v>
      </c>
      <c r="P22" s="43">
        <f t="shared" si="3"/>
        <v>-14120526.66908264</v>
      </c>
      <c r="Q22" s="42">
        <f>NPV('Key Information'!$C$13,P23:P42)</f>
        <v>-129410662.75367714</v>
      </c>
    </row>
    <row r="23" spans="1:17" x14ac:dyDescent="0.3">
      <c r="A23" s="22"/>
      <c r="B23" s="15">
        <v>2025</v>
      </c>
      <c r="C23" s="16">
        <v>6</v>
      </c>
      <c r="D23" s="40">
        <f>I22*'Key Information'!$C$15</f>
        <v>45946933.247659951</v>
      </c>
      <c r="E23" s="40">
        <f>(I22+D23)*'Key Information'!$C$16</f>
        <v>6202835.9884340931</v>
      </c>
      <c r="F23" s="40">
        <f>(I22+D23-E23)*'Key Information'!$C$17</f>
        <v>61408076.285497524</v>
      </c>
      <c r="G23" s="40">
        <f>'Key Information'!$C$19*(1+'Key Information'!$C$20)^(C23-1)</f>
        <v>1159274.0742999997</v>
      </c>
      <c r="H23" s="42">
        <f>K22*'Key Information'!$C$22</f>
        <v>1378407.9974297986</v>
      </c>
      <c r="I23" s="40">
        <f t="shared" si="1"/>
        <v>552672686.56947768</v>
      </c>
      <c r="J23" s="40">
        <f t="shared" si="0"/>
        <v>552672686.56947768</v>
      </c>
      <c r="K23" s="42">
        <f>I23*'Key Information'!$C$14</f>
        <v>44213814.925558217</v>
      </c>
      <c r="L23" s="40">
        <f>E23-G23-(J23-J22)+J22*'Key Information'!$C$15</f>
        <v>72654474.188065737</v>
      </c>
      <c r="M23" s="42">
        <f t="shared" si="2"/>
        <v>1733118.3221017346</v>
      </c>
      <c r="N23" s="43">
        <f>L23*'Key Information'!$C$23</f>
        <v>21796342.256419722</v>
      </c>
      <c r="O23" s="42">
        <f>NPV('Key Information'!$C$13,N24:N43)</f>
        <v>186867164.04672185</v>
      </c>
      <c r="P23" s="43">
        <f t="shared" si="3"/>
        <v>-13641254.022754095</v>
      </c>
      <c r="Q23" s="42">
        <f>NPV('Key Information'!$C$13,P24:P43)</f>
        <v>-124828155.12368043</v>
      </c>
    </row>
    <row r="24" spans="1:17" x14ac:dyDescent="0.3">
      <c r="A24" s="22"/>
      <c r="B24" s="15">
        <v>2026</v>
      </c>
      <c r="C24" s="16">
        <v>7</v>
      </c>
      <c r="D24" s="40">
        <f>I23*'Key Information'!$C$15</f>
        <v>44213814.925558217</v>
      </c>
      <c r="E24" s="40">
        <f>(I23+D24)*'Key Information'!$C$16</f>
        <v>5968865.0149503592</v>
      </c>
      <c r="F24" s="40">
        <f>(I23+D24-E24)*'Key Information'!$C$17</f>
        <v>59091763.648008555</v>
      </c>
      <c r="G24" s="40">
        <f>'Key Information'!$C$19*(1+'Key Information'!$C$20)^(C24-1)</f>
        <v>1194052.2965289999</v>
      </c>
      <c r="H24" s="42">
        <f>K23*'Key Information'!$C$22</f>
        <v>1326414.4477667464</v>
      </c>
      <c r="I24" s="40">
        <f t="shared" si="1"/>
        <v>531825872.83207691</v>
      </c>
      <c r="J24" s="40">
        <f t="shared" si="0"/>
        <v>531825872.83207691</v>
      </c>
      <c r="K24" s="42">
        <f>I24*'Key Information'!$C$14</f>
        <v>42546069.826566152</v>
      </c>
      <c r="L24" s="40">
        <f>E24-G24-(J24-J23)+J23*'Key Information'!$C$15</f>
        <v>69835441.381380349</v>
      </c>
      <c r="M24" s="42">
        <f t="shared" si="2"/>
        <v>1667745.0989920646</v>
      </c>
      <c r="N24" s="43">
        <f>L24*'Key Information'!$C$23</f>
        <v>20950632.414414104</v>
      </c>
      <c r="O24" s="42">
        <f>NPV('Key Information'!$C$13,N25:N44)</f>
        <v>178997233.11557829</v>
      </c>
      <c r="P24" s="43">
        <f t="shared" si="3"/>
        <v>-13181660.149233934</v>
      </c>
      <c r="Q24" s="42">
        <f>NPV('Key Information'!$C$13,P25:P44)</f>
        <v>-120384465.83310415</v>
      </c>
    </row>
    <row r="25" spans="1:17" x14ac:dyDescent="0.3">
      <c r="A25" s="22"/>
      <c r="B25" s="15">
        <v>2027</v>
      </c>
      <c r="C25" s="16">
        <v>8</v>
      </c>
      <c r="D25" s="40">
        <f>I24*'Key Information'!$C$15</f>
        <v>42546069.826566152</v>
      </c>
      <c r="E25" s="40">
        <f>(I24+D25)*'Key Information'!$C$16</f>
        <v>5743719.4265864305</v>
      </c>
      <c r="F25" s="40">
        <f>(I24+D25-E25)*'Key Information'!$C$17</f>
        <v>56862822.323205665</v>
      </c>
      <c r="G25" s="40">
        <f>'Key Information'!$C$19*(1+'Key Information'!$C$20)^(C25-1)</f>
        <v>1229873.86542487</v>
      </c>
      <c r="H25" s="42">
        <f>K24*'Key Information'!$C$22</f>
        <v>1276382.0947969845</v>
      </c>
      <c r="I25" s="40">
        <f t="shared" si="1"/>
        <v>511765400.90885097</v>
      </c>
      <c r="J25" s="40">
        <f t="shared" si="0"/>
        <v>511765400.90885097</v>
      </c>
      <c r="K25" s="42">
        <f>I25*'Key Information'!$C$14</f>
        <v>40941232.072708078</v>
      </c>
      <c r="L25" s="40">
        <f>E25-G25-(J25-J24)+J24*'Key Information'!$C$15</f>
        <v>67120387.310953647</v>
      </c>
      <c r="M25" s="42">
        <f t="shared" si="2"/>
        <v>1604837.7538580745</v>
      </c>
      <c r="N25" s="43">
        <f>L25*'Key Information'!$C$23</f>
        <v>20136116.193286095</v>
      </c>
      <c r="O25" s="42">
        <f>NPV('Key Information'!$C$13,N26:N45)</f>
        <v>171390923.24038267</v>
      </c>
      <c r="P25" s="43">
        <f t="shared" si="3"/>
        <v>-12741050.783469476</v>
      </c>
      <c r="Q25" s="42">
        <f>NPV('Key Information'!$C$13,P26:P45)</f>
        <v>-116070327.65795195</v>
      </c>
    </row>
    <row r="26" spans="1:17" x14ac:dyDescent="0.3">
      <c r="A26" s="22"/>
      <c r="B26" s="15">
        <v>2028</v>
      </c>
      <c r="C26" s="16">
        <v>9</v>
      </c>
      <c r="D26" s="40">
        <f>I25*'Key Information'!$C$15</f>
        <v>40941232.072708078</v>
      </c>
      <c r="E26" s="40">
        <f>(I25+D26)*'Key Information'!$C$16</f>
        <v>5527066.3298155908</v>
      </c>
      <c r="F26" s="40">
        <f>(I25+D26-E26)*'Key Information'!$C$17</f>
        <v>54717956.665174343</v>
      </c>
      <c r="G26" s="40">
        <f>'Key Information'!$C$19*(1+'Key Information'!$C$20)^(C26-1)</f>
        <v>1266770.081387616</v>
      </c>
      <c r="H26" s="42">
        <f>K25*'Key Information'!$C$22</f>
        <v>1228236.9621812422</v>
      </c>
      <c r="I26" s="40">
        <f t="shared" si="1"/>
        <v>492461609.98656905</v>
      </c>
      <c r="J26" s="40">
        <f t="shared" si="0"/>
        <v>492461609.98656905</v>
      </c>
      <c r="K26" s="42">
        <f>I26*'Key Information'!$C$14</f>
        <v>39396928.798925526</v>
      </c>
      <c r="L26" s="40">
        <f>E26-G26-(J26-J25)+J25*'Key Information'!$C$15</f>
        <v>64505319.243417978</v>
      </c>
      <c r="M26" s="42">
        <f t="shared" si="2"/>
        <v>1544303.2737825513</v>
      </c>
      <c r="N26" s="43">
        <f>L26*'Key Information'!$C$23</f>
        <v>19351595.773025393</v>
      </c>
      <c r="O26" s="42">
        <f>NPV('Key Information'!$C$13,N27:N46)</f>
        <v>164036692.09418407</v>
      </c>
      <c r="P26" s="43">
        <f t="shared" si="3"/>
        <v>-12318759.288633626</v>
      </c>
      <c r="Q26" s="42">
        <f>NPV('Key Information'!$C$13,P27:P46)</f>
        <v>-111876491.30537498</v>
      </c>
    </row>
    <row r="27" spans="1:17" x14ac:dyDescent="0.3">
      <c r="A27" s="22"/>
      <c r="B27" s="15">
        <v>2029</v>
      </c>
      <c r="C27" s="16">
        <v>10</v>
      </c>
      <c r="D27" s="40">
        <f>I26*'Key Information'!$C$15</f>
        <v>39396928.798925526</v>
      </c>
      <c r="E27" s="40">
        <f>(I26+D27)*'Key Information'!$C$16</f>
        <v>5318585.3878549458</v>
      </c>
      <c r="F27" s="40">
        <f>(I26+D27-E27)*'Key Information'!$C$17</f>
        <v>52653995.339763969</v>
      </c>
      <c r="G27" s="40">
        <f>'Key Information'!$C$19*(1+'Key Information'!$C$20)^(C27-1)</f>
        <v>1304773.1838292445</v>
      </c>
      <c r="H27" s="42">
        <f>K26*'Key Information'!$C$22</f>
        <v>1181907.8639677658</v>
      </c>
      <c r="I27" s="40">
        <f t="shared" si="1"/>
        <v>473885958.05787563</v>
      </c>
      <c r="J27" s="40">
        <f t="shared" si="0"/>
        <v>473885958.05787563</v>
      </c>
      <c r="K27" s="42">
        <f>I27*'Key Information'!$C$14</f>
        <v>37910876.644630052</v>
      </c>
      <c r="L27" s="40">
        <f>E27-G27-(J27-J26)+J26*'Key Information'!$C$15</f>
        <v>61986392.931644641</v>
      </c>
      <c r="M27" s="42">
        <f t="shared" si="2"/>
        <v>1486052.1542954743</v>
      </c>
      <c r="N27" s="43">
        <f>L27*'Key Information'!$C$23</f>
        <v>18595917.879493393</v>
      </c>
      <c r="O27" s="42">
        <f>NPV('Key Information'!$C$13,N28:N47)</f>
        <v>156923342.66128358</v>
      </c>
      <c r="P27" s="43">
        <f t="shared" si="3"/>
        <v>-11914145.657204451</v>
      </c>
      <c r="Q27" s="42">
        <f>NPV('Key Information'!$C$13,P28:P47)</f>
        <v>-107793700.03954679</v>
      </c>
    </row>
    <row r="28" spans="1:17" x14ac:dyDescent="0.3">
      <c r="A28" s="22"/>
      <c r="B28" s="15">
        <v>2030</v>
      </c>
      <c r="C28" s="16">
        <v>11</v>
      </c>
      <c r="D28" s="40">
        <f>I27*'Key Information'!$C$15</f>
        <v>37910876.644630052</v>
      </c>
      <c r="E28" s="40">
        <f>(I27+D28)*'Key Information'!$C$16</f>
        <v>5117968.3470250573</v>
      </c>
      <c r="F28" s="40">
        <f>(I27+D28-E28)*'Key Information'!$C$17</f>
        <v>50667886.63554807</v>
      </c>
      <c r="G28" s="40">
        <f>'Key Information'!$C$19*(1+'Key Information'!$C$20)^(C28-1)</f>
        <v>1343916.3793441218</v>
      </c>
      <c r="H28" s="42">
        <f>K27*'Key Information'!$C$22</f>
        <v>1137326.2993389014</v>
      </c>
      <c r="I28" s="40">
        <f t="shared" si="1"/>
        <v>456010979.71993262</v>
      </c>
      <c r="J28" s="40">
        <f t="shared" si="0"/>
        <v>456010979.71993262</v>
      </c>
      <c r="K28" s="42">
        <f>I28*'Key Information'!$C$14</f>
        <v>36480878.377594613</v>
      </c>
      <c r="L28" s="40">
        <f>E28-G28-(J28-J27)+J27*'Key Information'!$C$15</f>
        <v>59559906.950254008</v>
      </c>
      <c r="M28" s="42">
        <f t="shared" si="2"/>
        <v>1429998.2670354396</v>
      </c>
      <c r="N28" s="43">
        <f>L28*'Key Information'!$C$23</f>
        <v>17867972.085076202</v>
      </c>
      <c r="O28" s="42">
        <f>NPV('Key Information'!$C$13,N29:N48)</f>
        <v>150040004.56249723</v>
      </c>
      <c r="P28" s="43">
        <f t="shared" si="3"/>
        <v>-11526595.551020924</v>
      </c>
      <c r="Q28" s="42">
        <f>NPV('Key Information'!$C$13,P29:P48)</f>
        <v>-103812663.49129415</v>
      </c>
    </row>
    <row r="29" spans="1:17" x14ac:dyDescent="0.3">
      <c r="A29" s="22"/>
      <c r="B29" s="15">
        <v>2031</v>
      </c>
      <c r="C29" s="16">
        <v>12</v>
      </c>
      <c r="D29" s="40">
        <f>I28*'Key Information'!$C$15</f>
        <v>36480878.377594613</v>
      </c>
      <c r="E29" s="40">
        <f>(I28+D29)*'Key Information'!$C$16</f>
        <v>4924918.5809752718</v>
      </c>
      <c r="F29" s="40">
        <f>(I28+D29-E29)*'Key Information'!$C$17</f>
        <v>48756693.951655194</v>
      </c>
      <c r="G29" s="40">
        <f>'Key Information'!$C$19*(1+'Key Information'!$C$20)^(C29-1)</f>
        <v>1384233.8707244454</v>
      </c>
      <c r="H29" s="42">
        <f>K28*'Key Information'!$C$22</f>
        <v>1094426.3513278384</v>
      </c>
      <c r="I29" s="40">
        <f t="shared" si="1"/>
        <v>438810245.5648967</v>
      </c>
      <c r="J29" s="40">
        <f t="shared" si="0"/>
        <v>438810245.5648967</v>
      </c>
      <c r="K29" s="42">
        <f>I29*'Key Information'!$C$14</f>
        <v>35104819.645191737</v>
      </c>
      <c r="L29" s="40">
        <f>E29-G29-(J29-J28)+J28*'Key Information'!$C$15</f>
        <v>57222297.24288135</v>
      </c>
      <c r="M29" s="42">
        <f t="shared" si="2"/>
        <v>1376058.732402876</v>
      </c>
      <c r="N29" s="43">
        <f>L29*'Key Information'!$C$23</f>
        <v>17166689.172864404</v>
      </c>
      <c r="O29" s="42">
        <f>NPV('Key Information'!$C$13,N30:N49)</f>
        <v>143376115.70900765</v>
      </c>
      <c r="P29" s="43">
        <f t="shared" si="3"/>
        <v>-11155519.378882863</v>
      </c>
      <c r="Q29" s="42">
        <f>NPV('Key Information'!$C$13,P30:P49)</f>
        <v>-99924030.55680187</v>
      </c>
    </row>
    <row r="30" spans="1:17" x14ac:dyDescent="0.3">
      <c r="A30" s="22"/>
      <c r="B30" s="15">
        <v>2032</v>
      </c>
      <c r="C30" s="16">
        <v>13</v>
      </c>
      <c r="D30" s="40">
        <f>I29*'Key Information'!$C$15</f>
        <v>35104819.645191737</v>
      </c>
      <c r="E30" s="40">
        <f>(I29+D30)*'Key Information'!$C$16</f>
        <v>4739150.6521008844</v>
      </c>
      <c r="F30" s="40">
        <f>(I29+D30-E30)*'Key Information'!$C$17</f>
        <v>46917591.45579876</v>
      </c>
      <c r="G30" s="40">
        <f>'Key Information'!$C$19*(1+'Key Information'!$C$20)^(C30-1)</f>
        <v>1425760.8868461787</v>
      </c>
      <c r="H30" s="42">
        <f>K29*'Key Information'!$C$22</f>
        <v>1053144.5893557521</v>
      </c>
      <c r="I30" s="40">
        <f t="shared" si="1"/>
        <v>422258323.10218883</v>
      </c>
      <c r="J30" s="40">
        <f t="shared" si="0"/>
        <v>422258323.10218883</v>
      </c>
      <c r="K30" s="42">
        <f>I30*'Key Information'!$C$14</f>
        <v>33780665.848175108</v>
      </c>
      <c r="L30" s="40">
        <f>E30-G30-(J30-J29)+J29*'Key Information'!$C$15</f>
        <v>54970131.87315432</v>
      </c>
      <c r="M30" s="42">
        <f t="shared" si="2"/>
        <v>1324153.7970166281</v>
      </c>
      <c r="N30" s="43">
        <f>L30*'Key Information'!$C$23</f>
        <v>16491039.561946295</v>
      </c>
      <c r="O30" s="42">
        <f>NPV('Key Information'!$C$13,N31:N50)</f>
        <v>136921404.24669188</v>
      </c>
      <c r="P30" s="43">
        <f t="shared" si="3"/>
        <v>-10800351.410319209</v>
      </c>
      <c r="Q30" s="42">
        <f>NPV('Key Information'!$C$13,P31:P50)</f>
        <v>-96118361.285458818</v>
      </c>
    </row>
    <row r="31" spans="1:17" x14ac:dyDescent="0.3">
      <c r="A31" s="22"/>
      <c r="B31" s="15">
        <v>2033</v>
      </c>
      <c r="C31" s="16">
        <v>14</v>
      </c>
      <c r="D31" s="40">
        <f>I30*'Key Information'!$C$15</f>
        <v>33780665.848175108</v>
      </c>
      <c r="E31" s="40">
        <f>(I30+D31)*'Key Information'!$C$16</f>
        <v>4560389.8895036392</v>
      </c>
      <c r="F31" s="40">
        <f>(I30+D31-E31)*'Key Information'!$C$17</f>
        <v>45147859.906086028</v>
      </c>
      <c r="G31" s="40">
        <f>'Key Information'!$C$19*(1+'Key Information'!$C$20)^(C31-1)</f>
        <v>1468533.7134515638</v>
      </c>
      <c r="H31" s="42">
        <f>K30*'Key Information'!$C$22</f>
        <v>1013419.9754452532</v>
      </c>
      <c r="I31" s="40">
        <f t="shared" si="1"/>
        <v>406330739.15477425</v>
      </c>
      <c r="J31" s="40">
        <f t="shared" si="0"/>
        <v>406330739.15477425</v>
      </c>
      <c r="K31" s="42">
        <f>I31*'Key Information'!$C$14</f>
        <v>32506459.132381942</v>
      </c>
      <c r="L31" s="40">
        <f>E31-G31-(J31-J30)+J30*'Key Information'!$C$15</f>
        <v>52800105.971641764</v>
      </c>
      <c r="M31" s="42">
        <f t="shared" si="2"/>
        <v>1274206.7157931663</v>
      </c>
      <c r="N31" s="43">
        <f>L31*'Key Information'!$C$23</f>
        <v>15840031.791492529</v>
      </c>
      <c r="O31" s="42">
        <f>NPV('Key Information'!$C$13,N32:N51)</f>
        <v>130665870.75246781</v>
      </c>
      <c r="P31" s="43">
        <f t="shared" si="3"/>
        <v>-10460548.924202034</v>
      </c>
      <c r="Q31" s="42">
        <f>NPV('Key Information'!$C$13,P32:P51)</f>
        <v>-92386097.651238903</v>
      </c>
    </row>
    <row r="32" spans="1:17" x14ac:dyDescent="0.3">
      <c r="A32" s="22"/>
      <c r="B32" s="15">
        <v>2034</v>
      </c>
      <c r="C32" s="16">
        <v>15</v>
      </c>
      <c r="D32" s="40">
        <f>I31*'Key Information'!$C$15</f>
        <v>32506459.132381942</v>
      </c>
      <c r="E32" s="40">
        <f>(I31+D32)*'Key Information'!$C$16</f>
        <v>4388371.9828715613</v>
      </c>
      <c r="F32" s="40">
        <f>(I31+D32-E32)*'Key Information'!$C$17</f>
        <v>43444882.630428463</v>
      </c>
      <c r="G32" s="40">
        <f>'Key Information'!$C$19*(1+'Key Information'!$C$20)^(C32-1)</f>
        <v>1512589.724855111</v>
      </c>
      <c r="H32" s="42">
        <f>K31*'Key Information'!$C$22</f>
        <v>975193.7739714582</v>
      </c>
      <c r="I32" s="40">
        <f t="shared" si="1"/>
        <v>391003943.67385614</v>
      </c>
      <c r="J32" s="40">
        <f t="shared" si="0"/>
        <v>391003943.67385614</v>
      </c>
      <c r="K32" s="42">
        <f>I32*'Key Information'!$C$14</f>
        <v>31280315.493908491</v>
      </c>
      <c r="L32" s="40">
        <f>E32-G32-(J32-J31)+J31*'Key Information'!$C$15</f>
        <v>50709036.871316507</v>
      </c>
      <c r="M32" s="42">
        <f t="shared" si="2"/>
        <v>1226143.6384734511</v>
      </c>
      <c r="N32" s="43">
        <f>L32*'Key Information'!$C$23</f>
        <v>15212711.061394952</v>
      </c>
      <c r="O32" s="42">
        <f>NPV('Key Information'!$C$13,N33:N52)</f>
        <v>124599770.6437456</v>
      </c>
      <c r="P32" s="43">
        <f t="shared" si="3"/>
        <v>-10135591.390933592</v>
      </c>
      <c r="Q32" s="42">
        <f>NPV('Key Information'!$C$13,P33:P52)</f>
        <v>-88717533.095892027</v>
      </c>
    </row>
    <row r="33" spans="1:17" x14ac:dyDescent="0.3">
      <c r="A33" s="22"/>
      <c r="B33" s="15">
        <v>2035</v>
      </c>
      <c r="C33" s="16">
        <v>16</v>
      </c>
      <c r="D33" s="40">
        <f>I32*'Key Information'!$C$15</f>
        <v>31280315.493908491</v>
      </c>
      <c r="E33" s="40">
        <f>(I32+D33)*'Key Information'!$C$16</f>
        <v>4222842.5916776462</v>
      </c>
      <c r="F33" s="40">
        <f>(I32+D33-E33)*'Key Information'!$C$17</f>
        <v>41806141.657608695</v>
      </c>
      <c r="G33" s="40">
        <f>'Key Information'!$C$19*(1+'Key Information'!$C$20)^(C33-1)</f>
        <v>1557967.4166007645</v>
      </c>
      <c r="H33" s="42">
        <f>K32*'Key Information'!$C$22</f>
        <v>938409.46481725469</v>
      </c>
      <c r="I33" s="40">
        <f t="shared" si="1"/>
        <v>376255274.91847825</v>
      </c>
      <c r="J33" s="40">
        <f t="shared" si="0"/>
        <v>376255274.91847825</v>
      </c>
      <c r="K33" s="42">
        <f>I33*'Key Information'!$C$14</f>
        <v>30100421.993478261</v>
      </c>
      <c r="L33" s="40">
        <f>E33-G33-(J33-J32)+J32*'Key Information'!$C$15</f>
        <v>48693859.424363256</v>
      </c>
      <c r="M33" s="42">
        <f t="shared" si="2"/>
        <v>1179893.5004302301</v>
      </c>
      <c r="N33" s="43">
        <f>L33*'Key Information'!$C$23</f>
        <v>14608157.827308977</v>
      </c>
      <c r="O33" s="42">
        <f>NPV('Key Information'!$C$13,N34:N53)</f>
        <v>118713596.76149882</v>
      </c>
      <c r="P33" s="43">
        <f t="shared" si="3"/>
        <v>-9824979.6869846098</v>
      </c>
      <c r="Q33" s="42">
        <f>NPV('Key Information'!$C$13,P34:P53)</f>
        <v>-85102780.725619882</v>
      </c>
    </row>
    <row r="34" spans="1:17" x14ac:dyDescent="0.3">
      <c r="A34" s="22"/>
      <c r="B34" s="15">
        <v>2036</v>
      </c>
      <c r="C34" s="16">
        <v>17</v>
      </c>
      <c r="D34" s="40">
        <f>I33*'Key Information'!$C$15</f>
        <v>30100421.993478261</v>
      </c>
      <c r="E34" s="40">
        <f>(I33+D34)*'Key Information'!$C$16</f>
        <v>4063556.9691195651</v>
      </c>
      <c r="F34" s="40">
        <f>(I33+D34-E34)*'Key Information'!$C$17</f>
        <v>40229213.994283698</v>
      </c>
      <c r="G34" s="40">
        <f>'Key Information'!$C$19*(1+'Key Information'!$C$20)^(C34-1)</f>
        <v>1604706.439098787</v>
      </c>
      <c r="H34" s="42">
        <f>K33*'Key Information'!$C$22</f>
        <v>903012.65980434779</v>
      </c>
      <c r="I34" s="40">
        <f t="shared" si="1"/>
        <v>362062925.94855326</v>
      </c>
      <c r="J34" s="40">
        <f t="shared" si="0"/>
        <v>362062925.94855326</v>
      </c>
      <c r="K34" s="42">
        <f>I34*'Key Information'!$C$14</f>
        <v>28965034.07588426</v>
      </c>
      <c r="L34" s="40">
        <f>E34-G34-(J34-J33)+J33*'Key Information'!$C$15</f>
        <v>46751621.493424028</v>
      </c>
      <c r="M34" s="42">
        <f t="shared" si="2"/>
        <v>1135387.9175940007</v>
      </c>
      <c r="N34" s="43">
        <f>L34*'Key Information'!$C$23</f>
        <v>14025486.448027208</v>
      </c>
      <c r="O34" s="42">
        <f>NPV('Key Information'!$C$13,N35:N54)</f>
        <v>112998062.08677654</v>
      </c>
      <c r="P34" s="43">
        <f t="shared" si="3"/>
        <v>-9528235.3406080827</v>
      </c>
      <c r="Q34" s="42">
        <f>NPV('Key Information'!$C$13,P35:P54)</f>
        <v>-81531740.035805181</v>
      </c>
    </row>
    <row r="35" spans="1:17" x14ac:dyDescent="0.3">
      <c r="A35" s="22"/>
      <c r="B35" s="15">
        <v>2037</v>
      </c>
      <c r="C35" s="16">
        <v>18</v>
      </c>
      <c r="D35" s="40">
        <f>I34*'Key Information'!$C$15</f>
        <v>28965034.07588426</v>
      </c>
      <c r="E35" s="40">
        <f>(I34+D35)*'Key Information'!$C$16</f>
        <v>3910279.6002443754</v>
      </c>
      <c r="F35" s="40">
        <f>(I34+D35-E35)*'Key Information'!$C$17</f>
        <v>38711768.042419314</v>
      </c>
      <c r="G35" s="40">
        <f>'Key Information'!$C$19*(1+'Key Information'!$C$20)^(C35-1)</f>
        <v>1652847.6322717506</v>
      </c>
      <c r="H35" s="42">
        <f>K34*'Key Information'!$C$22</f>
        <v>868951.02227652783</v>
      </c>
      <c r="I35" s="40">
        <f t="shared" si="1"/>
        <v>348405912.38177383</v>
      </c>
      <c r="J35" s="40">
        <f t="shared" si="0"/>
        <v>348405912.38177383</v>
      </c>
      <c r="K35" s="42">
        <f>I35*'Key Information'!$C$14</f>
        <v>27872472.990541905</v>
      </c>
      <c r="L35" s="40">
        <f>E35-G35-(J35-J34)+J34*'Key Information'!$C$15</f>
        <v>44879479.610636324</v>
      </c>
      <c r="M35" s="42">
        <f t="shared" si="2"/>
        <v>1092561.0853423551</v>
      </c>
      <c r="N35" s="43">
        <f>L35*'Key Information'!$C$23</f>
        <v>13463843.883190896</v>
      </c>
      <c r="O35" s="42">
        <f>NPV('Key Information'!$C$13,N36:N55)</f>
        <v>107444082.54966</v>
      </c>
      <c r="P35" s="43">
        <f t="shared" si="3"/>
        <v>-9244899.8075993881</v>
      </c>
      <c r="Q35" s="42">
        <f>NPV('Key Information'!$C$13,P36:P55)</f>
        <v>-77994062.030712157</v>
      </c>
    </row>
    <row r="36" spans="1:17" x14ac:dyDescent="0.3">
      <c r="A36" s="22"/>
      <c r="B36" s="15">
        <v>2038</v>
      </c>
      <c r="C36" s="16">
        <v>19</v>
      </c>
      <c r="D36" s="40">
        <f>I35*'Key Information'!$C$15</f>
        <v>27872472.990541905</v>
      </c>
      <c r="E36" s="40">
        <f>(I35+D36)*'Key Information'!$C$16</f>
        <v>3762783.8537231577</v>
      </c>
      <c r="F36" s="40">
        <f>(I35+D36-E36)*'Key Information'!$C$17</f>
        <v>37251560.151859261</v>
      </c>
      <c r="G36" s="40">
        <f>'Key Information'!$C$19*(1+'Key Information'!$C$20)^(C36-1)</f>
        <v>1702433.0612399033</v>
      </c>
      <c r="H36" s="42">
        <f>K35*'Key Information'!$C$22</f>
        <v>836174.18971625715</v>
      </c>
      <c r="I36" s="40">
        <f t="shared" si="1"/>
        <v>335264041.36673331</v>
      </c>
      <c r="J36" s="40">
        <f t="shared" si="0"/>
        <v>335264041.36673331</v>
      </c>
      <c r="K36" s="42">
        <f>I36*'Key Information'!$C$14</f>
        <v>26821123.309338666</v>
      </c>
      <c r="L36" s="40">
        <f>E36-G36-(J36-J35)+J35*'Key Information'!$C$15</f>
        <v>43074694.798065677</v>
      </c>
      <c r="M36" s="42">
        <f t="shared" si="2"/>
        <v>1051349.6812032387</v>
      </c>
      <c r="N36" s="43">
        <f>L36*'Key Information'!$C$23</f>
        <v>12922408.439419704</v>
      </c>
      <c r="O36" s="42">
        <f>NPV('Key Information'!$C$13,N37:N56)</f>
        <v>102042759.8887165</v>
      </c>
      <c r="P36" s="43">
        <f t="shared" si="3"/>
        <v>-8974533.7760169543</v>
      </c>
      <c r="Q36" s="42">
        <f>NPV('Key Information'!$C$13,P37:P56)</f>
        <v>-74479112.596845061</v>
      </c>
    </row>
    <row r="37" spans="1:17" x14ac:dyDescent="0.3">
      <c r="A37" s="22"/>
      <c r="B37" s="23">
        <v>2039</v>
      </c>
      <c r="C37" s="24">
        <v>20</v>
      </c>
      <c r="D37" s="69">
        <f>I36*'Key Information'!$C$15</f>
        <v>26821123.309338666</v>
      </c>
      <c r="E37" s="69">
        <f>(I36+D37)*'Key Information'!$C$16</f>
        <v>3620851.6467607203</v>
      </c>
      <c r="F37" s="69">
        <f>(I36+D37-E37)*'Key Information'!$C$18</f>
        <v>358464313.0293113</v>
      </c>
      <c r="G37" s="69">
        <f>'Key Information'!$C$19*(1+'Key Information'!$C$20)^(C37-1)</f>
        <v>1753506.0530771003</v>
      </c>
      <c r="H37" s="44">
        <f>K36*'Key Information'!$C$22</f>
        <v>804633.69928016001</v>
      </c>
      <c r="I37" s="69">
        <f t="shared" si="1"/>
        <v>0</v>
      </c>
      <c r="J37" s="69">
        <f>I37</f>
        <v>0</v>
      </c>
      <c r="K37" s="44">
        <f>I37*'Key Information'!$C$14</f>
        <v>0</v>
      </c>
      <c r="L37" s="45">
        <f>E37-G37-(J37-J36)+J36*'Key Information'!$C$15</f>
        <v>363952510.2697556</v>
      </c>
      <c r="M37" s="44">
        <f t="shared" si="2"/>
        <v>26821123.309338666</v>
      </c>
      <c r="N37" s="45">
        <f>L37*'Key Information'!$C$23</f>
        <v>109185753.08092667</v>
      </c>
      <c r="O37" s="44">
        <f>NPV('Key Information'!$C$13,N38:N57)</f>
        <v>0</v>
      </c>
      <c r="P37" s="45">
        <f t="shared" si="3"/>
        <v>-79692650.478624225</v>
      </c>
      <c r="Q37" s="44">
        <f>NPV('Key Information'!$C$13,P38:P57)</f>
        <v>0</v>
      </c>
    </row>
    <row r="41" spans="1:17" x14ac:dyDescent="0.3">
      <c r="E41" s="2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>
      <selection activeCell="D8" sqref="D8"/>
    </sheetView>
  </sheetViews>
  <sheetFormatPr defaultColWidth="9.140625" defaultRowHeight="16.5" x14ac:dyDescent="0.3"/>
  <cols>
    <col min="1" max="1" width="6.85546875" style="71" bestFit="1" customWidth="1"/>
    <col min="2" max="2" width="38.5703125" style="71" bestFit="1" customWidth="1"/>
    <col min="3" max="8" width="18.7109375" style="71" customWidth="1"/>
    <col min="9" max="10" width="18.7109375" style="2" customWidth="1"/>
    <col min="11" max="17" width="18.7109375" style="71" customWidth="1"/>
    <col min="18" max="16384" width="9.140625" style="71"/>
  </cols>
  <sheetData>
    <row r="1" spans="1:17" x14ac:dyDescent="0.3">
      <c r="A1" s="25" t="s">
        <v>55</v>
      </c>
      <c r="B1" s="48" t="s">
        <v>57</v>
      </c>
    </row>
    <row r="2" spans="1:17" x14ac:dyDescent="0.3">
      <c r="A2" s="26"/>
      <c r="B2" s="49" t="s">
        <v>56</v>
      </c>
    </row>
    <row r="3" spans="1:17" x14ac:dyDescent="0.3">
      <c r="A3" s="10"/>
      <c r="B3" s="73"/>
    </row>
    <row r="5" spans="1:17" x14ac:dyDescent="0.3">
      <c r="B5" s="3" t="s">
        <v>11</v>
      </c>
    </row>
    <row r="7" spans="1:17" ht="33" x14ac:dyDescent="0.3">
      <c r="B7" s="27"/>
      <c r="C7" s="46" t="s">
        <v>18</v>
      </c>
      <c r="D7" s="46" t="s">
        <v>41</v>
      </c>
    </row>
    <row r="8" spans="1:17" x14ac:dyDescent="0.3">
      <c r="B8" s="26" t="s">
        <v>22</v>
      </c>
      <c r="C8" s="42">
        <f>'Key Information'!C29-'Key Information'!C30-J17-K17</f>
        <v>36000000</v>
      </c>
      <c r="D8" s="42">
        <f>C8*'Key Information'!$C$22+M18+P18</f>
        <v>211152800</v>
      </c>
    </row>
    <row r="9" spans="1:17" x14ac:dyDescent="0.3">
      <c r="B9" s="26" t="s">
        <v>21</v>
      </c>
      <c r="C9" s="42">
        <f>Q17</f>
        <v>74979346.526742652</v>
      </c>
      <c r="D9" s="42">
        <f>Q18</f>
        <v>-109166499.21638533</v>
      </c>
    </row>
    <row r="10" spans="1:17" x14ac:dyDescent="0.3">
      <c r="B10" s="26" t="s">
        <v>44</v>
      </c>
      <c r="C10" s="42">
        <f>O17*'Key Information'!$C$24</f>
        <v>5743963.2336256839</v>
      </c>
      <c r="D10" s="42">
        <f>O18*'Key Information'!$C$24</f>
        <v>118563240.65997951</v>
      </c>
    </row>
    <row r="11" spans="1:17" x14ac:dyDescent="0.3">
      <c r="B11" s="10" t="s">
        <v>23</v>
      </c>
      <c r="C11" s="44">
        <f>SUM(C8:C10)</f>
        <v>116723309.76036833</v>
      </c>
      <c r="D11" s="44">
        <f>SUM(D8:D10)</f>
        <v>220549541.44359416</v>
      </c>
    </row>
    <row r="13" spans="1:17" x14ac:dyDescent="0.3">
      <c r="B13" s="3" t="s">
        <v>53</v>
      </c>
      <c r="C13" s="3"/>
      <c r="L13" s="85">
        <f>NPV('Key Information'!$C$15,E18:E37)-NPV('Key Information'!$C$15,G18:G37)</f>
        <v>31808494.483958155</v>
      </c>
    </row>
    <row r="14" spans="1:17" x14ac:dyDescent="0.3">
      <c r="I14" s="83"/>
      <c r="J14" s="86" t="s">
        <v>73</v>
      </c>
      <c r="L14" s="86" t="s">
        <v>73</v>
      </c>
    </row>
    <row r="15" spans="1:17" ht="57.6" customHeight="1" x14ac:dyDescent="0.3">
      <c r="B15" s="6" t="s">
        <v>2</v>
      </c>
      <c r="C15" s="7" t="s">
        <v>1</v>
      </c>
      <c r="D15" s="8" t="s">
        <v>3</v>
      </c>
      <c r="E15" s="8" t="s">
        <v>5</v>
      </c>
      <c r="F15" s="8" t="s">
        <v>4</v>
      </c>
      <c r="G15" s="8" t="s">
        <v>6</v>
      </c>
      <c r="H15" s="9" t="s">
        <v>14</v>
      </c>
      <c r="I15" s="8" t="s">
        <v>19</v>
      </c>
      <c r="J15" s="8" t="s">
        <v>7</v>
      </c>
      <c r="K15" s="9" t="s">
        <v>10</v>
      </c>
      <c r="L15" s="8" t="s">
        <v>8</v>
      </c>
      <c r="M15" s="9" t="s">
        <v>9</v>
      </c>
      <c r="N15" s="6" t="s">
        <v>42</v>
      </c>
      <c r="O15" s="9" t="s">
        <v>43</v>
      </c>
      <c r="P15" s="6" t="s">
        <v>46</v>
      </c>
      <c r="Q15" s="9" t="s">
        <v>47</v>
      </c>
    </row>
    <row r="16" spans="1:17" x14ac:dyDescent="0.3">
      <c r="B16" s="10"/>
      <c r="C16" s="11"/>
      <c r="D16" s="12" t="s">
        <v>0</v>
      </c>
      <c r="E16" s="12" t="s">
        <v>0</v>
      </c>
      <c r="F16" s="12" t="s">
        <v>0</v>
      </c>
      <c r="G16" s="12" t="s">
        <v>0</v>
      </c>
      <c r="H16" s="13" t="s">
        <v>0</v>
      </c>
      <c r="I16" s="12" t="s">
        <v>0</v>
      </c>
      <c r="J16" s="12" t="s">
        <v>0</v>
      </c>
      <c r="K16" s="13" t="s">
        <v>0</v>
      </c>
      <c r="L16" s="12" t="s">
        <v>0</v>
      </c>
      <c r="M16" s="13" t="s">
        <v>0</v>
      </c>
      <c r="N16" s="14" t="s">
        <v>0</v>
      </c>
      <c r="O16" s="13" t="s">
        <v>0</v>
      </c>
      <c r="P16" s="14" t="s">
        <v>0</v>
      </c>
      <c r="Q16" s="13" t="s">
        <v>0</v>
      </c>
    </row>
    <row r="17" spans="1:17" x14ac:dyDescent="0.3">
      <c r="B17" s="15">
        <v>2019</v>
      </c>
      <c r="C17" s="16">
        <v>0</v>
      </c>
      <c r="D17" s="17"/>
      <c r="E17" s="17"/>
      <c r="F17" s="18"/>
      <c r="G17" s="17"/>
      <c r="H17" s="19"/>
      <c r="I17" s="47">
        <f>800*10^6</f>
        <v>800000000</v>
      </c>
      <c r="J17" s="40">
        <f>I17</f>
        <v>800000000</v>
      </c>
      <c r="K17" s="42">
        <f>I17*'Key Information'!$C$14</f>
        <v>64000000</v>
      </c>
      <c r="L17" s="20"/>
      <c r="N17" s="21"/>
      <c r="O17" s="84">
        <f>NPV('Key Information'!$C$13,N18:N37)</f>
        <v>8205661.7623224063</v>
      </c>
      <c r="P17" s="21"/>
      <c r="Q17" s="42">
        <f>NPV('Key Information'!$C$13,P18:P37)</f>
        <v>74979346.526742652</v>
      </c>
    </row>
    <row r="18" spans="1:17" x14ac:dyDescent="0.3">
      <c r="A18" s="22"/>
      <c r="B18" s="15">
        <v>2020</v>
      </c>
      <c r="C18" s="16">
        <v>1</v>
      </c>
      <c r="D18" s="89">
        <f>I17*'Key Information'!C42</f>
        <v>-80000000</v>
      </c>
      <c r="E18" s="40">
        <f>(I17+D18)*'Key Information'!$C$16</f>
        <v>7200000</v>
      </c>
      <c r="F18" s="89">
        <f>(I17+D18-E18)*'Key Information'!$C$17+'Key Information'!C38</f>
        <v>171280000</v>
      </c>
      <c r="G18" s="40">
        <f>'Key Information'!$C$19*(1+'Key Information'!$C$20)^(C18-1)</f>
        <v>1000000</v>
      </c>
      <c r="H18" s="42">
        <f>K17*'Key Information'!$C$22</f>
        <v>1920000</v>
      </c>
      <c r="I18" s="40">
        <f>I17+D18-E18-F18</f>
        <v>541520000</v>
      </c>
      <c r="J18" s="40">
        <f t="shared" ref="J18:J36" si="0">I18</f>
        <v>541520000</v>
      </c>
      <c r="K18" s="42">
        <f>I18*'Key Information'!$C$14</f>
        <v>43321600</v>
      </c>
      <c r="L18" s="40">
        <f>E18-G18-J18</f>
        <v>-535320000</v>
      </c>
      <c r="M18" s="42">
        <f>K17-K18</f>
        <v>20678400</v>
      </c>
      <c r="N18" s="43">
        <f>L18*'Key Information'!$C$23</f>
        <v>-160596000</v>
      </c>
      <c r="O18" s="42">
        <f>NPV('Key Information'!$C$13,N19:N38)</f>
        <v>169376058.08568501</v>
      </c>
      <c r="P18" s="43">
        <f>E18-G18+H18+M18-N18</f>
        <v>189394400</v>
      </c>
      <c r="Q18" s="42">
        <f>NPV('Key Information'!$C$13,P19:P38)</f>
        <v>-109166499.21638533</v>
      </c>
    </row>
    <row r="19" spans="1:17" x14ac:dyDescent="0.3">
      <c r="A19" s="22"/>
      <c r="B19" s="15">
        <v>2021</v>
      </c>
      <c r="C19" s="16">
        <v>2</v>
      </c>
      <c r="D19" s="89">
        <f>I18*'Key Information'!$C$43</f>
        <v>16245600</v>
      </c>
      <c r="E19" s="40">
        <f>(I18+D19)*'Key Information'!$C$16</f>
        <v>5577656</v>
      </c>
      <c r="F19" s="40">
        <f>(I18+D19-E19)*'Key Information'!$C$17</f>
        <v>55218794.400000006</v>
      </c>
      <c r="G19" s="40">
        <f>'Key Information'!$C$19*(1+'Key Information'!$C$20)^(C19-1)</f>
        <v>1030000</v>
      </c>
      <c r="H19" s="42">
        <f>K18*'Key Information'!$C$22</f>
        <v>1299648</v>
      </c>
      <c r="I19" s="40">
        <f t="shared" ref="I19:I37" si="1">I18+D19-E19-F19</f>
        <v>496969149.60000002</v>
      </c>
      <c r="J19" s="40">
        <f t="shared" si="0"/>
        <v>496969149.60000002</v>
      </c>
      <c r="K19" s="42">
        <f>I19*'Key Information'!$C$14</f>
        <v>39757531.968000002</v>
      </c>
      <c r="L19" s="89">
        <f>E19-G19-(J19-J18)+J18*'Key Information'!$C$43</f>
        <v>65344106.399999976</v>
      </c>
      <c r="M19" s="42">
        <f t="shared" ref="M19:M37" si="2">K18-K19</f>
        <v>3564068.0319999978</v>
      </c>
      <c r="N19" s="43">
        <f>L19*'Key Information'!$C$23</f>
        <v>19603231.919999991</v>
      </c>
      <c r="O19" s="42">
        <f>NPV('Key Information'!$C$13,N20:N39)</f>
        <v>161629150.23168293</v>
      </c>
      <c r="P19" s="43">
        <f t="shared" ref="P19:P37" si="3">E19-G19+H19+M19-N19</f>
        <v>-10191859.887999993</v>
      </c>
      <c r="Q19" s="42">
        <f>NPV('Key Information'!$C$13,P20:P39)</f>
        <v>-106616294.27353236</v>
      </c>
    </row>
    <row r="20" spans="1:17" x14ac:dyDescent="0.3">
      <c r="A20" s="22"/>
      <c r="B20" s="15">
        <v>2022</v>
      </c>
      <c r="C20" s="16">
        <v>3</v>
      </c>
      <c r="D20" s="89">
        <f>I19*'Key Information'!$C$43</f>
        <v>14909074.488</v>
      </c>
      <c r="E20" s="40">
        <f>(I19+D20)*'Key Information'!$C$16</f>
        <v>5118782.2408800004</v>
      </c>
      <c r="F20" s="40">
        <f>(I19+D20-E20)*'Key Information'!$C$17</f>
        <v>50675944.184712</v>
      </c>
      <c r="G20" s="40">
        <f>'Key Information'!$C$19*(1+'Key Information'!$C$20)^(C20-1)</f>
        <v>1060900</v>
      </c>
      <c r="H20" s="42">
        <f>K19*'Key Information'!$C$22</f>
        <v>1192725.9590400001</v>
      </c>
      <c r="I20" s="40">
        <f t="shared" si="1"/>
        <v>456083497.66240799</v>
      </c>
      <c r="J20" s="40">
        <f t="shared" si="0"/>
        <v>456083497.66240799</v>
      </c>
      <c r="K20" s="42">
        <f>I20*'Key Information'!$C$14</f>
        <v>36486679.81299264</v>
      </c>
      <c r="L20" s="89">
        <f>E20-G20-(J20-J19)+J19*'Key Information'!$C$43</f>
        <v>59852608.666472025</v>
      </c>
      <c r="M20" s="42">
        <f t="shared" si="2"/>
        <v>3270852.1550073624</v>
      </c>
      <c r="N20" s="43">
        <f>L20*'Key Information'!$C$23</f>
        <v>17955782.599941608</v>
      </c>
      <c r="O20" s="42">
        <f>NPV('Key Information'!$C$13,N21:N40)</f>
        <v>154987408.1479592</v>
      </c>
      <c r="P20" s="43">
        <f t="shared" si="3"/>
        <v>-9434322.2450142447</v>
      </c>
      <c r="Q20" s="42">
        <f>NPV('Key Information'!$C$13,P21:P40)</f>
        <v>-104645112.6276654</v>
      </c>
    </row>
    <row r="21" spans="1:17" x14ac:dyDescent="0.3">
      <c r="A21" s="22"/>
      <c r="B21" s="15">
        <v>2023</v>
      </c>
      <c r="C21" s="16">
        <v>4</v>
      </c>
      <c r="D21" s="43">
        <f>I20*'Key Information'!$C$44</f>
        <v>36486679.81299264</v>
      </c>
      <c r="E21" s="40">
        <f>(I20+D21)*'Key Information'!$C$16</f>
        <v>4925701.7747540064</v>
      </c>
      <c r="F21" s="40">
        <f>(I20+D21-E21)*'Key Information'!$C$17</f>
        <v>48764447.570064664</v>
      </c>
      <c r="G21" s="40">
        <f>'Key Information'!$C$19*(1+'Key Information'!$C$20)^(C21-1)</f>
        <v>1092727</v>
      </c>
      <c r="H21" s="42">
        <f>K20*'Key Information'!$C$22</f>
        <v>1094600.3943897791</v>
      </c>
      <c r="I21" s="40">
        <f t="shared" si="1"/>
        <v>438880028.13058197</v>
      </c>
      <c r="J21" s="40">
        <f t="shared" si="0"/>
        <v>438880028.13058197</v>
      </c>
      <c r="K21" s="42">
        <f>I21*'Key Information'!$C$14</f>
        <v>35110402.250446558</v>
      </c>
      <c r="L21" s="40">
        <f>E21-G21-(J21-J20)+J20*'Key Information'!$C$15</f>
        <v>57523124.119572669</v>
      </c>
      <c r="M21" s="42">
        <f t="shared" si="2"/>
        <v>1376277.5625460818</v>
      </c>
      <c r="N21" s="43">
        <f>L21*'Key Information'!$C$23</f>
        <v>17256937.235871799</v>
      </c>
      <c r="O21" s="42">
        <f>NPV('Key Information'!$C$13,N22:N41)</f>
        <v>148579589.48244452</v>
      </c>
      <c r="P21" s="43">
        <f t="shared" si="3"/>
        <v>-10953084.504181933</v>
      </c>
      <c r="Q21" s="42">
        <f>NPV('Key Information'!$C$13,P22:P41)</f>
        <v>-101017186.00742003</v>
      </c>
    </row>
    <row r="22" spans="1:17" x14ac:dyDescent="0.3">
      <c r="A22" s="22"/>
      <c r="B22" s="15">
        <v>2024</v>
      </c>
      <c r="C22" s="16">
        <v>5</v>
      </c>
      <c r="D22" s="43">
        <f>I21*'Key Information'!$C$44</f>
        <v>35110402.250446558</v>
      </c>
      <c r="E22" s="40">
        <f>(I21+D22)*'Key Information'!$C$16</f>
        <v>4739904.3038102854</v>
      </c>
      <c r="F22" s="40">
        <f>(I21+D22-E22)*'Key Information'!$C$17</f>
        <v>46925052.607721828</v>
      </c>
      <c r="G22" s="40">
        <f>'Key Information'!$C$19*(1+'Key Information'!$C$20)^(C22-1)</f>
        <v>1125508.8099999998</v>
      </c>
      <c r="H22" s="42">
        <f>K21*'Key Information'!$C$22</f>
        <v>1053312.0675133967</v>
      </c>
      <c r="I22" s="40">
        <f t="shared" si="1"/>
        <v>422325473.46949643</v>
      </c>
      <c r="J22" s="40">
        <f t="shared" si="0"/>
        <v>422325473.46949643</v>
      </c>
      <c r="K22" s="42">
        <f>I22*'Key Information'!$C$14</f>
        <v>33786037.877559714</v>
      </c>
      <c r="L22" s="40">
        <f>E22-G22-(J22-J21)+J21*'Key Information'!$C$15</f>
        <v>55279352.405342385</v>
      </c>
      <c r="M22" s="42">
        <f t="shared" si="2"/>
        <v>1324364.372886844</v>
      </c>
      <c r="N22" s="43">
        <f>L22*'Key Information'!$C$23</f>
        <v>16583805.721602716</v>
      </c>
      <c r="O22" s="42">
        <f>NPV('Key Information'!$C$13,N23:N42)</f>
        <v>142396355.0246129</v>
      </c>
      <c r="P22" s="43">
        <f t="shared" si="3"/>
        <v>-10591733.787392188</v>
      </c>
      <c r="Q22" s="42">
        <f>NPV('Key Information'!$C$13,P23:P42)</f>
        <v>-97496655.24054724</v>
      </c>
    </row>
    <row r="23" spans="1:17" x14ac:dyDescent="0.3">
      <c r="A23" s="22"/>
      <c r="B23" s="15">
        <v>2025</v>
      </c>
      <c r="C23" s="16">
        <v>6</v>
      </c>
      <c r="D23" s="43">
        <f>I22*'Key Information'!$C$44</f>
        <v>33786037.877559714</v>
      </c>
      <c r="E23" s="40">
        <f>(I22+D23)*'Key Information'!$C$16</f>
        <v>4561115.1134705618</v>
      </c>
      <c r="F23" s="40">
        <f>(I22+D23-E23)*'Key Information'!$C$17</f>
        <v>45155039.623358563</v>
      </c>
      <c r="G23" s="40">
        <f>'Key Information'!$C$19*(1+'Key Information'!$C$20)^(C23-1)</f>
        <v>1159274.0742999997</v>
      </c>
      <c r="H23" s="42">
        <f>K22*'Key Information'!$C$22</f>
        <v>1013581.1363267914</v>
      </c>
      <c r="I23" s="40">
        <f t="shared" si="1"/>
        <v>406395356.61022705</v>
      </c>
      <c r="J23" s="40">
        <f t="shared" si="0"/>
        <v>406395356.61022705</v>
      </c>
      <c r="K23" s="42">
        <f>I23*'Key Information'!$C$14</f>
        <v>32511628.528818164</v>
      </c>
      <c r="L23" s="40">
        <f>E23-G23-(J23-J22)+J22*'Key Information'!$C$15</f>
        <v>53117995.775999658</v>
      </c>
      <c r="M23" s="42">
        <f t="shared" si="2"/>
        <v>1274409.34874155</v>
      </c>
      <c r="N23" s="43">
        <f>L23*'Key Information'!$C$23</f>
        <v>15935398.732799897</v>
      </c>
      <c r="O23" s="42">
        <f>NPV('Key Information'!$C$13,N24:N43)</f>
        <v>136428701.14353594</v>
      </c>
      <c r="P23" s="43">
        <f t="shared" si="3"/>
        <v>-10245567.208560992</v>
      </c>
      <c r="Q23" s="42">
        <f>NPV('Key Information'!$C$13,P24:P43)</f>
        <v>-94075853.898824558</v>
      </c>
    </row>
    <row r="24" spans="1:17" x14ac:dyDescent="0.3">
      <c r="A24" s="22"/>
      <c r="B24" s="15">
        <v>2026</v>
      </c>
      <c r="C24" s="16">
        <v>7</v>
      </c>
      <c r="D24" s="43">
        <f>I23*'Key Information'!$C$44</f>
        <v>32511628.528818164</v>
      </c>
      <c r="E24" s="40">
        <f>(I23+D24)*'Key Information'!$C$16</f>
        <v>4389069.8513904521</v>
      </c>
      <c r="F24" s="40">
        <f>(I23+D24-E24)*'Key Information'!$C$17</f>
        <v>43451791.528765477</v>
      </c>
      <c r="G24" s="40">
        <f>'Key Information'!$C$19*(1+'Key Information'!$C$20)^(C24-1)</f>
        <v>1194052.2965289999</v>
      </c>
      <c r="H24" s="42">
        <f>K23*'Key Information'!$C$22</f>
        <v>975348.85586454486</v>
      </c>
      <c r="I24" s="40">
        <f t="shared" si="1"/>
        <v>391066123.75888926</v>
      </c>
      <c r="J24" s="40">
        <f t="shared" si="0"/>
        <v>391066123.75888926</v>
      </c>
      <c r="K24" s="42">
        <f>I24*'Key Information'!$C$14</f>
        <v>31285289.900711142</v>
      </c>
      <c r="L24" s="40">
        <f>E24-G24-(J24-J23)+J23*'Key Information'!$C$15</f>
        <v>51035878.935017407</v>
      </c>
      <c r="M24" s="42">
        <f t="shared" si="2"/>
        <v>1226338.6281070225</v>
      </c>
      <c r="N24" s="43">
        <f>L24*'Key Information'!$C$23</f>
        <v>15310763.680505222</v>
      </c>
      <c r="O24" s="42">
        <f>NPV('Key Information'!$C$13,N25:N44)</f>
        <v>130667946.54307821</v>
      </c>
      <c r="P24" s="43">
        <f t="shared" si="3"/>
        <v>-9914058.6416722015</v>
      </c>
      <c r="Q24" s="42">
        <f>NPV('Key Information'!$C$13,P25:P44)</f>
        <v>-90747105.030070111</v>
      </c>
    </row>
    <row r="25" spans="1:17" x14ac:dyDescent="0.3">
      <c r="A25" s="22"/>
      <c r="B25" s="15">
        <v>2027</v>
      </c>
      <c r="C25" s="16">
        <v>8</v>
      </c>
      <c r="D25" s="43">
        <f>I24*'Key Information'!$C$44</f>
        <v>31285289.900711142</v>
      </c>
      <c r="E25" s="40">
        <f>(I24+D25)*'Key Information'!$C$16</f>
        <v>4223514.1365960035</v>
      </c>
      <c r="F25" s="40">
        <f>(I24+D25-E25)*'Key Information'!$C$17</f>
        <v>41812789.952300437</v>
      </c>
      <c r="G25" s="40">
        <f>'Key Information'!$C$19*(1+'Key Information'!$C$20)^(C25-1)</f>
        <v>1229873.86542487</v>
      </c>
      <c r="H25" s="42">
        <f>K24*'Key Information'!$C$22</f>
        <v>938558.6970213342</v>
      </c>
      <c r="I25" s="40">
        <f t="shared" si="1"/>
        <v>376315109.57070392</v>
      </c>
      <c r="J25" s="40">
        <f t="shared" si="0"/>
        <v>376315109.57070392</v>
      </c>
      <c r="K25" s="42">
        <f>I25*'Key Information'!$C$14</f>
        <v>30105208.765656315</v>
      </c>
      <c r="L25" s="40">
        <f>E25-G25-(J25-J24)+J24*'Key Information'!$C$15</f>
        <v>49029944.360067606</v>
      </c>
      <c r="M25" s="42">
        <f t="shared" si="2"/>
        <v>1180081.1350548267</v>
      </c>
      <c r="N25" s="43">
        <f>L25*'Key Information'!$C$23</f>
        <v>14708983.308020281</v>
      </c>
      <c r="O25" s="42">
        <f>NPV('Key Information'!$C$13,N26:N45)</f>
        <v>125105719.49307343</v>
      </c>
      <c r="P25" s="43">
        <f t="shared" si="3"/>
        <v>-9596703.2047729865</v>
      </c>
      <c r="Q25" s="42">
        <f>NPV('Key Information'!$C$13,P26:P45)</f>
        <v>-87502699.177402034</v>
      </c>
    </row>
    <row r="26" spans="1:17" x14ac:dyDescent="0.3">
      <c r="A26" s="22"/>
      <c r="B26" s="15">
        <v>2028</v>
      </c>
      <c r="C26" s="16">
        <v>9</v>
      </c>
      <c r="D26" s="43">
        <f>I25*'Key Information'!$C$44</f>
        <v>30105208.765656315</v>
      </c>
      <c r="E26" s="40">
        <f>(I25+D26)*'Key Information'!$C$16</f>
        <v>4064203.183363602</v>
      </c>
      <c r="F26" s="40">
        <f>(I25+D26-E26)*'Key Information'!$C$17</f>
        <v>40235611.515299663</v>
      </c>
      <c r="G26" s="40">
        <f>'Key Information'!$C$19*(1+'Key Information'!$C$20)^(C26-1)</f>
        <v>1266770.081387616</v>
      </c>
      <c r="H26" s="42">
        <f>K25*'Key Information'!$C$22</f>
        <v>903156.26296968944</v>
      </c>
      <c r="I26" s="40">
        <f t="shared" si="1"/>
        <v>362120503.63769692</v>
      </c>
      <c r="J26" s="40">
        <f t="shared" si="0"/>
        <v>362120503.63769692</v>
      </c>
      <c r="K26" s="42">
        <f>I26*'Key Information'!$C$14</f>
        <v>28969640.291015755</v>
      </c>
      <c r="L26" s="40">
        <f>E26-G26-(J26-J25)+J25*'Key Information'!$C$15</f>
        <v>47097247.800639302</v>
      </c>
      <c r="M26" s="42">
        <f t="shared" si="2"/>
        <v>1135568.4746405594</v>
      </c>
      <c r="N26" s="43">
        <f>L26*'Key Information'!$C$23</f>
        <v>14129174.340191791</v>
      </c>
      <c r="O26" s="42">
        <f>NPV('Key Information'!$C$13,N27:N46)</f>
        <v>119733945.51739681</v>
      </c>
      <c r="P26" s="43">
        <f t="shared" si="3"/>
        <v>-9293016.5006055571</v>
      </c>
      <c r="Q26" s="42">
        <f>NPV('Key Information'!$C$13,P27:P46)</f>
        <v>-84334871.619214609</v>
      </c>
    </row>
    <row r="27" spans="1:17" x14ac:dyDescent="0.3">
      <c r="A27" s="22"/>
      <c r="B27" s="15">
        <v>2029</v>
      </c>
      <c r="C27" s="16">
        <v>10</v>
      </c>
      <c r="D27" s="43">
        <f>I26*'Key Information'!$C$44</f>
        <v>28969640.291015755</v>
      </c>
      <c r="E27" s="40">
        <f>(I26+D27)*'Key Information'!$C$16</f>
        <v>3910901.4392871265</v>
      </c>
      <c r="F27" s="40">
        <f>(I26+D27-E27)*'Key Information'!$C$17</f>
        <v>38717924.248942554</v>
      </c>
      <c r="G27" s="40">
        <f>'Key Information'!$C$19*(1+'Key Information'!$C$20)^(C27-1)</f>
        <v>1304773.1838292445</v>
      </c>
      <c r="H27" s="42">
        <f>K26*'Key Information'!$C$22</f>
        <v>869089.2087304726</v>
      </c>
      <c r="I27" s="40">
        <f t="shared" si="1"/>
        <v>348461318.24048299</v>
      </c>
      <c r="J27" s="40">
        <f t="shared" si="0"/>
        <v>348461318.24048299</v>
      </c>
      <c r="K27" s="42">
        <f>I27*'Key Information'!$C$14</f>
        <v>27876905.459238641</v>
      </c>
      <c r="L27" s="40">
        <f>E27-G27-(J27-J26)+J26*'Key Information'!$C$15</f>
        <v>45234953.943687573</v>
      </c>
      <c r="M27" s="42">
        <f t="shared" si="2"/>
        <v>1092734.8317771144</v>
      </c>
      <c r="N27" s="43">
        <f>L27*'Key Information'!$C$23</f>
        <v>13570486.183106272</v>
      </c>
      <c r="O27" s="42">
        <f>NPV('Key Information'!$C$13,N28:N47)</f>
        <v>114544835.5205083</v>
      </c>
      <c r="P27" s="43">
        <f t="shared" si="3"/>
        <v>-9002533.887140803</v>
      </c>
      <c r="Q27" s="42">
        <f>NPV('Key Information'!$C$13,P28:P47)</f>
        <v>-81235778.745418847</v>
      </c>
    </row>
    <row r="28" spans="1:17" x14ac:dyDescent="0.3">
      <c r="A28" s="22"/>
      <c r="B28" s="15">
        <v>2030</v>
      </c>
      <c r="C28" s="16">
        <v>11</v>
      </c>
      <c r="D28" s="43">
        <f>I27*'Key Information'!$C$44</f>
        <v>27876905.459238641</v>
      </c>
      <c r="E28" s="40">
        <f>(I27+D28)*'Key Information'!$C$16</f>
        <v>3763382.2369972165</v>
      </c>
      <c r="F28" s="40">
        <f>(I27+D28-E28)*'Key Information'!$C$17</f>
        <v>37257484.146272443</v>
      </c>
      <c r="G28" s="40">
        <f>'Key Information'!$C$19*(1+'Key Information'!$C$20)^(C28-1)</f>
        <v>1343916.3793441218</v>
      </c>
      <c r="H28" s="42">
        <f>K27*'Key Information'!$C$22</f>
        <v>836307.16377715918</v>
      </c>
      <c r="I28" s="40">
        <f t="shared" si="1"/>
        <v>335317357.31645203</v>
      </c>
      <c r="J28" s="40">
        <f t="shared" si="0"/>
        <v>335317357.31645203</v>
      </c>
      <c r="K28" s="42">
        <f>I28*'Key Information'!$C$14</f>
        <v>26825388.585316163</v>
      </c>
      <c r="L28" s="40">
        <f>E28-G28-(J28-J27)+J27*'Key Information'!$C$15</f>
        <v>43440332.240922697</v>
      </c>
      <c r="M28" s="42">
        <f t="shared" si="2"/>
        <v>1051516.8739224784</v>
      </c>
      <c r="N28" s="43">
        <f>L28*'Key Information'!$C$23</f>
        <v>13032099.672276808</v>
      </c>
      <c r="O28" s="42">
        <f>NPV('Key Information'!$C$13,N29:N48)</f>
        <v>109530874.33466707</v>
      </c>
      <c r="P28" s="43">
        <f t="shared" si="3"/>
        <v>-8724809.7769240756</v>
      </c>
      <c r="Q28" s="42">
        <f>NPV('Key Information'!$C$13,P29:P48)</f>
        <v>-78197473.480674088</v>
      </c>
    </row>
    <row r="29" spans="1:17" x14ac:dyDescent="0.3">
      <c r="A29" s="22"/>
      <c r="B29" s="15">
        <v>2031</v>
      </c>
      <c r="C29" s="16">
        <v>12</v>
      </c>
      <c r="D29" s="43">
        <f>I28*'Key Information'!$C$44</f>
        <v>26825388.585316163</v>
      </c>
      <c r="E29" s="40">
        <f>(I28+D29)*'Key Information'!$C$16</f>
        <v>3621427.4590176824</v>
      </c>
      <c r="F29" s="40">
        <f>(I28+D29-E29)*'Key Information'!$C$17</f>
        <v>35852131.84427505</v>
      </c>
      <c r="G29" s="40">
        <f>'Key Information'!$C$19*(1+'Key Information'!$C$20)^(C29-1)</f>
        <v>1384233.8707244454</v>
      </c>
      <c r="H29" s="42">
        <f>K28*'Key Information'!$C$22</f>
        <v>804761.65755948483</v>
      </c>
      <c r="I29" s="40">
        <f t="shared" si="1"/>
        <v>322669186.59847546</v>
      </c>
      <c r="J29" s="40">
        <f t="shared" si="0"/>
        <v>322669186.59847546</v>
      </c>
      <c r="K29" s="42">
        <f>I29*'Key Information'!$C$14</f>
        <v>25813534.927878037</v>
      </c>
      <c r="L29" s="40">
        <f>E29-G29-(J29-J28)+J28*'Key Information'!$C$15</f>
        <v>41710752.891585968</v>
      </c>
      <c r="M29" s="42">
        <f t="shared" si="2"/>
        <v>1011853.6574381255</v>
      </c>
      <c r="N29" s="43">
        <f>L29*'Key Information'!$C$23</f>
        <v>12513225.867475791</v>
      </c>
      <c r="O29" s="42">
        <f>NPV('Key Information'!$C$13,N30:N49)</f>
        <v>104684809.670618</v>
      </c>
      <c r="P29" s="43">
        <f t="shared" si="3"/>
        <v>-8459416.9641849436</v>
      </c>
      <c r="Q29" s="42">
        <f>NPV('Key Information'!$C$13,P30:P49)</f>
        <v>-75211879.660136342</v>
      </c>
    </row>
    <row r="30" spans="1:17" x14ac:dyDescent="0.3">
      <c r="A30" s="22"/>
      <c r="B30" s="15">
        <v>2032</v>
      </c>
      <c r="C30" s="16">
        <v>13</v>
      </c>
      <c r="D30" s="43">
        <f>I29*'Key Information'!$C$44</f>
        <v>25813534.927878037</v>
      </c>
      <c r="E30" s="40">
        <f>(I29+D30)*'Key Information'!$C$16</f>
        <v>3484827.2152635348</v>
      </c>
      <c r="F30" s="40">
        <f>(I29+D30-E30)*'Key Information'!$C$17</f>
        <v>34499789.431108996</v>
      </c>
      <c r="G30" s="40">
        <f>'Key Information'!$C$19*(1+'Key Information'!$C$20)^(C30-1)</f>
        <v>1425760.8868461787</v>
      </c>
      <c r="H30" s="42">
        <f>K29*'Key Information'!$C$22</f>
        <v>774406.04783634108</v>
      </c>
      <c r="I30" s="40">
        <f t="shared" si="1"/>
        <v>310498104.87998092</v>
      </c>
      <c r="J30" s="40">
        <f t="shared" si="0"/>
        <v>310498104.87998092</v>
      </c>
      <c r="K30" s="42">
        <f>I30*'Key Information'!$C$14</f>
        <v>24839848.390398473</v>
      </c>
      <c r="L30" s="40">
        <f>E30-G30-(J30-J29)+J29*'Key Information'!$C$15</f>
        <v>40043682.974789932</v>
      </c>
      <c r="M30" s="42">
        <f t="shared" si="2"/>
        <v>973686.53747956455</v>
      </c>
      <c r="N30" s="43">
        <f>L30*'Key Information'!$C$23</f>
        <v>12013104.892436979</v>
      </c>
      <c r="O30" s="42">
        <f>NPV('Key Information'!$C$13,N31:N50)</f>
        <v>99999641.455124289</v>
      </c>
      <c r="P30" s="43">
        <f t="shared" si="3"/>
        <v>-8205945.9787037177</v>
      </c>
      <c r="Q30" s="42">
        <f>NPV('Key Information'!$C$13,P31:P50)</f>
        <v>-72270765.257642165</v>
      </c>
    </row>
    <row r="31" spans="1:17" x14ac:dyDescent="0.3">
      <c r="A31" s="22"/>
      <c r="B31" s="15">
        <v>2033</v>
      </c>
      <c r="C31" s="16">
        <v>14</v>
      </c>
      <c r="D31" s="43">
        <f>I30*'Key Information'!$C$44</f>
        <v>24839848.390398473</v>
      </c>
      <c r="E31" s="40">
        <f>(I30+D31)*'Key Information'!$C$16</f>
        <v>3353379.5327037945</v>
      </c>
      <c r="F31" s="40">
        <f>(I30+D31-E31)*'Key Information'!$C$17</f>
        <v>33198457.373767562</v>
      </c>
      <c r="G31" s="40">
        <f>'Key Information'!$C$19*(1+'Key Information'!$C$20)^(C31-1)</f>
        <v>1468533.7134515638</v>
      </c>
      <c r="H31" s="42">
        <f>K30*'Key Information'!$C$22</f>
        <v>745195.4517119542</v>
      </c>
      <c r="I31" s="40">
        <f t="shared" si="1"/>
        <v>298786116.36390805</v>
      </c>
      <c r="J31" s="40">
        <f t="shared" si="0"/>
        <v>298786116.36390805</v>
      </c>
      <c r="K31" s="42">
        <f>I31*'Key Information'!$C$14</f>
        <v>23902889.309112646</v>
      </c>
      <c r="L31" s="40">
        <f>E31-G31-(J31-J30)+J30*'Key Information'!$C$15</f>
        <v>38436682.725723572</v>
      </c>
      <c r="M31" s="42">
        <f t="shared" si="2"/>
        <v>936959.08128582686</v>
      </c>
      <c r="N31" s="43">
        <f>L31*'Key Information'!$C$23</f>
        <v>11531004.817717072</v>
      </c>
      <c r="O31" s="42">
        <f>NPV('Key Information'!$C$13,N32:N51)</f>
        <v>95468611.539265931</v>
      </c>
      <c r="P31" s="43">
        <f t="shared" si="3"/>
        <v>-7964004.46546706</v>
      </c>
      <c r="Q31" s="42">
        <f>NPV('Key Information'!$C$13,P32:P51)</f>
        <v>-69365714.360210076</v>
      </c>
    </row>
    <row r="32" spans="1:17" x14ac:dyDescent="0.3">
      <c r="A32" s="22"/>
      <c r="B32" s="15">
        <v>2034</v>
      </c>
      <c r="C32" s="16">
        <v>15</v>
      </c>
      <c r="D32" s="43">
        <f>I31*'Key Information'!$C$44</f>
        <v>23902889.309112646</v>
      </c>
      <c r="E32" s="40">
        <f>(I31+D32)*'Key Information'!$C$16</f>
        <v>3226890.0567302071</v>
      </c>
      <c r="F32" s="40">
        <f>(I31+D32-E32)*'Key Information'!$C$17</f>
        <v>31946211.561629053</v>
      </c>
      <c r="G32" s="40">
        <f>'Key Information'!$C$19*(1+'Key Information'!$C$20)^(C32-1)</f>
        <v>1512589.724855111</v>
      </c>
      <c r="H32" s="42">
        <f>K31*'Key Information'!$C$22</f>
        <v>717086.67927337938</v>
      </c>
      <c r="I32" s="40">
        <f t="shared" si="1"/>
        <v>287515904.05466145</v>
      </c>
      <c r="J32" s="40">
        <f t="shared" si="0"/>
        <v>287515904.05466145</v>
      </c>
      <c r="K32" s="42">
        <f>I32*'Key Information'!$C$14</f>
        <v>23001272.324372917</v>
      </c>
      <c r="L32" s="40">
        <f>E32-G32-(J32-J31)+J31*'Key Information'!$C$15</f>
        <v>36887401.950234339</v>
      </c>
      <c r="M32" s="42">
        <f t="shared" si="2"/>
        <v>901616.98473972827</v>
      </c>
      <c r="N32" s="43">
        <f>L32*'Key Information'!$C$23</f>
        <v>11066220.585070301</v>
      </c>
      <c r="O32" s="42">
        <f>NPV('Key Information'!$C$13,N33:N52)</f>
        <v>91085193.761944234</v>
      </c>
      <c r="P32" s="43">
        <f t="shared" si="3"/>
        <v>-7733216.5891820975</v>
      </c>
      <c r="Q32" s="42">
        <f>NPV('Key Information'!$C$13,P33:P52)</f>
        <v>-66488097.776242681</v>
      </c>
    </row>
    <row r="33" spans="1:17" x14ac:dyDescent="0.3">
      <c r="A33" s="22"/>
      <c r="B33" s="15">
        <v>2035</v>
      </c>
      <c r="C33" s="16">
        <v>16</v>
      </c>
      <c r="D33" s="43">
        <f>I32*'Key Information'!$C$44</f>
        <v>23001272.324372917</v>
      </c>
      <c r="E33" s="40">
        <f>(I32+D33)*'Key Information'!$C$16</f>
        <v>3105171.7637903439</v>
      </c>
      <c r="F33" s="40">
        <f>(I32+D33-E33)*'Key Information'!$C$17</f>
        <v>30741200.461524405</v>
      </c>
      <c r="G33" s="40">
        <f>'Key Information'!$C$19*(1+'Key Information'!$C$20)^(C33-1)</f>
        <v>1557967.4166007645</v>
      </c>
      <c r="H33" s="42">
        <f>K32*'Key Information'!$C$22</f>
        <v>690038.16973118752</v>
      </c>
      <c r="I33" s="40">
        <f t="shared" si="1"/>
        <v>276670804.1537196</v>
      </c>
      <c r="J33" s="40">
        <f t="shared" si="0"/>
        <v>276670804.1537196</v>
      </c>
      <c r="K33" s="42">
        <f>I33*'Key Information'!$C$14</f>
        <v>22133664.332297567</v>
      </c>
      <c r="L33" s="40">
        <f>E33-G33-(J33-J32)+J32*'Key Information'!$C$15</f>
        <v>35393576.572504342</v>
      </c>
      <c r="M33" s="42">
        <f t="shared" si="2"/>
        <v>867607.99207535014</v>
      </c>
      <c r="N33" s="43">
        <f>L33*'Key Information'!$C$23</f>
        <v>10618072.971751302</v>
      </c>
      <c r="O33" s="42">
        <f>NPV('Key Information'!$C$13,N34:N53)</f>
        <v>86843084.353529036</v>
      </c>
      <c r="P33" s="43">
        <f t="shared" si="3"/>
        <v>-7513222.4627551856</v>
      </c>
      <c r="Q33" s="42">
        <f>NPV('Key Information'!$C$13,P34:P53)</f>
        <v>-63629042.157824486</v>
      </c>
    </row>
    <row r="34" spans="1:17" x14ac:dyDescent="0.3">
      <c r="A34" s="22"/>
      <c r="B34" s="15">
        <v>2036</v>
      </c>
      <c r="C34" s="16">
        <v>17</v>
      </c>
      <c r="D34" s="43">
        <f>I33*'Key Information'!$C$44</f>
        <v>22133664.332297567</v>
      </c>
      <c r="E34" s="40">
        <f>(I33+D34)*'Key Information'!$C$16</f>
        <v>2988044.6848601718</v>
      </c>
      <c r="F34" s="40">
        <f>(I33+D34-E34)*'Key Information'!$C$17</f>
        <v>29581642.380115703</v>
      </c>
      <c r="G34" s="40">
        <f>'Key Information'!$C$19*(1+'Key Information'!$C$20)^(C34-1)</f>
        <v>1604706.439098787</v>
      </c>
      <c r="H34" s="42">
        <f>K33*'Key Information'!$C$22</f>
        <v>664009.92996892694</v>
      </c>
      <c r="I34" s="40">
        <f t="shared" si="1"/>
        <v>266234781.42104131</v>
      </c>
      <c r="J34" s="40">
        <f t="shared" si="0"/>
        <v>266234781.42104131</v>
      </c>
      <c r="K34" s="42">
        <f>I34*'Key Information'!$C$14</f>
        <v>21298782.513683304</v>
      </c>
      <c r="L34" s="40">
        <f>E34-G34-(J34-J33)+J33*'Key Information'!$C$15</f>
        <v>33953025.310737245</v>
      </c>
      <c r="M34" s="42">
        <f t="shared" si="2"/>
        <v>834881.81861426309</v>
      </c>
      <c r="N34" s="43">
        <f>L34*'Key Information'!$C$23</f>
        <v>10185907.593221173</v>
      </c>
      <c r="O34" s="42">
        <f>NPV('Key Information'!$C$13,N35:N54)</f>
        <v>82736192.665054917</v>
      </c>
      <c r="P34" s="43">
        <f t="shared" si="3"/>
        <v>-7303677.5988765974</v>
      </c>
      <c r="Q34" s="42">
        <f>NPV('Key Information'!$C$13,P35:P54)</f>
        <v>-60779397.50999561</v>
      </c>
    </row>
    <row r="35" spans="1:17" x14ac:dyDescent="0.3">
      <c r="A35" s="22"/>
      <c r="B35" s="15">
        <v>2037</v>
      </c>
      <c r="C35" s="16">
        <v>18</v>
      </c>
      <c r="D35" s="43">
        <f>I34*'Key Information'!$C$44</f>
        <v>21298782.513683304</v>
      </c>
      <c r="E35" s="40">
        <f>(I34+D35)*'Key Information'!$C$16</f>
        <v>2875335.6393472464</v>
      </c>
      <c r="F35" s="40">
        <f>(I34+D35-E35)*'Key Information'!$C$17</f>
        <v>28465822.829537738</v>
      </c>
      <c r="G35" s="40">
        <f>'Key Information'!$C$19*(1+'Key Information'!$C$20)^(C35-1)</f>
        <v>1652847.6322717506</v>
      </c>
      <c r="H35" s="42">
        <f>K34*'Key Information'!$C$22</f>
        <v>638963.47541049914</v>
      </c>
      <c r="I35" s="40">
        <f t="shared" si="1"/>
        <v>256192405.46583962</v>
      </c>
      <c r="J35" s="40">
        <f t="shared" si="0"/>
        <v>256192405.46583962</v>
      </c>
      <c r="K35" s="42">
        <f>I35*'Key Information'!$C$14</f>
        <v>20495392.437267169</v>
      </c>
      <c r="L35" s="40">
        <f>E35-G35-(J35-J34)+J34*'Key Information'!$C$15</f>
        <v>32563646.475960486</v>
      </c>
      <c r="M35" s="42">
        <f t="shared" si="2"/>
        <v>803390.07641613483</v>
      </c>
      <c r="N35" s="43">
        <f>L35*'Key Information'!$C$23</f>
        <v>9769093.9427881446</v>
      </c>
      <c r="O35" s="42">
        <f>NPV('Key Information'!$C$13,N36:N55)</f>
        <v>78758632.208820596</v>
      </c>
      <c r="P35" s="43">
        <f t="shared" si="3"/>
        <v>-7104252.383886015</v>
      </c>
      <c r="Q35" s="42">
        <f>NPV('Key Information'!$C$13,P36:P55)</f>
        <v>-57929702.951809287</v>
      </c>
    </row>
    <row r="36" spans="1:17" x14ac:dyDescent="0.3">
      <c r="A36" s="22"/>
      <c r="B36" s="15">
        <v>2038</v>
      </c>
      <c r="C36" s="16">
        <v>19</v>
      </c>
      <c r="D36" s="43">
        <f>I35*'Key Information'!$C$44</f>
        <v>20495392.437267169</v>
      </c>
      <c r="E36" s="40">
        <f>(I35+D36)*'Key Information'!$C$16</f>
        <v>2766877.9790310683</v>
      </c>
      <c r="F36" s="40">
        <f>(I35+D36-E36)*'Key Information'!$C$17</f>
        <v>27392091.992407575</v>
      </c>
      <c r="G36" s="40">
        <f>'Key Information'!$C$19*(1+'Key Information'!$C$20)^(C36-1)</f>
        <v>1702433.0612399033</v>
      </c>
      <c r="H36" s="42">
        <f>K35*'Key Information'!$C$22</f>
        <v>614861.77311801503</v>
      </c>
      <c r="I36" s="40">
        <f t="shared" si="1"/>
        <v>246528827.93166816</v>
      </c>
      <c r="J36" s="40">
        <f t="shared" si="0"/>
        <v>246528827.93166816</v>
      </c>
      <c r="K36" s="42">
        <f>I36*'Key Information'!$C$14</f>
        <v>19722306.234533455</v>
      </c>
      <c r="L36" s="40">
        <f>E36-G36-(J36-J35)+J35*'Key Information'!$C$15</f>
        <v>31223414.889229797</v>
      </c>
      <c r="M36" s="42">
        <f t="shared" si="2"/>
        <v>773086.20273371413</v>
      </c>
      <c r="N36" s="43">
        <f>L36*'Key Information'!$C$23</f>
        <v>9367024.466768939</v>
      </c>
      <c r="O36" s="42">
        <f>NPV('Key Information'!$C$13,N37:N56)</f>
        <v>74904711.996669114</v>
      </c>
      <c r="P36" s="43">
        <f t="shared" si="3"/>
        <v>-6914631.5731260451</v>
      </c>
      <c r="Q36" s="42">
        <f>NPV('Key Information'!$C$13,P37:P56)</f>
        <v>-55070150.585309893</v>
      </c>
    </row>
    <row r="37" spans="1:17" x14ac:dyDescent="0.3">
      <c r="A37" s="22"/>
      <c r="B37" s="23">
        <v>2039</v>
      </c>
      <c r="C37" s="24">
        <v>20</v>
      </c>
      <c r="D37" s="45">
        <f>I36*'Key Information'!$C$44</f>
        <v>19722306.234533455</v>
      </c>
      <c r="E37" s="69">
        <f>(I36+D37)*'Key Information'!$C$16</f>
        <v>2662511.3416620162</v>
      </c>
      <c r="F37" s="69">
        <f>(I36+D37-E37)*'Key Information'!$C$18</f>
        <v>263588622.8245396</v>
      </c>
      <c r="G37" s="69">
        <f>'Key Information'!$C$19*(1+'Key Information'!$C$20)^(C37-1)</f>
        <v>1753506.0530771003</v>
      </c>
      <c r="H37" s="44">
        <f>K36*'Key Information'!$C$22</f>
        <v>591669.18703600368</v>
      </c>
      <c r="I37" s="69">
        <f t="shared" si="1"/>
        <v>0</v>
      </c>
      <c r="J37" s="69">
        <f>I37</f>
        <v>0</v>
      </c>
      <c r="K37" s="44">
        <f>I37*'Key Information'!$C$14</f>
        <v>0</v>
      </c>
      <c r="L37" s="45">
        <f>E37-G37-(J37-J36)+J36*'Key Information'!$C$15</f>
        <v>267160139.45478654</v>
      </c>
      <c r="M37" s="44">
        <f t="shared" si="2"/>
        <v>19722306.234533455</v>
      </c>
      <c r="N37" s="45">
        <f>L37*'Key Information'!$C$23</f>
        <v>80148041.836435959</v>
      </c>
      <c r="O37" s="44">
        <f>NPV('Key Information'!$C$13,N38:N57)</f>
        <v>0</v>
      </c>
      <c r="P37" s="45">
        <f t="shared" si="3"/>
        <v>-58925061.126281589</v>
      </c>
      <c r="Q37" s="44">
        <f>NPV('Key Information'!$C$13,P38:P57)</f>
        <v>0</v>
      </c>
    </row>
    <row r="41" spans="1:17" x14ac:dyDescent="0.3">
      <c r="E41" s="2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/>
  </sheetViews>
  <sheetFormatPr defaultColWidth="9.140625" defaultRowHeight="16.5" x14ac:dyDescent="0.3"/>
  <cols>
    <col min="1" max="1" width="6.85546875" style="1" bestFit="1" customWidth="1"/>
    <col min="2" max="2" width="65.7109375" style="1" customWidth="1"/>
    <col min="3" max="6" width="36.42578125" style="1" bestFit="1" customWidth="1"/>
    <col min="7" max="16384" width="9.140625" style="1"/>
  </cols>
  <sheetData>
    <row r="1" spans="1:6" x14ac:dyDescent="0.3">
      <c r="A1" s="50" t="s">
        <v>55</v>
      </c>
      <c r="B1" s="48" t="s">
        <v>57</v>
      </c>
      <c r="C1" s="51"/>
      <c r="D1" s="51"/>
      <c r="E1" s="51"/>
      <c r="F1" s="51"/>
    </row>
    <row r="2" spans="1:6" x14ac:dyDescent="0.3">
      <c r="A2" s="52"/>
      <c r="B2" s="49" t="s">
        <v>56</v>
      </c>
      <c r="C2" s="51"/>
      <c r="D2" s="51"/>
      <c r="E2" s="51"/>
      <c r="F2" s="51"/>
    </row>
    <row r="3" spans="1:6" x14ac:dyDescent="0.3">
      <c r="A3" s="53"/>
      <c r="B3" s="73"/>
      <c r="C3" s="51"/>
      <c r="D3" s="51"/>
      <c r="E3" s="51"/>
      <c r="F3" s="51"/>
    </row>
    <row r="4" spans="1:6" x14ac:dyDescent="0.3">
      <c r="A4" s="51"/>
      <c r="B4" s="51"/>
      <c r="C4" s="51"/>
      <c r="D4" s="51"/>
      <c r="E4" s="51"/>
      <c r="F4" s="51"/>
    </row>
    <row r="5" spans="1:6" x14ac:dyDescent="0.3">
      <c r="A5" s="51"/>
      <c r="B5" s="54"/>
      <c r="C5" s="55" t="s">
        <v>22</v>
      </c>
      <c r="D5" s="55" t="s">
        <v>21</v>
      </c>
      <c r="E5" s="55" t="s">
        <v>44</v>
      </c>
      <c r="F5" s="56" t="s">
        <v>23</v>
      </c>
    </row>
    <row r="6" spans="1:6" x14ac:dyDescent="0.3">
      <c r="A6" s="51"/>
      <c r="B6" s="52" t="s">
        <v>24</v>
      </c>
      <c r="C6" s="47">
        <f>'Embedded Value 31 Dec 2019'!C8</f>
        <v>36000000</v>
      </c>
      <c r="D6" s="47">
        <f>'Embedded Value 31 Dec 2019'!C9</f>
        <v>65801362.516222991</v>
      </c>
      <c r="E6" s="47">
        <f>'Embedded Value 31 Dec 2019'!C10</f>
        <v>24184567.734601501</v>
      </c>
      <c r="F6" s="57">
        <f>'Embedded Value 31 Dec 2019'!C11</f>
        <v>125985930.25082448</v>
      </c>
    </row>
    <row r="7" spans="1:6" x14ac:dyDescent="0.3">
      <c r="A7" s="51"/>
      <c r="B7" s="52"/>
      <c r="C7" s="51"/>
      <c r="D7" s="51"/>
      <c r="E7" s="51"/>
      <c r="F7" s="58"/>
    </row>
    <row r="8" spans="1:6" x14ac:dyDescent="0.3">
      <c r="A8" s="51"/>
      <c r="B8" s="59" t="s">
        <v>20</v>
      </c>
      <c r="C8" s="51"/>
      <c r="D8" s="51"/>
      <c r="E8" s="51"/>
      <c r="F8" s="58"/>
    </row>
    <row r="9" spans="1:6" x14ac:dyDescent="0.3">
      <c r="A9" s="51"/>
      <c r="B9" s="52" t="s">
        <v>36</v>
      </c>
      <c r="C9" s="60"/>
      <c r="D9" s="61">
        <f>D6*'Key Information'!$C$13</f>
        <v>4606095.37613561</v>
      </c>
      <c r="E9" s="61">
        <f>E6*'Key Information'!$C$13</f>
        <v>1692919.7414221053</v>
      </c>
      <c r="F9" s="62">
        <f>SUM(C9:E9)</f>
        <v>6299015.1175577156</v>
      </c>
    </row>
    <row r="10" spans="1:6" ht="33" x14ac:dyDescent="0.3">
      <c r="A10" s="51"/>
      <c r="B10" s="77" t="s">
        <v>72</v>
      </c>
      <c r="C10" s="78">
        <f>C6*'Key Information'!$C$22</f>
        <v>1080000</v>
      </c>
      <c r="D10" s="79"/>
      <c r="E10" s="79"/>
      <c r="F10" s="80">
        <f t="shared" ref="F10:F11" si="0">SUM(C10:E10)</f>
        <v>1080000</v>
      </c>
    </row>
    <row r="11" spans="1:6" x14ac:dyDescent="0.3">
      <c r="A11" s="51"/>
      <c r="B11" s="52" t="s">
        <v>45</v>
      </c>
      <c r="C11" s="61">
        <f>'Embedded Value 31 Dec 2019'!P18</f>
        <v>240629280</v>
      </c>
      <c r="D11" s="61">
        <f>-C11</f>
        <v>-240629280</v>
      </c>
      <c r="E11" s="61">
        <v>0</v>
      </c>
      <c r="F11" s="62">
        <f t="shared" si="0"/>
        <v>0</v>
      </c>
    </row>
    <row r="12" spans="1:6" x14ac:dyDescent="0.3">
      <c r="A12" s="51"/>
      <c r="B12" s="53"/>
      <c r="C12" s="63"/>
      <c r="D12" s="63"/>
      <c r="E12" s="63"/>
      <c r="F12" s="64"/>
    </row>
    <row r="13" spans="1:6" x14ac:dyDescent="0.3">
      <c r="A13" s="51"/>
      <c r="B13" s="59" t="s">
        <v>70</v>
      </c>
      <c r="C13" s="51"/>
      <c r="D13" s="51"/>
      <c r="E13" s="51"/>
      <c r="F13" s="58"/>
    </row>
    <row r="14" spans="1:6" x14ac:dyDescent="0.3">
      <c r="A14" s="51"/>
      <c r="B14" s="52" t="s">
        <v>25</v>
      </c>
      <c r="C14" s="61">
        <f>-'Key Information'!C36</f>
        <v>-10000000</v>
      </c>
      <c r="D14" s="61">
        <v>0</v>
      </c>
      <c r="E14" s="61">
        <v>0</v>
      </c>
      <c r="F14" s="62">
        <f t="shared" ref="F14:F16" si="1">SUM(C14:E14)</f>
        <v>-10000000</v>
      </c>
    </row>
    <row r="15" spans="1:6" x14ac:dyDescent="0.3">
      <c r="A15" s="51"/>
      <c r="B15" s="52" t="s">
        <v>26</v>
      </c>
      <c r="C15" s="61"/>
      <c r="D15" s="61">
        <f>'Embedded Value Withdraw'!D9-'Embedded Value 31 Dec 2019'!D9</f>
        <v>20905610.402563006</v>
      </c>
      <c r="E15" s="61">
        <f>'Embedded Value Withdraw'!D10-'Embedded Value 31 Dec 2019'!D10</f>
        <v>-24514921.883532912</v>
      </c>
      <c r="F15" s="62">
        <f t="shared" si="1"/>
        <v>-3609311.4809699059</v>
      </c>
    </row>
    <row r="16" spans="1:6" x14ac:dyDescent="0.3">
      <c r="A16" s="51"/>
      <c r="B16" s="52" t="s">
        <v>27</v>
      </c>
      <c r="C16" s="61"/>
      <c r="D16" s="61">
        <f>'Embedded Value Withdraw &amp; inv'!D9-'Embedded Value Withdraw'!D9</f>
        <v>40149712.488693029</v>
      </c>
      <c r="E16" s="61">
        <f>'Embedded Value Withdraw &amp; inv'!D10-'Embedded Value Withdraw'!D10</f>
        <v>-42857964.932511196</v>
      </c>
      <c r="F16" s="62">
        <f t="shared" si="1"/>
        <v>-2708252.4438181669</v>
      </c>
    </row>
    <row r="17" spans="1:7" x14ac:dyDescent="0.3">
      <c r="A17" s="51"/>
      <c r="B17" s="52"/>
      <c r="C17" s="72"/>
      <c r="D17" s="72"/>
      <c r="E17" s="72"/>
      <c r="F17" s="58"/>
    </row>
    <row r="18" spans="1:7" x14ac:dyDescent="0.3">
      <c r="A18" s="51"/>
      <c r="B18" s="52" t="s">
        <v>74</v>
      </c>
      <c r="C18" s="60">
        <f>SUM(C6:C16)-C19</f>
        <v>56556480</v>
      </c>
      <c r="D18" s="60">
        <f>SUM(D6:D16)-D19</f>
        <v>0</v>
      </c>
      <c r="E18" s="60">
        <f>SUM(E6:E16)-E19</f>
        <v>-160058640</v>
      </c>
      <c r="F18" s="90">
        <f t="shared" ref="F18:F19" si="2">SUM(C18:E18)</f>
        <v>-103502160</v>
      </c>
    </row>
    <row r="19" spans="1:7" x14ac:dyDescent="0.3">
      <c r="A19" s="51"/>
      <c r="B19" s="52" t="s">
        <v>33</v>
      </c>
      <c r="C19" s="61">
        <f>'Embedded Value Withdraw &amp; inv'!D8</f>
        <v>211152800</v>
      </c>
      <c r="D19" s="61">
        <f>'Embedded Value Withdraw &amp; inv'!D9</f>
        <v>-109166499.21638533</v>
      </c>
      <c r="E19" s="61">
        <f>'Embedded Value Withdraw &amp; inv'!D10</f>
        <v>118563240.65997951</v>
      </c>
      <c r="F19" s="62">
        <f t="shared" si="2"/>
        <v>220549541.44359416</v>
      </c>
    </row>
    <row r="20" spans="1:7" x14ac:dyDescent="0.3">
      <c r="A20" s="51"/>
      <c r="B20" s="53"/>
      <c r="C20" s="63"/>
      <c r="D20" s="63"/>
      <c r="E20" s="63"/>
      <c r="F20" s="64"/>
    </row>
    <row r="21" spans="1:7" x14ac:dyDescent="0.3">
      <c r="A21" s="51"/>
      <c r="B21" s="51"/>
      <c r="C21" s="51"/>
      <c r="D21" s="51"/>
      <c r="E21" s="51"/>
      <c r="F21" s="51"/>
    </row>
    <row r="22" spans="1:7" x14ac:dyDescent="0.3">
      <c r="A22" s="51"/>
      <c r="B22" s="51"/>
      <c r="C22" s="51"/>
      <c r="D22" s="51"/>
      <c r="E22" s="51"/>
      <c r="F22" s="51"/>
    </row>
    <row r="23" spans="1:7" x14ac:dyDescent="0.3">
      <c r="A23" s="72"/>
      <c r="B23" s="72"/>
      <c r="C23" s="72"/>
      <c r="D23" s="72"/>
      <c r="E23" s="72"/>
      <c r="F23" s="72"/>
      <c r="G23" s="71"/>
    </row>
    <row r="24" spans="1:7" x14ac:dyDescent="0.3">
      <c r="A24" s="72"/>
      <c r="B24" s="72"/>
      <c r="C24" s="72"/>
      <c r="D24" s="72"/>
      <c r="E24" s="72"/>
      <c r="F24" s="72"/>
      <c r="G24" s="71"/>
    </row>
    <row r="25" spans="1:7" x14ac:dyDescent="0.3">
      <c r="A25" s="72"/>
      <c r="B25" s="72"/>
      <c r="C25" s="72"/>
      <c r="D25" s="72"/>
      <c r="E25" s="72"/>
      <c r="F25" s="72"/>
      <c r="G25" s="71"/>
    </row>
    <row r="26" spans="1:7" x14ac:dyDescent="0.3">
      <c r="A26" s="72"/>
      <c r="B26" s="72"/>
      <c r="C26" s="72"/>
      <c r="D26" s="72"/>
      <c r="E26" s="72"/>
      <c r="F26" s="72"/>
      <c r="G26" s="71"/>
    </row>
    <row r="27" spans="1:7" x14ac:dyDescent="0.3">
      <c r="A27" s="72"/>
      <c r="B27" s="72"/>
      <c r="C27" s="72"/>
      <c r="D27" s="72"/>
      <c r="E27" s="72"/>
      <c r="F27" s="72"/>
      <c r="G27" s="71"/>
    </row>
    <row r="28" spans="1:7" x14ac:dyDescent="0.3">
      <c r="A28" s="72"/>
      <c r="B28" s="72"/>
      <c r="C28" s="72"/>
      <c r="D28" s="72"/>
      <c r="E28" s="72"/>
      <c r="F28" s="72"/>
      <c r="G28" s="71"/>
    </row>
    <row r="29" spans="1:7" x14ac:dyDescent="0.3">
      <c r="A29" s="72"/>
      <c r="B29" s="72"/>
      <c r="C29" s="72"/>
      <c r="D29" s="72"/>
      <c r="E29" s="72"/>
      <c r="F29" s="72"/>
      <c r="G29" s="71"/>
    </row>
    <row r="30" spans="1:7" x14ac:dyDescent="0.3">
      <c r="A30" s="72"/>
      <c r="B30" s="72"/>
      <c r="C30" s="72"/>
      <c r="D30" s="72"/>
      <c r="E30" s="72"/>
      <c r="F30" s="72"/>
      <c r="G30" s="71"/>
    </row>
    <row r="31" spans="1:7" x14ac:dyDescent="0.3">
      <c r="A31" s="72"/>
      <c r="B31" s="72"/>
      <c r="C31" s="72"/>
      <c r="D31" s="72"/>
      <c r="E31" s="72"/>
      <c r="F31" s="72"/>
      <c r="G31" s="71"/>
    </row>
    <row r="32" spans="1:7" x14ac:dyDescent="0.3">
      <c r="A32" s="72"/>
      <c r="B32" s="72"/>
      <c r="C32" s="72"/>
      <c r="D32" s="72"/>
      <c r="E32" s="72"/>
      <c r="F32" s="72"/>
      <c r="G32" s="71"/>
    </row>
    <row r="33" spans="1:7" x14ac:dyDescent="0.3">
      <c r="A33" s="72"/>
      <c r="B33" s="72"/>
      <c r="C33" s="72"/>
      <c r="D33" s="72"/>
      <c r="E33" s="72"/>
      <c r="F33" s="72"/>
      <c r="G33" s="71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Key Information</vt:lpstr>
      <vt:lpstr>Embedded Value 31 Dec 2019</vt:lpstr>
      <vt:lpstr>Embedded Value Withdraw</vt:lpstr>
      <vt:lpstr>Embedded Value Withdraw &amp; inv</vt:lpstr>
      <vt:lpstr>Analysis of Movement 2020</vt:lpstr>
      <vt:lpstr>'Key Information'!OLE_LINK1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Zhu, Vincent</cp:lastModifiedBy>
  <cp:lastPrinted>2019-02-06T13:21:15Z</cp:lastPrinted>
  <dcterms:created xsi:type="dcterms:W3CDTF">2019-01-01T11:22:09Z</dcterms:created>
  <dcterms:modified xsi:type="dcterms:W3CDTF">2020-03-17T14:24:13Z</dcterms:modified>
</cp:coreProperties>
</file>