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ocuments\GitHub\my_file\LIRV\Textbook\"/>
    </mc:Choice>
  </mc:AlternateContent>
  <bookViews>
    <workbookView xWindow="0" yWindow="0" windowWidth="28800" windowHeight="10935" activeTab="3"/>
  </bookViews>
  <sheets>
    <sheet name="Notes" sheetId="2" r:id="rId1"/>
    <sheet name="Data" sheetId="1" r:id="rId2"/>
    <sheet name="Assumptions" sheetId="3" r:id="rId3"/>
    <sheet name="Cash flows" sheetId="4" r:id="rId4"/>
    <sheet name="Liability calculations" sheetId="5" r:id="rId5"/>
    <sheet name="Tables" sheetId="6" r:id="rId6"/>
  </sheets>
  <definedNames>
    <definedName name="_Ref530060326" localSheetId="5">Tables!$B$6</definedName>
    <definedName name="_Ref530060337" localSheetId="5">Tables!$B$18</definedName>
    <definedName name="acquisition_recovery">'Liability calculations'!$M$6</definedName>
    <definedName name="claim_rate">Assumptions!$D$11</definedName>
    <definedName name="discount_rate">Assumptions!$D$13</definedName>
    <definedName name="initial_expense">Assumptions!$D$7</definedName>
    <definedName name="initial_premium">Assumptions!$D$3</definedName>
    <definedName name="monthly_discount_rate">Assumptions!$H$13</definedName>
    <definedName name="premium_inflation">Assumptions!$D$4</definedName>
    <definedName name="Profit_margin">'Liability calculations'!$D$6</definedName>
    <definedName name="renewal_expense">Assumptions!$D$8</definedName>
    <definedName name="renewal_expense_inflation">Assumptions!$D$9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O7" i="4" l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6" i="4"/>
  <c r="K42" i="5" l="1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4" l="1"/>
  <c r="N6" i="5" l="1"/>
  <c r="I20" i="6" s="1"/>
  <c r="G20" i="6"/>
  <c r="B7" i="4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A8" i="5"/>
  <c r="A9" i="5" s="1"/>
  <c r="H13" i="3"/>
  <c r="D4" i="3"/>
  <c r="A8" i="4"/>
  <c r="B8" i="4" s="1"/>
  <c r="G11" i="4" l="1"/>
  <c r="G18" i="4"/>
  <c r="G22" i="4"/>
  <c r="G26" i="4"/>
  <c r="G30" i="4"/>
  <c r="G34" i="4"/>
  <c r="G38" i="4"/>
  <c r="G42" i="4"/>
  <c r="G15" i="4"/>
  <c r="G19" i="4"/>
  <c r="G23" i="4"/>
  <c r="G27" i="4"/>
  <c r="G31" i="4"/>
  <c r="G35" i="4"/>
  <c r="G6" i="4"/>
  <c r="G37" i="4"/>
  <c r="G39" i="4"/>
  <c r="G16" i="4"/>
  <c r="G20" i="4"/>
  <c r="G24" i="4"/>
  <c r="G28" i="4"/>
  <c r="G32" i="4"/>
  <c r="G36" i="4"/>
  <c r="G40" i="4"/>
  <c r="G7" i="4"/>
  <c r="G17" i="4"/>
  <c r="G21" i="4"/>
  <c r="G25" i="4"/>
  <c r="G29" i="4"/>
  <c r="G33" i="4"/>
  <c r="G41" i="4"/>
  <c r="G8" i="4"/>
  <c r="G9" i="4"/>
  <c r="G13" i="4"/>
  <c r="G12" i="4"/>
  <c r="G14" i="4"/>
  <c r="G10" i="4"/>
  <c r="P7" i="4"/>
  <c r="P8" i="4"/>
  <c r="P12" i="4"/>
  <c r="P16" i="4"/>
  <c r="P20" i="4"/>
  <c r="P24" i="4"/>
  <c r="P28" i="4"/>
  <c r="P32" i="4"/>
  <c r="P36" i="4"/>
  <c r="P40" i="4"/>
  <c r="H10" i="4"/>
  <c r="H14" i="4"/>
  <c r="H18" i="4"/>
  <c r="H22" i="4"/>
  <c r="H26" i="4"/>
  <c r="H30" i="4"/>
  <c r="H34" i="4"/>
  <c r="H38" i="4"/>
  <c r="H42" i="4"/>
  <c r="P11" i="4"/>
  <c r="P23" i="4"/>
  <c r="P35" i="4"/>
  <c r="H13" i="4"/>
  <c r="H21" i="4"/>
  <c r="H33" i="4"/>
  <c r="P9" i="4"/>
  <c r="P13" i="4"/>
  <c r="P17" i="4"/>
  <c r="P21" i="4"/>
  <c r="P25" i="4"/>
  <c r="P29" i="4"/>
  <c r="P33" i="4"/>
  <c r="P37" i="4"/>
  <c r="P41" i="4"/>
  <c r="H7" i="4"/>
  <c r="H11" i="4"/>
  <c r="H15" i="4"/>
  <c r="H19" i="4"/>
  <c r="H23" i="4"/>
  <c r="H27" i="4"/>
  <c r="H31" i="4"/>
  <c r="H35" i="4"/>
  <c r="H39" i="4"/>
  <c r="H6" i="4"/>
  <c r="P19" i="4"/>
  <c r="P31" i="4"/>
  <c r="P39" i="4"/>
  <c r="H9" i="4"/>
  <c r="H25" i="4"/>
  <c r="H37" i="4"/>
  <c r="P10" i="4"/>
  <c r="P14" i="4"/>
  <c r="P18" i="4"/>
  <c r="P22" i="4"/>
  <c r="P26" i="4"/>
  <c r="P30" i="4"/>
  <c r="P34" i="4"/>
  <c r="P38" i="4"/>
  <c r="P42" i="4"/>
  <c r="H8" i="4"/>
  <c r="H12" i="4"/>
  <c r="H16" i="4"/>
  <c r="H20" i="4"/>
  <c r="H24" i="4"/>
  <c r="H28" i="4"/>
  <c r="H32" i="4"/>
  <c r="H36" i="4"/>
  <c r="H40" i="4"/>
  <c r="P15" i="4"/>
  <c r="P27" i="4"/>
  <c r="P6" i="4"/>
  <c r="Q6" i="4" s="1"/>
  <c r="H17" i="4"/>
  <c r="H29" i="4"/>
  <c r="H41" i="4"/>
  <c r="I6" i="4"/>
  <c r="A9" i="4"/>
  <c r="B9" i="4" s="1"/>
  <c r="C7" i="4"/>
  <c r="O6" i="5"/>
  <c r="B42" i="5"/>
  <c r="H14" i="6" s="1"/>
  <c r="C42" i="5"/>
  <c r="G14" i="6" s="1"/>
  <c r="E7" i="4"/>
  <c r="A10" i="5"/>
  <c r="J19" i="4" l="1"/>
  <c r="K19" i="4" s="1"/>
  <c r="J35" i="4"/>
  <c r="K35" i="4" s="1"/>
  <c r="J12" i="4"/>
  <c r="K12" i="4" s="1"/>
  <c r="J28" i="4"/>
  <c r="K28" i="4" s="1"/>
  <c r="L29" i="4" s="1"/>
  <c r="J9" i="4"/>
  <c r="K9" i="4" s="1"/>
  <c r="J22" i="4"/>
  <c r="K22" i="4" s="1"/>
  <c r="J25" i="4"/>
  <c r="K25" i="4" s="1"/>
  <c r="J26" i="4"/>
  <c r="K26" i="4" s="1"/>
  <c r="L27" i="4" s="1"/>
  <c r="J29" i="4"/>
  <c r="K29" i="4" s="1"/>
  <c r="J7" i="4"/>
  <c r="K7" i="4" s="1"/>
  <c r="J23" i="4"/>
  <c r="K23" i="4" s="1"/>
  <c r="J39" i="4"/>
  <c r="K39" i="4" s="1"/>
  <c r="L40" i="4" s="1"/>
  <c r="J16" i="4"/>
  <c r="K16" i="4" s="1"/>
  <c r="J32" i="4"/>
  <c r="K32" i="4" s="1"/>
  <c r="J13" i="4"/>
  <c r="K13" i="4" s="1"/>
  <c r="J30" i="4"/>
  <c r="K30" i="4" s="1"/>
  <c r="L31" i="4" s="1"/>
  <c r="J33" i="4"/>
  <c r="K33" i="4" s="1"/>
  <c r="J34" i="4"/>
  <c r="K34" i="4" s="1"/>
  <c r="L35" i="4" s="1"/>
  <c r="J37" i="4"/>
  <c r="K37" i="4" s="1"/>
  <c r="J11" i="4"/>
  <c r="K11" i="4" s="1"/>
  <c r="J27" i="4"/>
  <c r="K27" i="4" s="1"/>
  <c r="J6" i="4"/>
  <c r="K6" i="4" s="1"/>
  <c r="J20" i="4"/>
  <c r="K20" i="4" s="1"/>
  <c r="J36" i="4"/>
  <c r="K36" i="4" s="1"/>
  <c r="L37" i="4" s="1"/>
  <c r="J17" i="4"/>
  <c r="K17" i="4" s="1"/>
  <c r="J38" i="4"/>
  <c r="K38" i="4" s="1"/>
  <c r="J41" i="4"/>
  <c r="K41" i="4" s="1"/>
  <c r="J42" i="4"/>
  <c r="K42" i="4" s="1"/>
  <c r="J15" i="4"/>
  <c r="K15" i="4" s="1"/>
  <c r="J31" i="4"/>
  <c r="K31" i="4" s="1"/>
  <c r="L32" i="4" s="1"/>
  <c r="J8" i="4"/>
  <c r="K8" i="4" s="1"/>
  <c r="J24" i="4"/>
  <c r="K24" i="4" s="1"/>
  <c r="L25" i="4" s="1"/>
  <c r="J40" i="4"/>
  <c r="K40" i="4" s="1"/>
  <c r="J10" i="4"/>
  <c r="K10" i="4" s="1"/>
  <c r="J14" i="4"/>
  <c r="K14" i="4" s="1"/>
  <c r="J18" i="4"/>
  <c r="K18" i="4" s="1"/>
  <c r="L19" i="4" s="1"/>
  <c r="J21" i="4"/>
  <c r="K21" i="4" s="1"/>
  <c r="R17" i="4"/>
  <c r="S17" i="4" s="1"/>
  <c r="R21" i="4"/>
  <c r="S21" i="4" s="1"/>
  <c r="R33" i="4"/>
  <c r="S33" i="4" s="1"/>
  <c r="R42" i="4"/>
  <c r="S42" i="4" s="1"/>
  <c r="R41" i="4"/>
  <c r="S41" i="4" s="1"/>
  <c r="R32" i="4"/>
  <c r="S32" i="4" s="1"/>
  <c r="R16" i="4"/>
  <c r="S16" i="4" s="1"/>
  <c r="R39" i="4"/>
  <c r="S39" i="4" s="1"/>
  <c r="R23" i="4"/>
  <c r="S23" i="4" s="1"/>
  <c r="R7" i="4"/>
  <c r="S7" i="4" s="1"/>
  <c r="R37" i="4"/>
  <c r="S37" i="4" s="1"/>
  <c r="R27" i="4"/>
  <c r="S27" i="4" s="1"/>
  <c r="R29" i="4"/>
  <c r="S29" i="4" s="1"/>
  <c r="R30" i="4"/>
  <c r="S30" i="4" s="1"/>
  <c r="R14" i="4"/>
  <c r="S14" i="4" s="1"/>
  <c r="R34" i="4"/>
  <c r="S34" i="4" s="1"/>
  <c r="R10" i="4"/>
  <c r="S10" i="4" s="1"/>
  <c r="R28" i="4"/>
  <c r="S28" i="4" s="1"/>
  <c r="R12" i="4"/>
  <c r="S12" i="4" s="1"/>
  <c r="R35" i="4"/>
  <c r="S35" i="4" s="1"/>
  <c r="R19" i="4"/>
  <c r="S19" i="4" s="1"/>
  <c r="R18" i="4"/>
  <c r="S18" i="4" s="1"/>
  <c r="R6" i="4"/>
  <c r="S6" i="4" s="1"/>
  <c r="R38" i="4"/>
  <c r="S38" i="4" s="1"/>
  <c r="R13" i="4"/>
  <c r="S13" i="4" s="1"/>
  <c r="R25" i="4"/>
  <c r="S25" i="4" s="1"/>
  <c r="R26" i="4"/>
  <c r="S26" i="4" s="1"/>
  <c r="R40" i="4"/>
  <c r="S40" i="4" s="1"/>
  <c r="R24" i="4"/>
  <c r="S24" i="4" s="1"/>
  <c r="R8" i="4"/>
  <c r="S8" i="4" s="1"/>
  <c r="R31" i="4"/>
  <c r="S31" i="4" s="1"/>
  <c r="R15" i="4"/>
  <c r="S15" i="4" s="1"/>
  <c r="R9" i="4"/>
  <c r="S9" i="4" s="1"/>
  <c r="R22" i="4"/>
  <c r="S22" i="4" s="1"/>
  <c r="R36" i="4"/>
  <c r="S36" i="4" s="1"/>
  <c r="R20" i="4"/>
  <c r="S20" i="4" s="1"/>
  <c r="R11" i="4"/>
  <c r="S11" i="4" s="1"/>
  <c r="L7" i="4"/>
  <c r="C8" i="4"/>
  <c r="E8" i="4" s="1"/>
  <c r="A10" i="4"/>
  <c r="B10" i="4" s="1"/>
  <c r="J20" i="6"/>
  <c r="P6" i="5"/>
  <c r="A11" i="5"/>
  <c r="L22" i="4" l="1"/>
  <c r="L23" i="4"/>
  <c r="T42" i="4"/>
  <c r="L41" i="4"/>
  <c r="L34" i="4"/>
  <c r="T12" i="4"/>
  <c r="U13" i="4"/>
  <c r="T16" i="4"/>
  <c r="U17" i="4"/>
  <c r="U34" i="4"/>
  <c r="T33" i="4"/>
  <c r="T22" i="4"/>
  <c r="U23" i="4"/>
  <c r="T8" i="4"/>
  <c r="U9" i="4"/>
  <c r="U26" i="4"/>
  <c r="T25" i="4"/>
  <c r="T18" i="4"/>
  <c r="U19" i="4"/>
  <c r="T28" i="4"/>
  <c r="U29" i="4"/>
  <c r="T30" i="4"/>
  <c r="U31" i="4"/>
  <c r="T7" i="4"/>
  <c r="U8" i="4"/>
  <c r="V8" i="4" s="1"/>
  <c r="T32" i="4"/>
  <c r="U33" i="4"/>
  <c r="V33" i="4" s="1"/>
  <c r="U22" i="4"/>
  <c r="V22" i="4" s="1"/>
  <c r="T21" i="4"/>
  <c r="L42" i="4"/>
  <c r="L21" i="4"/>
  <c r="L38" i="4"/>
  <c r="L24" i="4"/>
  <c r="L26" i="4"/>
  <c r="T36" i="4"/>
  <c r="U37" i="4"/>
  <c r="T26" i="4"/>
  <c r="U27" i="4"/>
  <c r="T14" i="4"/>
  <c r="U15" i="4"/>
  <c r="T11" i="4"/>
  <c r="U12" i="4"/>
  <c r="U10" i="4"/>
  <c r="T9" i="4"/>
  <c r="T24" i="4"/>
  <c r="U25" i="4"/>
  <c r="V25" i="4" s="1"/>
  <c r="U14" i="4"/>
  <c r="T13" i="4"/>
  <c r="T19" i="4"/>
  <c r="U20" i="4"/>
  <c r="T10" i="4"/>
  <c r="U11" i="4"/>
  <c r="U30" i="4"/>
  <c r="V30" i="4" s="1"/>
  <c r="T29" i="4"/>
  <c r="T23" i="4"/>
  <c r="U24" i="4"/>
  <c r="U42" i="4"/>
  <c r="T41" i="4"/>
  <c r="U18" i="4"/>
  <c r="T17" i="4"/>
  <c r="L39" i="4"/>
  <c r="L33" i="4"/>
  <c r="L8" i="4"/>
  <c r="L36" i="4"/>
  <c r="T31" i="4"/>
  <c r="U32" i="4"/>
  <c r="V32" i="4" s="1"/>
  <c r="V6" i="4"/>
  <c r="U7" i="4"/>
  <c r="V7" i="4" s="1"/>
  <c r="U38" i="4"/>
  <c r="T37" i="4"/>
  <c r="T20" i="4"/>
  <c r="U21" i="4"/>
  <c r="T15" i="4"/>
  <c r="U16" i="4"/>
  <c r="T40" i="4"/>
  <c r="U41" i="4"/>
  <c r="T38" i="4"/>
  <c r="U39" i="4"/>
  <c r="T35" i="4"/>
  <c r="U36" i="4"/>
  <c r="V36" i="4" s="1"/>
  <c r="T34" i="4"/>
  <c r="U35" i="4"/>
  <c r="T27" i="4"/>
  <c r="U28" i="4"/>
  <c r="V28" i="4" s="1"/>
  <c r="T39" i="4"/>
  <c r="U40" i="4"/>
  <c r="L28" i="4"/>
  <c r="L30" i="4"/>
  <c r="L20" i="4"/>
  <c r="C9" i="4"/>
  <c r="A11" i="4"/>
  <c r="B11" i="4" s="1"/>
  <c r="A12" i="5"/>
  <c r="V20" i="4" l="1"/>
  <c r="V42" i="4"/>
  <c r="V23" i="4"/>
  <c r="V27" i="4"/>
  <c r="V24" i="4"/>
  <c r="V37" i="4"/>
  <c r="V38" i="4"/>
  <c r="V29" i="4"/>
  <c r="V41" i="4"/>
  <c r="V21" i="4"/>
  <c r="V26" i="4"/>
  <c r="V31" i="4"/>
  <c r="V19" i="4"/>
  <c r="V40" i="4"/>
  <c r="V35" i="4"/>
  <c r="V39" i="4"/>
  <c r="V10" i="4"/>
  <c r="V34" i="4"/>
  <c r="C10" i="4"/>
  <c r="E10" i="4" s="1"/>
  <c r="L10" i="4" s="1"/>
  <c r="A12" i="4"/>
  <c r="B12" i="4" s="1"/>
  <c r="E9" i="4"/>
  <c r="L9" i="4" s="1"/>
  <c r="G21" i="6"/>
  <c r="A13" i="5"/>
  <c r="V9" i="4" l="1"/>
  <c r="C11" i="4"/>
  <c r="C9" i="6"/>
  <c r="A13" i="4"/>
  <c r="B13" i="4" s="1"/>
  <c r="E21" i="6"/>
  <c r="C21" i="6"/>
  <c r="A14" i="5"/>
  <c r="E9" i="6" l="1"/>
  <c r="C12" i="4"/>
  <c r="E12" i="4" s="1"/>
  <c r="A14" i="4"/>
  <c r="B14" i="4" s="1"/>
  <c r="D9" i="6"/>
  <c r="E11" i="4"/>
  <c r="A15" i="5"/>
  <c r="L12" i="4" l="1"/>
  <c r="V12" i="4"/>
  <c r="L11" i="4"/>
  <c r="V11" i="4"/>
  <c r="D21" i="6"/>
  <c r="F9" i="6"/>
  <c r="F21" i="6"/>
  <c r="C13" i="4"/>
  <c r="A15" i="4"/>
  <c r="B15" i="4" s="1"/>
  <c r="A16" i="5"/>
  <c r="C14" i="4" l="1"/>
  <c r="E14" i="4" s="1"/>
  <c r="A16" i="4"/>
  <c r="B16" i="4" s="1"/>
  <c r="E13" i="4"/>
  <c r="A17" i="5"/>
  <c r="L13" i="4" l="1"/>
  <c r="V13" i="4"/>
  <c r="L14" i="4"/>
  <c r="V14" i="4"/>
  <c r="C15" i="4"/>
  <c r="A17" i="4"/>
  <c r="B17" i="4" s="1"/>
  <c r="A18" i="5"/>
  <c r="E15" i="4" l="1"/>
  <c r="C16" i="4"/>
  <c r="E16" i="4" s="1"/>
  <c r="A18" i="4"/>
  <c r="B18" i="4" s="1"/>
  <c r="G22" i="6"/>
  <c r="A19" i="5"/>
  <c r="L16" i="4" l="1"/>
  <c r="V16" i="4"/>
  <c r="L15" i="4"/>
  <c r="V15" i="4"/>
  <c r="C17" i="4"/>
  <c r="E17" i="4" s="1"/>
  <c r="A19" i="4"/>
  <c r="B19" i="4" s="1"/>
  <c r="E10" i="6"/>
  <c r="E22" i="6"/>
  <c r="A20" i="5"/>
  <c r="L17" i="4" l="1"/>
  <c r="V17" i="4"/>
  <c r="C18" i="4"/>
  <c r="C22" i="6"/>
  <c r="A20" i="4"/>
  <c r="B20" i="4" s="1"/>
  <c r="D19" i="4"/>
  <c r="D22" i="6"/>
  <c r="C10" i="6"/>
  <c r="A21" i="5"/>
  <c r="C19" i="4" l="1"/>
  <c r="E19" i="4" s="1"/>
  <c r="A21" i="4"/>
  <c r="B21" i="4" s="1"/>
  <c r="D20" i="4"/>
  <c r="E18" i="4"/>
  <c r="D10" i="6"/>
  <c r="A22" i="5"/>
  <c r="L18" i="4" l="1"/>
  <c r="V18" i="4"/>
  <c r="F10" i="6"/>
  <c r="F22" i="6"/>
  <c r="C20" i="4"/>
  <c r="E20" i="4" s="1"/>
  <c r="A22" i="4"/>
  <c r="B22" i="4" s="1"/>
  <c r="D21" i="4"/>
  <c r="A23" i="5"/>
  <c r="A23" i="4" l="1"/>
  <c r="B23" i="4" s="1"/>
  <c r="D22" i="4"/>
  <c r="C21" i="4"/>
  <c r="A24" i="5"/>
  <c r="C22" i="4" l="1"/>
  <c r="A24" i="4"/>
  <c r="B24" i="4" s="1"/>
  <c r="D23" i="4"/>
  <c r="E21" i="4"/>
  <c r="G23" i="6"/>
  <c r="A25" i="5"/>
  <c r="C23" i="4" l="1"/>
  <c r="E23" i="4" s="1"/>
  <c r="A25" i="4"/>
  <c r="B25" i="4" s="1"/>
  <c r="D24" i="4"/>
  <c r="E11" i="6" s="1"/>
  <c r="C11" i="6"/>
  <c r="E22" i="4"/>
  <c r="A26" i="5"/>
  <c r="E23" i="6" l="1"/>
  <c r="C24" i="4"/>
  <c r="E24" i="4" s="1"/>
  <c r="F11" i="6" s="1"/>
  <c r="A26" i="4"/>
  <c r="B26" i="4" s="1"/>
  <c r="D25" i="4"/>
  <c r="C23" i="6"/>
  <c r="A27" i="5"/>
  <c r="C25" i="4" l="1"/>
  <c r="E25" i="4" s="1"/>
  <c r="A27" i="4"/>
  <c r="B27" i="4" s="1"/>
  <c r="D26" i="4"/>
  <c r="D11" i="6"/>
  <c r="D23" i="6"/>
  <c r="F23" i="6"/>
  <c r="A28" i="5"/>
  <c r="C26" i="4" l="1"/>
  <c r="A28" i="4"/>
  <c r="B28" i="4" s="1"/>
  <c r="D27" i="4"/>
  <c r="A29" i="5"/>
  <c r="C27" i="4" l="1"/>
  <c r="E27" i="4" s="1"/>
  <c r="D28" i="4"/>
  <c r="A29" i="4"/>
  <c r="B29" i="4" s="1"/>
  <c r="E26" i="4"/>
  <c r="A30" i="5"/>
  <c r="A30" i="4" l="1"/>
  <c r="B30" i="4" s="1"/>
  <c r="D29" i="4"/>
  <c r="C28" i="4"/>
  <c r="E28" i="4" s="1"/>
  <c r="G24" i="6"/>
  <c r="A31" i="5"/>
  <c r="C29" i="4" l="1"/>
  <c r="A31" i="4"/>
  <c r="B31" i="4" s="1"/>
  <c r="D30" i="4"/>
  <c r="E24" i="6" s="1"/>
  <c r="A32" i="5"/>
  <c r="E12" i="6" l="1"/>
  <c r="C30" i="4"/>
  <c r="E30" i="4" s="1"/>
  <c r="C12" i="6"/>
  <c r="A32" i="4"/>
  <c r="B32" i="4" s="1"/>
  <c r="D31" i="4"/>
  <c r="C24" i="6"/>
  <c r="E29" i="4"/>
  <c r="A33" i="5"/>
  <c r="C31" i="4" l="1"/>
  <c r="E31" i="4" s="1"/>
  <c r="F12" i="6"/>
  <c r="F24" i="6"/>
  <c r="A33" i="4"/>
  <c r="B33" i="4" s="1"/>
  <c r="D32" i="4"/>
  <c r="D12" i="6"/>
  <c r="D24" i="6"/>
  <c r="A34" i="5"/>
  <c r="C32" i="4" l="1"/>
  <c r="A34" i="4"/>
  <c r="B34" i="4" s="1"/>
  <c r="D33" i="4"/>
  <c r="A35" i="5"/>
  <c r="C33" i="4" l="1"/>
  <c r="E33" i="4" s="1"/>
  <c r="A35" i="4"/>
  <c r="B35" i="4" s="1"/>
  <c r="D34" i="4"/>
  <c r="E32" i="4"/>
  <c r="A36" i="5"/>
  <c r="C34" i="4" l="1"/>
  <c r="E34" i="4" s="1"/>
  <c r="A36" i="4"/>
  <c r="B36" i="4" s="1"/>
  <c r="D35" i="4"/>
  <c r="G25" i="6"/>
  <c r="A37" i="5"/>
  <c r="C35" i="4" l="1"/>
  <c r="E35" i="4" s="1"/>
  <c r="A37" i="4"/>
  <c r="B37" i="4" s="1"/>
  <c r="D36" i="4"/>
  <c r="E25" i="6" s="1"/>
  <c r="A38" i="5"/>
  <c r="C36" i="4" l="1"/>
  <c r="D13" i="6" s="1"/>
  <c r="C13" i="6"/>
  <c r="A38" i="4"/>
  <c r="B38" i="4" s="1"/>
  <c r="D37" i="4"/>
  <c r="E13" i="6"/>
  <c r="C25" i="6"/>
  <c r="A39" i="5"/>
  <c r="C37" i="4" l="1"/>
  <c r="E37" i="4" s="1"/>
  <c r="A39" i="4"/>
  <c r="B39" i="4" s="1"/>
  <c r="D38" i="4"/>
  <c r="D25" i="6"/>
  <c r="E36" i="4"/>
  <c r="A40" i="5"/>
  <c r="F13" i="6" l="1"/>
  <c r="F25" i="6"/>
  <c r="C38" i="4"/>
  <c r="A40" i="4"/>
  <c r="B40" i="4" s="1"/>
  <c r="D39" i="4"/>
  <c r="A41" i="5"/>
  <c r="C39" i="4" l="1"/>
  <c r="E39" i="4" s="1"/>
  <c r="A41" i="4"/>
  <c r="B41" i="4" s="1"/>
  <c r="D40" i="4"/>
  <c r="E38" i="4"/>
  <c r="A42" i="5"/>
  <c r="C40" i="4" l="1"/>
  <c r="E40" i="4" s="1"/>
  <c r="A42" i="4"/>
  <c r="B42" i="4" s="1"/>
  <c r="D41" i="4"/>
  <c r="G26" i="6"/>
  <c r="L42" i="5"/>
  <c r="C41" i="4" l="1"/>
  <c r="D42" i="4"/>
  <c r="E26" i="6" s="1"/>
  <c r="H26" i="6"/>
  <c r="L9" i="5" l="1"/>
  <c r="L6" i="5"/>
  <c r="L8" i="5"/>
  <c r="L7" i="5"/>
  <c r="L10" i="5"/>
  <c r="C42" i="4"/>
  <c r="C40" i="5" s="1"/>
  <c r="L11" i="5"/>
  <c r="L13" i="5"/>
  <c r="L12" i="5"/>
  <c r="H21" i="6" s="1"/>
  <c r="L14" i="5"/>
  <c r="L15" i="5"/>
  <c r="L17" i="5"/>
  <c r="L16" i="5"/>
  <c r="L19" i="5"/>
  <c r="L18" i="5"/>
  <c r="H22" i="6" s="1"/>
  <c r="L20" i="5"/>
  <c r="L21" i="5"/>
  <c r="L22" i="5"/>
  <c r="L23" i="5"/>
  <c r="L26" i="5"/>
  <c r="L25" i="5"/>
  <c r="L24" i="5"/>
  <c r="H23" i="6" s="1"/>
  <c r="L27" i="5"/>
  <c r="L28" i="5"/>
  <c r="L29" i="5"/>
  <c r="L32" i="5"/>
  <c r="L30" i="5"/>
  <c r="H24" i="6" s="1"/>
  <c r="L31" i="5"/>
  <c r="L41" i="5"/>
  <c r="L33" i="5"/>
  <c r="L34" i="5"/>
  <c r="L35" i="5"/>
  <c r="L37" i="5"/>
  <c r="L38" i="5"/>
  <c r="C14" i="6"/>
  <c r="L40" i="5"/>
  <c r="C36" i="5"/>
  <c r="G13" i="6" s="1"/>
  <c r="E14" i="6"/>
  <c r="L39" i="5"/>
  <c r="L36" i="5"/>
  <c r="H25" i="6" s="1"/>
  <c r="E41" i="4"/>
  <c r="C26" i="6"/>
  <c r="D14" i="6" l="1"/>
  <c r="C38" i="5"/>
  <c r="D26" i="6"/>
  <c r="C34" i="5"/>
  <c r="C6" i="5"/>
  <c r="G8" i="6" s="1"/>
  <c r="B41" i="5"/>
  <c r="B40" i="5" s="1"/>
  <c r="B39" i="5" s="1"/>
  <c r="B38" i="5" s="1"/>
  <c r="B37" i="5" s="1"/>
  <c r="B36" i="5" s="1"/>
  <c r="C41" i="5"/>
  <c r="C21" i="5"/>
  <c r="C7" i="5"/>
  <c r="C14" i="5"/>
  <c r="C13" i="5"/>
  <c r="C9" i="5"/>
  <c r="C17" i="5"/>
  <c r="C12" i="5"/>
  <c r="G9" i="6" s="1"/>
  <c r="C8" i="5"/>
  <c r="C15" i="5"/>
  <c r="C10" i="5"/>
  <c r="C18" i="5"/>
  <c r="G10" i="6" s="1"/>
  <c r="C20" i="5"/>
  <c r="C11" i="5"/>
  <c r="C19" i="5"/>
  <c r="C22" i="5"/>
  <c r="C23" i="5"/>
  <c r="C24" i="5"/>
  <c r="G11" i="6" s="1"/>
  <c r="C26" i="5"/>
  <c r="C25" i="5"/>
  <c r="C27" i="5"/>
  <c r="C28" i="5"/>
  <c r="C29" i="5"/>
  <c r="C30" i="5"/>
  <c r="G12" i="6" s="1"/>
  <c r="C16" i="5"/>
  <c r="C31" i="5"/>
  <c r="C35" i="5"/>
  <c r="C37" i="5"/>
  <c r="C32" i="5"/>
  <c r="C39" i="5"/>
  <c r="C33" i="5"/>
  <c r="M6" i="5"/>
  <c r="N34" i="5" s="1"/>
  <c r="O34" i="5" s="1"/>
  <c r="H20" i="6"/>
  <c r="E42" i="4"/>
  <c r="F14" i="6" s="1"/>
  <c r="N38" i="5" l="1"/>
  <c r="O38" i="5" s="1"/>
  <c r="N20" i="5"/>
  <c r="O20" i="5" s="1"/>
  <c r="N13" i="5"/>
  <c r="O13" i="5" s="1"/>
  <c r="N32" i="5"/>
  <c r="O32" i="5" s="1"/>
  <c r="F26" i="6"/>
  <c r="N17" i="5"/>
  <c r="O17" i="5" s="1"/>
  <c r="N26" i="5"/>
  <c r="O26" i="5" s="1"/>
  <c r="N33" i="5"/>
  <c r="O33" i="5" s="1"/>
  <c r="P33" i="5" s="1"/>
  <c r="N39" i="5"/>
  <c r="O39" i="5" s="1"/>
  <c r="P39" i="5" s="1"/>
  <c r="B35" i="5"/>
  <c r="B34" i="5" s="1"/>
  <c r="B33" i="5" s="1"/>
  <c r="B32" i="5" s="1"/>
  <c r="B31" i="5" s="1"/>
  <c r="B30" i="5" s="1"/>
  <c r="H13" i="6"/>
  <c r="N15" i="5"/>
  <c r="O15" i="5" s="1"/>
  <c r="N21" i="5"/>
  <c r="O21" i="5" s="1"/>
  <c r="N25" i="5"/>
  <c r="O25" i="5" s="1"/>
  <c r="N29" i="5"/>
  <c r="O29" i="5" s="1"/>
  <c r="N10" i="5"/>
  <c r="O10" i="5" s="1"/>
  <c r="N9" i="5"/>
  <c r="O9" i="5" s="1"/>
  <c r="N11" i="5"/>
  <c r="O11" i="5" s="1"/>
  <c r="N7" i="5"/>
  <c r="O7" i="5" s="1"/>
  <c r="N8" i="5"/>
  <c r="O8" i="5" s="1"/>
  <c r="N12" i="5"/>
  <c r="N18" i="5"/>
  <c r="N24" i="5"/>
  <c r="N30" i="5"/>
  <c r="N36" i="5"/>
  <c r="N42" i="5"/>
  <c r="N14" i="5"/>
  <c r="O14" i="5" s="1"/>
  <c r="N19" i="5"/>
  <c r="O19" i="5" s="1"/>
  <c r="N22" i="5"/>
  <c r="O22" i="5" s="1"/>
  <c r="N28" i="5"/>
  <c r="O28" i="5" s="1"/>
  <c r="N31" i="5"/>
  <c r="O31" i="5" s="1"/>
  <c r="N35" i="5"/>
  <c r="O35" i="5" s="1"/>
  <c r="N40" i="5"/>
  <c r="O40" i="5" s="1"/>
  <c r="N16" i="5"/>
  <c r="O16" i="5" s="1"/>
  <c r="N23" i="5"/>
  <c r="O23" i="5" s="1"/>
  <c r="N27" i="5"/>
  <c r="O27" i="5" s="1"/>
  <c r="N41" i="5"/>
  <c r="O41" i="5" s="1"/>
  <c r="N37" i="5"/>
  <c r="O37" i="5" s="1"/>
  <c r="P38" i="5" s="1"/>
  <c r="P32" i="5" l="1"/>
  <c r="P29" i="5"/>
  <c r="P26" i="5"/>
  <c r="P34" i="5"/>
  <c r="P28" i="5"/>
  <c r="P17" i="5"/>
  <c r="P20" i="5"/>
  <c r="P9" i="5"/>
  <c r="P11" i="5"/>
  <c r="O42" i="5"/>
  <c r="J26" i="6" s="1"/>
  <c r="I26" i="6"/>
  <c r="O30" i="5"/>
  <c r="P30" i="5" s="1"/>
  <c r="I24" i="6"/>
  <c r="O18" i="5"/>
  <c r="I22" i="6"/>
  <c r="P16" i="5"/>
  <c r="B29" i="5"/>
  <c r="B28" i="5" s="1"/>
  <c r="B27" i="5" s="1"/>
  <c r="B26" i="5" s="1"/>
  <c r="B25" i="5" s="1"/>
  <c r="B24" i="5" s="1"/>
  <c r="H12" i="6"/>
  <c r="P23" i="5"/>
  <c r="P41" i="5"/>
  <c r="P14" i="5"/>
  <c r="P15" i="5"/>
  <c r="O36" i="5"/>
  <c r="I25" i="6"/>
  <c r="O24" i="5"/>
  <c r="I23" i="6"/>
  <c r="I21" i="6"/>
  <c r="O12" i="5"/>
  <c r="P8" i="5"/>
  <c r="P7" i="5"/>
  <c r="P10" i="5"/>
  <c r="P40" i="5"/>
  <c r="P27" i="5"/>
  <c r="P21" i="5"/>
  <c r="P22" i="5"/>
  <c r="P35" i="5"/>
  <c r="P42" i="5" l="1"/>
  <c r="J23" i="6"/>
  <c r="P25" i="5"/>
  <c r="K24" i="6" s="1"/>
  <c r="P37" i="5"/>
  <c r="J25" i="6"/>
  <c r="P24" i="5"/>
  <c r="P36" i="5"/>
  <c r="B23" i="5"/>
  <c r="B22" i="5" s="1"/>
  <c r="B21" i="5" s="1"/>
  <c r="B20" i="5" s="1"/>
  <c r="B19" i="5" s="1"/>
  <c r="B18" i="5" s="1"/>
  <c r="H11" i="6"/>
  <c r="J21" i="6"/>
  <c r="P13" i="5"/>
  <c r="P12" i="5"/>
  <c r="K21" i="6" s="1"/>
  <c r="P19" i="5"/>
  <c r="J22" i="6"/>
  <c r="P18" i="5"/>
  <c r="K22" i="6" s="1"/>
  <c r="P31" i="5"/>
  <c r="J24" i="6"/>
  <c r="W7" i="4" l="1"/>
  <c r="K26" i="6"/>
  <c r="B17" i="5"/>
  <c r="B16" i="5" s="1"/>
  <c r="B15" i="5" s="1"/>
  <c r="B14" i="5" s="1"/>
  <c r="B13" i="5" s="1"/>
  <c r="B12" i="5" s="1"/>
  <c r="H10" i="6"/>
  <c r="K25" i="6"/>
  <c r="K23" i="6"/>
  <c r="B11" i="5" l="1"/>
  <c r="B10" i="5" s="1"/>
  <c r="B9" i="5" s="1"/>
  <c r="B8" i="5" s="1"/>
  <c r="B7" i="5" s="1"/>
  <c r="B6" i="5" s="1"/>
  <c r="H9" i="6"/>
  <c r="D6" i="5" l="1"/>
  <c r="H8" i="6"/>
  <c r="E39" i="5" l="1"/>
  <c r="F39" i="5" s="1"/>
  <c r="E31" i="5"/>
  <c r="F31" i="5" s="1"/>
  <c r="E23" i="5"/>
  <c r="F23" i="5" s="1"/>
  <c r="E15" i="5"/>
  <c r="F15" i="5" s="1"/>
  <c r="E7" i="5"/>
  <c r="F7" i="5" s="1"/>
  <c r="E36" i="5"/>
  <c r="E28" i="5"/>
  <c r="F28" i="5" s="1"/>
  <c r="E20" i="5"/>
  <c r="F20" i="5" s="1"/>
  <c r="E8" i="5"/>
  <c r="F8" i="5" s="1"/>
  <c r="E41" i="5"/>
  <c r="F41" i="5" s="1"/>
  <c r="E33" i="5"/>
  <c r="F33" i="5" s="1"/>
  <c r="E25" i="5"/>
  <c r="F25" i="5" s="1"/>
  <c r="E17" i="5"/>
  <c r="F17" i="5" s="1"/>
  <c r="E9" i="5"/>
  <c r="F9" i="5" s="1"/>
  <c r="E38" i="5"/>
  <c r="F38" i="5" s="1"/>
  <c r="G39" i="5" s="1"/>
  <c r="E30" i="5"/>
  <c r="E22" i="5"/>
  <c r="F22" i="5" s="1"/>
  <c r="E12" i="5"/>
  <c r="E6" i="5"/>
  <c r="E27" i="5"/>
  <c r="F27" i="5" s="1"/>
  <c r="E19" i="5"/>
  <c r="F19" i="5" s="1"/>
  <c r="E40" i="5"/>
  <c r="F40" i="5" s="1"/>
  <c r="G41" i="5" s="1"/>
  <c r="E32" i="5"/>
  <c r="F32" i="5" s="1"/>
  <c r="G33" i="5" s="1"/>
  <c r="E16" i="5"/>
  <c r="F16" i="5" s="1"/>
  <c r="E10" i="5"/>
  <c r="F10" i="5" s="1"/>
  <c r="E37" i="5"/>
  <c r="F37" i="5" s="1"/>
  <c r="E29" i="5"/>
  <c r="F29" i="5" s="1"/>
  <c r="E13" i="5"/>
  <c r="F13" i="5" s="1"/>
  <c r="E42" i="5"/>
  <c r="E34" i="5"/>
  <c r="F34" i="5" s="1"/>
  <c r="E18" i="5"/>
  <c r="E14" i="5"/>
  <c r="F14" i="5" s="1"/>
  <c r="G15" i="5" s="1"/>
  <c r="E35" i="5"/>
  <c r="F35" i="5" s="1"/>
  <c r="E11" i="5"/>
  <c r="F11" i="5" s="1"/>
  <c r="E24" i="5"/>
  <c r="E21" i="5"/>
  <c r="F21" i="5" s="1"/>
  <c r="E26" i="5"/>
  <c r="F26" i="5" s="1"/>
  <c r="G23" i="5" l="1"/>
  <c r="G22" i="5"/>
  <c r="G38" i="5"/>
  <c r="G17" i="5"/>
  <c r="G35" i="5"/>
  <c r="G28" i="5"/>
  <c r="G27" i="5"/>
  <c r="G20" i="5"/>
  <c r="G14" i="5"/>
  <c r="F12" i="5"/>
  <c r="G12" i="5" s="1"/>
  <c r="I9" i="6"/>
  <c r="F30" i="5"/>
  <c r="I12" i="6"/>
  <c r="G10" i="5"/>
  <c r="G26" i="5"/>
  <c r="G21" i="5"/>
  <c r="I13" i="6"/>
  <c r="F36" i="5"/>
  <c r="G16" i="5"/>
  <c r="G32" i="5"/>
  <c r="F24" i="5"/>
  <c r="G24" i="5" s="1"/>
  <c r="I11" i="6"/>
  <c r="I10" i="6"/>
  <c r="F18" i="5"/>
  <c r="I14" i="6"/>
  <c r="F42" i="5"/>
  <c r="J14" i="6" s="1"/>
  <c r="G11" i="5"/>
  <c r="F6" i="5"/>
  <c r="I8" i="6"/>
  <c r="G34" i="5"/>
  <c r="G9" i="5"/>
  <c r="G29" i="5"/>
  <c r="G8" i="5"/>
  <c r="G40" i="5"/>
  <c r="J8" i="6" l="1"/>
  <c r="G7" i="5"/>
  <c r="G18" i="5"/>
  <c r="J10" i="6"/>
  <c r="G19" i="5"/>
  <c r="K11" i="6" s="1"/>
  <c r="G42" i="5"/>
  <c r="G30" i="5"/>
  <c r="J12" i="6"/>
  <c r="G31" i="5"/>
  <c r="G13" i="5"/>
  <c r="J9" i="6"/>
  <c r="J11" i="6"/>
  <c r="G25" i="5"/>
  <c r="G36" i="5"/>
  <c r="J13" i="6"/>
  <c r="G37" i="5"/>
  <c r="K9" i="6" l="1"/>
  <c r="M7" i="4"/>
  <c r="K14" i="6"/>
  <c r="K12" i="6"/>
  <c r="K10" i="6"/>
  <c r="K13" i="6"/>
</calcChain>
</file>

<file path=xl/comments1.xml><?xml version="1.0" encoding="utf-8"?>
<comments xmlns="http://schemas.openxmlformats.org/spreadsheetml/2006/main">
  <authors>
    <author>Zhu, Vincent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with UPR</t>
        </r>
      </text>
    </comment>
  </commentList>
</comments>
</file>

<file path=xl/sharedStrings.xml><?xml version="1.0" encoding="utf-8"?>
<sst xmlns="http://schemas.openxmlformats.org/spreadsheetml/2006/main" count="88" uniqueCount="61">
  <si>
    <t>Months</t>
  </si>
  <si>
    <t>Premiums</t>
  </si>
  <si>
    <t>Claims</t>
  </si>
  <si>
    <t>Expenses</t>
  </si>
  <si>
    <t>Net Cash Flow</t>
  </si>
  <si>
    <t>Policy liability</t>
  </si>
  <si>
    <t>Profit</t>
  </si>
  <si>
    <t>UPR</t>
  </si>
  <si>
    <t>PV AER Driver</t>
  </si>
  <si>
    <t>DAC</t>
  </si>
  <si>
    <t>Notes</t>
  </si>
  <si>
    <t>Data</t>
  </si>
  <si>
    <t>Assumptions</t>
  </si>
  <si>
    <t>Initial premium</t>
  </si>
  <si>
    <t xml:space="preserve"> - renewal expense inflation</t>
  </si>
  <si>
    <t xml:space="preserve"> - renewal expenses</t>
  </si>
  <si>
    <t xml:space="preserve"> - initial expenses</t>
  </si>
  <si>
    <t>Claim rate (% of premium)</t>
  </si>
  <si>
    <t>uniformally over the policy year.</t>
  </si>
  <si>
    <t>per policy year from year 2.</t>
  </si>
  <si>
    <t>Earnings and discount rate</t>
  </si>
  <si>
    <t>payable at the start of the policy year</t>
  </si>
  <si>
    <t>Contract term</t>
  </si>
  <si>
    <t>years</t>
  </si>
  <si>
    <t>Cash flows</t>
  </si>
  <si>
    <t>Premiums (SOP)</t>
  </si>
  <si>
    <t>Month</t>
  </si>
  <si>
    <t>Claims (uniform)</t>
  </si>
  <si>
    <t>Premium increase</t>
  </si>
  <si>
    <t>per policy year</t>
  </si>
  <si>
    <t xml:space="preserve">Expenses </t>
  </si>
  <si>
    <t xml:space="preserve">monthly rate is </t>
  </si>
  <si>
    <t>Liability and profit calculations</t>
  </si>
  <si>
    <t>Best estimate liability</t>
  </si>
  <si>
    <t>PV of driver (claims)</t>
  </si>
  <si>
    <t>Profit margin</t>
  </si>
  <si>
    <t>PV of profit margin</t>
  </si>
  <si>
    <t>Accumulation method</t>
  </si>
  <si>
    <t>Projection method</t>
  </si>
  <si>
    <t>Unearned Premium Reserve</t>
  </si>
  <si>
    <t>PV of AER Driver</t>
  </si>
  <si>
    <t>AER %</t>
  </si>
  <si>
    <t>PV Driver</t>
  </si>
  <si>
    <t>BEL</t>
  </si>
  <si>
    <t>PV Profit Margin</t>
  </si>
  <si>
    <t>Table 6.21: Group risk policy liability using an accumulation method</t>
  </si>
  <si>
    <t>Table 6.20: Group risk policy liability using a projection method</t>
  </si>
  <si>
    <t xml:space="preserve">This spreadsheet considers Table 6.20 and Table 6.21. </t>
  </si>
  <si>
    <t>The results are close and the build of monthly cash flows provides a useful model for students to study</t>
  </si>
  <si>
    <t>We have built up the cash flows monthly. This is not necessary for this example but many cash flow models are completed using monthly cash flows.</t>
  </si>
  <si>
    <t>Tables 6.20 and 6.21 were based on 6-monthly cash flows, not monthly. As an exercise, recreate the figures in Tables 6.20 and 6.21 using 6 monthly cash flows</t>
  </si>
  <si>
    <t xml:space="preserve">The Tables below are based on the build up of monthly cash flows, rather than six-monthly cash flows as per the example in the text book. </t>
  </si>
  <si>
    <t>All input is shown under the Assumptions tab</t>
  </si>
  <si>
    <t>Vinc</t>
  </si>
  <si>
    <t>PV of AER Driver (premiums)</t>
  </si>
  <si>
    <t>Policy liability
= UPR - DAC</t>
  </si>
  <si>
    <t>Change in Liability</t>
  </si>
  <si>
    <t>Interest</t>
  </si>
  <si>
    <t>check</t>
  </si>
  <si>
    <t>Acquisition Expense Recovery %</t>
  </si>
  <si>
    <t>Accumulation method (only premium info is used as no CFs projection being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</si>
</sst>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0070C0"/>
      <name val="Calibri"/>
      <family val="2"/>
      <scheme val="minor"/>
    </font>
    <font>
      <sz val="8"/>
      <color theme="1"/>
      <name val="Century Gothic"/>
      <family val="2"/>
    </font>
    <font>
      <b/>
      <sz val="10"/>
      <color rgb="FF0098D0"/>
      <name val="Century Gothic"/>
      <family val="2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10" fontId="0" fillId="0" borderId="0" xfId="0" applyNumberFormat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4" fontId="7" fillId="4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4" fontId="7" fillId="5" borderId="0" xfId="0" applyNumberFormat="1" applyFont="1" applyFill="1" applyAlignment="1">
      <alignment vertical="center" wrapText="1"/>
    </xf>
    <xf numFmtId="2" fontId="7" fillId="4" borderId="0" xfId="0" applyNumberFormat="1" applyFont="1" applyFill="1" applyAlignment="1">
      <alignment vertical="center" wrapText="1"/>
    </xf>
    <xf numFmtId="2" fontId="7" fillId="5" borderId="0" xfId="0" applyNumberFormat="1" applyFont="1" applyFill="1" applyAlignment="1">
      <alignment vertical="center" wrapText="1"/>
    </xf>
    <xf numFmtId="3" fontId="7" fillId="4" borderId="0" xfId="0" applyNumberFormat="1" applyFont="1" applyFill="1" applyAlignment="1">
      <alignment horizontal="center" vertical="center" wrapText="1"/>
    </xf>
    <xf numFmtId="3" fontId="7" fillId="5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9" fillId="0" borderId="0" xfId="0" applyFont="1"/>
    <xf numFmtId="165" fontId="0" fillId="0" borderId="1" xfId="0" applyNumberFormat="1" applyBorder="1" applyAlignment="1">
      <alignment horizontal="center"/>
    </xf>
    <xf numFmtId="10" fontId="0" fillId="0" borderId="2" xfId="0" applyNumberFormat="1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8" fontId="1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14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ht="16.5" x14ac:dyDescent="0.3">
      <c r="A1" s="3" t="s">
        <v>10</v>
      </c>
      <c r="B1" s="4"/>
    </row>
    <row r="2" spans="1:2" ht="16.5" x14ac:dyDescent="0.3">
      <c r="A2" s="4"/>
      <c r="B2" s="4"/>
    </row>
    <row r="3" spans="1:2" ht="16.5" x14ac:dyDescent="0.3">
      <c r="A3" s="5" t="s">
        <v>47</v>
      </c>
      <c r="B3" s="4"/>
    </row>
    <row r="4" spans="1:2" x14ac:dyDescent="0.25">
      <c r="A4" s="5" t="s">
        <v>49</v>
      </c>
    </row>
    <row r="5" spans="1:2" x14ac:dyDescent="0.25">
      <c r="A5" s="5" t="s">
        <v>50</v>
      </c>
    </row>
    <row r="6" spans="1:2" ht="16.5" x14ac:dyDescent="0.3">
      <c r="A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ht="16.5" x14ac:dyDescent="0.3">
      <c r="A2" s="4"/>
    </row>
    <row r="3" spans="1:1" x14ac:dyDescent="0.25">
      <c r="A3" s="5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4" max="4" width="9.140625" style="11"/>
  </cols>
  <sheetData>
    <row r="1" spans="1:8" x14ac:dyDescent="0.25">
      <c r="A1" s="3" t="s">
        <v>12</v>
      </c>
    </row>
    <row r="3" spans="1:8" x14ac:dyDescent="0.25">
      <c r="A3" t="s">
        <v>13</v>
      </c>
      <c r="D3" s="24">
        <v>1000</v>
      </c>
      <c r="E3" t="s">
        <v>21</v>
      </c>
    </row>
    <row r="4" spans="1:8" x14ac:dyDescent="0.25">
      <c r="A4" t="s">
        <v>28</v>
      </c>
      <c r="D4" s="25">
        <f>5%*initial_premium</f>
        <v>50</v>
      </c>
      <c r="E4" t="s">
        <v>29</v>
      </c>
    </row>
    <row r="5" spans="1:8" x14ac:dyDescent="0.25">
      <c r="D5" s="26"/>
    </row>
    <row r="6" spans="1:8" x14ac:dyDescent="0.25">
      <c r="A6" s="2" t="s">
        <v>3</v>
      </c>
      <c r="D6" s="26"/>
    </row>
    <row r="7" spans="1:8" x14ac:dyDescent="0.25">
      <c r="A7" t="s">
        <v>16</v>
      </c>
      <c r="D7" s="27">
        <v>150</v>
      </c>
    </row>
    <row r="8" spans="1:8" x14ac:dyDescent="0.25">
      <c r="A8" t="s">
        <v>15</v>
      </c>
      <c r="D8" s="27">
        <v>50</v>
      </c>
      <c r="E8" t="s">
        <v>19</v>
      </c>
    </row>
    <row r="9" spans="1:8" x14ac:dyDescent="0.25">
      <c r="A9" t="s">
        <v>14</v>
      </c>
      <c r="D9" s="28">
        <v>0.05</v>
      </c>
    </row>
    <row r="10" spans="1:8" x14ac:dyDescent="0.25">
      <c r="D10" s="26"/>
    </row>
    <row r="11" spans="1:8" x14ac:dyDescent="0.25">
      <c r="A11" s="2" t="s">
        <v>17</v>
      </c>
      <c r="D11" s="28">
        <v>0.8</v>
      </c>
      <c r="E11" t="s">
        <v>18</v>
      </c>
    </row>
    <row r="12" spans="1:8" x14ac:dyDescent="0.25">
      <c r="D12" s="26"/>
    </row>
    <row r="13" spans="1:8" x14ac:dyDescent="0.25">
      <c r="A13" s="2" t="s">
        <v>20</v>
      </c>
      <c r="D13" s="28">
        <v>0</v>
      </c>
      <c r="F13" t="s">
        <v>31</v>
      </c>
      <c r="H13" s="7">
        <f>(1+discount_rate)^(1/12) -1</f>
        <v>0</v>
      </c>
    </row>
    <row r="14" spans="1:8" x14ac:dyDescent="0.25">
      <c r="D14" s="26"/>
    </row>
    <row r="15" spans="1:8" x14ac:dyDescent="0.25">
      <c r="A15" t="s">
        <v>22</v>
      </c>
      <c r="D15" s="26">
        <v>3</v>
      </c>
      <c r="E15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2"/>
  <sheetViews>
    <sheetView tabSelected="1" zoomScaleNormal="100" workbookViewId="0">
      <selection activeCell="S5" sqref="S5"/>
    </sheetView>
  </sheetViews>
  <sheetFormatPr defaultRowHeight="15" x14ac:dyDescent="0.25"/>
  <cols>
    <col min="6" max="6" width="1.7109375" customWidth="1"/>
    <col min="13" max="13" width="8.42578125" customWidth="1"/>
    <col min="14" max="14" width="1.5703125" customWidth="1"/>
  </cols>
  <sheetData>
    <row r="1" spans="1:23" x14ac:dyDescent="0.25">
      <c r="A1" s="3" t="s">
        <v>24</v>
      </c>
    </row>
    <row r="3" spans="1:23" x14ac:dyDescent="0.25">
      <c r="G3" s="29" t="s">
        <v>53</v>
      </c>
    </row>
    <row r="4" spans="1:23" x14ac:dyDescent="0.25">
      <c r="A4" s="3"/>
      <c r="G4" s="3" t="s">
        <v>38</v>
      </c>
      <c r="O4" s="3" t="s">
        <v>60</v>
      </c>
    </row>
    <row r="5" spans="1:23" ht="51" x14ac:dyDescent="0.25">
      <c r="A5" s="1" t="s">
        <v>26</v>
      </c>
      <c r="B5" s="1" t="s">
        <v>25</v>
      </c>
      <c r="C5" s="1" t="s">
        <v>27</v>
      </c>
      <c r="D5" s="1" t="s">
        <v>30</v>
      </c>
      <c r="E5" s="1" t="s">
        <v>4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5</v>
      </c>
      <c r="L5" s="1" t="s">
        <v>6</v>
      </c>
      <c r="M5" s="38"/>
      <c r="O5" s="1" t="s">
        <v>39</v>
      </c>
      <c r="P5" s="1" t="s">
        <v>54</v>
      </c>
      <c r="Q5" s="1" t="s">
        <v>59</v>
      </c>
      <c r="R5" s="1" t="s">
        <v>9</v>
      </c>
      <c r="S5" s="40" t="s">
        <v>55</v>
      </c>
      <c r="T5" s="1" t="s">
        <v>56</v>
      </c>
      <c r="U5" s="1" t="s">
        <v>57</v>
      </c>
      <c r="V5" s="1" t="s">
        <v>6</v>
      </c>
    </row>
    <row r="6" spans="1:23" x14ac:dyDescent="0.25">
      <c r="A6">
        <v>0</v>
      </c>
      <c r="B6" s="12"/>
      <c r="C6" s="12"/>
      <c r="D6" s="12"/>
      <c r="E6" s="12"/>
      <c r="G6" s="30">
        <f>NPV(monthly_discount_rate,C7:$C$43)
+NPV(monthly_discount_rate,D7:$D$43)*(1+monthly_discount_rate)
-NPV(monthly_discount_rate,B7:$B$43)*(1+monthly_discount_rate)</f>
        <v>-372.37499999999955</v>
      </c>
      <c r="H6" s="30">
        <f>NPV(monthly_discount_rate,C7:$C$43)*(1+monthly_discount_rate)</f>
        <v>2520.0000000000005</v>
      </c>
      <c r="I6" s="31">
        <f>-G6/H6</f>
        <v>0.14776785714285692</v>
      </c>
      <c r="J6" s="32">
        <f>$I$6*H6</f>
        <v>372.37499999999949</v>
      </c>
      <c r="K6" s="32">
        <f>J6+G6</f>
        <v>0</v>
      </c>
      <c r="L6" s="33"/>
      <c r="M6" s="36" t="s">
        <v>58</v>
      </c>
      <c r="O6" s="30">
        <f t="shared" ref="O6:O42" si="0">(initial_premium+premium_inflation*INT((A6-1)/12))* IF(MOD(A6,12) = 0,0,(12-MOD(A6,12))/12)</f>
        <v>0</v>
      </c>
      <c r="P6" s="35">
        <f>NPV(monthly_discount_rate,$B7:B$43)+O6</f>
        <v>3150</v>
      </c>
      <c r="Q6" s="31">
        <f>initial_expense/P6</f>
        <v>4.7619047619047616E-2</v>
      </c>
      <c r="R6" s="32">
        <f>$Q$6*P6</f>
        <v>150</v>
      </c>
      <c r="S6" s="32">
        <f>O6-R6</f>
        <v>-150</v>
      </c>
      <c r="T6" s="32"/>
      <c r="U6" s="32"/>
      <c r="V6" s="32">
        <f>-S6</f>
        <v>150</v>
      </c>
      <c r="W6" s="36" t="s">
        <v>58</v>
      </c>
    </row>
    <row r="7" spans="1:23" x14ac:dyDescent="0.25">
      <c r="A7">
        <v>1</v>
      </c>
      <c r="B7" s="8">
        <f t="shared" ref="B7" si="1">IF(MOD(A7-1,12)=0,initial_premium*(1+renewal_expense_inflation*INT((A7-1)/12)),0)</f>
        <v>1000</v>
      </c>
      <c r="C7" s="12">
        <f t="shared" ref="C7:C42" si="2">IF(B7=0,C6,B7*claim_rate/12)</f>
        <v>66.666666666666671</v>
      </c>
      <c r="D7" s="12">
        <f>initial_expense</f>
        <v>150</v>
      </c>
      <c r="E7" s="12">
        <f>B7-C7-D7</f>
        <v>783.33333333333337</v>
      </c>
      <c r="G7" s="30">
        <f>NPV(monthly_discount_rate,C8:$C$43)
+NPV(monthly_discount_rate,D8:$D$43)*(1+monthly_discount_rate)
-NPV(monthly_discount_rate,B8:$B$43)*(1+monthly_discount_rate)</f>
        <v>410.95833333333348</v>
      </c>
      <c r="H7" s="30">
        <f>NPV(monthly_discount_rate,C8:$C$43)*(1+monthly_discount_rate)</f>
        <v>2453.3333333333335</v>
      </c>
      <c r="J7" s="32">
        <f t="shared" ref="J7:J42" si="3">$I$6*H7</f>
        <v>362.52380952380901</v>
      </c>
      <c r="K7" s="32">
        <f t="shared" ref="K7:K42" si="4">J7+G7</f>
        <v>773.48214285714243</v>
      </c>
      <c r="L7" s="34">
        <f t="shared" ref="L7:L42" si="5">E7+(K6+B7-D7)*monthly_discount_rate-(K7-K6)</f>
        <v>9.8511904761909364</v>
      </c>
      <c r="M7" s="37">
        <f>SUM(L6:L42)-SUM('Liability calculations'!G6:G42)</f>
        <v>4.5474735088646412E-13</v>
      </c>
      <c r="O7" s="30">
        <f t="shared" si="0"/>
        <v>916.66666666666663</v>
      </c>
      <c r="P7" s="35">
        <f>NPV(monthly_discount_rate,$B8:B$43)+O7</f>
        <v>3066.6666666666665</v>
      </c>
      <c r="R7" s="32">
        <f t="shared" ref="R7:R42" si="6">$Q$6*P7</f>
        <v>146.03174603174602</v>
      </c>
      <c r="S7" s="32">
        <f t="shared" ref="S7:S42" si="7">O7-R7</f>
        <v>770.6349206349206</v>
      </c>
      <c r="T7" s="32">
        <f>S7-S6</f>
        <v>920.6349206349206</v>
      </c>
      <c r="U7" s="32">
        <f t="shared" ref="U7:U42" si="8">(S6+B7-D7)*monthly_discount_rate</f>
        <v>0</v>
      </c>
      <c r="V7" s="34">
        <f>E7+U7-T7</f>
        <v>-137.30158730158723</v>
      </c>
      <c r="W7" s="37">
        <f>SUM(V6:V42)-SUM('Liability calculations'!P6:P42)</f>
        <v>0</v>
      </c>
    </row>
    <row r="8" spans="1:23" x14ac:dyDescent="0.25">
      <c r="A8">
        <f>1+A7</f>
        <v>2</v>
      </c>
      <c r="B8" s="8">
        <f t="shared" ref="B8:D42" si="9">IF(MOD(A8-1,12)=0,initial_premium+ premium_inflation*INT((A8-1)/12),0)</f>
        <v>0</v>
      </c>
      <c r="C8" s="12">
        <f t="shared" si="2"/>
        <v>66.666666666666671</v>
      </c>
      <c r="D8" s="8">
        <f t="shared" si="9"/>
        <v>0</v>
      </c>
      <c r="E8" s="12">
        <f t="shared" ref="E8:E42" si="10">B8-C8-D8</f>
        <v>-66.666666666666671</v>
      </c>
      <c r="G8" s="30">
        <f>NPV(monthly_discount_rate,C9:$C$43)
+NPV(monthly_discount_rate,D9:$D$43)*(1+monthly_discount_rate)
-NPV(monthly_discount_rate,B9:$B$43)*(1+monthly_discount_rate)</f>
        <v>344.29166666666652</v>
      </c>
      <c r="H8" s="30">
        <f>NPV(monthly_discount_rate,C9:$C$43)*(1+monthly_discount_rate)</f>
        <v>2386.6666666666665</v>
      </c>
      <c r="J8" s="32">
        <f t="shared" si="3"/>
        <v>352.67261904761853</v>
      </c>
      <c r="K8" s="32">
        <f t="shared" si="4"/>
        <v>696.9642857142851</v>
      </c>
      <c r="L8" s="34">
        <f t="shared" si="5"/>
        <v>9.8511904761906663</v>
      </c>
      <c r="M8" s="39"/>
      <c r="O8" s="30">
        <f t="shared" si="0"/>
        <v>833.33333333333337</v>
      </c>
      <c r="P8" s="35">
        <f>NPV(monthly_discount_rate,$B9:B$43)+O8</f>
        <v>2983.3333333333335</v>
      </c>
      <c r="R8" s="32">
        <f t="shared" si="6"/>
        <v>142.06349206349205</v>
      </c>
      <c r="S8" s="32">
        <f t="shared" si="7"/>
        <v>691.26984126984132</v>
      </c>
      <c r="T8" s="32">
        <f t="shared" ref="T8:T42" si="11">S8-S7</f>
        <v>-79.365079365079282</v>
      </c>
      <c r="U8" s="32">
        <f t="shared" si="8"/>
        <v>0</v>
      </c>
      <c r="V8" s="34">
        <f t="shared" ref="V8:V42" si="12">E8+U8-T8</f>
        <v>12.698412698412611</v>
      </c>
    </row>
    <row r="9" spans="1:23" x14ac:dyDescent="0.25">
      <c r="A9">
        <f t="shared" ref="A9:A42" si="13">1+A8</f>
        <v>3</v>
      </c>
      <c r="B9" s="8">
        <f t="shared" si="9"/>
        <v>0</v>
      </c>
      <c r="C9" s="12">
        <f t="shared" si="2"/>
        <v>66.666666666666671</v>
      </c>
      <c r="D9" s="8">
        <f t="shared" si="9"/>
        <v>0</v>
      </c>
      <c r="E9" s="12">
        <f t="shared" si="10"/>
        <v>-66.666666666666671</v>
      </c>
      <c r="G9" s="30">
        <f>NPV(monthly_discount_rate,C10:$C$43)
+NPV(monthly_discount_rate,D10:$D$43)*(1+monthly_discount_rate)
-NPV(monthly_discount_rate,B10:$B$43)*(1+monthly_discount_rate)</f>
        <v>277.625</v>
      </c>
      <c r="H9" s="30">
        <f>NPV(monthly_discount_rate,C10:$C$43)*(1+monthly_discount_rate)</f>
        <v>2320</v>
      </c>
      <c r="J9" s="32">
        <f t="shared" si="3"/>
        <v>342.82142857142804</v>
      </c>
      <c r="K9" s="32">
        <f t="shared" si="4"/>
        <v>620.44642857142799</v>
      </c>
      <c r="L9" s="34">
        <f t="shared" si="5"/>
        <v>9.851190476190439</v>
      </c>
      <c r="M9" s="39"/>
      <c r="O9" s="30">
        <f t="shared" si="0"/>
        <v>750</v>
      </c>
      <c r="P9" s="35">
        <f>NPV(monthly_discount_rate,$B10:B$43)+O9</f>
        <v>2900</v>
      </c>
      <c r="R9" s="32">
        <f t="shared" si="6"/>
        <v>138.09523809523807</v>
      </c>
      <c r="S9" s="32">
        <f t="shared" si="7"/>
        <v>611.90476190476193</v>
      </c>
      <c r="T9" s="32">
        <f t="shared" si="11"/>
        <v>-79.365079365079396</v>
      </c>
      <c r="U9" s="32">
        <f t="shared" si="8"/>
        <v>0</v>
      </c>
      <c r="V9" s="34">
        <f t="shared" si="12"/>
        <v>12.698412698412724</v>
      </c>
    </row>
    <row r="10" spans="1:23" x14ac:dyDescent="0.25">
      <c r="A10">
        <f t="shared" si="13"/>
        <v>4</v>
      </c>
      <c r="B10" s="8">
        <f t="shared" si="9"/>
        <v>0</v>
      </c>
      <c r="C10" s="12">
        <f t="shared" si="2"/>
        <v>66.666666666666671</v>
      </c>
      <c r="D10" s="8">
        <f t="shared" si="9"/>
        <v>0</v>
      </c>
      <c r="E10" s="12">
        <f t="shared" si="10"/>
        <v>-66.666666666666671</v>
      </c>
      <c r="G10" s="30">
        <f>NPV(monthly_discount_rate,C11:$C$43)
+NPV(monthly_discount_rate,D11:$D$43)*(1+monthly_discount_rate)
-NPV(monthly_discount_rate,B11:$B$43)*(1+monthly_discount_rate)</f>
        <v>210.95833333333303</v>
      </c>
      <c r="H10" s="30">
        <f>NPV(monthly_discount_rate,C11:$C$43)*(1+monthly_discount_rate)</f>
        <v>2253.333333333333</v>
      </c>
      <c r="J10" s="32">
        <f t="shared" si="3"/>
        <v>332.97023809523756</v>
      </c>
      <c r="K10" s="32">
        <f t="shared" si="4"/>
        <v>543.92857142857065</v>
      </c>
      <c r="L10" s="34">
        <f t="shared" si="5"/>
        <v>9.8511904761906663</v>
      </c>
      <c r="M10" s="39"/>
      <c r="O10" s="30">
        <f t="shared" si="0"/>
        <v>666.66666666666663</v>
      </c>
      <c r="P10" s="35">
        <f>NPV(monthly_discount_rate,$B11:B$43)+O10</f>
        <v>2816.6666666666665</v>
      </c>
      <c r="R10" s="32">
        <f t="shared" si="6"/>
        <v>134.1269841269841</v>
      </c>
      <c r="S10" s="32">
        <f t="shared" si="7"/>
        <v>532.53968253968253</v>
      </c>
      <c r="T10" s="32">
        <f t="shared" si="11"/>
        <v>-79.365079365079396</v>
      </c>
      <c r="U10" s="32">
        <f t="shared" si="8"/>
        <v>0</v>
      </c>
      <c r="V10" s="34">
        <f t="shared" si="12"/>
        <v>12.698412698412724</v>
      </c>
    </row>
    <row r="11" spans="1:23" x14ac:dyDescent="0.25">
      <c r="A11">
        <f t="shared" si="13"/>
        <v>5</v>
      </c>
      <c r="B11" s="8">
        <f t="shared" si="9"/>
        <v>0</v>
      </c>
      <c r="C11" s="12">
        <f t="shared" si="2"/>
        <v>66.666666666666671</v>
      </c>
      <c r="D11" s="8">
        <f t="shared" si="9"/>
        <v>0</v>
      </c>
      <c r="E11" s="12">
        <f t="shared" si="10"/>
        <v>-66.666666666666671</v>
      </c>
      <c r="G11" s="30">
        <f>NPV(monthly_discount_rate,C12:$C$43)
+NPV(monthly_discount_rate,D12:$D$43)*(1+monthly_discount_rate)
-NPV(monthly_discount_rate,B12:$B$43)*(1+monthly_discount_rate)</f>
        <v>144.29166666666606</v>
      </c>
      <c r="H11" s="30">
        <f>NPV(monthly_discount_rate,C12:$C$43)*(1+monthly_discount_rate)</f>
        <v>2186.6666666666661</v>
      </c>
      <c r="J11" s="32">
        <f t="shared" si="3"/>
        <v>323.11904761904702</v>
      </c>
      <c r="K11" s="32">
        <f t="shared" si="4"/>
        <v>467.41071428571308</v>
      </c>
      <c r="L11" s="34">
        <f t="shared" si="5"/>
        <v>9.8511904761908937</v>
      </c>
      <c r="M11" s="39"/>
      <c r="O11" s="30">
        <f t="shared" si="0"/>
        <v>583.33333333333337</v>
      </c>
      <c r="P11" s="35">
        <f>NPV(monthly_discount_rate,$B12:B$43)+O11</f>
        <v>2733.3333333333335</v>
      </c>
      <c r="R11" s="32">
        <f t="shared" si="6"/>
        <v>130.15873015873015</v>
      </c>
      <c r="S11" s="32">
        <f t="shared" si="7"/>
        <v>453.17460317460325</v>
      </c>
      <c r="T11" s="32">
        <f t="shared" si="11"/>
        <v>-79.365079365079282</v>
      </c>
      <c r="U11" s="32">
        <f t="shared" si="8"/>
        <v>0</v>
      </c>
      <c r="V11" s="34">
        <f t="shared" si="12"/>
        <v>12.698412698412611</v>
      </c>
    </row>
    <row r="12" spans="1:23" x14ac:dyDescent="0.25">
      <c r="A12">
        <f t="shared" si="13"/>
        <v>6</v>
      </c>
      <c r="B12" s="8">
        <f t="shared" si="9"/>
        <v>0</v>
      </c>
      <c r="C12" s="12">
        <f t="shared" si="2"/>
        <v>66.666666666666671</v>
      </c>
      <c r="D12" s="8">
        <f t="shared" si="9"/>
        <v>0</v>
      </c>
      <c r="E12" s="12">
        <f t="shared" si="10"/>
        <v>-66.666666666666671</v>
      </c>
      <c r="G12" s="30">
        <f>NPV(monthly_discount_rate,C13:$C$43)
+NPV(monthly_discount_rate,D13:$D$43)*(1+monthly_discount_rate)
-NPV(monthly_discount_rate,B13:$B$43)*(1+monthly_discount_rate)</f>
        <v>77.624999999999091</v>
      </c>
      <c r="H12" s="30">
        <f>NPV(monthly_discount_rate,C13:$C$43)*(1+monthly_discount_rate)</f>
        <v>2119.9999999999991</v>
      </c>
      <c r="J12" s="32">
        <f t="shared" si="3"/>
        <v>313.26785714285654</v>
      </c>
      <c r="K12" s="32">
        <f t="shared" si="4"/>
        <v>390.89285714285563</v>
      </c>
      <c r="L12" s="34">
        <f t="shared" si="5"/>
        <v>9.85119047619078</v>
      </c>
      <c r="M12" s="39"/>
      <c r="O12" s="30">
        <f t="shared" si="0"/>
        <v>500</v>
      </c>
      <c r="P12" s="35">
        <f>NPV(monthly_discount_rate,$B13:B$43)+O12</f>
        <v>2650</v>
      </c>
      <c r="R12" s="32">
        <f t="shared" si="6"/>
        <v>126.19047619047619</v>
      </c>
      <c r="S12" s="32">
        <f t="shared" si="7"/>
        <v>373.8095238095238</v>
      </c>
      <c r="T12" s="32">
        <f t="shared" si="11"/>
        <v>-79.365079365079453</v>
      </c>
      <c r="U12" s="32">
        <f t="shared" si="8"/>
        <v>0</v>
      </c>
      <c r="V12" s="34">
        <f t="shared" si="12"/>
        <v>12.698412698412781</v>
      </c>
    </row>
    <row r="13" spans="1:23" x14ac:dyDescent="0.25">
      <c r="A13">
        <f t="shared" si="13"/>
        <v>7</v>
      </c>
      <c r="B13" s="8">
        <f t="shared" si="9"/>
        <v>0</v>
      </c>
      <c r="C13" s="12">
        <f t="shared" si="2"/>
        <v>66.666666666666671</v>
      </c>
      <c r="D13" s="8">
        <f t="shared" si="9"/>
        <v>0</v>
      </c>
      <c r="E13" s="12">
        <f t="shared" si="10"/>
        <v>-66.666666666666671</v>
      </c>
      <c r="G13" s="30">
        <f>NPV(monthly_discount_rate,C14:$C$43)
+NPV(monthly_discount_rate,D14:$D$43)*(1+monthly_discount_rate)
-NPV(monthly_discount_rate,B14:$B$43)*(1+monthly_discount_rate)</f>
        <v>10.958333333332575</v>
      </c>
      <c r="H13" s="30">
        <f>NPV(monthly_discount_rate,C14:$C$43)*(1+monthly_discount_rate)</f>
        <v>2053.3333333333326</v>
      </c>
      <c r="J13" s="32">
        <f t="shared" si="3"/>
        <v>303.41666666666612</v>
      </c>
      <c r="K13" s="32">
        <f t="shared" si="4"/>
        <v>314.37499999999869</v>
      </c>
      <c r="L13" s="34">
        <f t="shared" si="5"/>
        <v>9.8511904761902684</v>
      </c>
      <c r="M13" s="39"/>
      <c r="O13" s="30">
        <f t="shared" si="0"/>
        <v>416.66666666666669</v>
      </c>
      <c r="P13" s="35">
        <f>NPV(monthly_discount_rate,$B14:B$43)+O13</f>
        <v>2566.6666666666665</v>
      </c>
      <c r="R13" s="32">
        <f t="shared" si="6"/>
        <v>122.22222222222221</v>
      </c>
      <c r="S13" s="32">
        <f t="shared" si="7"/>
        <v>294.44444444444446</v>
      </c>
      <c r="T13" s="32">
        <f t="shared" si="11"/>
        <v>-79.365079365079339</v>
      </c>
      <c r="U13" s="32">
        <f t="shared" si="8"/>
        <v>0</v>
      </c>
      <c r="V13" s="34">
        <f t="shared" si="12"/>
        <v>12.698412698412668</v>
      </c>
    </row>
    <row r="14" spans="1:23" x14ac:dyDescent="0.25">
      <c r="A14">
        <f t="shared" si="13"/>
        <v>8</v>
      </c>
      <c r="B14" s="8">
        <f t="shared" si="9"/>
        <v>0</v>
      </c>
      <c r="C14" s="12">
        <f t="shared" si="2"/>
        <v>66.666666666666671</v>
      </c>
      <c r="D14" s="8">
        <f t="shared" si="9"/>
        <v>0</v>
      </c>
      <c r="E14" s="12">
        <f t="shared" si="10"/>
        <v>-66.666666666666671</v>
      </c>
      <c r="G14" s="30">
        <f>NPV(monthly_discount_rate,C15:$C$43)
+NPV(monthly_discount_rate,D15:$D$43)*(1+monthly_discount_rate)
-NPV(monthly_discount_rate,B15:$B$43)*(1+monthly_discount_rate)</f>
        <v>-55.70833333333394</v>
      </c>
      <c r="H14" s="30">
        <f>NPV(monthly_discount_rate,C15:$C$43)*(1+monthly_discount_rate)</f>
        <v>1986.6666666666658</v>
      </c>
      <c r="J14" s="32">
        <f t="shared" si="3"/>
        <v>293.56547619047564</v>
      </c>
      <c r="K14" s="32">
        <f t="shared" si="4"/>
        <v>237.8571428571417</v>
      </c>
      <c r="L14" s="34">
        <f t="shared" si="5"/>
        <v>9.8511904761903253</v>
      </c>
      <c r="M14" s="39"/>
      <c r="O14" s="30">
        <f t="shared" si="0"/>
        <v>333.33333333333331</v>
      </c>
      <c r="P14" s="35">
        <f>NPV(monthly_discount_rate,$B15:B$43)+O14</f>
        <v>2483.3333333333335</v>
      </c>
      <c r="R14" s="32">
        <f t="shared" si="6"/>
        <v>118.25396825396825</v>
      </c>
      <c r="S14" s="32">
        <f t="shared" si="7"/>
        <v>215.07936507936506</v>
      </c>
      <c r="T14" s="32">
        <f t="shared" si="11"/>
        <v>-79.365079365079396</v>
      </c>
      <c r="U14" s="32">
        <f t="shared" si="8"/>
        <v>0</v>
      </c>
      <c r="V14" s="34">
        <f t="shared" si="12"/>
        <v>12.698412698412724</v>
      </c>
    </row>
    <row r="15" spans="1:23" x14ac:dyDescent="0.25">
      <c r="A15">
        <f t="shared" si="13"/>
        <v>9</v>
      </c>
      <c r="B15" s="8">
        <f t="shared" si="9"/>
        <v>0</v>
      </c>
      <c r="C15" s="12">
        <f t="shared" si="2"/>
        <v>66.666666666666671</v>
      </c>
      <c r="D15" s="8">
        <f t="shared" si="9"/>
        <v>0</v>
      </c>
      <c r="E15" s="12">
        <f t="shared" si="10"/>
        <v>-66.666666666666671</v>
      </c>
      <c r="G15" s="30">
        <f>NPV(monthly_discount_rate,C16:$C$43)
+NPV(monthly_discount_rate,D16:$D$43)*(1+monthly_discount_rate)
-NPV(monthly_discount_rate,B16:$B$43)*(1+monthly_discount_rate)</f>
        <v>-122.37500000000091</v>
      </c>
      <c r="H15" s="30">
        <f>NPV(monthly_discount_rate,C16:$C$43)*(1+monthly_discount_rate)</f>
        <v>1919.9999999999991</v>
      </c>
      <c r="J15" s="32">
        <f t="shared" si="3"/>
        <v>283.71428571428515</v>
      </c>
      <c r="K15" s="32">
        <f t="shared" si="4"/>
        <v>161.33928571428424</v>
      </c>
      <c r="L15" s="34">
        <f t="shared" si="5"/>
        <v>9.85119047619078</v>
      </c>
      <c r="M15" s="39"/>
      <c r="O15" s="30">
        <f t="shared" si="0"/>
        <v>250</v>
      </c>
      <c r="P15" s="35">
        <f>NPV(monthly_discount_rate,$B16:B$43)+O15</f>
        <v>2400</v>
      </c>
      <c r="R15" s="32">
        <f t="shared" si="6"/>
        <v>114.28571428571428</v>
      </c>
      <c r="S15" s="32">
        <f t="shared" si="7"/>
        <v>135.71428571428572</v>
      </c>
      <c r="T15" s="32">
        <f t="shared" si="11"/>
        <v>-79.365079365079339</v>
      </c>
      <c r="U15" s="32">
        <f t="shared" si="8"/>
        <v>0</v>
      </c>
      <c r="V15" s="34">
        <f t="shared" si="12"/>
        <v>12.698412698412668</v>
      </c>
    </row>
    <row r="16" spans="1:23" x14ac:dyDescent="0.25">
      <c r="A16">
        <f t="shared" si="13"/>
        <v>10</v>
      </c>
      <c r="B16" s="8">
        <f t="shared" si="9"/>
        <v>0</v>
      </c>
      <c r="C16" s="12">
        <f t="shared" si="2"/>
        <v>66.666666666666671</v>
      </c>
      <c r="D16" s="8">
        <f t="shared" si="9"/>
        <v>0</v>
      </c>
      <c r="E16" s="12">
        <f t="shared" si="10"/>
        <v>-66.666666666666671</v>
      </c>
      <c r="G16" s="30">
        <f>NPV(monthly_discount_rate,C17:$C$43)
+NPV(monthly_discount_rate,D17:$D$43)*(1+monthly_discount_rate)
-NPV(monthly_discount_rate,B17:$B$43)*(1+monthly_discount_rate)</f>
        <v>-189.04166666666742</v>
      </c>
      <c r="H16" s="30">
        <f>NPV(monthly_discount_rate,C17:$C$43)*(1+monthly_discount_rate)</f>
        <v>1853.3333333333326</v>
      </c>
      <c r="J16" s="32">
        <f t="shared" si="3"/>
        <v>273.86309523809473</v>
      </c>
      <c r="K16" s="32">
        <f t="shared" si="4"/>
        <v>84.821428571427305</v>
      </c>
      <c r="L16" s="34">
        <f t="shared" si="5"/>
        <v>9.8511904761902684</v>
      </c>
      <c r="M16" s="39"/>
      <c r="O16" s="30">
        <f t="shared" si="0"/>
        <v>166.66666666666666</v>
      </c>
      <c r="P16" s="35">
        <f>NPV(monthly_discount_rate,$B17:B$43)+O16</f>
        <v>2316.6666666666665</v>
      </c>
      <c r="R16" s="32">
        <f t="shared" si="6"/>
        <v>110.3174603174603</v>
      </c>
      <c r="S16" s="32">
        <f t="shared" si="7"/>
        <v>56.349206349206355</v>
      </c>
      <c r="T16" s="32">
        <f t="shared" si="11"/>
        <v>-79.365079365079367</v>
      </c>
      <c r="U16" s="32">
        <f t="shared" si="8"/>
        <v>0</v>
      </c>
      <c r="V16" s="34">
        <f t="shared" si="12"/>
        <v>12.698412698412696</v>
      </c>
    </row>
    <row r="17" spans="1:22" x14ac:dyDescent="0.25">
      <c r="A17">
        <f t="shared" si="13"/>
        <v>11</v>
      </c>
      <c r="B17" s="8">
        <f t="shared" si="9"/>
        <v>0</v>
      </c>
      <c r="C17" s="12">
        <f t="shared" si="2"/>
        <v>66.666666666666671</v>
      </c>
      <c r="D17" s="8">
        <f t="shared" si="9"/>
        <v>0</v>
      </c>
      <c r="E17" s="12">
        <f t="shared" si="10"/>
        <v>-66.666666666666671</v>
      </c>
      <c r="G17" s="30">
        <f>NPV(monthly_discount_rate,C18:$C$43)
+NPV(monthly_discount_rate,D18:$D$43)*(1+monthly_discount_rate)
-NPV(monthly_discount_rate,B18:$B$43)*(1+monthly_discount_rate)</f>
        <v>-255.70833333333394</v>
      </c>
      <c r="H17" s="30">
        <f>NPV(monthly_discount_rate,C18:$C$43)*(1+monthly_discount_rate)</f>
        <v>1786.6666666666661</v>
      </c>
      <c r="J17" s="32">
        <f t="shared" si="3"/>
        <v>264.0119047619043</v>
      </c>
      <c r="K17" s="32">
        <f t="shared" si="4"/>
        <v>8.3035714285703648</v>
      </c>
      <c r="L17" s="34">
        <f t="shared" si="5"/>
        <v>9.8511904761902684</v>
      </c>
      <c r="M17" s="39"/>
      <c r="O17" s="30">
        <f t="shared" si="0"/>
        <v>83.333333333333329</v>
      </c>
      <c r="P17" s="35">
        <f>NPV(monthly_discount_rate,$B18:B$43)+O17</f>
        <v>2233.3333333333335</v>
      </c>
      <c r="R17" s="32">
        <f t="shared" si="6"/>
        <v>106.34920634920636</v>
      </c>
      <c r="S17" s="32">
        <f t="shared" si="7"/>
        <v>-23.015873015873026</v>
      </c>
      <c r="T17" s="32">
        <f t="shared" si="11"/>
        <v>-79.365079365079382</v>
      </c>
      <c r="U17" s="32">
        <f t="shared" si="8"/>
        <v>0</v>
      </c>
      <c r="V17" s="34">
        <f t="shared" si="12"/>
        <v>12.69841269841271</v>
      </c>
    </row>
    <row r="18" spans="1:22" x14ac:dyDescent="0.25">
      <c r="A18">
        <f t="shared" si="13"/>
        <v>12</v>
      </c>
      <c r="B18" s="8">
        <f t="shared" si="9"/>
        <v>0</v>
      </c>
      <c r="C18" s="12">
        <f t="shared" si="2"/>
        <v>66.666666666666671</v>
      </c>
      <c r="D18" s="8">
        <f t="shared" si="9"/>
        <v>0</v>
      </c>
      <c r="E18" s="12">
        <f t="shared" si="10"/>
        <v>-66.666666666666671</v>
      </c>
      <c r="G18" s="30">
        <f>NPV(monthly_discount_rate,C19:$C$43)
+NPV(monthly_discount_rate,D19:$D$43)*(1+monthly_discount_rate)
-NPV(monthly_discount_rate,B19:$B$43)*(1+monthly_discount_rate)</f>
        <v>-322.37500000000068</v>
      </c>
      <c r="H18" s="30">
        <f>NPV(monthly_discount_rate,C19:$C$43)*(1+monthly_discount_rate)</f>
        <v>1719.9999999999993</v>
      </c>
      <c r="J18" s="32">
        <f t="shared" si="3"/>
        <v>254.16071428571379</v>
      </c>
      <c r="K18" s="32">
        <f t="shared" si="4"/>
        <v>-68.214285714286888</v>
      </c>
      <c r="L18" s="34">
        <f t="shared" si="5"/>
        <v>9.8511904761905811</v>
      </c>
      <c r="M18" s="39"/>
      <c r="O18" s="30">
        <f t="shared" si="0"/>
        <v>0</v>
      </c>
      <c r="P18" s="35">
        <f>NPV(monthly_discount_rate,$B19:B$43)+O18</f>
        <v>2150</v>
      </c>
      <c r="R18" s="32">
        <f t="shared" si="6"/>
        <v>102.38095238095238</v>
      </c>
      <c r="S18" s="32">
        <f t="shared" si="7"/>
        <v>-102.38095238095238</v>
      </c>
      <c r="T18" s="32">
        <f t="shared" si="11"/>
        <v>-79.365079365079353</v>
      </c>
      <c r="U18" s="32">
        <f t="shared" si="8"/>
        <v>0</v>
      </c>
      <c r="V18" s="34">
        <f t="shared" si="12"/>
        <v>12.698412698412682</v>
      </c>
    </row>
    <row r="19" spans="1:22" x14ac:dyDescent="0.25">
      <c r="A19">
        <f t="shared" si="13"/>
        <v>13</v>
      </c>
      <c r="B19" s="8">
        <f t="shared" si="9"/>
        <v>1050</v>
      </c>
      <c r="C19" s="12">
        <f t="shared" si="2"/>
        <v>70</v>
      </c>
      <c r="D19" s="12">
        <f t="shared" ref="D19:D42" si="14">renewal_expense *  (1+ renewal_expense_inflation)^(INT((A19-1)/12))/12</f>
        <v>4.375</v>
      </c>
      <c r="E19" s="12">
        <f t="shared" si="10"/>
        <v>975.625</v>
      </c>
      <c r="G19" s="30">
        <f>NPV(monthly_discount_rate,C20:$C$43)
+NPV(monthly_discount_rate,D20:$D$43)*(1+monthly_discount_rate)
-NPV(monthly_discount_rate,B20:$B$43)*(1+monthly_discount_rate)</f>
        <v>653.24999999999955</v>
      </c>
      <c r="H19" s="30">
        <f>NPV(monthly_discount_rate,C20:$C$43)*(1+monthly_discount_rate)</f>
        <v>1649.9999999999995</v>
      </c>
      <c r="J19" s="32">
        <f t="shared" si="3"/>
        <v>243.81696428571385</v>
      </c>
      <c r="K19" s="32">
        <f t="shared" si="4"/>
        <v>897.06696428571342</v>
      </c>
      <c r="L19" s="34">
        <f t="shared" si="5"/>
        <v>10.343749999999659</v>
      </c>
      <c r="M19" s="39"/>
      <c r="O19" s="30">
        <f t="shared" si="0"/>
        <v>962.5</v>
      </c>
      <c r="P19" s="35">
        <f>NPV(monthly_discount_rate,$B20:B$43)+O19</f>
        <v>2062.5</v>
      </c>
      <c r="R19" s="32">
        <f t="shared" si="6"/>
        <v>98.214285714285708</v>
      </c>
      <c r="S19" s="32">
        <f t="shared" si="7"/>
        <v>864.28571428571433</v>
      </c>
      <c r="T19" s="32">
        <f t="shared" si="11"/>
        <v>966.66666666666674</v>
      </c>
      <c r="U19" s="32">
        <f t="shared" si="8"/>
        <v>0</v>
      </c>
      <c r="V19" s="34">
        <f t="shared" si="12"/>
        <v>8.9583333333332575</v>
      </c>
    </row>
    <row r="20" spans="1:22" x14ac:dyDescent="0.25">
      <c r="A20">
        <f t="shared" si="13"/>
        <v>14</v>
      </c>
      <c r="B20" s="8">
        <f t="shared" si="9"/>
        <v>0</v>
      </c>
      <c r="C20" s="12">
        <f t="shared" si="2"/>
        <v>70</v>
      </c>
      <c r="D20" s="12">
        <f t="shared" si="14"/>
        <v>4.375</v>
      </c>
      <c r="E20" s="12">
        <f t="shared" si="10"/>
        <v>-74.375</v>
      </c>
      <c r="G20" s="30">
        <f>NPV(monthly_discount_rate,C21:$C$43)
+NPV(monthly_discount_rate,D21:$D$43)*(1+monthly_discount_rate)
-NPV(monthly_discount_rate,B21:$B$43)*(1+monthly_discount_rate)</f>
        <v>578.87499999999955</v>
      </c>
      <c r="H20" s="30">
        <f>NPV(monthly_discount_rate,C21:$C$43)*(1+monthly_discount_rate)</f>
        <v>1579.9999999999995</v>
      </c>
      <c r="J20" s="32">
        <f t="shared" si="3"/>
        <v>233.47321428571388</v>
      </c>
      <c r="K20" s="32">
        <f t="shared" si="4"/>
        <v>812.34821428571342</v>
      </c>
      <c r="L20" s="34">
        <f t="shared" si="5"/>
        <v>10.34375</v>
      </c>
      <c r="M20" s="39"/>
      <c r="O20" s="30">
        <f t="shared" si="0"/>
        <v>875</v>
      </c>
      <c r="P20" s="35">
        <f>NPV(monthly_discount_rate,$B21:B$43)+O20</f>
        <v>1975</v>
      </c>
      <c r="R20" s="32">
        <f t="shared" si="6"/>
        <v>94.047619047619037</v>
      </c>
      <c r="S20" s="32">
        <f t="shared" si="7"/>
        <v>780.95238095238096</v>
      </c>
      <c r="T20" s="32">
        <f t="shared" si="11"/>
        <v>-83.333333333333371</v>
      </c>
      <c r="U20" s="32">
        <f t="shared" si="8"/>
        <v>0</v>
      </c>
      <c r="V20" s="34">
        <f t="shared" si="12"/>
        <v>8.9583333333333712</v>
      </c>
    </row>
    <row r="21" spans="1:22" x14ac:dyDescent="0.25">
      <c r="A21">
        <f t="shared" si="13"/>
        <v>15</v>
      </c>
      <c r="B21" s="8">
        <f t="shared" si="9"/>
        <v>0</v>
      </c>
      <c r="C21" s="12">
        <f t="shared" si="2"/>
        <v>70</v>
      </c>
      <c r="D21" s="12">
        <f t="shared" si="14"/>
        <v>4.375</v>
      </c>
      <c r="E21" s="12">
        <f t="shared" si="10"/>
        <v>-74.375</v>
      </c>
      <c r="G21" s="30">
        <f>NPV(monthly_discount_rate,C22:$C$43)
+NPV(monthly_discount_rate,D22:$D$43)*(1+monthly_discount_rate)
-NPV(monthly_discount_rate,B22:$B$43)*(1+monthly_discount_rate)</f>
        <v>504.49999999999977</v>
      </c>
      <c r="H21" s="30">
        <f>NPV(monthly_discount_rate,C22:$C$43)*(1+monthly_discount_rate)</f>
        <v>1509.9999999999998</v>
      </c>
      <c r="J21" s="32">
        <f t="shared" si="3"/>
        <v>223.12946428571391</v>
      </c>
      <c r="K21" s="32">
        <f t="shared" si="4"/>
        <v>727.62946428571365</v>
      </c>
      <c r="L21" s="34">
        <f t="shared" si="5"/>
        <v>10.343749999999773</v>
      </c>
      <c r="M21" s="39"/>
      <c r="O21" s="30">
        <f t="shared" si="0"/>
        <v>787.5</v>
      </c>
      <c r="P21" s="35">
        <f>NPV(monthly_discount_rate,$B22:B$43)+O21</f>
        <v>1887.5</v>
      </c>
      <c r="R21" s="32">
        <f t="shared" si="6"/>
        <v>89.88095238095238</v>
      </c>
      <c r="S21" s="32">
        <f t="shared" si="7"/>
        <v>697.61904761904759</v>
      </c>
      <c r="T21" s="32">
        <f t="shared" si="11"/>
        <v>-83.333333333333371</v>
      </c>
      <c r="U21" s="32">
        <f t="shared" si="8"/>
        <v>0</v>
      </c>
      <c r="V21" s="34">
        <f t="shared" si="12"/>
        <v>8.9583333333333712</v>
      </c>
    </row>
    <row r="22" spans="1:22" x14ac:dyDescent="0.25">
      <c r="A22">
        <f t="shared" si="13"/>
        <v>16</v>
      </c>
      <c r="B22" s="8">
        <f t="shared" si="9"/>
        <v>0</v>
      </c>
      <c r="C22" s="12">
        <f t="shared" si="2"/>
        <v>70</v>
      </c>
      <c r="D22" s="12">
        <f t="shared" si="14"/>
        <v>4.375</v>
      </c>
      <c r="E22" s="12">
        <f t="shared" si="10"/>
        <v>-74.375</v>
      </c>
      <c r="G22" s="30">
        <f>NPV(monthly_discount_rate,C23:$C$43)
+NPV(monthly_discount_rate,D23:$D$43)*(1+monthly_discount_rate)
-NPV(monthly_discount_rate,B23:$B$43)*(1+monthly_discount_rate)</f>
        <v>430.12499999999977</v>
      </c>
      <c r="H22" s="30">
        <f>NPV(monthly_discount_rate,C23:$C$43)*(1+monthly_discount_rate)</f>
        <v>1439.9999999999998</v>
      </c>
      <c r="J22" s="32">
        <f t="shared" si="3"/>
        <v>212.78571428571394</v>
      </c>
      <c r="K22" s="32">
        <f t="shared" si="4"/>
        <v>642.91071428571377</v>
      </c>
      <c r="L22" s="34">
        <f t="shared" si="5"/>
        <v>10.343749999999886</v>
      </c>
      <c r="M22" s="39"/>
      <c r="O22" s="30">
        <f t="shared" si="0"/>
        <v>700</v>
      </c>
      <c r="P22" s="35">
        <f>NPV(monthly_discount_rate,$B23:B$43)+O22</f>
        <v>1800</v>
      </c>
      <c r="R22" s="32">
        <f t="shared" si="6"/>
        <v>85.714285714285708</v>
      </c>
      <c r="S22" s="32">
        <f t="shared" si="7"/>
        <v>614.28571428571433</v>
      </c>
      <c r="T22" s="32">
        <f t="shared" si="11"/>
        <v>-83.333333333333258</v>
      </c>
      <c r="U22" s="32">
        <f t="shared" si="8"/>
        <v>0</v>
      </c>
      <c r="V22" s="34">
        <f t="shared" si="12"/>
        <v>8.9583333333332575</v>
      </c>
    </row>
    <row r="23" spans="1:22" x14ac:dyDescent="0.25">
      <c r="A23">
        <f t="shared" si="13"/>
        <v>17</v>
      </c>
      <c r="B23" s="8">
        <f t="shared" si="9"/>
        <v>0</v>
      </c>
      <c r="C23" s="12">
        <f t="shared" si="2"/>
        <v>70</v>
      </c>
      <c r="D23" s="12">
        <f t="shared" si="14"/>
        <v>4.375</v>
      </c>
      <c r="E23" s="12">
        <f t="shared" si="10"/>
        <v>-74.375</v>
      </c>
      <c r="G23" s="30">
        <f>NPV(monthly_discount_rate,C24:$C$43)
+NPV(monthly_discount_rate,D24:$D$43)*(1+monthly_discount_rate)
-NPV(monthly_discount_rate,B24:$B$43)*(1+monthly_discount_rate)</f>
        <v>355.75</v>
      </c>
      <c r="H23" s="30">
        <f>NPV(monthly_discount_rate,C24:$C$43)*(1+monthly_discount_rate)</f>
        <v>1370</v>
      </c>
      <c r="J23" s="32">
        <f t="shared" si="3"/>
        <v>202.44196428571399</v>
      </c>
      <c r="K23" s="32">
        <f t="shared" si="4"/>
        <v>558.19196428571399</v>
      </c>
      <c r="L23" s="34">
        <f t="shared" si="5"/>
        <v>10.343749999999773</v>
      </c>
      <c r="M23" s="39"/>
      <c r="O23" s="30">
        <f t="shared" si="0"/>
        <v>612.5</v>
      </c>
      <c r="P23" s="35">
        <f>NPV(monthly_discount_rate,$B24:B$43)+O23</f>
        <v>1712.5</v>
      </c>
      <c r="R23" s="32">
        <f t="shared" si="6"/>
        <v>81.547619047619037</v>
      </c>
      <c r="S23" s="32">
        <f t="shared" si="7"/>
        <v>530.95238095238096</v>
      </c>
      <c r="T23" s="32">
        <f t="shared" si="11"/>
        <v>-83.333333333333371</v>
      </c>
      <c r="U23" s="32">
        <f t="shared" si="8"/>
        <v>0</v>
      </c>
      <c r="V23" s="34">
        <f t="shared" si="12"/>
        <v>8.9583333333333712</v>
      </c>
    </row>
    <row r="24" spans="1:22" x14ac:dyDescent="0.25">
      <c r="A24">
        <f t="shared" si="13"/>
        <v>18</v>
      </c>
      <c r="B24" s="8">
        <f t="shared" si="9"/>
        <v>0</v>
      </c>
      <c r="C24" s="12">
        <f t="shared" si="2"/>
        <v>70</v>
      </c>
      <c r="D24" s="12">
        <f t="shared" si="14"/>
        <v>4.375</v>
      </c>
      <c r="E24" s="12">
        <f t="shared" si="10"/>
        <v>-74.375</v>
      </c>
      <c r="G24" s="30">
        <f>NPV(monthly_discount_rate,C25:$C$43)
+NPV(monthly_discount_rate,D25:$D$43)*(1+monthly_discount_rate)
-NPV(monthly_discount_rate,B25:$B$43)*(1+monthly_discount_rate)</f>
        <v>281.375</v>
      </c>
      <c r="H24" s="30">
        <f>NPV(monthly_discount_rate,C25:$C$43)*(1+monthly_discount_rate)</f>
        <v>1300</v>
      </c>
      <c r="J24" s="32">
        <f t="shared" si="3"/>
        <v>192.09821428571399</v>
      </c>
      <c r="K24" s="32">
        <f t="shared" si="4"/>
        <v>473.47321428571399</v>
      </c>
      <c r="L24" s="34">
        <f t="shared" si="5"/>
        <v>10.34375</v>
      </c>
      <c r="M24" s="39"/>
      <c r="O24" s="30">
        <f t="shared" si="0"/>
        <v>525</v>
      </c>
      <c r="P24" s="35">
        <f>NPV(monthly_discount_rate,$B25:B$43)+O24</f>
        <v>1625</v>
      </c>
      <c r="R24" s="32">
        <f t="shared" si="6"/>
        <v>77.38095238095238</v>
      </c>
      <c r="S24" s="32">
        <f t="shared" si="7"/>
        <v>447.61904761904759</v>
      </c>
      <c r="T24" s="32">
        <f t="shared" si="11"/>
        <v>-83.333333333333371</v>
      </c>
      <c r="U24" s="32">
        <f t="shared" si="8"/>
        <v>0</v>
      </c>
      <c r="V24" s="34">
        <f t="shared" si="12"/>
        <v>8.9583333333333712</v>
      </c>
    </row>
    <row r="25" spans="1:22" x14ac:dyDescent="0.25">
      <c r="A25">
        <f t="shared" si="13"/>
        <v>19</v>
      </c>
      <c r="B25" s="8">
        <f t="shared" si="9"/>
        <v>0</v>
      </c>
      <c r="C25" s="12">
        <f t="shared" si="2"/>
        <v>70</v>
      </c>
      <c r="D25" s="12">
        <f t="shared" si="14"/>
        <v>4.375</v>
      </c>
      <c r="E25" s="12">
        <f t="shared" si="10"/>
        <v>-74.375</v>
      </c>
      <c r="G25" s="30">
        <f>NPV(monthly_discount_rate,C26:$C$43)
+NPV(monthly_discount_rate,D26:$D$43)*(1+monthly_discount_rate)
-NPV(monthly_discount_rate,B26:$B$43)*(1+monthly_discount_rate)</f>
        <v>207</v>
      </c>
      <c r="H25" s="30">
        <f>NPV(monthly_discount_rate,C26:$C$43)*(1+monthly_discount_rate)</f>
        <v>1230</v>
      </c>
      <c r="J25" s="32">
        <f t="shared" si="3"/>
        <v>181.75446428571402</v>
      </c>
      <c r="K25" s="32">
        <f t="shared" si="4"/>
        <v>388.75446428571399</v>
      </c>
      <c r="L25" s="34">
        <f t="shared" si="5"/>
        <v>10.34375</v>
      </c>
      <c r="M25" s="39"/>
      <c r="O25" s="30">
        <f t="shared" si="0"/>
        <v>437.5</v>
      </c>
      <c r="P25" s="35">
        <f>NPV(monthly_discount_rate,$B26:B$43)+O25</f>
        <v>1537.5</v>
      </c>
      <c r="R25" s="32">
        <f t="shared" si="6"/>
        <v>73.214285714285708</v>
      </c>
      <c r="S25" s="32">
        <f t="shared" si="7"/>
        <v>364.28571428571428</v>
      </c>
      <c r="T25" s="32">
        <f t="shared" si="11"/>
        <v>-83.333333333333314</v>
      </c>
      <c r="U25" s="32">
        <f t="shared" si="8"/>
        <v>0</v>
      </c>
      <c r="V25" s="34">
        <f t="shared" si="12"/>
        <v>8.9583333333333144</v>
      </c>
    </row>
    <row r="26" spans="1:22" x14ac:dyDescent="0.25">
      <c r="A26">
        <f t="shared" si="13"/>
        <v>20</v>
      </c>
      <c r="B26" s="8">
        <f t="shared" si="9"/>
        <v>0</v>
      </c>
      <c r="C26" s="12">
        <f t="shared" si="2"/>
        <v>70</v>
      </c>
      <c r="D26" s="12">
        <f t="shared" si="14"/>
        <v>4.375</v>
      </c>
      <c r="E26" s="12">
        <f t="shared" si="10"/>
        <v>-74.375</v>
      </c>
      <c r="G26" s="30">
        <f>NPV(monthly_discount_rate,C27:$C$43)
+NPV(monthly_discount_rate,D27:$D$43)*(1+monthly_discount_rate)
-NPV(monthly_discount_rate,B27:$B$43)*(1+monthly_discount_rate)</f>
        <v>132.625</v>
      </c>
      <c r="H26" s="30">
        <f>NPV(monthly_discount_rate,C27:$C$43)*(1+monthly_discount_rate)</f>
        <v>1160</v>
      </c>
      <c r="J26" s="32">
        <f t="shared" si="3"/>
        <v>171.41071428571402</v>
      </c>
      <c r="K26" s="32">
        <f t="shared" si="4"/>
        <v>304.03571428571399</v>
      </c>
      <c r="L26" s="34">
        <f t="shared" si="5"/>
        <v>10.34375</v>
      </c>
      <c r="M26" s="39"/>
      <c r="O26" s="30">
        <f t="shared" si="0"/>
        <v>350</v>
      </c>
      <c r="P26" s="35">
        <f>NPV(monthly_discount_rate,$B27:B$43)+O26</f>
        <v>1450</v>
      </c>
      <c r="R26" s="32">
        <f t="shared" si="6"/>
        <v>69.047619047619037</v>
      </c>
      <c r="S26" s="32">
        <f t="shared" si="7"/>
        <v>280.95238095238096</v>
      </c>
      <c r="T26" s="32">
        <f t="shared" si="11"/>
        <v>-83.333333333333314</v>
      </c>
      <c r="U26" s="32">
        <f t="shared" si="8"/>
        <v>0</v>
      </c>
      <c r="V26" s="34">
        <f t="shared" si="12"/>
        <v>8.9583333333333144</v>
      </c>
    </row>
    <row r="27" spans="1:22" x14ac:dyDescent="0.25">
      <c r="A27">
        <f t="shared" si="13"/>
        <v>21</v>
      </c>
      <c r="B27" s="8">
        <f t="shared" si="9"/>
        <v>0</v>
      </c>
      <c r="C27" s="12">
        <f t="shared" si="2"/>
        <v>70</v>
      </c>
      <c r="D27" s="12">
        <f t="shared" si="14"/>
        <v>4.375</v>
      </c>
      <c r="E27" s="12">
        <f t="shared" si="10"/>
        <v>-74.375</v>
      </c>
      <c r="G27" s="30">
        <f>NPV(monthly_discount_rate,C28:$C$43)
+NPV(monthly_discount_rate,D28:$D$43)*(1+monthly_discount_rate)
-NPV(monthly_discount_rate,B28:$B$43)*(1+monthly_discount_rate)</f>
        <v>58.250000000000227</v>
      </c>
      <c r="H27" s="30">
        <f>NPV(monthly_discount_rate,C28:$C$43)*(1+monthly_discount_rate)</f>
        <v>1090.0000000000002</v>
      </c>
      <c r="J27" s="32">
        <f t="shared" si="3"/>
        <v>161.06696428571408</v>
      </c>
      <c r="K27" s="32">
        <f t="shared" si="4"/>
        <v>219.31696428571431</v>
      </c>
      <c r="L27" s="34">
        <f t="shared" si="5"/>
        <v>10.343749999999687</v>
      </c>
      <c r="M27" s="39"/>
      <c r="O27" s="30">
        <f t="shared" si="0"/>
        <v>262.5</v>
      </c>
      <c r="P27" s="35">
        <f>NPV(monthly_discount_rate,$B28:B$43)+O27</f>
        <v>1362.5</v>
      </c>
      <c r="R27" s="32">
        <f t="shared" si="6"/>
        <v>64.88095238095238</v>
      </c>
      <c r="S27" s="32">
        <f t="shared" si="7"/>
        <v>197.61904761904762</v>
      </c>
      <c r="T27" s="32">
        <f t="shared" si="11"/>
        <v>-83.333333333333343</v>
      </c>
      <c r="U27" s="32">
        <f t="shared" si="8"/>
        <v>0</v>
      </c>
      <c r="V27" s="34">
        <f t="shared" si="12"/>
        <v>8.9583333333333428</v>
      </c>
    </row>
    <row r="28" spans="1:22" x14ac:dyDescent="0.25">
      <c r="A28">
        <f t="shared" si="13"/>
        <v>22</v>
      </c>
      <c r="B28" s="8">
        <f t="shared" si="9"/>
        <v>0</v>
      </c>
      <c r="C28" s="12">
        <f t="shared" si="2"/>
        <v>70</v>
      </c>
      <c r="D28" s="12">
        <f t="shared" si="14"/>
        <v>4.375</v>
      </c>
      <c r="E28" s="12">
        <f t="shared" si="10"/>
        <v>-74.375</v>
      </c>
      <c r="G28" s="30">
        <f>NPV(monthly_discount_rate,C29:$C$43)
+NPV(monthly_discount_rate,D29:$D$43)*(1+monthly_discount_rate)
-NPV(monthly_discount_rate,B29:$B$43)*(1+monthly_discount_rate)</f>
        <v>-16.125</v>
      </c>
      <c r="H28" s="30">
        <f>NPV(monthly_discount_rate,C29:$C$43)*(1+monthly_discount_rate)</f>
        <v>1020.0000000000001</v>
      </c>
      <c r="J28" s="32">
        <f t="shared" si="3"/>
        <v>150.72321428571408</v>
      </c>
      <c r="K28" s="32">
        <f t="shared" si="4"/>
        <v>134.59821428571408</v>
      </c>
      <c r="L28" s="34">
        <f t="shared" si="5"/>
        <v>10.343750000000227</v>
      </c>
      <c r="M28" s="39"/>
      <c r="O28" s="30">
        <f t="shared" si="0"/>
        <v>175</v>
      </c>
      <c r="P28" s="35">
        <f>NPV(monthly_discount_rate,$B29:B$43)+O28</f>
        <v>1275</v>
      </c>
      <c r="R28" s="32">
        <f t="shared" si="6"/>
        <v>60.714285714285708</v>
      </c>
      <c r="S28" s="32">
        <f t="shared" si="7"/>
        <v>114.28571428571429</v>
      </c>
      <c r="T28" s="32">
        <f t="shared" si="11"/>
        <v>-83.333333333333329</v>
      </c>
      <c r="U28" s="32">
        <f t="shared" si="8"/>
        <v>0</v>
      </c>
      <c r="V28" s="34">
        <f t="shared" si="12"/>
        <v>8.9583333333333286</v>
      </c>
    </row>
    <row r="29" spans="1:22" x14ac:dyDescent="0.25">
      <c r="A29">
        <f t="shared" si="13"/>
        <v>23</v>
      </c>
      <c r="B29" s="8">
        <f t="shared" si="9"/>
        <v>0</v>
      </c>
      <c r="C29" s="12">
        <f t="shared" si="2"/>
        <v>70</v>
      </c>
      <c r="D29" s="12">
        <f t="shared" si="14"/>
        <v>4.375</v>
      </c>
      <c r="E29" s="12">
        <f t="shared" si="10"/>
        <v>-74.375</v>
      </c>
      <c r="G29" s="30">
        <f>NPV(monthly_discount_rate,C30:$C$43)
+NPV(monthly_discount_rate,D30:$D$43)*(1+monthly_discount_rate)
-NPV(monthly_discount_rate,B30:$B$43)*(1+monthly_discount_rate)</f>
        <v>-90.499999999999886</v>
      </c>
      <c r="H29" s="30">
        <f>NPV(monthly_discount_rate,C30:$C$43)*(1+monthly_discount_rate)</f>
        <v>950.00000000000011</v>
      </c>
      <c r="J29" s="32">
        <f t="shared" si="3"/>
        <v>140.37946428571411</v>
      </c>
      <c r="K29" s="32">
        <f t="shared" si="4"/>
        <v>49.879464285714221</v>
      </c>
      <c r="L29" s="34">
        <f t="shared" si="5"/>
        <v>10.343749999999858</v>
      </c>
      <c r="M29" s="39"/>
      <c r="O29" s="30">
        <f t="shared" si="0"/>
        <v>87.5</v>
      </c>
      <c r="P29" s="35">
        <f>NPV(monthly_discount_rate,$B30:B$43)+O29</f>
        <v>1187.5</v>
      </c>
      <c r="R29" s="32">
        <f t="shared" si="6"/>
        <v>56.547619047619044</v>
      </c>
      <c r="S29" s="32">
        <f t="shared" si="7"/>
        <v>30.952380952380956</v>
      </c>
      <c r="T29" s="32">
        <f t="shared" si="11"/>
        <v>-83.333333333333343</v>
      </c>
      <c r="U29" s="32">
        <f t="shared" si="8"/>
        <v>0</v>
      </c>
      <c r="V29" s="34">
        <f t="shared" si="12"/>
        <v>8.9583333333333428</v>
      </c>
    </row>
    <row r="30" spans="1:22" x14ac:dyDescent="0.25">
      <c r="A30">
        <f t="shared" si="13"/>
        <v>24</v>
      </c>
      <c r="B30" s="8">
        <f t="shared" si="9"/>
        <v>0</v>
      </c>
      <c r="C30" s="12">
        <f t="shared" si="2"/>
        <v>70</v>
      </c>
      <c r="D30" s="12">
        <f t="shared" si="14"/>
        <v>4.375</v>
      </c>
      <c r="E30" s="12">
        <f t="shared" si="10"/>
        <v>-74.375</v>
      </c>
      <c r="G30" s="30">
        <f>NPV(monthly_discount_rate,C31:$C$43)
+NPV(monthly_discount_rate,D31:$D$43)*(1+monthly_discount_rate)
-NPV(monthly_discount_rate,B31:$B$43)*(1+monthly_discount_rate)</f>
        <v>-164.87499999999989</v>
      </c>
      <c r="H30" s="30">
        <f>NPV(monthly_discount_rate,C31:$C$43)*(1+monthly_discount_rate)</f>
        <v>880.00000000000011</v>
      </c>
      <c r="J30" s="32">
        <f t="shared" si="3"/>
        <v>130.03571428571411</v>
      </c>
      <c r="K30" s="32">
        <f t="shared" si="4"/>
        <v>-34.839285714285779</v>
      </c>
      <c r="L30" s="34">
        <f t="shared" si="5"/>
        <v>10.34375</v>
      </c>
      <c r="M30" s="39"/>
      <c r="O30" s="30">
        <f t="shared" si="0"/>
        <v>0</v>
      </c>
      <c r="P30" s="35">
        <f>NPV(monthly_discount_rate,$B31:B$43)+O30</f>
        <v>1100</v>
      </c>
      <c r="R30" s="32">
        <f t="shared" si="6"/>
        <v>52.38095238095238</v>
      </c>
      <c r="S30" s="32">
        <f t="shared" si="7"/>
        <v>-52.38095238095238</v>
      </c>
      <c r="T30" s="32">
        <f t="shared" si="11"/>
        <v>-83.333333333333343</v>
      </c>
      <c r="U30" s="32">
        <f t="shared" si="8"/>
        <v>0</v>
      </c>
      <c r="V30" s="34">
        <f t="shared" si="12"/>
        <v>8.9583333333333428</v>
      </c>
    </row>
    <row r="31" spans="1:22" x14ac:dyDescent="0.25">
      <c r="A31">
        <f t="shared" si="13"/>
        <v>25</v>
      </c>
      <c r="B31" s="8">
        <f t="shared" si="9"/>
        <v>1100</v>
      </c>
      <c r="C31" s="12">
        <f t="shared" si="2"/>
        <v>73.333333333333329</v>
      </c>
      <c r="D31" s="12">
        <f t="shared" si="14"/>
        <v>4.59375</v>
      </c>
      <c r="E31" s="12">
        <f t="shared" si="10"/>
        <v>1022.0729166666667</v>
      </c>
      <c r="G31" s="30">
        <f>NPV(monthly_discount_rate,C32:$C$43)
+NPV(monthly_discount_rate,D32:$D$43)*(1+monthly_discount_rate)
-NPV(monthly_discount_rate,B32:$B$43)*(1+monthly_discount_rate)</f>
        <v>857.19791666666674</v>
      </c>
      <c r="H31" s="30">
        <f>NPV(monthly_discount_rate,C32:$C$43)*(1+monthly_discount_rate)</f>
        <v>806.66666666666674</v>
      </c>
      <c r="J31" s="32">
        <f t="shared" si="3"/>
        <v>119.1994047619046</v>
      </c>
      <c r="K31" s="32">
        <f t="shared" si="4"/>
        <v>976.39732142857133</v>
      </c>
      <c r="L31" s="34">
        <f t="shared" si="5"/>
        <v>10.836309523809632</v>
      </c>
      <c r="M31" s="39"/>
      <c r="O31" s="30">
        <f t="shared" si="0"/>
        <v>1008.3333333333333</v>
      </c>
      <c r="P31" s="35">
        <f>NPV(monthly_discount_rate,$B32:B$43)+O31</f>
        <v>1008.3333333333333</v>
      </c>
      <c r="R31" s="32">
        <f t="shared" si="6"/>
        <v>48.015873015873012</v>
      </c>
      <c r="S31" s="32">
        <f t="shared" si="7"/>
        <v>960.31746031746025</v>
      </c>
      <c r="T31" s="32">
        <f t="shared" si="11"/>
        <v>1012.6984126984127</v>
      </c>
      <c r="U31" s="32">
        <f t="shared" si="8"/>
        <v>0</v>
      </c>
      <c r="V31" s="34">
        <f t="shared" si="12"/>
        <v>9.3745039682540892</v>
      </c>
    </row>
    <row r="32" spans="1:22" x14ac:dyDescent="0.25">
      <c r="A32">
        <f t="shared" si="13"/>
        <v>26</v>
      </c>
      <c r="B32" s="8">
        <f t="shared" si="9"/>
        <v>0</v>
      </c>
      <c r="C32" s="12">
        <f t="shared" si="2"/>
        <v>73.333333333333329</v>
      </c>
      <c r="D32" s="12">
        <f t="shared" si="14"/>
        <v>4.59375</v>
      </c>
      <c r="E32" s="12">
        <f t="shared" si="10"/>
        <v>-77.927083333333329</v>
      </c>
      <c r="G32" s="30">
        <f>NPV(monthly_discount_rate,C33:$C$43)
+NPV(monthly_discount_rate,D33:$D$43)*(1+monthly_discount_rate)
-NPV(monthly_discount_rate,B33:$B$43)*(1+monthly_discount_rate)</f>
        <v>779.27083333333337</v>
      </c>
      <c r="H32" s="30">
        <f>NPV(monthly_discount_rate,C33:$C$43)*(1+monthly_discount_rate)</f>
        <v>733.33333333333337</v>
      </c>
      <c r="J32" s="32">
        <f t="shared" si="3"/>
        <v>108.36309523809508</v>
      </c>
      <c r="K32" s="32">
        <f t="shared" si="4"/>
        <v>887.63392857142844</v>
      </c>
      <c r="L32" s="34">
        <f t="shared" si="5"/>
        <v>10.836309523809561</v>
      </c>
      <c r="M32" s="39"/>
      <c r="O32" s="30">
        <f t="shared" si="0"/>
        <v>916.66666666666674</v>
      </c>
      <c r="P32" s="35">
        <f>NPV(monthly_discount_rate,$B33:B$43)+O32</f>
        <v>916.66666666666674</v>
      </c>
      <c r="R32" s="32">
        <f t="shared" si="6"/>
        <v>43.650793650793652</v>
      </c>
      <c r="S32" s="32">
        <f t="shared" si="7"/>
        <v>873.01587301587313</v>
      </c>
      <c r="T32" s="32">
        <f t="shared" si="11"/>
        <v>-87.301587301587119</v>
      </c>
      <c r="U32" s="32">
        <f t="shared" si="8"/>
        <v>0</v>
      </c>
      <c r="V32" s="34">
        <f t="shared" si="12"/>
        <v>9.3745039682537907</v>
      </c>
    </row>
    <row r="33" spans="1:22" x14ac:dyDescent="0.25">
      <c r="A33">
        <f t="shared" si="13"/>
        <v>27</v>
      </c>
      <c r="B33" s="8">
        <f t="shared" si="9"/>
        <v>0</v>
      </c>
      <c r="C33" s="12">
        <f t="shared" si="2"/>
        <v>73.333333333333329</v>
      </c>
      <c r="D33" s="12">
        <f t="shared" si="14"/>
        <v>4.59375</v>
      </c>
      <c r="E33" s="12">
        <f t="shared" si="10"/>
        <v>-77.927083333333329</v>
      </c>
      <c r="G33" s="30">
        <f>NPV(monthly_discount_rate,C34:$C$43)
+NPV(monthly_discount_rate,D34:$D$43)*(1+monthly_discount_rate)
-NPV(monthly_discount_rate,B34:$B$43)*(1+monthly_discount_rate)</f>
        <v>701.34375</v>
      </c>
      <c r="H33" s="30">
        <f>NPV(monthly_discount_rate,C34:$C$43)*(1+monthly_discount_rate)</f>
        <v>660</v>
      </c>
      <c r="J33" s="32">
        <f t="shared" si="3"/>
        <v>97.526785714285566</v>
      </c>
      <c r="K33" s="32">
        <f t="shared" si="4"/>
        <v>798.87053571428555</v>
      </c>
      <c r="L33" s="34">
        <f t="shared" si="5"/>
        <v>10.836309523809561</v>
      </c>
      <c r="M33" s="39"/>
      <c r="O33" s="30">
        <f t="shared" si="0"/>
        <v>825</v>
      </c>
      <c r="P33" s="35">
        <f>NPV(monthly_discount_rate,$B34:B$43)+O33</f>
        <v>825</v>
      </c>
      <c r="R33" s="32">
        <f t="shared" si="6"/>
        <v>39.285714285714285</v>
      </c>
      <c r="S33" s="32">
        <f t="shared" si="7"/>
        <v>785.71428571428567</v>
      </c>
      <c r="T33" s="32">
        <f t="shared" si="11"/>
        <v>-87.30158730158746</v>
      </c>
      <c r="U33" s="32">
        <f t="shared" si="8"/>
        <v>0</v>
      </c>
      <c r="V33" s="34">
        <f t="shared" si="12"/>
        <v>9.3745039682541318</v>
      </c>
    </row>
    <row r="34" spans="1:22" x14ac:dyDescent="0.25">
      <c r="A34">
        <f t="shared" si="13"/>
        <v>28</v>
      </c>
      <c r="B34" s="8">
        <f t="shared" si="9"/>
        <v>0</v>
      </c>
      <c r="C34" s="12">
        <f t="shared" si="2"/>
        <v>73.333333333333329</v>
      </c>
      <c r="D34" s="12">
        <f t="shared" si="14"/>
        <v>4.59375</v>
      </c>
      <c r="E34" s="12">
        <f t="shared" si="10"/>
        <v>-77.927083333333329</v>
      </c>
      <c r="G34" s="30">
        <f>NPV(monthly_discount_rate,C35:$C$43)
+NPV(monthly_discount_rate,D35:$D$43)*(1+monthly_discount_rate)
-NPV(monthly_discount_rate,B35:$B$43)*(1+monthly_discount_rate)</f>
        <v>623.41666666666663</v>
      </c>
      <c r="H34" s="30">
        <f>NPV(monthly_discount_rate,C35:$C$43)*(1+monthly_discount_rate)</f>
        <v>586.66666666666663</v>
      </c>
      <c r="J34" s="32">
        <f t="shared" si="3"/>
        <v>86.690476190476062</v>
      </c>
      <c r="K34" s="32">
        <f t="shared" si="4"/>
        <v>710.10714285714266</v>
      </c>
      <c r="L34" s="34">
        <f t="shared" si="5"/>
        <v>10.836309523809561</v>
      </c>
      <c r="M34" s="39"/>
      <c r="O34" s="30">
        <f t="shared" si="0"/>
        <v>733.33333333333326</v>
      </c>
      <c r="P34" s="35">
        <f>NPV(monthly_discount_rate,$B35:B$43)+O34</f>
        <v>733.33333333333326</v>
      </c>
      <c r="R34" s="32">
        <f t="shared" si="6"/>
        <v>34.920634920634917</v>
      </c>
      <c r="S34" s="32">
        <f t="shared" si="7"/>
        <v>698.41269841269832</v>
      </c>
      <c r="T34" s="32">
        <f t="shared" si="11"/>
        <v>-87.301587301587347</v>
      </c>
      <c r="U34" s="32">
        <f t="shared" si="8"/>
        <v>0</v>
      </c>
      <c r="V34" s="34">
        <f t="shared" si="12"/>
        <v>9.3745039682540181</v>
      </c>
    </row>
    <row r="35" spans="1:22" x14ac:dyDescent="0.25">
      <c r="A35">
        <f t="shared" si="13"/>
        <v>29</v>
      </c>
      <c r="B35" s="8">
        <f t="shared" si="9"/>
        <v>0</v>
      </c>
      <c r="C35" s="12">
        <f t="shared" si="2"/>
        <v>73.333333333333329</v>
      </c>
      <c r="D35" s="12">
        <f t="shared" si="14"/>
        <v>4.59375</v>
      </c>
      <c r="E35" s="12">
        <f t="shared" si="10"/>
        <v>-77.927083333333329</v>
      </c>
      <c r="G35" s="30">
        <f>NPV(monthly_discount_rate,C36:$C$43)
+NPV(monthly_discount_rate,D36:$D$43)*(1+monthly_discount_rate)
-NPV(monthly_discount_rate,B36:$B$43)*(1+monthly_discount_rate)</f>
        <v>545.48958333333326</v>
      </c>
      <c r="H35" s="30">
        <f>NPV(monthly_discount_rate,C36:$C$43)*(1+monthly_discount_rate)</f>
        <v>513.33333333333326</v>
      </c>
      <c r="J35" s="32">
        <f t="shared" si="3"/>
        <v>75.854166666666544</v>
      </c>
      <c r="K35" s="32">
        <f t="shared" si="4"/>
        <v>621.34374999999977</v>
      </c>
      <c r="L35" s="34">
        <f t="shared" si="5"/>
        <v>10.836309523809561</v>
      </c>
      <c r="M35" s="39"/>
      <c r="O35" s="30">
        <f t="shared" si="0"/>
        <v>641.66666666666674</v>
      </c>
      <c r="P35" s="35">
        <f>NPV(monthly_discount_rate,$B36:B$43)+O35</f>
        <v>641.66666666666674</v>
      </c>
      <c r="R35" s="32">
        <f t="shared" si="6"/>
        <v>30.555555555555557</v>
      </c>
      <c r="S35" s="32">
        <f t="shared" si="7"/>
        <v>611.1111111111112</v>
      </c>
      <c r="T35" s="32">
        <f t="shared" si="11"/>
        <v>-87.301587301587119</v>
      </c>
      <c r="U35" s="32">
        <f t="shared" si="8"/>
        <v>0</v>
      </c>
      <c r="V35" s="34">
        <f t="shared" si="12"/>
        <v>9.3745039682537907</v>
      </c>
    </row>
    <row r="36" spans="1:22" x14ac:dyDescent="0.25">
      <c r="A36">
        <f t="shared" si="13"/>
        <v>30</v>
      </c>
      <c r="B36" s="8">
        <f t="shared" si="9"/>
        <v>0</v>
      </c>
      <c r="C36" s="12">
        <f t="shared" si="2"/>
        <v>73.333333333333329</v>
      </c>
      <c r="D36" s="12">
        <f t="shared" si="14"/>
        <v>4.59375</v>
      </c>
      <c r="E36" s="12">
        <f t="shared" si="10"/>
        <v>-77.927083333333329</v>
      </c>
      <c r="G36" s="30">
        <f>NPV(monthly_discount_rate,C37:$C$43)
+NPV(monthly_discount_rate,D37:$D$43)*(1+monthly_discount_rate)
-NPV(monthly_discount_rate,B37:$B$43)*(1+monthly_discount_rate)</f>
        <v>467.56249999999994</v>
      </c>
      <c r="H36" s="30">
        <f>NPV(monthly_discount_rate,C37:$C$43)*(1+monthly_discount_rate)</f>
        <v>439.99999999999994</v>
      </c>
      <c r="J36" s="32">
        <f t="shared" si="3"/>
        <v>65.017857142857039</v>
      </c>
      <c r="K36" s="32">
        <f t="shared" si="4"/>
        <v>532.580357142857</v>
      </c>
      <c r="L36" s="34">
        <f t="shared" si="5"/>
        <v>10.836309523809447</v>
      </c>
      <c r="M36" s="39"/>
      <c r="O36" s="30">
        <f t="shared" si="0"/>
        <v>550</v>
      </c>
      <c r="P36" s="35">
        <f>NPV(monthly_discount_rate,$B37:B$43)+O36</f>
        <v>550</v>
      </c>
      <c r="R36" s="32">
        <f t="shared" si="6"/>
        <v>26.19047619047619</v>
      </c>
      <c r="S36" s="32">
        <f t="shared" si="7"/>
        <v>523.80952380952385</v>
      </c>
      <c r="T36" s="32">
        <f t="shared" si="11"/>
        <v>-87.301587301587347</v>
      </c>
      <c r="U36" s="32">
        <f t="shared" si="8"/>
        <v>0</v>
      </c>
      <c r="V36" s="34">
        <f t="shared" si="12"/>
        <v>9.3745039682540181</v>
      </c>
    </row>
    <row r="37" spans="1:22" x14ac:dyDescent="0.25">
      <c r="A37">
        <f t="shared" si="13"/>
        <v>31</v>
      </c>
      <c r="B37" s="8">
        <f t="shared" si="9"/>
        <v>0</v>
      </c>
      <c r="C37" s="12">
        <f t="shared" si="2"/>
        <v>73.333333333333329</v>
      </c>
      <c r="D37" s="12">
        <f t="shared" si="14"/>
        <v>4.59375</v>
      </c>
      <c r="E37" s="12">
        <f t="shared" si="10"/>
        <v>-77.927083333333329</v>
      </c>
      <c r="G37" s="30">
        <f>NPV(monthly_discount_rate,C38:$C$43)
+NPV(monthly_discount_rate,D38:$D$43)*(1+monthly_discount_rate)
-NPV(monthly_discount_rate,B38:$B$43)*(1+monthly_discount_rate)</f>
        <v>389.63541666666663</v>
      </c>
      <c r="H37" s="30">
        <f>NPV(monthly_discount_rate,C38:$C$43)*(1+monthly_discount_rate)</f>
        <v>366.66666666666663</v>
      </c>
      <c r="J37" s="32">
        <f t="shared" si="3"/>
        <v>54.181547619047535</v>
      </c>
      <c r="K37" s="32">
        <f t="shared" si="4"/>
        <v>443.81696428571416</v>
      </c>
      <c r="L37" s="34">
        <f t="shared" si="5"/>
        <v>10.836309523809504</v>
      </c>
      <c r="M37" s="39"/>
      <c r="O37" s="30">
        <f t="shared" si="0"/>
        <v>458.33333333333337</v>
      </c>
      <c r="P37" s="35">
        <f>NPV(monthly_discount_rate,$B38:B$43)+O37</f>
        <v>458.33333333333337</v>
      </c>
      <c r="R37" s="32">
        <f t="shared" si="6"/>
        <v>21.825396825396826</v>
      </c>
      <c r="S37" s="32">
        <f t="shared" si="7"/>
        <v>436.50793650793656</v>
      </c>
      <c r="T37" s="32">
        <f t="shared" si="11"/>
        <v>-87.30158730158729</v>
      </c>
      <c r="U37" s="32">
        <f t="shared" si="8"/>
        <v>0</v>
      </c>
      <c r="V37" s="34">
        <f t="shared" si="12"/>
        <v>9.3745039682539613</v>
      </c>
    </row>
    <row r="38" spans="1:22" x14ac:dyDescent="0.25">
      <c r="A38">
        <f t="shared" si="13"/>
        <v>32</v>
      </c>
      <c r="B38" s="8">
        <f t="shared" si="9"/>
        <v>0</v>
      </c>
      <c r="C38" s="12">
        <f t="shared" si="2"/>
        <v>73.333333333333329</v>
      </c>
      <c r="D38" s="12">
        <f t="shared" si="14"/>
        <v>4.59375</v>
      </c>
      <c r="E38" s="12">
        <f t="shared" si="10"/>
        <v>-77.927083333333329</v>
      </c>
      <c r="G38" s="30">
        <f>NPV(monthly_discount_rate,C39:$C$43)
+NPV(monthly_discount_rate,D39:$D$43)*(1+monthly_discount_rate)
-NPV(monthly_discount_rate,B39:$B$43)*(1+monthly_discount_rate)</f>
        <v>311.70833333333331</v>
      </c>
      <c r="H38" s="30">
        <f>NPV(monthly_discount_rate,C39:$C$43)*(1+monthly_discount_rate)</f>
        <v>293.33333333333331</v>
      </c>
      <c r="J38" s="32">
        <f t="shared" si="3"/>
        <v>43.345238095238031</v>
      </c>
      <c r="K38" s="32">
        <f t="shared" si="4"/>
        <v>355.05357142857133</v>
      </c>
      <c r="L38" s="34">
        <f t="shared" si="5"/>
        <v>10.836309523809504</v>
      </c>
      <c r="M38" s="39"/>
      <c r="O38" s="30">
        <f t="shared" si="0"/>
        <v>366.66666666666663</v>
      </c>
      <c r="P38" s="35">
        <f>NPV(monthly_discount_rate,$B39:B$43)+O38</f>
        <v>366.66666666666663</v>
      </c>
      <c r="R38" s="32">
        <f t="shared" si="6"/>
        <v>17.460317460317459</v>
      </c>
      <c r="S38" s="32">
        <f t="shared" si="7"/>
        <v>349.20634920634916</v>
      </c>
      <c r="T38" s="32">
        <f t="shared" si="11"/>
        <v>-87.301587301587404</v>
      </c>
      <c r="U38" s="32">
        <f t="shared" si="8"/>
        <v>0</v>
      </c>
      <c r="V38" s="34">
        <f t="shared" si="12"/>
        <v>9.3745039682540749</v>
      </c>
    </row>
    <row r="39" spans="1:22" x14ac:dyDescent="0.25">
      <c r="A39">
        <f t="shared" si="13"/>
        <v>33</v>
      </c>
      <c r="B39" s="8">
        <f t="shared" si="9"/>
        <v>0</v>
      </c>
      <c r="C39" s="12">
        <f t="shared" si="2"/>
        <v>73.333333333333329</v>
      </c>
      <c r="D39" s="12">
        <f t="shared" si="14"/>
        <v>4.59375</v>
      </c>
      <c r="E39" s="12">
        <f t="shared" si="10"/>
        <v>-77.927083333333329</v>
      </c>
      <c r="G39" s="30">
        <f>NPV(monthly_discount_rate,C40:$C$43)
+NPV(monthly_discount_rate,D40:$D$43)*(1+monthly_discount_rate)
-NPV(monthly_discount_rate,B40:$B$43)*(1+monthly_discount_rate)</f>
        <v>233.78125</v>
      </c>
      <c r="H39" s="30">
        <f>NPV(monthly_discount_rate,C40:$C$43)*(1+monthly_discount_rate)</f>
        <v>220</v>
      </c>
      <c r="J39" s="32">
        <f t="shared" si="3"/>
        <v>32.50892857142852</v>
      </c>
      <c r="K39" s="32">
        <f t="shared" si="4"/>
        <v>266.2901785714285</v>
      </c>
      <c r="L39" s="34">
        <f t="shared" si="5"/>
        <v>10.836309523809504</v>
      </c>
      <c r="M39" s="39"/>
      <c r="O39" s="30">
        <f t="shared" si="0"/>
        <v>275</v>
      </c>
      <c r="P39" s="35">
        <f>NPV(monthly_discount_rate,$B40:B$43)+O39</f>
        <v>275</v>
      </c>
      <c r="R39" s="32">
        <f t="shared" si="6"/>
        <v>13.095238095238095</v>
      </c>
      <c r="S39" s="32">
        <f t="shared" si="7"/>
        <v>261.90476190476193</v>
      </c>
      <c r="T39" s="32">
        <f t="shared" si="11"/>
        <v>-87.301587301587233</v>
      </c>
      <c r="U39" s="32">
        <f t="shared" si="8"/>
        <v>0</v>
      </c>
      <c r="V39" s="34">
        <f t="shared" si="12"/>
        <v>9.3745039682539044</v>
      </c>
    </row>
    <row r="40" spans="1:22" x14ac:dyDescent="0.25">
      <c r="A40">
        <f t="shared" si="13"/>
        <v>34</v>
      </c>
      <c r="B40" s="8">
        <f t="shared" si="9"/>
        <v>0</v>
      </c>
      <c r="C40" s="12">
        <f t="shared" si="2"/>
        <v>73.333333333333329</v>
      </c>
      <c r="D40" s="12">
        <f t="shared" si="14"/>
        <v>4.59375</v>
      </c>
      <c r="E40" s="12">
        <f t="shared" si="10"/>
        <v>-77.927083333333329</v>
      </c>
      <c r="G40" s="30">
        <f>NPV(monthly_discount_rate,C41:$C$43)
+NPV(monthly_discount_rate,D41:$D$43)*(1+monthly_discount_rate)
-NPV(monthly_discount_rate,B41:$B$43)*(1+monthly_discount_rate)</f>
        <v>155.85416666666666</v>
      </c>
      <c r="H40" s="30">
        <f>NPV(monthly_discount_rate,C41:$C$43)*(1+monthly_discount_rate)</f>
        <v>146.66666666666666</v>
      </c>
      <c r="J40" s="32">
        <f t="shared" si="3"/>
        <v>21.672619047619015</v>
      </c>
      <c r="K40" s="32">
        <f t="shared" si="4"/>
        <v>177.52678571428567</v>
      </c>
      <c r="L40" s="34">
        <f t="shared" si="5"/>
        <v>10.836309523809504</v>
      </c>
      <c r="M40" s="39"/>
      <c r="O40" s="30">
        <f t="shared" si="0"/>
        <v>183.33333333333331</v>
      </c>
      <c r="P40" s="35">
        <f>NPV(monthly_discount_rate,$B41:B$43)+O40</f>
        <v>183.33333333333331</v>
      </c>
      <c r="R40" s="32">
        <f t="shared" si="6"/>
        <v>8.7301587301587293</v>
      </c>
      <c r="S40" s="32">
        <f t="shared" si="7"/>
        <v>174.60317460317458</v>
      </c>
      <c r="T40" s="32">
        <f t="shared" si="11"/>
        <v>-87.301587301587347</v>
      </c>
      <c r="U40" s="32">
        <f t="shared" si="8"/>
        <v>0</v>
      </c>
      <c r="V40" s="34">
        <f t="shared" si="12"/>
        <v>9.3745039682540181</v>
      </c>
    </row>
    <row r="41" spans="1:22" x14ac:dyDescent="0.25">
      <c r="A41">
        <f t="shared" si="13"/>
        <v>35</v>
      </c>
      <c r="B41" s="8">
        <f t="shared" si="9"/>
        <v>0</v>
      </c>
      <c r="C41" s="12">
        <f t="shared" si="2"/>
        <v>73.333333333333329</v>
      </c>
      <c r="D41" s="12">
        <f t="shared" si="14"/>
        <v>4.59375</v>
      </c>
      <c r="E41" s="12">
        <f t="shared" si="10"/>
        <v>-77.927083333333329</v>
      </c>
      <c r="G41" s="30">
        <f>NPV(monthly_discount_rate,C42:$C$43)
+NPV(monthly_discount_rate,D42:$D$43)*(1+monthly_discount_rate)
-NPV(monthly_discount_rate,B42:$B$43)*(1+monthly_discount_rate)</f>
        <v>77.927083333333329</v>
      </c>
      <c r="H41" s="30">
        <f>NPV(monthly_discount_rate,C42:$C$43)*(1+monthly_discount_rate)</f>
        <v>73.333333333333329</v>
      </c>
      <c r="J41" s="32">
        <f t="shared" si="3"/>
        <v>10.836309523809508</v>
      </c>
      <c r="K41" s="32">
        <f t="shared" si="4"/>
        <v>88.763392857142833</v>
      </c>
      <c r="L41" s="34">
        <f t="shared" si="5"/>
        <v>10.836309523809504</v>
      </c>
      <c r="M41" s="39"/>
      <c r="O41" s="30">
        <f t="shared" si="0"/>
        <v>91.666666666666657</v>
      </c>
      <c r="P41" s="35">
        <f>NPV(monthly_discount_rate,$B42:B$43)+O41</f>
        <v>91.666666666666657</v>
      </c>
      <c r="R41" s="32">
        <f t="shared" si="6"/>
        <v>4.3650793650793647</v>
      </c>
      <c r="S41" s="32">
        <f t="shared" si="7"/>
        <v>87.30158730158729</v>
      </c>
      <c r="T41" s="32">
        <f t="shared" si="11"/>
        <v>-87.30158730158729</v>
      </c>
      <c r="U41" s="32">
        <f t="shared" si="8"/>
        <v>0</v>
      </c>
      <c r="V41" s="34">
        <f t="shared" si="12"/>
        <v>9.3745039682539613</v>
      </c>
    </row>
    <row r="42" spans="1:22" x14ac:dyDescent="0.25">
      <c r="A42">
        <f t="shared" si="13"/>
        <v>36</v>
      </c>
      <c r="B42" s="8">
        <f t="shared" si="9"/>
        <v>0</v>
      </c>
      <c r="C42" s="12">
        <f t="shared" si="2"/>
        <v>73.333333333333329</v>
      </c>
      <c r="D42" s="12">
        <f t="shared" si="14"/>
        <v>4.59375</v>
      </c>
      <c r="E42" s="12">
        <f t="shared" si="10"/>
        <v>-77.927083333333329</v>
      </c>
      <c r="G42" s="30">
        <f>NPV(monthly_discount_rate,C43:$C$43)
+NPV(monthly_discount_rate,D43:$D$43)*(1+monthly_discount_rate)
-NPV(monthly_discount_rate,B43:$B$43)*(1+monthly_discount_rate)</f>
        <v>0</v>
      </c>
      <c r="H42" s="30">
        <f>NPV(monthly_discount_rate,C43:$C$43)*(1+monthly_discount_rate)</f>
        <v>0</v>
      </c>
      <c r="J42" s="32">
        <f t="shared" si="3"/>
        <v>0</v>
      </c>
      <c r="K42" s="32">
        <f t="shared" si="4"/>
        <v>0</v>
      </c>
      <c r="L42" s="34">
        <f t="shared" si="5"/>
        <v>10.836309523809504</v>
      </c>
      <c r="M42" s="39"/>
      <c r="O42" s="30">
        <f t="shared" si="0"/>
        <v>0</v>
      </c>
      <c r="P42" s="35">
        <f>NPV(monthly_discount_rate,$B43:B$43)+O42</f>
        <v>0</v>
      </c>
      <c r="R42" s="32">
        <f t="shared" si="6"/>
        <v>0</v>
      </c>
      <c r="S42" s="32">
        <f t="shared" si="7"/>
        <v>0</v>
      </c>
      <c r="T42" s="32">
        <f t="shared" si="11"/>
        <v>-87.30158730158729</v>
      </c>
      <c r="U42" s="32">
        <f t="shared" si="8"/>
        <v>0</v>
      </c>
      <c r="V42" s="34">
        <f t="shared" si="12"/>
        <v>9.3745039682539613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P7" sqref="P7"/>
    </sheetView>
  </sheetViews>
  <sheetFormatPr defaultRowHeight="15" x14ac:dyDescent="0.25"/>
  <cols>
    <col min="3" max="3" width="9.85546875" bestFit="1" customWidth="1"/>
  </cols>
  <sheetData>
    <row r="1" spans="1:18" x14ac:dyDescent="0.25">
      <c r="A1" s="3" t="s">
        <v>32</v>
      </c>
    </row>
    <row r="4" spans="1:18" x14ac:dyDescent="0.25">
      <c r="A4" s="3" t="s">
        <v>38</v>
      </c>
      <c r="J4" s="3" t="s">
        <v>37</v>
      </c>
    </row>
    <row r="5" spans="1:18" ht="38.25" x14ac:dyDescent="0.25">
      <c r="A5" s="1" t="s">
        <v>26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5</v>
      </c>
      <c r="G5" s="1" t="s">
        <v>6</v>
      </c>
      <c r="J5" s="1" t="s">
        <v>26</v>
      </c>
      <c r="K5" s="1" t="s">
        <v>39</v>
      </c>
      <c r="L5" s="1" t="s">
        <v>40</v>
      </c>
      <c r="M5" s="1" t="s">
        <v>41</v>
      </c>
      <c r="N5" s="1" t="s">
        <v>9</v>
      </c>
      <c r="O5" s="1" t="s">
        <v>5</v>
      </c>
      <c r="P5" s="1" t="s">
        <v>6</v>
      </c>
    </row>
    <row r="6" spans="1:18" x14ac:dyDescent="0.25">
      <c r="A6">
        <v>0</v>
      </c>
      <c r="B6" s="8">
        <f>(B7+'Cash flows'!C7)/(1+monthly_discount_rate) + 'Cash flows'!D7-'Cash flows'!B7</f>
        <v>-372.37499999999977</v>
      </c>
      <c r="C6" s="8">
        <f>NPV(monthly_discount_rate,'Cash flows'!C7:$C$43)</f>
        <v>2520.0000000000005</v>
      </c>
      <c r="D6" s="7">
        <f>-B6/C6</f>
        <v>0.14776785714285703</v>
      </c>
      <c r="E6" s="10">
        <f t="shared" ref="E6:E42" si="0">Profit_margin*C6</f>
        <v>372.37499999999977</v>
      </c>
      <c r="F6" s="10">
        <f>E6+B6</f>
        <v>0</v>
      </c>
      <c r="G6" s="11"/>
      <c r="H6" s="11"/>
      <c r="J6">
        <v>0</v>
      </c>
      <c r="K6" s="8">
        <f t="shared" ref="K6:K42" si="1">(initial_premium+premium_inflation*INT((A6-1)/12))* IF(MOD(J6,12) = 0,0,(12-MOD(J6,12))/12)</f>
        <v>0</v>
      </c>
      <c r="L6" s="8">
        <f>NPV(monthly_discount_rate,'Cash flows'!$B7:B$43)</f>
        <v>3150</v>
      </c>
      <c r="M6" s="7">
        <f>initial_expense/L6</f>
        <v>4.7619047619047616E-2</v>
      </c>
      <c r="N6" s="10">
        <f>initial_expense</f>
        <v>150</v>
      </c>
      <c r="O6" s="10">
        <f>-N6</f>
        <v>-150</v>
      </c>
      <c r="P6" s="9">
        <f>-O6</f>
        <v>150</v>
      </c>
      <c r="R6">
        <v>0</v>
      </c>
    </row>
    <row r="7" spans="1:18" x14ac:dyDescent="0.25">
      <c r="A7">
        <v>1</v>
      </c>
      <c r="B7" s="8">
        <f>(B8+'Cash flows'!C8)/(1+monthly_discount_rate) + 'Cash flows'!D8-'Cash flows'!B8</f>
        <v>410.9583333333336</v>
      </c>
      <c r="C7" s="8">
        <f>NPV(monthly_discount_rate,'Cash flows'!C8:$C$43)</f>
        <v>2453.3333333333335</v>
      </c>
      <c r="E7" s="10">
        <f t="shared" si="0"/>
        <v>362.52380952380929</v>
      </c>
      <c r="F7" s="10">
        <f t="shared" ref="F7:F42" si="2">E7+B7</f>
        <v>773.48214285714289</v>
      </c>
      <c r="G7" s="9">
        <f>(F6+'Cash flows'!B7-'Cash flows'!D7)*(monthly_discount_rate)+'Cash flows'!B7-'Cash flows'!D7-'Cash flows'!C7-'Liability calculations'!F7+F6</f>
        <v>9.8511904761904816</v>
      </c>
      <c r="H7" s="9"/>
      <c r="J7">
        <v>1</v>
      </c>
      <c r="K7" s="8">
        <f t="shared" si="1"/>
        <v>916.66666666666663</v>
      </c>
      <c r="L7" s="12">
        <f>NPV(monthly_discount_rate,'Cash flows'!$B8:B$43)+K7</f>
        <v>3066.6666666666665</v>
      </c>
      <c r="N7" s="10">
        <f t="shared" ref="N7:N42" si="3">acquisition_recovery*L7</f>
        <v>146.03174603174602</v>
      </c>
      <c r="O7" s="10">
        <f>K7-N7</f>
        <v>770.6349206349206</v>
      </c>
      <c r="P7" s="9">
        <f>(O6+'Cash flows'!B7-'Cash flows'!D7)*(monthly_discount_rate)+'Cash flows'!B7-'Cash flows'!D7-'Cash flows'!C7-'Liability calculations'!O7+O6</f>
        <v>-137.30158730158723</v>
      </c>
      <c r="R7">
        <v>916.66666666666663</v>
      </c>
    </row>
    <row r="8" spans="1:18" x14ac:dyDescent="0.25">
      <c r="A8">
        <f>1+A7</f>
        <v>2</v>
      </c>
      <c r="B8" s="8">
        <f>(B9+'Cash flows'!C9)/(1+monthly_discount_rate) + 'Cash flows'!D9-'Cash flows'!B9</f>
        <v>344.29166666666691</v>
      </c>
      <c r="C8" s="8">
        <f>NPV(monthly_discount_rate,'Cash flows'!C9:$C$43)</f>
        <v>2386.6666666666665</v>
      </c>
      <c r="E8" s="10">
        <f t="shared" si="0"/>
        <v>352.67261904761875</v>
      </c>
      <c r="F8" s="10">
        <f t="shared" si="2"/>
        <v>696.96428571428567</v>
      </c>
      <c r="G8" s="9">
        <f>(F7+'Cash flows'!B8-'Cash flows'!D8)*(monthly_discount_rate)+'Cash flows'!B8-'Cash flows'!D8-'Cash flows'!C8-'Liability calculations'!F8+F7</f>
        <v>9.8511904761905953</v>
      </c>
      <c r="H8" s="9"/>
      <c r="J8">
        <f>1+J7</f>
        <v>2</v>
      </c>
      <c r="K8" s="8">
        <f t="shared" si="1"/>
        <v>833.33333333333337</v>
      </c>
      <c r="L8" s="12">
        <f>NPV(monthly_discount_rate,'Cash flows'!$B9:B$43)+K8</f>
        <v>2983.3333333333335</v>
      </c>
      <c r="N8" s="10">
        <f t="shared" si="3"/>
        <v>142.06349206349205</v>
      </c>
      <c r="O8" s="10">
        <f t="shared" ref="O8:O42" si="4">K8-N8</f>
        <v>691.26984126984132</v>
      </c>
      <c r="P8" s="9">
        <f>(O7+'Cash flows'!B8-'Cash flows'!D8)*(monthly_discount_rate)+'Cash flows'!B8-'Cash flows'!D8-'Cash flows'!C8-'Liability calculations'!O8+O7</f>
        <v>12.698412698412653</v>
      </c>
      <c r="R8">
        <v>833.33333333333337</v>
      </c>
    </row>
    <row r="9" spans="1:18" x14ac:dyDescent="0.25">
      <c r="A9">
        <f t="shared" ref="A9:A42" si="5">1+A8</f>
        <v>3</v>
      </c>
      <c r="B9" s="8">
        <f>(B10+'Cash flows'!C10)/(1+monthly_discount_rate) + 'Cash flows'!D10-'Cash flows'!B10</f>
        <v>277.62500000000023</v>
      </c>
      <c r="C9" s="8">
        <f>NPV(monthly_discount_rate,'Cash flows'!C10:$C$43)</f>
        <v>2320</v>
      </c>
      <c r="E9" s="10">
        <f t="shared" si="0"/>
        <v>342.82142857142833</v>
      </c>
      <c r="F9" s="10">
        <f t="shared" si="2"/>
        <v>620.44642857142856</v>
      </c>
      <c r="G9" s="9">
        <f>(F8+'Cash flows'!B9-'Cash flows'!D9)*(monthly_discount_rate)+'Cash flows'!B9-'Cash flows'!D9-'Cash flows'!C9-'Liability calculations'!F9+F8</f>
        <v>9.8511904761904816</v>
      </c>
      <c r="H9" s="9"/>
      <c r="J9">
        <f t="shared" ref="J9:J42" si="6">1+J8</f>
        <v>3</v>
      </c>
      <c r="K9" s="8">
        <f t="shared" si="1"/>
        <v>750</v>
      </c>
      <c r="L9" s="12">
        <f>NPV(monthly_discount_rate,'Cash flows'!$B10:B$43)+K9</f>
        <v>2900</v>
      </c>
      <c r="N9" s="10">
        <f t="shared" si="3"/>
        <v>138.09523809523807</v>
      </c>
      <c r="O9" s="10">
        <f t="shared" si="4"/>
        <v>611.90476190476193</v>
      </c>
      <c r="P9" s="9">
        <f>(O8+'Cash flows'!B9-'Cash flows'!D9)*(monthly_discount_rate)+'Cash flows'!B9-'Cash flows'!D9-'Cash flows'!C9-'Liability calculations'!O9+O8</f>
        <v>12.698412698412767</v>
      </c>
      <c r="R9">
        <v>750</v>
      </c>
    </row>
    <row r="10" spans="1:18" x14ac:dyDescent="0.25">
      <c r="A10">
        <f t="shared" si="5"/>
        <v>4</v>
      </c>
      <c r="B10" s="8">
        <f>(B11+'Cash flows'!C11)/(1+monthly_discount_rate) + 'Cash flows'!D11-'Cash flows'!B11</f>
        <v>210.95833333333354</v>
      </c>
      <c r="C10" s="8">
        <f>NPV(monthly_discount_rate,'Cash flows'!C11:$C$43)</f>
        <v>2253.333333333333</v>
      </c>
      <c r="E10" s="10">
        <f t="shared" si="0"/>
        <v>332.97023809523779</v>
      </c>
      <c r="F10" s="10">
        <f t="shared" si="2"/>
        <v>543.92857142857133</v>
      </c>
      <c r="G10" s="9">
        <f>(F9+'Cash flows'!B10-'Cash flows'!D10)*(monthly_discount_rate)+'Cash flows'!B10-'Cash flows'!D10-'Cash flows'!C10-'Liability calculations'!F10+F9</f>
        <v>9.8511904761905953</v>
      </c>
      <c r="H10" s="9"/>
      <c r="J10">
        <f t="shared" si="6"/>
        <v>4</v>
      </c>
      <c r="K10" s="8">
        <f t="shared" si="1"/>
        <v>666.66666666666663</v>
      </c>
      <c r="L10" s="12">
        <f>NPV(monthly_discount_rate,'Cash flows'!$B11:B$43)+K10</f>
        <v>2816.6666666666665</v>
      </c>
      <c r="N10" s="10">
        <f t="shared" si="3"/>
        <v>134.1269841269841</v>
      </c>
      <c r="O10" s="10">
        <f t="shared" si="4"/>
        <v>532.53968253968253</v>
      </c>
      <c r="P10" s="9">
        <f>(O9+'Cash flows'!B10-'Cash flows'!D10)*(monthly_discount_rate)+'Cash flows'!B10-'Cash flows'!D10-'Cash flows'!C10-'Liability calculations'!O10+O9</f>
        <v>12.698412698412767</v>
      </c>
      <c r="R10">
        <v>666.66666666666663</v>
      </c>
    </row>
    <row r="11" spans="1:18" x14ac:dyDescent="0.25">
      <c r="A11">
        <f t="shared" si="5"/>
        <v>5</v>
      </c>
      <c r="B11" s="8">
        <f>(B12+'Cash flows'!C12)/(1+monthly_discount_rate) + 'Cash flows'!D12-'Cash flows'!B12</f>
        <v>144.29166666666686</v>
      </c>
      <c r="C11" s="8">
        <f>NPV(monthly_discount_rate,'Cash flows'!C12:$C$43)</f>
        <v>2186.6666666666661</v>
      </c>
      <c r="E11" s="10">
        <f t="shared" si="0"/>
        <v>323.11904761904731</v>
      </c>
      <c r="F11" s="10">
        <f t="shared" si="2"/>
        <v>467.41071428571416</v>
      </c>
      <c r="G11" s="9">
        <f>(F10+'Cash flows'!B11-'Cash flows'!D11)*(monthly_discount_rate)+'Cash flows'!B11-'Cash flows'!D11-'Cash flows'!C11-'Liability calculations'!F11+F10</f>
        <v>9.8511904761904816</v>
      </c>
      <c r="H11" s="9"/>
      <c r="J11">
        <f t="shared" si="6"/>
        <v>5</v>
      </c>
      <c r="K11" s="8">
        <f t="shared" si="1"/>
        <v>583.33333333333337</v>
      </c>
      <c r="L11" s="12">
        <f>NPV(monthly_discount_rate,'Cash flows'!$B12:B$43)+K11</f>
        <v>2733.3333333333335</v>
      </c>
      <c r="N11" s="10">
        <f t="shared" si="3"/>
        <v>130.15873015873015</v>
      </c>
      <c r="O11" s="10">
        <f t="shared" si="4"/>
        <v>453.17460317460325</v>
      </c>
      <c r="P11" s="9">
        <f>(O10+'Cash flows'!B11-'Cash flows'!D11)*(monthly_discount_rate)+'Cash flows'!B11-'Cash flows'!D11-'Cash flows'!C11-'Liability calculations'!O11+O10</f>
        <v>12.698412698412653</v>
      </c>
      <c r="R11">
        <v>583.33333333333337</v>
      </c>
    </row>
    <row r="12" spans="1:18" x14ac:dyDescent="0.25">
      <c r="A12">
        <f t="shared" si="5"/>
        <v>6</v>
      </c>
      <c r="B12" s="8">
        <f>(B13+'Cash flows'!C13)/(1+monthly_discount_rate) + 'Cash flows'!D13-'Cash flows'!B13</f>
        <v>77.625000000000171</v>
      </c>
      <c r="C12" s="8">
        <f>NPV(monthly_discount_rate,'Cash flows'!C13:$C$43)</f>
        <v>2119.9999999999991</v>
      </c>
      <c r="E12" s="10">
        <f t="shared" si="0"/>
        <v>313.26785714285677</v>
      </c>
      <c r="F12" s="10">
        <f t="shared" si="2"/>
        <v>390.89285714285694</v>
      </c>
      <c r="G12" s="9">
        <f>(F11+'Cash flows'!B12-'Cash flows'!D12)*(monthly_discount_rate)+'Cash flows'!B12-'Cash flows'!D12-'Cash flows'!C12-'Liability calculations'!F12+F11</f>
        <v>9.8511904761905384</v>
      </c>
      <c r="H12" s="9"/>
      <c r="J12">
        <f t="shared" si="6"/>
        <v>6</v>
      </c>
      <c r="K12" s="8">
        <f t="shared" si="1"/>
        <v>500</v>
      </c>
      <c r="L12" s="12">
        <f>NPV(monthly_discount_rate,'Cash flows'!$B13:B$43)+K12</f>
        <v>2650</v>
      </c>
      <c r="N12" s="10">
        <f t="shared" si="3"/>
        <v>126.19047619047619</v>
      </c>
      <c r="O12" s="10">
        <f t="shared" si="4"/>
        <v>373.8095238095238</v>
      </c>
      <c r="P12" s="9">
        <f>(O11+'Cash flows'!B12-'Cash flows'!D12)*(monthly_discount_rate)+'Cash flows'!B12-'Cash flows'!D12-'Cash flows'!C12-'Liability calculations'!O12+O11</f>
        <v>12.698412698412767</v>
      </c>
      <c r="Q12" s="6"/>
      <c r="R12">
        <v>500</v>
      </c>
    </row>
    <row r="13" spans="1:18" x14ac:dyDescent="0.25">
      <c r="A13">
        <f t="shared" si="5"/>
        <v>7</v>
      </c>
      <c r="B13" s="8">
        <f>(B14+'Cash flows'!C14)/(1+monthly_discount_rate) + 'Cash flows'!D14-'Cash flows'!B14</f>
        <v>10.958333333333499</v>
      </c>
      <c r="C13" s="8">
        <f>NPV(monthly_discount_rate,'Cash flows'!C14:$C$43)</f>
        <v>2053.3333333333326</v>
      </c>
      <c r="E13" s="10">
        <f t="shared" si="0"/>
        <v>303.41666666666634</v>
      </c>
      <c r="F13" s="10">
        <f t="shared" si="2"/>
        <v>314.37499999999983</v>
      </c>
      <c r="G13" s="9">
        <f>(F12+'Cash flows'!B13-'Cash flows'!D13)*(monthly_discount_rate)+'Cash flows'!B13-'Cash flows'!D13-'Cash flows'!C13-'Liability calculations'!F13+F12</f>
        <v>9.8511904761904248</v>
      </c>
      <c r="H13" s="9"/>
      <c r="J13">
        <f t="shared" si="6"/>
        <v>7</v>
      </c>
      <c r="K13" s="8">
        <f t="shared" si="1"/>
        <v>416.66666666666669</v>
      </c>
      <c r="L13" s="12">
        <f>NPV(monthly_discount_rate,'Cash flows'!$B14:B$43)+K13</f>
        <v>2566.6666666666665</v>
      </c>
      <c r="N13" s="10">
        <f t="shared" si="3"/>
        <v>122.22222222222221</v>
      </c>
      <c r="O13" s="10">
        <f t="shared" si="4"/>
        <v>294.44444444444446</v>
      </c>
      <c r="P13" s="9">
        <f>(O12+'Cash flows'!B13-'Cash flows'!D13)*(monthly_discount_rate)+'Cash flows'!B13-'Cash flows'!D13-'Cash flows'!C13-'Liability calculations'!O13+O12</f>
        <v>12.698412698412653</v>
      </c>
      <c r="R13">
        <v>416.66666666666669</v>
      </c>
    </row>
    <row r="14" spans="1:18" x14ac:dyDescent="0.25">
      <c r="A14">
        <f t="shared" si="5"/>
        <v>8</v>
      </c>
      <c r="B14" s="8">
        <f>(B15+'Cash flows'!C15)/(1+monthly_discount_rate) + 'Cash flows'!D15-'Cash flows'!B15</f>
        <v>-55.708333333333172</v>
      </c>
      <c r="C14" s="8">
        <f>NPV(monthly_discount_rate,'Cash flows'!C15:$C$43)</f>
        <v>1986.6666666666658</v>
      </c>
      <c r="E14" s="10">
        <f t="shared" si="0"/>
        <v>293.56547619047586</v>
      </c>
      <c r="F14" s="10">
        <f t="shared" si="2"/>
        <v>237.85714285714269</v>
      </c>
      <c r="G14" s="9">
        <f>(F13+'Cash flows'!B14-'Cash flows'!D14)*(monthly_discount_rate)+'Cash flows'!B14-'Cash flows'!D14-'Cash flows'!C14-'Liability calculations'!F14+F13</f>
        <v>9.8511904761904816</v>
      </c>
      <c r="H14" s="9"/>
      <c r="J14">
        <f t="shared" si="6"/>
        <v>8</v>
      </c>
      <c r="K14" s="8">
        <f t="shared" si="1"/>
        <v>333.33333333333331</v>
      </c>
      <c r="L14" s="12">
        <f>NPV(monthly_discount_rate,'Cash flows'!$B15:B$43)+K14</f>
        <v>2483.3333333333335</v>
      </c>
      <c r="N14" s="10">
        <f t="shared" si="3"/>
        <v>118.25396825396825</v>
      </c>
      <c r="O14" s="10">
        <f t="shared" si="4"/>
        <v>215.07936507936506</v>
      </c>
      <c r="P14" s="9">
        <f>(O13+'Cash flows'!B14-'Cash flows'!D14)*(monthly_discount_rate)+'Cash flows'!B14-'Cash flows'!D14-'Cash flows'!C14-'Liability calculations'!O14+O13</f>
        <v>12.69841269841271</v>
      </c>
      <c r="R14">
        <v>333.33333333333331</v>
      </c>
    </row>
    <row r="15" spans="1:18" x14ac:dyDescent="0.25">
      <c r="A15">
        <f t="shared" si="5"/>
        <v>9</v>
      </c>
      <c r="B15" s="8">
        <f>(B16+'Cash flows'!C16)/(1+monthly_discount_rate) + 'Cash flows'!D16-'Cash flows'!B16</f>
        <v>-122.37499999999984</v>
      </c>
      <c r="C15" s="8">
        <f>NPV(monthly_discount_rate,'Cash flows'!C16:$C$43)</f>
        <v>1919.9999999999991</v>
      </c>
      <c r="E15" s="10">
        <f t="shared" si="0"/>
        <v>283.71428571428538</v>
      </c>
      <c r="F15" s="10">
        <f t="shared" si="2"/>
        <v>161.33928571428555</v>
      </c>
      <c r="G15" s="9">
        <f>(F14+'Cash flows'!B15-'Cash flows'!D15)*(monthly_discount_rate)+'Cash flows'!B15-'Cash flows'!D15-'Cash flows'!C15-'Liability calculations'!F15+F14</f>
        <v>9.8511904761904532</v>
      </c>
      <c r="H15" s="9"/>
      <c r="J15">
        <f t="shared" si="6"/>
        <v>9</v>
      </c>
      <c r="K15" s="8">
        <f t="shared" si="1"/>
        <v>250</v>
      </c>
      <c r="L15" s="12">
        <f>NPV(monthly_discount_rate,'Cash flows'!$B16:B$43)+K15</f>
        <v>2400</v>
      </c>
      <c r="N15" s="10">
        <f t="shared" si="3"/>
        <v>114.28571428571428</v>
      </c>
      <c r="O15" s="10">
        <f t="shared" si="4"/>
        <v>135.71428571428572</v>
      </c>
      <c r="P15" s="9">
        <f>(O14+'Cash flows'!B15-'Cash flows'!D15)*(monthly_discount_rate)+'Cash flows'!B15-'Cash flows'!D15-'Cash flows'!C15-'Liability calculations'!O15+O14</f>
        <v>12.698412698412653</v>
      </c>
      <c r="R15">
        <v>250</v>
      </c>
    </row>
    <row r="16" spans="1:18" x14ac:dyDescent="0.25">
      <c r="A16">
        <f t="shared" si="5"/>
        <v>10</v>
      </c>
      <c r="B16" s="8">
        <f>(B17+'Cash flows'!C17)/(1+monthly_discount_rate) + 'Cash flows'!D17-'Cash flows'!B17</f>
        <v>-189.04166666666652</v>
      </c>
      <c r="C16" s="8">
        <f>NPV(monthly_discount_rate,'Cash flows'!C17:$C$43)</f>
        <v>1853.3333333333326</v>
      </c>
      <c r="E16" s="10">
        <f t="shared" si="0"/>
        <v>273.8630952380949</v>
      </c>
      <c r="F16" s="10">
        <f t="shared" si="2"/>
        <v>84.821428571428385</v>
      </c>
      <c r="G16" s="9">
        <f>(F15+'Cash flows'!B16-'Cash flows'!D16)*(monthly_discount_rate)+'Cash flows'!B16-'Cash flows'!D16-'Cash flows'!C16-'Liability calculations'!F16+F15</f>
        <v>9.8511904761904816</v>
      </c>
      <c r="H16" s="9"/>
      <c r="J16">
        <f t="shared" si="6"/>
        <v>10</v>
      </c>
      <c r="K16" s="8">
        <f t="shared" si="1"/>
        <v>166.66666666666666</v>
      </c>
      <c r="L16" s="12">
        <f>NPV(monthly_discount_rate,'Cash flows'!$B17:B$43)+K16</f>
        <v>2316.6666666666665</v>
      </c>
      <c r="N16" s="10">
        <f t="shared" si="3"/>
        <v>110.3174603174603</v>
      </c>
      <c r="O16" s="10">
        <f t="shared" si="4"/>
        <v>56.349206349206355</v>
      </c>
      <c r="P16" s="9">
        <f>(O15+'Cash flows'!B16-'Cash flows'!D16)*(monthly_discount_rate)+'Cash flows'!B16-'Cash flows'!D16-'Cash flows'!C16-'Liability calculations'!O16+O15</f>
        <v>12.698412698412696</v>
      </c>
      <c r="R16">
        <v>166.66666666666666</v>
      </c>
    </row>
    <row r="17" spans="1:18" x14ac:dyDescent="0.25">
      <c r="A17">
        <f t="shared" si="5"/>
        <v>11</v>
      </c>
      <c r="B17" s="8">
        <f>(B18+'Cash flows'!C18)/(1+monthly_discount_rate) + 'Cash flows'!D18-'Cash flows'!B18</f>
        <v>-255.7083333333332</v>
      </c>
      <c r="C17" s="8">
        <f>NPV(monthly_discount_rate,'Cash flows'!C18:$C$43)</f>
        <v>1786.6666666666661</v>
      </c>
      <c r="E17" s="10">
        <f t="shared" si="0"/>
        <v>264.01190476190447</v>
      </c>
      <c r="F17" s="10">
        <f t="shared" si="2"/>
        <v>8.3035714285712743</v>
      </c>
      <c r="G17" s="9">
        <f>(F16+'Cash flows'!B17-'Cash flows'!D17)*(monthly_discount_rate)+'Cash flows'!B17-'Cash flows'!D17-'Cash flows'!C17-'Liability calculations'!F17+F16</f>
        <v>9.851190476190439</v>
      </c>
      <c r="H17" s="9"/>
      <c r="J17">
        <f t="shared" si="6"/>
        <v>11</v>
      </c>
      <c r="K17" s="8">
        <f t="shared" si="1"/>
        <v>83.333333333333329</v>
      </c>
      <c r="L17" s="12">
        <f>NPV(monthly_discount_rate,'Cash flows'!$B18:B$43)+K17</f>
        <v>2233.3333333333335</v>
      </c>
      <c r="N17" s="10">
        <f t="shared" si="3"/>
        <v>106.34920634920636</v>
      </c>
      <c r="O17" s="10">
        <f t="shared" si="4"/>
        <v>-23.015873015873026</v>
      </c>
      <c r="P17" s="9">
        <f>(O16+'Cash flows'!B17-'Cash flows'!D17)*(monthly_discount_rate)+'Cash flows'!B17-'Cash flows'!D17-'Cash flows'!C17-'Liability calculations'!O17+O16</f>
        <v>12.69841269841271</v>
      </c>
      <c r="R17">
        <v>83.333333333333329</v>
      </c>
    </row>
    <row r="18" spans="1:18" x14ac:dyDescent="0.25">
      <c r="A18">
        <f t="shared" si="5"/>
        <v>12</v>
      </c>
      <c r="B18" s="8">
        <f>(B19+'Cash flows'!C19)/(1+monthly_discount_rate) + 'Cash flows'!D19-'Cash flows'!B19</f>
        <v>-322.37499999999989</v>
      </c>
      <c r="C18" s="8">
        <f>NPV(monthly_discount_rate,'Cash flows'!C19:$C$43)</f>
        <v>1719.9999999999993</v>
      </c>
      <c r="E18" s="10">
        <f t="shared" si="0"/>
        <v>254.16071428571399</v>
      </c>
      <c r="F18" s="10">
        <f t="shared" si="2"/>
        <v>-68.214285714285893</v>
      </c>
      <c r="G18" s="9">
        <f>(F17+'Cash flows'!B18-'Cash flows'!D18)*(monthly_discount_rate)+'Cash flows'!B18-'Cash flows'!D18-'Cash flows'!C18-'Liability calculations'!F18+F17</f>
        <v>9.8511904761904958</v>
      </c>
      <c r="H18" s="9"/>
      <c r="J18">
        <f t="shared" si="6"/>
        <v>12</v>
      </c>
      <c r="K18" s="8">
        <f t="shared" si="1"/>
        <v>0</v>
      </c>
      <c r="L18" s="12">
        <f>NPV(monthly_discount_rate,'Cash flows'!$B19:B$43)+K18</f>
        <v>2150</v>
      </c>
      <c r="N18" s="10">
        <f t="shared" si="3"/>
        <v>102.38095238095238</v>
      </c>
      <c r="O18" s="10">
        <f t="shared" si="4"/>
        <v>-102.38095238095238</v>
      </c>
      <c r="P18" s="9">
        <f>(O17+'Cash flows'!B18-'Cash flows'!D18)*(monthly_discount_rate)+'Cash flows'!B18-'Cash flows'!D18-'Cash flows'!C18-'Liability calculations'!O18+O17</f>
        <v>12.698412698412682</v>
      </c>
      <c r="R18">
        <v>0</v>
      </c>
    </row>
    <row r="19" spans="1:18" x14ac:dyDescent="0.25">
      <c r="A19">
        <f t="shared" si="5"/>
        <v>13</v>
      </c>
      <c r="B19" s="8">
        <f>(B20+'Cash flows'!C20)/(1+monthly_discount_rate) + 'Cash flows'!D20-'Cash flows'!B20</f>
        <v>653.25000000000011</v>
      </c>
      <c r="C19" s="8">
        <f>NPV(monthly_discount_rate,'Cash flows'!C20:$C$43)</f>
        <v>1649.9999999999995</v>
      </c>
      <c r="E19" s="10">
        <f t="shared" si="0"/>
        <v>243.81696428571405</v>
      </c>
      <c r="F19" s="10">
        <f t="shared" si="2"/>
        <v>897.06696428571422</v>
      </c>
      <c r="G19" s="9">
        <f>(F18+'Cash flows'!B19-'Cash flows'!D19)*(monthly_discount_rate)+'Cash flows'!B19-'Cash flows'!D19-'Cash flows'!C19-'Liability calculations'!F19+F18</f>
        <v>10.343749999999886</v>
      </c>
      <c r="H19" s="9"/>
      <c r="J19">
        <f t="shared" si="6"/>
        <v>13</v>
      </c>
      <c r="K19" s="8">
        <f t="shared" si="1"/>
        <v>962.5</v>
      </c>
      <c r="L19" s="12">
        <f>NPV(monthly_discount_rate,'Cash flows'!$B20:B$43)+K19</f>
        <v>2062.5</v>
      </c>
      <c r="N19" s="10">
        <f t="shared" si="3"/>
        <v>98.214285714285708</v>
      </c>
      <c r="O19" s="10">
        <f t="shared" si="4"/>
        <v>864.28571428571433</v>
      </c>
      <c r="P19" s="9">
        <f>(O18+'Cash flows'!B19-'Cash flows'!D19)*(monthly_discount_rate)+'Cash flows'!B19-'Cash flows'!D19-'Cash flows'!C19-'Liability calculations'!O19+O18</f>
        <v>8.958333333333286</v>
      </c>
      <c r="R19">
        <v>962.5</v>
      </c>
    </row>
    <row r="20" spans="1:18" x14ac:dyDescent="0.25">
      <c r="A20">
        <f t="shared" si="5"/>
        <v>14</v>
      </c>
      <c r="B20" s="8">
        <f>(B21+'Cash flows'!C21)/(1+monthly_discount_rate) + 'Cash flows'!D21-'Cash flows'!B21</f>
        <v>578.87500000000011</v>
      </c>
      <c r="C20" s="8">
        <f>NPV(monthly_discount_rate,'Cash flows'!C21:$C$43)</f>
        <v>1579.9999999999995</v>
      </c>
      <c r="E20" s="10">
        <f t="shared" si="0"/>
        <v>233.47321428571405</v>
      </c>
      <c r="F20" s="10">
        <f t="shared" si="2"/>
        <v>812.34821428571422</v>
      </c>
      <c r="G20" s="9">
        <f>(F19+'Cash flows'!B20-'Cash flows'!D20)*(monthly_discount_rate)+'Cash flows'!B20-'Cash flows'!D20-'Cash flows'!C20-'Liability calculations'!F20+F19</f>
        <v>10.34375</v>
      </c>
      <c r="H20" s="9"/>
      <c r="J20">
        <f t="shared" si="6"/>
        <v>14</v>
      </c>
      <c r="K20" s="8">
        <f t="shared" si="1"/>
        <v>875</v>
      </c>
      <c r="L20" s="12">
        <f>NPV(monthly_discount_rate,'Cash flows'!$B21:B$43)+K20</f>
        <v>1975</v>
      </c>
      <c r="N20" s="10">
        <f t="shared" si="3"/>
        <v>94.047619047619037</v>
      </c>
      <c r="O20" s="10">
        <f t="shared" si="4"/>
        <v>780.95238095238096</v>
      </c>
      <c r="P20" s="9">
        <f>(O19+'Cash flows'!B20-'Cash flows'!D20)*(monthly_discount_rate)+'Cash flows'!B20-'Cash flows'!D20-'Cash flows'!C20-'Liability calculations'!O20+O19</f>
        <v>8.9583333333333712</v>
      </c>
      <c r="R20">
        <v>875</v>
      </c>
    </row>
    <row r="21" spans="1:18" x14ac:dyDescent="0.25">
      <c r="A21">
        <f t="shared" si="5"/>
        <v>15</v>
      </c>
      <c r="B21" s="8">
        <f>(B22+'Cash flows'!C22)/(1+monthly_discount_rate) + 'Cash flows'!D22-'Cash flows'!B22</f>
        <v>504.50000000000011</v>
      </c>
      <c r="C21" s="8">
        <f>NPV(monthly_discount_rate,'Cash flows'!C22:$C$43)</f>
        <v>1509.9999999999998</v>
      </c>
      <c r="E21" s="10">
        <f t="shared" si="0"/>
        <v>223.12946428571408</v>
      </c>
      <c r="F21" s="10">
        <f t="shared" si="2"/>
        <v>727.62946428571422</v>
      </c>
      <c r="G21" s="9">
        <f>(F20+'Cash flows'!B21-'Cash flows'!D21)*(monthly_discount_rate)+'Cash flows'!B21-'Cash flows'!D21-'Cash flows'!C21-'Liability calculations'!F21+F20</f>
        <v>10.34375</v>
      </c>
      <c r="H21" s="9"/>
      <c r="J21">
        <f t="shared" si="6"/>
        <v>15</v>
      </c>
      <c r="K21" s="8">
        <f t="shared" si="1"/>
        <v>787.5</v>
      </c>
      <c r="L21" s="12">
        <f>NPV(monthly_discount_rate,'Cash flows'!$B22:B$43)+K21</f>
        <v>1887.5</v>
      </c>
      <c r="N21" s="10">
        <f t="shared" si="3"/>
        <v>89.88095238095238</v>
      </c>
      <c r="O21" s="10">
        <f t="shared" si="4"/>
        <v>697.61904761904759</v>
      </c>
      <c r="P21" s="9">
        <f>(O20+'Cash flows'!B21-'Cash flows'!D21)*(monthly_discount_rate)+'Cash flows'!B21-'Cash flows'!D21-'Cash flows'!C21-'Liability calculations'!O21+O20</f>
        <v>8.9583333333333712</v>
      </c>
      <c r="R21">
        <v>787.5</v>
      </c>
    </row>
    <row r="22" spans="1:18" x14ac:dyDescent="0.25">
      <c r="A22">
        <f t="shared" si="5"/>
        <v>16</v>
      </c>
      <c r="B22" s="8">
        <f>(B23+'Cash flows'!C23)/(1+monthly_discount_rate) + 'Cash flows'!D23-'Cash flows'!B23</f>
        <v>430.12500000000011</v>
      </c>
      <c r="C22" s="8">
        <f>NPV(monthly_discount_rate,'Cash flows'!C23:$C$43)</f>
        <v>1439.9999999999998</v>
      </c>
      <c r="E22" s="10">
        <f t="shared" si="0"/>
        <v>212.78571428571411</v>
      </c>
      <c r="F22" s="10">
        <f t="shared" si="2"/>
        <v>642.91071428571422</v>
      </c>
      <c r="G22" s="9">
        <f>(F21+'Cash flows'!B22-'Cash flows'!D22)*(monthly_discount_rate)+'Cash flows'!B22-'Cash flows'!D22-'Cash flows'!C22-'Liability calculations'!F22+F21</f>
        <v>10.34375</v>
      </c>
      <c r="H22" s="9"/>
      <c r="J22">
        <f t="shared" si="6"/>
        <v>16</v>
      </c>
      <c r="K22" s="8">
        <f t="shared" si="1"/>
        <v>700</v>
      </c>
      <c r="L22" s="12">
        <f>NPV(monthly_discount_rate,'Cash flows'!$B23:B$43)+K22</f>
        <v>1800</v>
      </c>
      <c r="N22" s="10">
        <f t="shared" si="3"/>
        <v>85.714285714285708</v>
      </c>
      <c r="O22" s="10">
        <f t="shared" si="4"/>
        <v>614.28571428571433</v>
      </c>
      <c r="P22" s="9">
        <f>(O21+'Cash flows'!B22-'Cash flows'!D22)*(monthly_discount_rate)+'Cash flows'!B22-'Cash flows'!D22-'Cash flows'!C22-'Liability calculations'!O22+O21</f>
        <v>8.9583333333332575</v>
      </c>
      <c r="R22">
        <v>700</v>
      </c>
    </row>
    <row r="23" spans="1:18" x14ac:dyDescent="0.25">
      <c r="A23">
        <f t="shared" si="5"/>
        <v>17</v>
      </c>
      <c r="B23" s="8">
        <f>(B24+'Cash flows'!C24)/(1+monthly_discount_rate) + 'Cash flows'!D24-'Cash flows'!B24</f>
        <v>355.75000000000011</v>
      </c>
      <c r="C23" s="8">
        <f>NPV(monthly_discount_rate,'Cash flows'!C24:$C$43)</f>
        <v>1370</v>
      </c>
      <c r="E23" s="10">
        <f t="shared" si="0"/>
        <v>202.44196428571414</v>
      </c>
      <c r="F23" s="10">
        <f t="shared" si="2"/>
        <v>558.19196428571422</v>
      </c>
      <c r="G23" s="9">
        <f>(F22+'Cash flows'!B23-'Cash flows'!D23)*(monthly_discount_rate)+'Cash flows'!B23-'Cash flows'!D23-'Cash flows'!C23-'Liability calculations'!F23+F22</f>
        <v>10.34375</v>
      </c>
      <c r="H23" s="9"/>
      <c r="J23">
        <f t="shared" si="6"/>
        <v>17</v>
      </c>
      <c r="K23" s="8">
        <f t="shared" si="1"/>
        <v>612.5</v>
      </c>
      <c r="L23" s="12">
        <f>NPV(monthly_discount_rate,'Cash flows'!$B24:B$43)+K23</f>
        <v>1712.5</v>
      </c>
      <c r="N23" s="10">
        <f t="shared" si="3"/>
        <v>81.547619047619037</v>
      </c>
      <c r="O23" s="10">
        <f t="shared" si="4"/>
        <v>530.95238095238096</v>
      </c>
      <c r="P23" s="9">
        <f>(O22+'Cash flows'!B23-'Cash flows'!D23)*(monthly_discount_rate)+'Cash flows'!B23-'Cash flows'!D23-'Cash flows'!C23-'Liability calculations'!O23+O22</f>
        <v>8.9583333333333712</v>
      </c>
      <c r="R23">
        <v>612.5</v>
      </c>
    </row>
    <row r="24" spans="1:18" x14ac:dyDescent="0.25">
      <c r="A24">
        <f t="shared" si="5"/>
        <v>18</v>
      </c>
      <c r="B24" s="8">
        <f>(B25+'Cash flows'!C25)/(1+monthly_discount_rate) + 'Cash flows'!D25-'Cash flows'!B25</f>
        <v>281.37500000000011</v>
      </c>
      <c r="C24" s="8">
        <f>NPV(monthly_discount_rate,'Cash flows'!C25:$C$43)</f>
        <v>1300</v>
      </c>
      <c r="E24" s="10">
        <f t="shared" si="0"/>
        <v>192.09821428571414</v>
      </c>
      <c r="F24" s="10">
        <f t="shared" si="2"/>
        <v>473.47321428571422</v>
      </c>
      <c r="G24" s="9">
        <f>(F23+'Cash flows'!B24-'Cash flows'!D24)*(monthly_discount_rate)+'Cash flows'!B24-'Cash flows'!D24-'Cash flows'!C24-'Liability calculations'!F24+F23</f>
        <v>10.34375</v>
      </c>
      <c r="H24" s="9"/>
      <c r="J24">
        <f t="shared" si="6"/>
        <v>18</v>
      </c>
      <c r="K24" s="8">
        <f t="shared" si="1"/>
        <v>525</v>
      </c>
      <c r="L24" s="12">
        <f>NPV(monthly_discount_rate,'Cash flows'!$B25:B$43)+K24</f>
        <v>1625</v>
      </c>
      <c r="N24" s="10">
        <f t="shared" si="3"/>
        <v>77.38095238095238</v>
      </c>
      <c r="O24" s="10">
        <f t="shared" si="4"/>
        <v>447.61904761904759</v>
      </c>
      <c r="P24" s="9">
        <f>(O23+'Cash flows'!B24-'Cash flows'!D24)*(monthly_discount_rate)+'Cash flows'!B24-'Cash flows'!D24-'Cash flows'!C24-'Liability calculations'!O24+O23</f>
        <v>8.9583333333333712</v>
      </c>
      <c r="R24">
        <v>525</v>
      </c>
    </row>
    <row r="25" spans="1:18" x14ac:dyDescent="0.25">
      <c r="A25">
        <f t="shared" si="5"/>
        <v>19</v>
      </c>
      <c r="B25" s="8">
        <f>(B26+'Cash flows'!C26)/(1+monthly_discount_rate) + 'Cash flows'!D26-'Cash flows'!B26</f>
        <v>207.00000000000011</v>
      </c>
      <c r="C25" s="8">
        <f>NPV(monthly_discount_rate,'Cash flows'!C26:$C$43)</f>
        <v>1230</v>
      </c>
      <c r="E25" s="10">
        <f t="shared" si="0"/>
        <v>181.75446428571416</v>
      </c>
      <c r="F25" s="10">
        <f t="shared" si="2"/>
        <v>388.75446428571428</v>
      </c>
      <c r="G25" s="9">
        <f>(F24+'Cash flows'!B25-'Cash flows'!D25)*(monthly_discount_rate)+'Cash flows'!B25-'Cash flows'!D25-'Cash flows'!C25-'Liability calculations'!F25+F24</f>
        <v>10.343749999999943</v>
      </c>
      <c r="H25" s="9"/>
      <c r="J25">
        <f t="shared" si="6"/>
        <v>19</v>
      </c>
      <c r="K25" s="8">
        <f t="shared" si="1"/>
        <v>437.5</v>
      </c>
      <c r="L25" s="12">
        <f>NPV(monthly_discount_rate,'Cash flows'!$B26:B$43)+K25</f>
        <v>1537.5</v>
      </c>
      <c r="N25" s="10">
        <f t="shared" si="3"/>
        <v>73.214285714285708</v>
      </c>
      <c r="O25" s="10">
        <f t="shared" si="4"/>
        <v>364.28571428571428</v>
      </c>
      <c r="P25" s="9">
        <f>(O24+'Cash flows'!B25-'Cash flows'!D25)*(monthly_discount_rate)+'Cash flows'!B25-'Cash flows'!D25-'Cash flows'!C25-'Liability calculations'!O25+O24</f>
        <v>8.9583333333333144</v>
      </c>
      <c r="R25">
        <v>437.5</v>
      </c>
    </row>
    <row r="26" spans="1:18" x14ac:dyDescent="0.25">
      <c r="A26">
        <f t="shared" si="5"/>
        <v>20</v>
      </c>
      <c r="B26" s="8">
        <f>(B27+'Cash flows'!C27)/(1+monthly_discount_rate) + 'Cash flows'!D27-'Cash flows'!B27</f>
        <v>132.62500000000011</v>
      </c>
      <c r="C26" s="8">
        <f>NPV(monthly_discount_rate,'Cash flows'!C27:$C$43)</f>
        <v>1160</v>
      </c>
      <c r="E26" s="10">
        <f t="shared" si="0"/>
        <v>171.41071428571416</v>
      </c>
      <c r="F26" s="10">
        <f t="shared" si="2"/>
        <v>304.03571428571428</v>
      </c>
      <c r="G26" s="9">
        <f>(F25+'Cash flows'!B26-'Cash flows'!D26)*(monthly_discount_rate)+'Cash flows'!B26-'Cash flows'!D26-'Cash flows'!C26-'Liability calculations'!F26+F25</f>
        <v>10.34375</v>
      </c>
      <c r="H26" s="9"/>
      <c r="J26">
        <f t="shared" si="6"/>
        <v>20</v>
      </c>
      <c r="K26" s="8">
        <f t="shared" si="1"/>
        <v>350</v>
      </c>
      <c r="L26" s="12">
        <f>NPV(monthly_discount_rate,'Cash flows'!$B27:B$43)+K26</f>
        <v>1450</v>
      </c>
      <c r="N26" s="10">
        <f t="shared" si="3"/>
        <v>69.047619047619037</v>
      </c>
      <c r="O26" s="10">
        <f t="shared" si="4"/>
        <v>280.95238095238096</v>
      </c>
      <c r="P26" s="9">
        <f>(O25+'Cash flows'!B26-'Cash flows'!D26)*(monthly_discount_rate)+'Cash flows'!B26-'Cash flows'!D26-'Cash flows'!C26-'Liability calculations'!O26+O25</f>
        <v>8.9583333333333144</v>
      </c>
      <c r="R26">
        <v>350</v>
      </c>
    </row>
    <row r="27" spans="1:18" x14ac:dyDescent="0.25">
      <c r="A27">
        <f t="shared" si="5"/>
        <v>21</v>
      </c>
      <c r="B27" s="8">
        <f>(B28+'Cash flows'!C28)/(1+monthly_discount_rate) + 'Cash flows'!D28-'Cash flows'!B28</f>
        <v>58.250000000000114</v>
      </c>
      <c r="C27" s="8">
        <f>NPV(monthly_discount_rate,'Cash flows'!C28:$C$43)</f>
        <v>1090.0000000000002</v>
      </c>
      <c r="E27" s="10">
        <f t="shared" si="0"/>
        <v>161.06696428571419</v>
      </c>
      <c r="F27" s="10">
        <f t="shared" si="2"/>
        <v>219.31696428571431</v>
      </c>
      <c r="G27" s="9">
        <f>(F26+'Cash flows'!B27-'Cash flows'!D27)*(monthly_discount_rate)+'Cash flows'!B27-'Cash flows'!D27-'Cash flows'!C27-'Liability calculations'!F27+F26</f>
        <v>10.343749999999943</v>
      </c>
      <c r="H27" s="9"/>
      <c r="J27">
        <f t="shared" si="6"/>
        <v>21</v>
      </c>
      <c r="K27" s="8">
        <f t="shared" si="1"/>
        <v>262.5</v>
      </c>
      <c r="L27" s="12">
        <f>NPV(monthly_discount_rate,'Cash flows'!$B28:B$43)+K27</f>
        <v>1362.5</v>
      </c>
      <c r="N27" s="10">
        <f t="shared" si="3"/>
        <v>64.88095238095238</v>
      </c>
      <c r="O27" s="10">
        <f t="shared" si="4"/>
        <v>197.61904761904762</v>
      </c>
      <c r="P27" s="9">
        <f>(O26+'Cash flows'!B27-'Cash flows'!D27)*(monthly_discount_rate)+'Cash flows'!B27-'Cash flows'!D27-'Cash flows'!C27-'Liability calculations'!O27+O26</f>
        <v>8.9583333333333712</v>
      </c>
      <c r="R27">
        <v>262.5</v>
      </c>
    </row>
    <row r="28" spans="1:18" x14ac:dyDescent="0.25">
      <c r="A28">
        <f t="shared" si="5"/>
        <v>22</v>
      </c>
      <c r="B28" s="8">
        <f>(B29+'Cash flows'!C29)/(1+monthly_discount_rate) + 'Cash flows'!D29-'Cash flows'!B29</f>
        <v>-16.124999999999886</v>
      </c>
      <c r="C28" s="8">
        <f>NPV(monthly_discount_rate,'Cash flows'!C29:$C$43)</f>
        <v>1020.0000000000001</v>
      </c>
      <c r="E28" s="10">
        <f t="shared" si="0"/>
        <v>150.72321428571419</v>
      </c>
      <c r="F28" s="10">
        <f t="shared" si="2"/>
        <v>134.59821428571431</v>
      </c>
      <c r="G28" s="9">
        <f>(F27+'Cash flows'!B28-'Cash flows'!D28)*(monthly_discount_rate)+'Cash flows'!B28-'Cash flows'!D28-'Cash flows'!C28-'Liability calculations'!F28+F27</f>
        <v>10.34375</v>
      </c>
      <c r="H28" s="9"/>
      <c r="J28">
        <f t="shared" si="6"/>
        <v>22</v>
      </c>
      <c r="K28" s="8">
        <f t="shared" si="1"/>
        <v>175</v>
      </c>
      <c r="L28" s="12">
        <f>NPV(monthly_discount_rate,'Cash flows'!$B29:B$43)+K28</f>
        <v>1275</v>
      </c>
      <c r="N28" s="10">
        <f t="shared" si="3"/>
        <v>60.714285714285708</v>
      </c>
      <c r="O28" s="10">
        <f t="shared" si="4"/>
        <v>114.28571428571429</v>
      </c>
      <c r="P28" s="9">
        <f>(O27+'Cash flows'!B28-'Cash flows'!D28)*(monthly_discount_rate)+'Cash flows'!B28-'Cash flows'!D28-'Cash flows'!C28-'Liability calculations'!O28+O27</f>
        <v>8.9583333333333428</v>
      </c>
      <c r="R28">
        <v>175</v>
      </c>
    </row>
    <row r="29" spans="1:18" x14ac:dyDescent="0.25">
      <c r="A29">
        <f t="shared" si="5"/>
        <v>23</v>
      </c>
      <c r="B29" s="8">
        <f>(B30+'Cash flows'!C30)/(1+monthly_discount_rate) + 'Cash flows'!D30-'Cash flows'!B30</f>
        <v>-90.499999999999886</v>
      </c>
      <c r="C29" s="8">
        <f>NPV(monthly_discount_rate,'Cash flows'!C30:$C$43)</f>
        <v>950.00000000000011</v>
      </c>
      <c r="E29" s="10">
        <f t="shared" si="0"/>
        <v>140.37946428571419</v>
      </c>
      <c r="F29" s="10">
        <f t="shared" si="2"/>
        <v>49.879464285714306</v>
      </c>
      <c r="G29" s="9">
        <f>(F28+'Cash flows'!B29-'Cash flows'!D29)*(monthly_discount_rate)+'Cash flows'!B29-'Cash flows'!D29-'Cash flows'!C29-'Liability calculations'!F29+F28</f>
        <v>10.34375</v>
      </c>
      <c r="H29" s="9"/>
      <c r="J29">
        <f t="shared" si="6"/>
        <v>23</v>
      </c>
      <c r="K29" s="8">
        <f t="shared" si="1"/>
        <v>87.5</v>
      </c>
      <c r="L29" s="12">
        <f>NPV(monthly_discount_rate,'Cash flows'!$B30:B$43)+K29</f>
        <v>1187.5</v>
      </c>
      <c r="N29" s="10">
        <f t="shared" si="3"/>
        <v>56.547619047619044</v>
      </c>
      <c r="O29" s="10">
        <f t="shared" si="4"/>
        <v>30.952380952380956</v>
      </c>
      <c r="P29" s="9">
        <f>(O28+'Cash flows'!B29-'Cash flows'!D29)*(monthly_discount_rate)+'Cash flows'!B29-'Cash flows'!D29-'Cash flows'!C29-'Liability calculations'!O29+O28</f>
        <v>8.9583333333333286</v>
      </c>
      <c r="R29">
        <v>87.5</v>
      </c>
    </row>
    <row r="30" spans="1:18" x14ac:dyDescent="0.25">
      <c r="A30">
        <f t="shared" si="5"/>
        <v>24</v>
      </c>
      <c r="B30" s="8">
        <f>(B31+'Cash flows'!C31)/(1+monthly_discount_rate) + 'Cash flows'!D31-'Cash flows'!B31</f>
        <v>-164.87499999999989</v>
      </c>
      <c r="C30" s="8">
        <f>NPV(monthly_discount_rate,'Cash flows'!C31:$C$43)</f>
        <v>880.00000000000011</v>
      </c>
      <c r="E30" s="10">
        <f t="shared" si="0"/>
        <v>130.03571428571422</v>
      </c>
      <c r="F30" s="10">
        <f t="shared" si="2"/>
        <v>-34.839285714285666</v>
      </c>
      <c r="G30" s="9">
        <f>(F29+'Cash flows'!B30-'Cash flows'!D30)*(monthly_discount_rate)+'Cash flows'!B30-'Cash flows'!D30-'Cash flows'!C30-'Liability calculations'!F30+F29</f>
        <v>10.343749999999972</v>
      </c>
      <c r="H30" s="9"/>
      <c r="J30">
        <f t="shared" si="6"/>
        <v>24</v>
      </c>
      <c r="K30" s="8">
        <f t="shared" si="1"/>
        <v>0</v>
      </c>
      <c r="L30" s="12">
        <f>NPV(monthly_discount_rate,'Cash flows'!$B31:B$43)+K30</f>
        <v>1100</v>
      </c>
      <c r="N30" s="10">
        <f t="shared" si="3"/>
        <v>52.38095238095238</v>
      </c>
      <c r="O30" s="10">
        <f t="shared" si="4"/>
        <v>-52.38095238095238</v>
      </c>
      <c r="P30" s="9">
        <f>(O29+'Cash flows'!B30-'Cash flows'!D30)*(monthly_discount_rate)+'Cash flows'!B30-'Cash flows'!D30-'Cash flows'!C30-'Liability calculations'!O30+O29</f>
        <v>8.9583333333333357</v>
      </c>
      <c r="R30">
        <v>0</v>
      </c>
    </row>
    <row r="31" spans="1:18" x14ac:dyDescent="0.25">
      <c r="A31">
        <f t="shared" si="5"/>
        <v>25</v>
      </c>
      <c r="B31" s="8">
        <f>(B32+'Cash flows'!C32)/(1+monthly_discount_rate) + 'Cash flows'!D32-'Cash flows'!B32</f>
        <v>857.19791666666674</v>
      </c>
      <c r="C31" s="8">
        <f>NPV(monthly_discount_rate,'Cash flows'!C32:$C$43)</f>
        <v>806.66666666666674</v>
      </c>
      <c r="E31" s="10">
        <f t="shared" si="0"/>
        <v>119.19940476190469</v>
      </c>
      <c r="F31" s="10">
        <f t="shared" si="2"/>
        <v>976.39732142857144</v>
      </c>
      <c r="G31" s="9">
        <f>(F30+'Cash flows'!B31-'Cash flows'!D31)*(monthly_discount_rate)+'Cash flows'!B31-'Cash flows'!D31-'Cash flows'!C31-'Liability calculations'!F31+F30</f>
        <v>10.836309523809518</v>
      </c>
      <c r="H31" s="9"/>
      <c r="J31">
        <f t="shared" si="6"/>
        <v>25</v>
      </c>
      <c r="K31" s="8">
        <f t="shared" si="1"/>
        <v>1008.3333333333333</v>
      </c>
      <c r="L31" s="12">
        <f>NPV(monthly_discount_rate,'Cash flows'!$B32:B$43)+K31</f>
        <v>1008.3333333333333</v>
      </c>
      <c r="N31" s="10">
        <f t="shared" si="3"/>
        <v>48.015873015873012</v>
      </c>
      <c r="O31" s="10">
        <f t="shared" si="4"/>
        <v>960.31746031746025</v>
      </c>
      <c r="P31" s="9">
        <f>(O30+'Cash flows'!B31-'Cash flows'!D31)*(monthly_discount_rate)+'Cash flows'!B31-'Cash flows'!D31-'Cash flows'!C31-'Liability calculations'!O31+O30</f>
        <v>9.3745039682540039</v>
      </c>
      <c r="R31">
        <v>1008.3333333333333</v>
      </c>
    </row>
    <row r="32" spans="1:18" x14ac:dyDescent="0.25">
      <c r="A32">
        <f t="shared" si="5"/>
        <v>26</v>
      </c>
      <c r="B32" s="8">
        <f>(B33+'Cash flows'!C33)/(1+monthly_discount_rate) + 'Cash flows'!D33-'Cash flows'!B33</f>
        <v>779.27083333333337</v>
      </c>
      <c r="C32" s="8">
        <f>NPV(monthly_discount_rate,'Cash flows'!C33:$C$43)</f>
        <v>733.33333333333337</v>
      </c>
      <c r="E32" s="10">
        <f t="shared" si="0"/>
        <v>108.36309523809517</v>
      </c>
      <c r="F32" s="10">
        <f t="shared" si="2"/>
        <v>887.63392857142856</v>
      </c>
      <c r="G32" s="9">
        <f>(F31+'Cash flows'!B32-'Cash flows'!D32)*(monthly_discount_rate)+'Cash flows'!B32-'Cash flows'!D32-'Cash flows'!C32-'Liability calculations'!F32+F31</f>
        <v>10.836309523809518</v>
      </c>
      <c r="H32" s="9"/>
      <c r="J32">
        <f t="shared" si="6"/>
        <v>26</v>
      </c>
      <c r="K32" s="8">
        <f t="shared" si="1"/>
        <v>916.66666666666674</v>
      </c>
      <c r="L32" s="12">
        <f>NPV(monthly_discount_rate,'Cash flows'!$B33:B$43)+K32</f>
        <v>916.66666666666674</v>
      </c>
      <c r="N32" s="10">
        <f t="shared" si="3"/>
        <v>43.650793650793652</v>
      </c>
      <c r="O32" s="10">
        <f t="shared" si="4"/>
        <v>873.01587301587313</v>
      </c>
      <c r="P32" s="9">
        <f>(O31+'Cash flows'!B32-'Cash flows'!D32)*(monthly_discount_rate)+'Cash flows'!B32-'Cash flows'!D32-'Cash flows'!C32-'Liability calculations'!O32+O31</f>
        <v>9.3745039682537481</v>
      </c>
      <c r="R32">
        <v>916.66666666666674</v>
      </c>
    </row>
    <row r="33" spans="1:18" x14ac:dyDescent="0.25">
      <c r="A33">
        <f t="shared" si="5"/>
        <v>27</v>
      </c>
      <c r="B33" s="8">
        <f>(B34+'Cash flows'!C34)/(1+monthly_discount_rate) + 'Cash flows'!D34-'Cash flows'!B34</f>
        <v>701.34375</v>
      </c>
      <c r="C33" s="8">
        <f>NPV(monthly_discount_rate,'Cash flows'!C34:$C$43)</f>
        <v>660</v>
      </c>
      <c r="E33" s="10">
        <f t="shared" si="0"/>
        <v>97.526785714285637</v>
      </c>
      <c r="F33" s="10">
        <f t="shared" si="2"/>
        <v>798.87053571428567</v>
      </c>
      <c r="G33" s="9">
        <f>(F32+'Cash flows'!B33-'Cash flows'!D33)*(monthly_discount_rate)+'Cash flows'!B33-'Cash flows'!D33-'Cash flows'!C33-'Liability calculations'!F33+F32</f>
        <v>10.836309523809518</v>
      </c>
      <c r="H33" s="9"/>
      <c r="J33">
        <f t="shared" si="6"/>
        <v>27</v>
      </c>
      <c r="K33" s="8">
        <f t="shared" si="1"/>
        <v>825</v>
      </c>
      <c r="L33" s="12">
        <f>NPV(monthly_discount_rate,'Cash flows'!$B34:B$43)+K33</f>
        <v>825</v>
      </c>
      <c r="N33" s="10">
        <f t="shared" si="3"/>
        <v>39.285714285714285</v>
      </c>
      <c r="O33" s="10">
        <f t="shared" si="4"/>
        <v>785.71428571428567</v>
      </c>
      <c r="P33" s="9">
        <f>(O32+'Cash flows'!B33-'Cash flows'!D33)*(monthly_discount_rate)+'Cash flows'!B33-'Cash flows'!D33-'Cash flows'!C33-'Liability calculations'!O33+O32</f>
        <v>9.3745039682540892</v>
      </c>
      <c r="R33">
        <v>825</v>
      </c>
    </row>
    <row r="34" spans="1:18" x14ac:dyDescent="0.25">
      <c r="A34">
        <f t="shared" si="5"/>
        <v>28</v>
      </c>
      <c r="B34" s="8">
        <f>(B35+'Cash flows'!C35)/(1+monthly_discount_rate) + 'Cash flows'!D35-'Cash flows'!B35</f>
        <v>623.41666666666663</v>
      </c>
      <c r="C34" s="8">
        <f>NPV(monthly_discount_rate,'Cash flows'!C35:$C$43)</f>
        <v>586.66666666666663</v>
      </c>
      <c r="E34" s="10">
        <f t="shared" si="0"/>
        <v>86.690476190476119</v>
      </c>
      <c r="F34" s="10">
        <f t="shared" si="2"/>
        <v>710.10714285714278</v>
      </c>
      <c r="G34" s="9">
        <f>(F33+'Cash flows'!B34-'Cash flows'!D34)*(monthly_discount_rate)+'Cash flows'!B34-'Cash flows'!D34-'Cash flows'!C34-'Liability calculations'!F34+F33</f>
        <v>10.836309523809518</v>
      </c>
      <c r="H34" s="9"/>
      <c r="J34">
        <f t="shared" si="6"/>
        <v>28</v>
      </c>
      <c r="K34" s="8">
        <f t="shared" si="1"/>
        <v>733.33333333333326</v>
      </c>
      <c r="L34" s="12">
        <f>NPV(monthly_discount_rate,'Cash flows'!$B35:B$43)+K34</f>
        <v>733.33333333333326</v>
      </c>
      <c r="N34" s="10">
        <f t="shared" si="3"/>
        <v>34.920634920634917</v>
      </c>
      <c r="O34" s="10">
        <f t="shared" si="4"/>
        <v>698.41269841269832</v>
      </c>
      <c r="P34" s="9">
        <f>(O33+'Cash flows'!B34-'Cash flows'!D34)*(monthly_discount_rate)+'Cash flows'!B34-'Cash flows'!D34-'Cash flows'!C34-'Liability calculations'!O34+O33</f>
        <v>9.3745039682539755</v>
      </c>
      <c r="R34">
        <v>733.33333333333326</v>
      </c>
    </row>
    <row r="35" spans="1:18" x14ac:dyDescent="0.25">
      <c r="A35">
        <f t="shared" si="5"/>
        <v>29</v>
      </c>
      <c r="B35" s="8">
        <f>(B36+'Cash flows'!C36)/(1+monthly_discount_rate) + 'Cash flows'!D36-'Cash flows'!B36</f>
        <v>545.48958333333326</v>
      </c>
      <c r="C35" s="8">
        <f>NPV(monthly_discount_rate,'Cash flows'!C36:$C$43)</f>
        <v>513.33333333333326</v>
      </c>
      <c r="E35" s="10">
        <f t="shared" si="0"/>
        <v>75.8541666666666</v>
      </c>
      <c r="F35" s="10">
        <f t="shared" si="2"/>
        <v>621.34374999999989</v>
      </c>
      <c r="G35" s="9">
        <f>(F34+'Cash flows'!B35-'Cash flows'!D35)*(monthly_discount_rate)+'Cash flows'!B35-'Cash flows'!D35-'Cash flows'!C35-'Liability calculations'!F35+F34</f>
        <v>10.836309523809518</v>
      </c>
      <c r="H35" s="9"/>
      <c r="J35">
        <f t="shared" si="6"/>
        <v>29</v>
      </c>
      <c r="K35" s="8">
        <f t="shared" si="1"/>
        <v>641.66666666666674</v>
      </c>
      <c r="L35" s="12">
        <f>NPV(monthly_discount_rate,'Cash flows'!$B36:B$43)+K35</f>
        <v>641.66666666666674</v>
      </c>
      <c r="N35" s="10">
        <f t="shared" si="3"/>
        <v>30.555555555555557</v>
      </c>
      <c r="O35" s="10">
        <f t="shared" si="4"/>
        <v>611.1111111111112</v>
      </c>
      <c r="P35" s="9">
        <f>(O34+'Cash flows'!B35-'Cash flows'!D35)*(monthly_discount_rate)+'Cash flows'!B35-'Cash flows'!D35-'Cash flows'!C35-'Liability calculations'!O35+O34</f>
        <v>9.3745039682537481</v>
      </c>
      <c r="R35">
        <v>641.66666666666674</v>
      </c>
    </row>
    <row r="36" spans="1:18" x14ac:dyDescent="0.25">
      <c r="A36">
        <f t="shared" si="5"/>
        <v>30</v>
      </c>
      <c r="B36" s="8">
        <f>(B37+'Cash flows'!C37)/(1+monthly_discount_rate) + 'Cash flows'!D37-'Cash flows'!B37</f>
        <v>467.56249999999994</v>
      </c>
      <c r="C36" s="8">
        <f>NPV(monthly_discount_rate,'Cash flows'!C37:$C$43)</f>
        <v>439.99999999999994</v>
      </c>
      <c r="E36" s="10">
        <f t="shared" si="0"/>
        <v>65.017857142857082</v>
      </c>
      <c r="F36" s="10">
        <f t="shared" si="2"/>
        <v>532.580357142857</v>
      </c>
      <c r="G36" s="9">
        <f>(F35+'Cash flows'!B36-'Cash flows'!D36)*(monthly_discount_rate)+'Cash flows'!B36-'Cash flows'!D36-'Cash flows'!C36-'Liability calculations'!F36+F35</f>
        <v>10.836309523809518</v>
      </c>
      <c r="H36" s="9"/>
      <c r="J36">
        <f t="shared" si="6"/>
        <v>30</v>
      </c>
      <c r="K36" s="8">
        <f t="shared" si="1"/>
        <v>550</v>
      </c>
      <c r="L36" s="12">
        <f>NPV(monthly_discount_rate,'Cash flows'!$B37:B$43)+K36</f>
        <v>550</v>
      </c>
      <c r="N36" s="10">
        <f t="shared" si="3"/>
        <v>26.19047619047619</v>
      </c>
      <c r="O36" s="10">
        <f t="shared" si="4"/>
        <v>523.80952380952385</v>
      </c>
      <c r="P36" s="9">
        <f>(O35+'Cash flows'!B36-'Cash flows'!D36)*(monthly_discount_rate)+'Cash flows'!B36-'Cash flows'!D36-'Cash flows'!C36-'Liability calculations'!O36+O35</f>
        <v>9.3745039682539755</v>
      </c>
      <c r="R36">
        <v>550</v>
      </c>
    </row>
    <row r="37" spans="1:18" x14ac:dyDescent="0.25">
      <c r="A37">
        <f t="shared" si="5"/>
        <v>31</v>
      </c>
      <c r="B37" s="8">
        <f>(B38+'Cash flows'!C38)/(1+monthly_discount_rate) + 'Cash flows'!D38-'Cash flows'!B38</f>
        <v>389.63541666666663</v>
      </c>
      <c r="C37" s="8">
        <f>NPV(monthly_discount_rate,'Cash flows'!C38:$C$43)</f>
        <v>366.66666666666663</v>
      </c>
      <c r="E37" s="10">
        <f t="shared" si="0"/>
        <v>54.181547619047571</v>
      </c>
      <c r="F37" s="10">
        <f t="shared" si="2"/>
        <v>443.81696428571422</v>
      </c>
      <c r="G37" s="9">
        <f>(F36+'Cash flows'!B37-'Cash flows'!D37)*(monthly_discount_rate)+'Cash flows'!B37-'Cash flows'!D37-'Cash flows'!C37-'Liability calculations'!F37+F36</f>
        <v>10.836309523809405</v>
      </c>
      <c r="H37" s="9"/>
      <c r="J37">
        <f t="shared" si="6"/>
        <v>31</v>
      </c>
      <c r="K37" s="8">
        <f t="shared" si="1"/>
        <v>458.33333333333337</v>
      </c>
      <c r="L37" s="12">
        <f>NPV(monthly_discount_rate,'Cash flows'!$B38:B$43)+K37</f>
        <v>458.33333333333337</v>
      </c>
      <c r="N37" s="10">
        <f t="shared" si="3"/>
        <v>21.825396825396826</v>
      </c>
      <c r="O37" s="10">
        <f t="shared" si="4"/>
        <v>436.50793650793656</v>
      </c>
      <c r="P37" s="9">
        <f>(O36+'Cash flows'!B37-'Cash flows'!D37)*(monthly_discount_rate)+'Cash flows'!B37-'Cash flows'!D37-'Cash flows'!C37-'Liability calculations'!O37+O36</f>
        <v>9.3745039682539755</v>
      </c>
      <c r="R37">
        <v>458.33333333333337</v>
      </c>
    </row>
    <row r="38" spans="1:18" x14ac:dyDescent="0.25">
      <c r="A38">
        <f t="shared" si="5"/>
        <v>32</v>
      </c>
      <c r="B38" s="8">
        <f>(B39+'Cash flows'!C39)/(1+monthly_discount_rate) + 'Cash flows'!D39-'Cash flows'!B39</f>
        <v>311.70833333333331</v>
      </c>
      <c r="C38" s="8">
        <f>NPV(monthly_discount_rate,'Cash flows'!C39:$C$43)</f>
        <v>293.33333333333331</v>
      </c>
      <c r="E38" s="10">
        <f t="shared" si="0"/>
        <v>43.345238095238059</v>
      </c>
      <c r="F38" s="10">
        <f t="shared" si="2"/>
        <v>355.05357142857139</v>
      </c>
      <c r="G38" s="9">
        <f>(F37+'Cash flows'!B38-'Cash flows'!D38)*(monthly_discount_rate)+'Cash flows'!B38-'Cash flows'!D38-'Cash flows'!C38-'Liability calculations'!F38+F37</f>
        <v>10.836309523809518</v>
      </c>
      <c r="H38" s="9"/>
      <c r="J38">
        <f t="shared" si="6"/>
        <v>32</v>
      </c>
      <c r="K38" s="8">
        <f t="shared" si="1"/>
        <v>366.66666666666663</v>
      </c>
      <c r="L38" s="12">
        <f>NPV(monthly_discount_rate,'Cash flows'!$B39:B$43)+K38</f>
        <v>366.66666666666663</v>
      </c>
      <c r="N38" s="10">
        <f t="shared" si="3"/>
        <v>17.460317460317459</v>
      </c>
      <c r="O38" s="10">
        <f t="shared" si="4"/>
        <v>349.20634920634916</v>
      </c>
      <c r="P38" s="9">
        <f>(O37+'Cash flows'!B38-'Cash flows'!D38)*(monthly_discount_rate)+'Cash flows'!B38-'Cash flows'!D38-'Cash flows'!C38-'Liability calculations'!O38+O37</f>
        <v>9.3745039682540892</v>
      </c>
      <c r="R38">
        <v>366.66666666666663</v>
      </c>
    </row>
    <row r="39" spans="1:18" x14ac:dyDescent="0.25">
      <c r="A39">
        <f t="shared" si="5"/>
        <v>33</v>
      </c>
      <c r="B39" s="8">
        <f>(B40+'Cash flows'!C40)/(1+monthly_discount_rate) + 'Cash flows'!D40-'Cash flows'!B40</f>
        <v>233.78125</v>
      </c>
      <c r="C39" s="8">
        <f>NPV(monthly_discount_rate,'Cash flows'!C40:$C$43)</f>
        <v>220</v>
      </c>
      <c r="E39" s="10">
        <f t="shared" si="0"/>
        <v>32.508928571428548</v>
      </c>
      <c r="F39" s="10">
        <f t="shared" si="2"/>
        <v>266.29017857142856</v>
      </c>
      <c r="G39" s="9">
        <f>(F38+'Cash flows'!B39-'Cash flows'!D39)*(monthly_discount_rate)+'Cash flows'!B39-'Cash flows'!D39-'Cash flows'!C39-'Liability calculations'!F39+F38</f>
        <v>10.836309523809518</v>
      </c>
      <c r="H39" s="9"/>
      <c r="J39">
        <f t="shared" si="6"/>
        <v>33</v>
      </c>
      <c r="K39" s="8">
        <f t="shared" si="1"/>
        <v>275</v>
      </c>
      <c r="L39" s="12">
        <f>NPV(monthly_discount_rate,'Cash flows'!$B40:B$43)+K39</f>
        <v>275</v>
      </c>
      <c r="N39" s="10">
        <f t="shared" si="3"/>
        <v>13.095238095238095</v>
      </c>
      <c r="O39" s="10">
        <f t="shared" si="4"/>
        <v>261.90476190476193</v>
      </c>
      <c r="P39" s="9">
        <f>(O38+'Cash flows'!B39-'Cash flows'!D39)*(monthly_discount_rate)+'Cash flows'!B39-'Cash flows'!D39-'Cash flows'!C39-'Liability calculations'!O39+O38</f>
        <v>9.3745039682539186</v>
      </c>
      <c r="R39">
        <v>275</v>
      </c>
    </row>
    <row r="40" spans="1:18" x14ac:dyDescent="0.25">
      <c r="A40">
        <f t="shared" si="5"/>
        <v>34</v>
      </c>
      <c r="B40" s="8">
        <f>(B41+'Cash flows'!C41)/(1+monthly_discount_rate) + 'Cash flows'!D41-'Cash flows'!B41</f>
        <v>155.85416666666666</v>
      </c>
      <c r="C40" s="8">
        <f>NPV(monthly_discount_rate,'Cash flows'!C41:$C$43)</f>
        <v>146.66666666666666</v>
      </c>
      <c r="E40" s="10">
        <f t="shared" si="0"/>
        <v>21.67261904761903</v>
      </c>
      <c r="F40" s="10">
        <f t="shared" si="2"/>
        <v>177.52678571428569</v>
      </c>
      <c r="G40" s="9">
        <f>(F39+'Cash flows'!B40-'Cash flows'!D40)*(monthly_discount_rate)+'Cash flows'!B40-'Cash flows'!D40-'Cash flows'!C40-'Liability calculations'!F40+F39</f>
        <v>10.836309523809518</v>
      </c>
      <c r="H40" s="9"/>
      <c r="J40">
        <f t="shared" si="6"/>
        <v>34</v>
      </c>
      <c r="K40" s="8">
        <f t="shared" si="1"/>
        <v>183.33333333333331</v>
      </c>
      <c r="L40" s="12">
        <f>NPV(monthly_discount_rate,'Cash flows'!$B41:B$43)+K40</f>
        <v>183.33333333333331</v>
      </c>
      <c r="N40" s="10">
        <f t="shared" si="3"/>
        <v>8.7301587301587293</v>
      </c>
      <c r="O40" s="10">
        <f t="shared" si="4"/>
        <v>174.60317460317458</v>
      </c>
      <c r="P40" s="9">
        <f>(O39+'Cash flows'!B40-'Cash flows'!D40)*(monthly_discount_rate)+'Cash flows'!B40-'Cash flows'!D40-'Cash flows'!C40-'Liability calculations'!O40+O39</f>
        <v>9.3745039682540323</v>
      </c>
      <c r="R40">
        <v>183.33333333333331</v>
      </c>
    </row>
    <row r="41" spans="1:18" x14ac:dyDescent="0.25">
      <c r="A41">
        <f t="shared" si="5"/>
        <v>35</v>
      </c>
      <c r="B41" s="8">
        <f>(B42+'Cash flows'!C42)/(1+monthly_discount_rate) + 'Cash flows'!D42-'Cash flows'!B42</f>
        <v>77.927083333333329</v>
      </c>
      <c r="C41" s="8">
        <f>NPV(monthly_discount_rate,'Cash flows'!C42:$C$43)</f>
        <v>73.333333333333329</v>
      </c>
      <c r="E41" s="10">
        <f t="shared" si="0"/>
        <v>10.836309523809515</v>
      </c>
      <c r="F41" s="10">
        <f t="shared" si="2"/>
        <v>88.763392857142847</v>
      </c>
      <c r="G41" s="9">
        <f>(F40+'Cash flows'!B41-'Cash flows'!D41)*(monthly_discount_rate)+'Cash flows'!B41-'Cash flows'!D41-'Cash flows'!C41-'Liability calculations'!F41+F40</f>
        <v>10.836309523809518</v>
      </c>
      <c r="H41" s="9"/>
      <c r="J41">
        <f t="shared" si="6"/>
        <v>35</v>
      </c>
      <c r="K41" s="8">
        <f t="shared" si="1"/>
        <v>91.666666666666657</v>
      </c>
      <c r="L41" s="12">
        <f>NPV(monthly_discount_rate,'Cash flows'!$B42:B$43)+K41</f>
        <v>91.666666666666657</v>
      </c>
      <c r="N41" s="10">
        <f t="shared" si="3"/>
        <v>4.3650793650793647</v>
      </c>
      <c r="O41" s="10">
        <f t="shared" si="4"/>
        <v>87.30158730158729</v>
      </c>
      <c r="P41" s="9">
        <f>(O40+'Cash flows'!B41-'Cash flows'!D41)*(monthly_discount_rate)+'Cash flows'!B41-'Cash flows'!D41-'Cash flows'!C41-'Liability calculations'!O41+O40</f>
        <v>9.3745039682539755</v>
      </c>
      <c r="R41">
        <v>91.666666666666657</v>
      </c>
    </row>
    <row r="42" spans="1:18" x14ac:dyDescent="0.25">
      <c r="A42">
        <f t="shared" si="5"/>
        <v>36</v>
      </c>
      <c r="B42" s="8">
        <f>(B43+'Cash flows'!C43)/(1+monthly_discount_rate) + 'Cash flows'!D43-'Cash flows'!B43</f>
        <v>0</v>
      </c>
      <c r="C42" s="8">
        <f>NPV(monthly_discount_rate,'Cash flows'!C43:$C$43)</f>
        <v>0</v>
      </c>
      <c r="E42" s="10">
        <f t="shared" si="0"/>
        <v>0</v>
      </c>
      <c r="F42" s="10">
        <f t="shared" si="2"/>
        <v>0</v>
      </c>
      <c r="G42" s="9">
        <f>(F41+'Cash flows'!B42-'Cash flows'!D42)*(monthly_discount_rate)+'Cash flows'!B42-'Cash flows'!D42-'Cash flows'!C42-'Liability calculations'!F42+F41</f>
        <v>10.836309523809518</v>
      </c>
      <c r="H42" s="9"/>
      <c r="J42">
        <f t="shared" si="6"/>
        <v>36</v>
      </c>
      <c r="K42" s="8">
        <f t="shared" si="1"/>
        <v>0</v>
      </c>
      <c r="L42" s="12">
        <f>NPV(monthly_discount_rate,'Cash flows'!$B43:B$43)+K42</f>
        <v>0</v>
      </c>
      <c r="N42" s="10">
        <f t="shared" si="3"/>
        <v>0</v>
      </c>
      <c r="O42" s="10">
        <f t="shared" si="4"/>
        <v>0</v>
      </c>
      <c r="P42" s="9">
        <f>(O41+'Cash flows'!B42-'Cash flows'!D42)*(monthly_discount_rate)+'Cash flows'!B42-'Cash flows'!D42-'Cash flows'!C42-'Liability calculations'!O42+O41</f>
        <v>9.3745039682539613</v>
      </c>
      <c r="R4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workbookViewId="0">
      <selection activeCell="I9" sqref="I9"/>
    </sheetView>
  </sheetViews>
  <sheetFormatPr defaultRowHeight="15" x14ac:dyDescent="0.25"/>
  <sheetData>
    <row r="3" spans="2:11" x14ac:dyDescent="0.25">
      <c r="B3" t="s">
        <v>51</v>
      </c>
    </row>
    <row r="4" spans="2:11" x14ac:dyDescent="0.25">
      <c r="B4" t="s">
        <v>48</v>
      </c>
    </row>
    <row r="6" spans="2:11" x14ac:dyDescent="0.25">
      <c r="B6" s="23" t="s">
        <v>46</v>
      </c>
    </row>
    <row r="7" spans="2:11" ht="25.5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42</v>
      </c>
      <c r="H7" s="14" t="s">
        <v>43</v>
      </c>
      <c r="I7" s="14" t="s">
        <v>44</v>
      </c>
      <c r="J7" s="14" t="s">
        <v>5</v>
      </c>
      <c r="K7" s="14" t="s">
        <v>6</v>
      </c>
    </row>
    <row r="8" spans="2:11" x14ac:dyDescent="0.25">
      <c r="B8" s="21">
        <v>0</v>
      </c>
      <c r="C8" s="16"/>
      <c r="D8" s="16"/>
      <c r="E8" s="16"/>
      <c r="F8" s="16"/>
      <c r="G8" s="16">
        <f>'Liability calculations'!C6</f>
        <v>2520.0000000000005</v>
      </c>
      <c r="H8" s="16">
        <f>'Liability calculations'!B6</f>
        <v>-372.37499999999977</v>
      </c>
      <c r="I8" s="16">
        <f>'Liability calculations'!E6</f>
        <v>372.37499999999977</v>
      </c>
      <c r="J8" s="16">
        <f>'Liability calculations'!F6</f>
        <v>0</v>
      </c>
      <c r="K8" s="19"/>
    </row>
    <row r="9" spans="2:11" x14ac:dyDescent="0.25">
      <c r="B9" s="22">
        <v>6</v>
      </c>
      <c r="C9" s="18">
        <f>SUM('Cash flows'!B7:B12)</f>
        <v>1000</v>
      </c>
      <c r="D9" s="18">
        <f>SUM('Cash flows'!C7:C12)</f>
        <v>400.00000000000006</v>
      </c>
      <c r="E9" s="18">
        <f>SUM('Cash flows'!D7:D12)</f>
        <v>150</v>
      </c>
      <c r="F9" s="18">
        <f>SUM('Cash flows'!E7:E12)</f>
        <v>450.00000000000017</v>
      </c>
      <c r="G9" s="18">
        <f>'Liability calculations'!C12</f>
        <v>2119.9999999999991</v>
      </c>
      <c r="H9" s="18">
        <f>'Liability calculations'!B12</f>
        <v>77.625000000000171</v>
      </c>
      <c r="I9" s="18">
        <f>'Liability calculations'!E12</f>
        <v>313.26785714285677</v>
      </c>
      <c r="J9" s="18">
        <f>'Liability calculations'!F12</f>
        <v>390.89285714285694</v>
      </c>
      <c r="K9" s="20">
        <f>SUM('Liability calculations'!G7:G12)</f>
        <v>59.107142857143174</v>
      </c>
    </row>
    <row r="10" spans="2:11" x14ac:dyDescent="0.25">
      <c r="B10" s="21">
        <v>12</v>
      </c>
      <c r="C10" s="16">
        <f>SUM('Cash flows'!B13:B18)</f>
        <v>0</v>
      </c>
      <c r="D10" s="16">
        <f>SUM('Cash flows'!C13:C18)</f>
        <v>400.00000000000006</v>
      </c>
      <c r="E10" s="16">
        <f>SUM('Cash flows'!D13:D18)</f>
        <v>0</v>
      </c>
      <c r="F10" s="16">
        <f>SUM('Cash flows'!E13:E18)</f>
        <v>-400.00000000000006</v>
      </c>
      <c r="G10" s="16">
        <f>'Liability calculations'!C18</f>
        <v>1719.9999999999993</v>
      </c>
      <c r="H10" s="16">
        <f>'Liability calculations'!B18</f>
        <v>-322.37499999999989</v>
      </c>
      <c r="I10" s="16">
        <f>'Liability calculations'!E18</f>
        <v>254.16071428571399</v>
      </c>
      <c r="J10" s="16">
        <f>'Liability calculations'!F18</f>
        <v>-68.214285714285893</v>
      </c>
      <c r="K10" s="19">
        <f>SUM('Liability calculations'!G13:G18)</f>
        <v>59.107142857142776</v>
      </c>
    </row>
    <row r="11" spans="2:11" x14ac:dyDescent="0.25">
      <c r="B11" s="22">
        <v>18</v>
      </c>
      <c r="C11" s="18">
        <f>SUM('Cash flows'!B19:B24)</f>
        <v>1050</v>
      </c>
      <c r="D11" s="18">
        <f>SUM('Cash flows'!C19:C24)</f>
        <v>420</v>
      </c>
      <c r="E11" s="18">
        <f>SUM('Cash flows'!D19:D24)</f>
        <v>26.25</v>
      </c>
      <c r="F11" s="18">
        <f>SUM('Cash flows'!E19:E24)</f>
        <v>603.75</v>
      </c>
      <c r="G11" s="18">
        <f>'Liability calculations'!C24</f>
        <v>1300</v>
      </c>
      <c r="H11" s="18">
        <f>'Liability calculations'!B24</f>
        <v>281.37500000000011</v>
      </c>
      <c r="I11" s="18">
        <f>'Liability calculations'!E24</f>
        <v>192.09821428571414</v>
      </c>
      <c r="J11" s="18">
        <f>'Liability calculations'!F24</f>
        <v>473.47321428571422</v>
      </c>
      <c r="K11" s="20">
        <f>SUM('Liability calculations'!G19:G24)</f>
        <v>62.062499999999886</v>
      </c>
    </row>
    <row r="12" spans="2:11" x14ac:dyDescent="0.25">
      <c r="B12" s="21">
        <v>24</v>
      </c>
      <c r="C12" s="15">
        <f>SUM('Cash flows'!B25:B30)</f>
        <v>0</v>
      </c>
      <c r="D12" s="15">
        <f>SUM('Cash flows'!C25:C30)</f>
        <v>420</v>
      </c>
      <c r="E12" s="16">
        <f>SUM('Cash flows'!D25:D30)</f>
        <v>26.25</v>
      </c>
      <c r="F12" s="16">
        <f>SUM('Cash flows'!E25:E30)</f>
        <v>-446.25</v>
      </c>
      <c r="G12" s="16">
        <f>'Liability calculations'!C30</f>
        <v>880.00000000000011</v>
      </c>
      <c r="H12" s="16">
        <f>'Liability calculations'!B30</f>
        <v>-164.87499999999989</v>
      </c>
      <c r="I12" s="16">
        <f>'Liability calculations'!E30</f>
        <v>130.03571428571422</v>
      </c>
      <c r="J12" s="16">
        <f>'Liability calculations'!F30</f>
        <v>-34.839285714285666</v>
      </c>
      <c r="K12" s="19">
        <f>SUM('Liability calculations'!G25:G30)</f>
        <v>62.062499999999858</v>
      </c>
    </row>
    <row r="13" spans="2:11" x14ac:dyDescent="0.25">
      <c r="B13" s="22">
        <v>30</v>
      </c>
      <c r="C13" s="17">
        <f>SUM('Cash flows'!B31:B36)</f>
        <v>1100</v>
      </c>
      <c r="D13" s="17">
        <f>SUM('Cash flows'!C31:C36)</f>
        <v>439.99999999999994</v>
      </c>
      <c r="E13" s="18">
        <f>SUM('Cash flows'!D31:D36)</f>
        <v>27.5625</v>
      </c>
      <c r="F13" s="18">
        <f>SUM('Cash flows'!E31:E36)</f>
        <v>632.43749999999989</v>
      </c>
      <c r="G13" s="18">
        <f>'Liability calculations'!C36</f>
        <v>439.99999999999994</v>
      </c>
      <c r="H13" s="18">
        <f>'Liability calculations'!B36</f>
        <v>467.56249999999994</v>
      </c>
      <c r="I13" s="18">
        <f>'Liability calculations'!E36</f>
        <v>65.017857142857082</v>
      </c>
      <c r="J13" s="18">
        <f>'Liability calculations'!F36</f>
        <v>532.580357142857</v>
      </c>
      <c r="K13" s="20">
        <f>SUM('Liability calculations'!G31:G36)</f>
        <v>65.01785714285711</v>
      </c>
    </row>
    <row r="14" spans="2:11" x14ac:dyDescent="0.25">
      <c r="B14" s="21">
        <v>36</v>
      </c>
      <c r="C14" s="15">
        <f>SUM('Cash flows'!B37:B42)</f>
        <v>0</v>
      </c>
      <c r="D14" s="15">
        <f>SUM('Cash flows'!C37:C42)</f>
        <v>439.99999999999994</v>
      </c>
      <c r="E14" s="16">
        <f>SUM('Cash flows'!D37:D42)</f>
        <v>27.5625</v>
      </c>
      <c r="F14" s="16">
        <f>SUM('Cash flows'!E37:E42)</f>
        <v>-467.56249999999994</v>
      </c>
      <c r="G14" s="16">
        <f>'Liability calculations'!C42</f>
        <v>0</v>
      </c>
      <c r="H14" s="16">
        <f>'Liability calculations'!B42</f>
        <v>0</v>
      </c>
      <c r="I14" s="16">
        <f>'Liability calculations'!E42</f>
        <v>0</v>
      </c>
      <c r="J14" s="16">
        <f>'Liability calculations'!F42</f>
        <v>0</v>
      </c>
      <c r="K14" s="19">
        <f>SUM('Liability calculations'!G37:G42)</f>
        <v>65.017857142856997</v>
      </c>
    </row>
    <row r="18" spans="2:11" x14ac:dyDescent="0.25">
      <c r="B18" s="23" t="s">
        <v>45</v>
      </c>
    </row>
    <row r="19" spans="2:11" ht="25.5" x14ac:dyDescent="0.25">
      <c r="B19" s="13" t="s">
        <v>26</v>
      </c>
      <c r="C19" s="14" t="s">
        <v>1</v>
      </c>
      <c r="D19" s="14" t="s">
        <v>2</v>
      </c>
      <c r="E19" s="14" t="s">
        <v>3</v>
      </c>
      <c r="F19" s="14" t="s">
        <v>4</v>
      </c>
      <c r="G19" s="14" t="s">
        <v>7</v>
      </c>
      <c r="H19" s="14" t="s">
        <v>8</v>
      </c>
      <c r="I19" s="14" t="s">
        <v>9</v>
      </c>
      <c r="J19" s="14" t="s">
        <v>5</v>
      </c>
      <c r="K19" s="14" t="s">
        <v>6</v>
      </c>
    </row>
    <row r="20" spans="2:11" x14ac:dyDescent="0.25">
      <c r="B20" s="15">
        <v>0</v>
      </c>
      <c r="C20" s="15"/>
      <c r="D20" s="15"/>
      <c r="E20" s="15"/>
      <c r="F20" s="15"/>
      <c r="G20" s="16">
        <f>'Liability calculations'!K6</f>
        <v>0</v>
      </c>
      <c r="H20" s="16">
        <f>'Liability calculations'!L6</f>
        <v>3150</v>
      </c>
      <c r="I20" s="16">
        <f>'Liability calculations'!N6</f>
        <v>150</v>
      </c>
      <c r="J20" s="16">
        <f>'Liability calculations'!O6</f>
        <v>-150</v>
      </c>
      <c r="K20" s="19"/>
    </row>
    <row r="21" spans="2:11" x14ac:dyDescent="0.25">
      <c r="B21" s="17">
        <v>6</v>
      </c>
      <c r="C21" s="18">
        <f>SUM('Cash flows'!B7:B12)</f>
        <v>1000</v>
      </c>
      <c r="D21" s="18">
        <f>SUM('Cash flows'!C7:C12)</f>
        <v>400.00000000000006</v>
      </c>
      <c r="E21" s="18">
        <f>SUM('Cash flows'!D7:D12)</f>
        <v>150</v>
      </c>
      <c r="F21" s="18">
        <f>SUM('Cash flows'!E7:E12)</f>
        <v>450.00000000000017</v>
      </c>
      <c r="G21" s="18">
        <f>'Liability calculations'!K12</f>
        <v>500</v>
      </c>
      <c r="H21" s="18">
        <f>'Liability calculations'!L12</f>
        <v>2650</v>
      </c>
      <c r="I21" s="18">
        <f>'Liability calculations'!N12</f>
        <v>126.19047619047619</v>
      </c>
      <c r="J21" s="18">
        <f>'Liability calculations'!O12</f>
        <v>373.8095238095238</v>
      </c>
      <c r="K21" s="20">
        <f>SUM('Liability calculations'!P6:P12)</f>
        <v>76.190476190476375</v>
      </c>
    </row>
    <row r="22" spans="2:11" x14ac:dyDescent="0.25">
      <c r="B22" s="15">
        <v>12</v>
      </c>
      <c r="C22" s="16">
        <f>SUM('Cash flows'!B13:B18)</f>
        <v>0</v>
      </c>
      <c r="D22" s="16">
        <f>SUM('Cash flows'!C13:C18)</f>
        <v>400.00000000000006</v>
      </c>
      <c r="E22" s="16">
        <f>SUM('Cash flows'!D13:D18)</f>
        <v>0</v>
      </c>
      <c r="F22" s="16">
        <f>SUM('Cash flows'!E13:E18)</f>
        <v>-400.00000000000006</v>
      </c>
      <c r="G22" s="16">
        <f>'Liability calculations'!K18</f>
        <v>0</v>
      </c>
      <c r="H22" s="16">
        <f>'Liability calculations'!L18</f>
        <v>2150</v>
      </c>
      <c r="I22" s="16">
        <f>'Liability calculations'!N18</f>
        <v>102.38095238095238</v>
      </c>
      <c r="J22" s="16">
        <f>'Liability calculations'!O18</f>
        <v>-102.38095238095238</v>
      </c>
      <c r="K22" s="19">
        <f>SUM('Liability calculations'!P13:P18)</f>
        <v>76.190476190476105</v>
      </c>
    </row>
    <row r="23" spans="2:11" x14ac:dyDescent="0.25">
      <c r="B23" s="17">
        <v>18</v>
      </c>
      <c r="C23" s="18">
        <f>SUM('Cash flows'!B19:B24)</f>
        <v>1050</v>
      </c>
      <c r="D23" s="18">
        <f>SUM('Cash flows'!C19:C24)</f>
        <v>420</v>
      </c>
      <c r="E23" s="18">
        <f>SUM('Cash flows'!D19:D24)</f>
        <v>26.25</v>
      </c>
      <c r="F23" s="18">
        <f>SUM('Cash flows'!E19:E24)</f>
        <v>603.75</v>
      </c>
      <c r="G23" s="18">
        <f>'Liability calculations'!K24</f>
        <v>525</v>
      </c>
      <c r="H23" s="18">
        <f>'Liability calculations'!L24</f>
        <v>1625</v>
      </c>
      <c r="I23" s="18">
        <f>'Liability calculations'!N24</f>
        <v>77.38095238095238</v>
      </c>
      <c r="J23" s="18">
        <f>'Liability calculations'!O24</f>
        <v>447.61904761904759</v>
      </c>
      <c r="K23" s="20">
        <f>SUM('Liability calculations'!P19:P24)</f>
        <v>53.750000000000028</v>
      </c>
    </row>
    <row r="24" spans="2:11" x14ac:dyDescent="0.25">
      <c r="B24" s="15">
        <v>24</v>
      </c>
      <c r="C24" s="15">
        <f>SUM('Cash flows'!B25:B30)</f>
        <v>0</v>
      </c>
      <c r="D24" s="15">
        <f>SUM('Cash flows'!C25:C30)</f>
        <v>420</v>
      </c>
      <c r="E24" s="16">
        <f>SUM('Cash flows'!D25:D30)</f>
        <v>26.25</v>
      </c>
      <c r="F24" s="16">
        <f>SUM('Cash flows'!E25:E30)</f>
        <v>-446.25</v>
      </c>
      <c r="G24" s="16">
        <f>'Liability calculations'!K30</f>
        <v>0</v>
      </c>
      <c r="H24" s="16">
        <f>'Liability calculations'!L30</f>
        <v>1100</v>
      </c>
      <c r="I24" s="16">
        <f>'Liability calculations'!N30</f>
        <v>52.38095238095238</v>
      </c>
      <c r="J24" s="16">
        <f>'Liability calculations'!O30</f>
        <v>-52.38095238095238</v>
      </c>
      <c r="K24" s="19">
        <f>SUM('Liability calculations'!P25:P30)</f>
        <v>53.750000000000007</v>
      </c>
    </row>
    <row r="25" spans="2:11" x14ac:dyDescent="0.25">
      <c r="B25" s="17">
        <v>30</v>
      </c>
      <c r="C25" s="17">
        <f>SUM('Cash flows'!B31:B36)</f>
        <v>1100</v>
      </c>
      <c r="D25" s="17">
        <f>SUM('Cash flows'!C31:C36)</f>
        <v>439.99999999999994</v>
      </c>
      <c r="E25" s="18">
        <f>SUM('Cash flows'!D31:D36)</f>
        <v>27.5625</v>
      </c>
      <c r="F25" s="18">
        <f>SUM('Cash flows'!E31:E36)</f>
        <v>632.43749999999989</v>
      </c>
      <c r="G25" s="18">
        <f>'Liability calculations'!K36</f>
        <v>550</v>
      </c>
      <c r="H25" s="18">
        <f>'Liability calculations'!L36</f>
        <v>550</v>
      </c>
      <c r="I25" s="18">
        <f>'Liability calculations'!N36</f>
        <v>26.19047619047619</v>
      </c>
      <c r="J25" s="18">
        <f>'Liability calculations'!O36</f>
        <v>523.80952380952385</v>
      </c>
      <c r="K25" s="20">
        <f>SUM('Liability calculations'!P31:P36)</f>
        <v>56.24702380952354</v>
      </c>
    </row>
    <row r="26" spans="2:11" x14ac:dyDescent="0.25">
      <c r="B26" s="15">
        <v>36</v>
      </c>
      <c r="C26" s="15">
        <f>SUM('Cash flows'!B37:B42)</f>
        <v>0</v>
      </c>
      <c r="D26" s="15">
        <f>SUM('Cash flows'!C37:C42)</f>
        <v>439.99999999999994</v>
      </c>
      <c r="E26" s="16">
        <f>SUM('Cash flows'!D37:D42)</f>
        <v>27.5625</v>
      </c>
      <c r="F26" s="16">
        <f>SUM('Cash flows'!E37:E42)</f>
        <v>-467.56249999999994</v>
      </c>
      <c r="G26" s="16">
        <f>'Liability calculations'!K42</f>
        <v>0</v>
      </c>
      <c r="H26" s="16">
        <f>'Liability calculations'!L42</f>
        <v>0</v>
      </c>
      <c r="I26" s="16">
        <f>'Liability calculations'!N42</f>
        <v>0</v>
      </c>
      <c r="J26" s="16">
        <f>'Liability calculations'!O42</f>
        <v>0</v>
      </c>
      <c r="K26" s="19">
        <f>SUM('Liability calculations'!P37:P42)</f>
        <v>56.247023809523952</v>
      </c>
    </row>
  </sheetData>
  <pageMargins left="0.7" right="0.7" top="0.75" bottom="0.75" header="0.3" footer="0.3"/>
  <pageSetup orientation="portrait" r:id="rId1"/>
  <ignoredErrors>
    <ignoredError sqref="H8 H9:H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Notes</vt:lpstr>
      <vt:lpstr>Data</vt:lpstr>
      <vt:lpstr>Assumptions</vt:lpstr>
      <vt:lpstr>Cash flows</vt:lpstr>
      <vt:lpstr>Liability calculations</vt:lpstr>
      <vt:lpstr>Tables</vt:lpstr>
      <vt:lpstr>Tables!_Ref530060326</vt:lpstr>
      <vt:lpstr>Tables!_Ref530060337</vt:lpstr>
      <vt:lpstr>acquisition_recovery</vt:lpstr>
      <vt:lpstr>claim_rate</vt:lpstr>
      <vt:lpstr>discount_rate</vt:lpstr>
      <vt:lpstr>initial_expense</vt:lpstr>
      <vt:lpstr>initial_premium</vt:lpstr>
      <vt:lpstr>monthly_discount_rate</vt:lpstr>
      <vt:lpstr>premium_inflation</vt:lpstr>
      <vt:lpstr>Profit_margin</vt:lpstr>
      <vt:lpstr>renewal_expense</vt:lpstr>
      <vt:lpstr>renewal_expense_inflation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Holstein</dc:creator>
  <cp:lastModifiedBy>Zhu, Vincent</cp:lastModifiedBy>
  <dcterms:created xsi:type="dcterms:W3CDTF">2018-11-20T03:25:02Z</dcterms:created>
  <dcterms:modified xsi:type="dcterms:W3CDTF">2020-03-15T12:57:13Z</dcterms:modified>
</cp:coreProperties>
</file>