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N:\Course Development\Fellowship\LIaR Modules\Life Insurance Applications\2019 Development\M7 - Valuation Cycle\Working Version\M7_Case Studies\"/>
    </mc:Choice>
  </mc:AlternateContent>
  <xr:revisionPtr revIDLastSave="0" documentId="13_ncr:1_{C58B9FBD-EB00-47A9-8073-4DC46E524E49}" xr6:coauthVersionLast="41" xr6:coauthVersionMax="41" xr10:uidLastSave="{00000000-0000-0000-0000-000000000000}"/>
  <bookViews>
    <workbookView xWindow="-120" yWindow="-120" windowWidth="19440" windowHeight="9165" xr2:uid="{00000000-000D-0000-FFFF-FFFF00000000}"/>
  </bookViews>
  <sheets>
    <sheet name="Notes" sheetId="11" r:id="rId1"/>
    <sheet name="Input ==&gt;" sheetId="12" r:id="rId2"/>
    <sheet name="Assumptions" sheetId="14" r:id="rId3"/>
    <sheet name="Calculations ==&gt;" sheetId="13" r:id="rId4"/>
    <sheet name="CB" sheetId="5" r:id="rId5"/>
    <sheet name="IRC" sheetId="4" r:id="rId6"/>
    <sheet name="ARC" sheetId="6" r:id="rId7"/>
    <sheet name="AB" sheetId="10" r:id="rId8"/>
    <sheet name="CSS" sheetId="8" r:id="rId9"/>
    <sheet name="ORC" sheetId="7" r:id="rId10"/>
    <sheet name="PCR" sheetId="9" r:id="rId11"/>
  </sheets>
  <definedNames>
    <definedName name="Adj_rate_down" localSheetId="7">IRC!#REF!</definedName>
    <definedName name="Adj_rate_down" localSheetId="4">CB!#REF!</definedName>
    <definedName name="Adj_rate_down">IRC!#REF!</definedName>
    <definedName name="Adj_Rate_up" localSheetId="7">IRC!#REF!</definedName>
    <definedName name="Adj_Rate_up" localSheetId="4">CB!#REF!</definedName>
    <definedName name="Adj_Rate_up">IRC!#REF!</definedName>
    <definedName name="be_int">#REF!</definedName>
    <definedName name="ExpenseR">#REF!</definedName>
    <definedName name="Solv">#REF!</definedName>
    <definedName name="SR_int">#REF!</definedName>
    <definedName name="VoAssets" localSheetId="7">IRC!#REF!</definedName>
    <definedName name="VoAssets" localSheetId="4">CB!#REF!</definedName>
    <definedName name="VoAssets">IRC!#REF!</definedName>
    <definedName name="VoLiabilities" localSheetId="7">IRC!#REF!</definedName>
    <definedName name="VoLiabilities" localSheetId="4">CB!#REF!</definedName>
    <definedName name="VoLiabilities">IRC!#REF!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3" i="4" l="1"/>
  <c r="C54" i="4"/>
  <c r="O72" i="4"/>
  <c r="L72" i="4"/>
  <c r="L69" i="4"/>
  <c r="L68" i="4"/>
  <c r="K72" i="4"/>
  <c r="K69" i="4"/>
  <c r="C55" i="4"/>
  <c r="K68" i="4"/>
  <c r="I50" i="6"/>
  <c r="I58" i="6" s="1"/>
  <c r="C50" i="4"/>
  <c r="G50" i="4"/>
  <c r="K50" i="4"/>
  <c r="E28" i="6"/>
  <c r="I35" i="6"/>
  <c r="H50" i="6"/>
  <c r="I49" i="6"/>
  <c r="K37" i="4"/>
  <c r="G38" i="4"/>
  <c r="G37" i="4"/>
  <c r="G49" i="4"/>
  <c r="C48" i="4"/>
  <c r="C33" i="5"/>
  <c r="C32" i="5"/>
  <c r="C31" i="5"/>
  <c r="C30" i="5"/>
  <c r="C29" i="5"/>
  <c r="C12" i="4" l="1"/>
  <c r="C11" i="4"/>
  <c r="C10" i="4"/>
  <c r="C9" i="4"/>
  <c r="C37" i="4" s="1"/>
  <c r="C8" i="4"/>
  <c r="C14" i="9"/>
  <c r="C8" i="9"/>
  <c r="C50" i="8"/>
  <c r="C51" i="8"/>
  <c r="C46" i="8"/>
  <c r="C47" i="8" s="1"/>
  <c r="C48" i="8" s="1"/>
  <c r="C49" i="8" s="1"/>
  <c r="D49" i="8" s="1"/>
  <c r="C59" i="8"/>
  <c r="C60" i="8" s="1"/>
  <c r="C61" i="8" s="1"/>
  <c r="C62" i="8" s="1"/>
  <c r="C63" i="8"/>
  <c r="C64" i="8" s="1"/>
  <c r="C65" i="8" s="1"/>
  <c r="C66" i="8" s="1"/>
  <c r="C67" i="8" s="1"/>
  <c r="D40" i="8"/>
  <c r="C41" i="8"/>
  <c r="C30" i="8"/>
  <c r="D30" i="8" s="1"/>
  <c r="C24" i="8"/>
  <c r="C23" i="8"/>
  <c r="C22" i="8"/>
  <c r="C21" i="8"/>
  <c r="G55" i="6"/>
  <c r="G51" i="6"/>
  <c r="N48" i="6"/>
  <c r="M48" i="6"/>
  <c r="G54" i="6" s="1"/>
  <c r="L48" i="6"/>
  <c r="G53" i="6" s="1"/>
  <c r="K48" i="6"/>
  <c r="G52" i="6" s="1"/>
  <c r="J48" i="6"/>
  <c r="I48" i="6"/>
  <c r="G50" i="6" s="1"/>
  <c r="D50" i="6"/>
  <c r="D51" i="6" s="1"/>
  <c r="D45" i="6"/>
  <c r="D46" i="6" s="1"/>
  <c r="D32" i="6"/>
  <c r="D34" i="6" s="1"/>
  <c r="C23" i="6"/>
  <c r="K23" i="6" s="1"/>
  <c r="C15" i="6"/>
  <c r="J15" i="6" s="1"/>
  <c r="C14" i="6"/>
  <c r="H14" i="6" s="1"/>
  <c r="C13" i="6"/>
  <c r="M13" i="6" s="1"/>
  <c r="C12" i="6"/>
  <c r="G12" i="6" s="1"/>
  <c r="C23" i="5"/>
  <c r="C25" i="5" s="1"/>
  <c r="D57" i="5" s="1"/>
  <c r="C17" i="5"/>
  <c r="C48" i="5"/>
  <c r="C52" i="8" s="1"/>
  <c r="B38" i="5"/>
  <c r="A38" i="5"/>
  <c r="A39" i="5" s="1"/>
  <c r="A40" i="5" s="1"/>
  <c r="A41" i="5" s="1"/>
  <c r="A42" i="5" s="1"/>
  <c r="A43" i="5" s="1"/>
  <c r="A44" i="5" s="1"/>
  <c r="A45" i="5" s="1"/>
  <c r="A46" i="5" s="1"/>
  <c r="D37" i="5"/>
  <c r="C37" i="5"/>
  <c r="A64" i="4"/>
  <c r="A65" i="4" s="1"/>
  <c r="A66" i="4" s="1"/>
  <c r="A67" i="4" s="1"/>
  <c r="A68" i="4" s="1"/>
  <c r="A69" i="4" s="1"/>
  <c r="A70" i="4" s="1"/>
  <c r="A71" i="4" s="1"/>
  <c r="A72" i="4" s="1"/>
  <c r="A38" i="4"/>
  <c r="A39" i="4" s="1"/>
  <c r="A40" i="4" s="1"/>
  <c r="A41" i="4" s="1"/>
  <c r="A42" i="4" s="1"/>
  <c r="A43" i="4" s="1"/>
  <c r="A44" i="4" s="1"/>
  <c r="A45" i="4" s="1"/>
  <c r="A46" i="4" s="1"/>
  <c r="A17" i="4"/>
  <c r="A18" i="4" s="1"/>
  <c r="A19" i="4"/>
  <c r="A20" i="4" s="1"/>
  <c r="A21" i="4" s="1"/>
  <c r="A22" i="4" s="1"/>
  <c r="A23" i="4" s="1"/>
  <c r="A24" i="4" s="1"/>
  <c r="A25" i="4" s="1"/>
  <c r="F14" i="6"/>
  <c r="D38" i="5"/>
  <c r="L12" i="6" l="1"/>
  <c r="K48" i="4"/>
  <c r="G48" i="4"/>
  <c r="I14" i="6"/>
  <c r="F12" i="6"/>
  <c r="E23" i="6"/>
  <c r="G14" i="6"/>
  <c r="J12" i="6"/>
  <c r="E12" i="6"/>
  <c r="E14" i="6"/>
  <c r="K14" i="6"/>
  <c r="H12" i="6"/>
  <c r="I12" i="6"/>
  <c r="C50" i="5"/>
  <c r="C27" i="4"/>
  <c r="C29" i="4" s="1"/>
  <c r="C18" i="6"/>
  <c r="L18" i="6" s="1"/>
  <c r="L20" i="6" s="1"/>
  <c r="L14" i="6"/>
  <c r="D12" i="6"/>
  <c r="K12" i="6"/>
  <c r="M12" i="6"/>
  <c r="C16" i="4"/>
  <c r="D14" i="6"/>
  <c r="J14" i="6"/>
  <c r="M14" i="6"/>
  <c r="J23" i="6"/>
  <c r="D56" i="6"/>
  <c r="E15" i="6" s="1"/>
  <c r="C45" i="8"/>
  <c r="C25" i="8"/>
  <c r="D38" i="6"/>
  <c r="G15" i="6" s="1"/>
  <c r="D37" i="6"/>
  <c r="D33" i="6"/>
  <c r="I13" i="6"/>
  <c r="E13" i="6"/>
  <c r="K13" i="6"/>
  <c r="F13" i="6"/>
  <c r="H13" i="6"/>
  <c r="L13" i="6"/>
  <c r="G13" i="6"/>
  <c r="K15" i="6"/>
  <c r="H15" i="6"/>
  <c r="M15" i="6"/>
  <c r="M16" i="6" s="1"/>
  <c r="I15" i="6"/>
  <c r="L15" i="6"/>
  <c r="D63" i="4"/>
  <c r="H37" i="4"/>
  <c r="D37" i="4"/>
  <c r="C16" i="6"/>
  <c r="D13" i="6"/>
  <c r="D16" i="4"/>
  <c r="L37" i="4"/>
  <c r="L23" i="6"/>
  <c r="I23" i="6"/>
  <c r="H23" i="6"/>
  <c r="M23" i="6"/>
  <c r="G23" i="6"/>
  <c r="F23" i="6"/>
  <c r="D23" i="6"/>
  <c r="J13" i="6"/>
  <c r="J16" i="6" s="1"/>
  <c r="C38" i="5"/>
  <c r="B39" i="5"/>
  <c r="B64" i="4"/>
  <c r="J38" i="4"/>
  <c r="F38" i="4"/>
  <c r="B38" i="4"/>
  <c r="B17" i="4"/>
  <c r="I16" i="6" l="1"/>
  <c r="K16" i="6"/>
  <c r="G18" i="6"/>
  <c r="F15" i="6"/>
  <c r="I18" i="6"/>
  <c r="I20" i="6" s="1"/>
  <c r="E18" i="6"/>
  <c r="E20" i="6" s="1"/>
  <c r="M18" i="6"/>
  <c r="M20" i="6" s="1"/>
  <c r="J18" i="6"/>
  <c r="J20" i="6" s="1"/>
  <c r="K18" i="6"/>
  <c r="K20" i="6" s="1"/>
  <c r="F18" i="6"/>
  <c r="F20" i="6" s="1"/>
  <c r="D18" i="6"/>
  <c r="D20" i="6" s="1"/>
  <c r="H18" i="6"/>
  <c r="H20" i="6" s="1"/>
  <c r="C20" i="6"/>
  <c r="D15" i="6"/>
  <c r="D16" i="6" s="1"/>
  <c r="E16" i="6"/>
  <c r="F16" i="6"/>
  <c r="B39" i="4"/>
  <c r="C38" i="4"/>
  <c r="D38" i="4"/>
  <c r="J39" i="4"/>
  <c r="L38" i="4"/>
  <c r="K38" i="4"/>
  <c r="G20" i="6"/>
  <c r="L16" i="6"/>
  <c r="C17" i="4"/>
  <c r="D17" i="4"/>
  <c r="B18" i="4"/>
  <c r="F39" i="4"/>
  <c r="H38" i="4"/>
  <c r="B65" i="4"/>
  <c r="D64" i="4"/>
  <c r="C39" i="5"/>
  <c r="B40" i="5"/>
  <c r="D39" i="5"/>
  <c r="G16" i="6"/>
  <c r="H16" i="6"/>
  <c r="C40" i="5" l="1"/>
  <c r="D40" i="5"/>
  <c r="B41" i="5"/>
  <c r="B66" i="4"/>
  <c r="D65" i="4"/>
  <c r="D18" i="4"/>
  <c r="C18" i="4"/>
  <c r="B19" i="4"/>
  <c r="D39" i="4"/>
  <c r="C39" i="4"/>
  <c r="B40" i="4"/>
  <c r="G39" i="4"/>
  <c r="F40" i="4"/>
  <c r="H39" i="4"/>
  <c r="J40" i="4"/>
  <c r="L39" i="4"/>
  <c r="K39" i="4"/>
  <c r="D19" i="4" l="1"/>
  <c r="B20" i="4"/>
  <c r="C19" i="4"/>
  <c r="D41" i="5"/>
  <c r="C41" i="5"/>
  <c r="B42" i="5"/>
  <c r="L40" i="4"/>
  <c r="K40" i="4"/>
  <c r="J41" i="4"/>
  <c r="G40" i="4"/>
  <c r="H40" i="4"/>
  <c r="F41" i="4"/>
  <c r="D40" i="4"/>
  <c r="C40" i="4"/>
  <c r="B41" i="4"/>
  <c r="B67" i="4"/>
  <c r="D66" i="4"/>
  <c r="C66" i="4"/>
  <c r="D41" i="4" l="1"/>
  <c r="C41" i="4"/>
  <c r="B42" i="4"/>
  <c r="D42" i="5"/>
  <c r="B43" i="5"/>
  <c r="C42" i="5"/>
  <c r="B21" i="4"/>
  <c r="C20" i="4"/>
  <c r="D20" i="4"/>
  <c r="D67" i="4"/>
  <c r="B68" i="4"/>
  <c r="C67" i="4"/>
  <c r="H41" i="4"/>
  <c r="G41" i="4"/>
  <c r="F42" i="4"/>
  <c r="J42" i="4"/>
  <c r="L41" i="4"/>
  <c r="K41" i="4"/>
  <c r="G42" i="4" l="1"/>
  <c r="H42" i="4"/>
  <c r="F43" i="4"/>
  <c r="D42" i="4"/>
  <c r="B43" i="4"/>
  <c r="C42" i="4"/>
  <c r="K42" i="4"/>
  <c r="L42" i="4"/>
  <c r="J43" i="4"/>
  <c r="D68" i="4"/>
  <c r="C68" i="4"/>
  <c r="B69" i="4"/>
  <c r="B22" i="4"/>
  <c r="C21" i="4"/>
  <c r="D21" i="4"/>
  <c r="C43" i="5"/>
  <c r="D43" i="5"/>
  <c r="B44" i="5"/>
  <c r="C44" i="5" l="1"/>
  <c r="B45" i="5"/>
  <c r="D44" i="5"/>
  <c r="D69" i="4"/>
  <c r="C69" i="4"/>
  <c r="B70" i="4"/>
  <c r="D22" i="4"/>
  <c r="B23" i="4"/>
  <c r="C22" i="4"/>
  <c r="K43" i="4"/>
  <c r="J44" i="4"/>
  <c r="L43" i="4"/>
  <c r="C43" i="4"/>
  <c r="D43" i="4"/>
  <c r="B44" i="4"/>
  <c r="G43" i="4"/>
  <c r="F44" i="4"/>
  <c r="H43" i="4"/>
  <c r="D23" i="4" l="1"/>
  <c r="B24" i="4"/>
  <c r="C23" i="4"/>
  <c r="B71" i="4"/>
  <c r="C70" i="4"/>
  <c r="D70" i="4"/>
  <c r="D45" i="5"/>
  <c r="C45" i="5"/>
  <c r="B46" i="5"/>
  <c r="F45" i="4"/>
  <c r="G44" i="4"/>
  <c r="H44" i="4"/>
  <c r="B45" i="4"/>
  <c r="D44" i="4"/>
  <c r="C44" i="4"/>
  <c r="K44" i="4"/>
  <c r="J45" i="4"/>
  <c r="L44" i="4"/>
  <c r="J46" i="4" l="1"/>
  <c r="K45" i="4"/>
  <c r="L45" i="4"/>
  <c r="B46" i="4"/>
  <c r="C45" i="4"/>
  <c r="D45" i="4"/>
  <c r="D46" i="5"/>
  <c r="C46" i="5"/>
  <c r="H45" i="4"/>
  <c r="G45" i="4"/>
  <c r="F46" i="4"/>
  <c r="C71" i="4"/>
  <c r="D71" i="4"/>
  <c r="B72" i="4"/>
  <c r="D24" i="4"/>
  <c r="B25" i="4"/>
  <c r="C24" i="4"/>
  <c r="G19" i="6" l="1"/>
  <c r="G21" i="6" s="1"/>
  <c r="G24" i="6" s="1"/>
  <c r="G26" i="6" s="1"/>
  <c r="C49" i="5"/>
  <c r="C51" i="5" s="1"/>
  <c r="G46" i="4"/>
  <c r="H46" i="4"/>
  <c r="K46" i="4"/>
  <c r="L46" i="4"/>
  <c r="C25" i="4"/>
  <c r="D25" i="4"/>
  <c r="D72" i="4"/>
  <c r="C72" i="4"/>
  <c r="D19" i="6"/>
  <c r="D21" i="6" s="1"/>
  <c r="D24" i="6" s="1"/>
  <c r="D26" i="6" s="1"/>
  <c r="E19" i="6"/>
  <c r="E21" i="6" s="1"/>
  <c r="E24" i="6" s="1"/>
  <c r="E26" i="6" s="1"/>
  <c r="F19" i="6"/>
  <c r="F21" i="6" s="1"/>
  <c r="F24" i="6" s="1"/>
  <c r="F26" i="6" s="1"/>
  <c r="C46" i="4"/>
  <c r="D46" i="4"/>
  <c r="C49" i="4" l="1"/>
  <c r="C19" i="6"/>
  <c r="H19" i="6" s="1"/>
  <c r="H21" i="6" s="1"/>
  <c r="H24" i="6" s="1"/>
  <c r="H26" i="6" s="1"/>
  <c r="C28" i="4"/>
  <c r="C30" i="4" s="1"/>
  <c r="K49" i="4"/>
  <c r="B9" i="7"/>
  <c r="D12" i="7" s="1"/>
  <c r="C9" i="9" s="1"/>
  <c r="C29" i="8"/>
  <c r="C31" i="8" s="1"/>
  <c r="C33" i="8" s="1"/>
  <c r="D60" i="5"/>
  <c r="D62" i="5" s="1"/>
  <c r="C17" i="9" s="1"/>
  <c r="K19" i="6"/>
  <c r="K21" i="6" s="1"/>
  <c r="K24" i="6" s="1"/>
  <c r="K26" i="6" s="1"/>
  <c r="I19" i="6"/>
  <c r="I21" i="6" s="1"/>
  <c r="I24" i="6" s="1"/>
  <c r="I26" i="6" s="1"/>
  <c r="M19" i="6" l="1"/>
  <c r="M21" i="6" s="1"/>
  <c r="M24" i="6" s="1"/>
  <c r="M26" i="6" s="1"/>
  <c r="C21" i="6"/>
  <c r="C24" i="6" s="1"/>
  <c r="C26" i="6" s="1"/>
  <c r="F28" i="6" s="1"/>
  <c r="J35" i="6" s="1"/>
  <c r="J49" i="6" s="1"/>
  <c r="L19" i="6"/>
  <c r="L21" i="6" s="1"/>
  <c r="L24" i="6" s="1"/>
  <c r="L26" i="6" s="1"/>
  <c r="J19" i="6"/>
  <c r="J21" i="6" s="1"/>
  <c r="J24" i="6" s="1"/>
  <c r="J26" i="6" s="1"/>
  <c r="K28" i="6"/>
  <c r="M35" i="6" s="1"/>
  <c r="M49" i="6" s="1"/>
  <c r="H28" i="6"/>
  <c r="K35" i="6" s="1"/>
  <c r="K49" i="6" s="1"/>
  <c r="I28" i="6"/>
  <c r="D28" i="6"/>
  <c r="G28" i="6" l="1"/>
  <c r="M28" i="6"/>
  <c r="J28" i="6"/>
  <c r="L35" i="6" s="1"/>
  <c r="L49" i="6" s="1"/>
  <c r="L28" i="6"/>
  <c r="N35" i="6" s="1"/>
  <c r="N49" i="6" s="1"/>
  <c r="H53" i="6"/>
  <c r="L53" i="6" s="1"/>
  <c r="H51" i="6"/>
  <c r="L51" i="6" s="1"/>
  <c r="H55" i="6"/>
  <c r="L55" i="6" s="1"/>
  <c r="J50" i="6"/>
  <c r="K53" i="6"/>
  <c r="H52" i="6"/>
  <c r="J52" i="6" s="1"/>
  <c r="K55" i="6"/>
  <c r="H54" i="6"/>
  <c r="N54" i="6" l="1"/>
  <c r="C16" i="8"/>
  <c r="C63" i="4"/>
  <c r="M53" i="6"/>
  <c r="I55" i="6"/>
  <c r="I53" i="6"/>
  <c r="J53" i="6"/>
  <c r="M54" i="6"/>
  <c r="M52" i="6"/>
  <c r="M55" i="6"/>
  <c r="K52" i="6"/>
  <c r="N55" i="6"/>
  <c r="N53" i="6"/>
  <c r="L52" i="6"/>
  <c r="N52" i="6"/>
  <c r="J55" i="6"/>
  <c r="I54" i="6"/>
  <c r="J54" i="6"/>
  <c r="L54" i="6"/>
  <c r="L50" i="6"/>
  <c r="M51" i="6"/>
  <c r="M50" i="6"/>
  <c r="K50" i="6"/>
  <c r="K54" i="6"/>
  <c r="K51" i="6"/>
  <c r="I52" i="6"/>
  <c r="I51" i="6"/>
  <c r="N51" i="6"/>
  <c r="N50" i="6"/>
  <c r="J51" i="6"/>
  <c r="C64" i="4" l="1"/>
  <c r="C74" i="4"/>
  <c r="C65" i="4"/>
  <c r="C75" i="4" s="1"/>
  <c r="C76" i="4" s="1"/>
  <c r="C10" i="8"/>
  <c r="C17" i="8" s="1"/>
  <c r="C77" i="4" l="1"/>
  <c r="C79" i="4" s="1"/>
  <c r="C9" i="8" s="1"/>
  <c r="C7" i="9"/>
  <c r="C6" i="10"/>
  <c r="C6" i="9" l="1"/>
  <c r="C5" i="10"/>
  <c r="C9" i="10" s="1"/>
  <c r="C11" i="8" l="1"/>
  <c r="C13" i="8" s="1"/>
  <c r="D23" i="8" s="1"/>
  <c r="C10" i="9"/>
  <c r="D50" i="8"/>
  <c r="D59" i="8" s="1"/>
  <c r="D47" i="8" l="1"/>
  <c r="E59" i="8" s="1"/>
  <c r="D21" i="8"/>
  <c r="D51" i="8"/>
  <c r="F58" i="8" s="1"/>
  <c r="D41" i="8"/>
  <c r="D24" i="8" s="1"/>
  <c r="D48" i="8"/>
  <c r="D46" i="8"/>
  <c r="E58" i="8" s="1"/>
  <c r="D22" i="8"/>
  <c r="D45" i="8"/>
  <c r="D52" i="8" s="1"/>
  <c r="D60" i="8"/>
  <c r="F59" i="8" l="1"/>
  <c r="D25" i="8"/>
  <c r="D61" i="8"/>
  <c r="E60" i="8"/>
  <c r="F60" i="8"/>
  <c r="D62" i="8" l="1"/>
  <c r="E61" i="8"/>
  <c r="F61" i="8"/>
  <c r="D63" i="8" l="1"/>
  <c r="F62" i="8"/>
  <c r="E62" i="8"/>
  <c r="E63" i="8" l="1"/>
  <c r="D64" i="8"/>
  <c r="F63" i="8"/>
  <c r="F64" i="8" l="1"/>
  <c r="E64" i="8"/>
  <c r="D65" i="8"/>
  <c r="E65" i="8" l="1"/>
  <c r="F65" i="8"/>
  <c r="D66" i="8"/>
  <c r="D67" i="8" l="1"/>
  <c r="E66" i="8"/>
  <c r="F66" i="8"/>
  <c r="E67" i="8" l="1"/>
  <c r="F67" i="8"/>
  <c r="D53" i="8" l="1"/>
  <c r="D54" i="8" s="1"/>
  <c r="D55" i="8" s="1"/>
  <c r="D29" i="8" s="1"/>
  <c r="D31" i="8" s="1"/>
  <c r="D33" i="8" s="1"/>
  <c r="D35" i="8" s="1"/>
  <c r="D37" i="8" s="1"/>
  <c r="C11" i="9" s="1"/>
  <c r="C13" i="9" s="1"/>
  <c r="C15" i="9" s="1"/>
  <c r="C1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Georgina Hemmings</author>
  </authors>
  <commentList>
    <comment ref="A10" authorId="0" shapeId="0" xr:uid="{00000000-0006-0000-0200-000001000000}">
      <text>
        <r>
          <rPr>
            <sz val="9"/>
            <color indexed="81"/>
            <rFont val="Tahoma"/>
            <family val="2"/>
          </rPr>
          <t>IBNR should have some expenses associated with managing the claims (as per LPS 360)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Andrew Patterson</author>
  </authors>
  <commentList>
    <comment ref="C49" authorId="0" shapeId="0" xr:uid="{00000000-0006-0000-0400-000001000000}">
      <text>
        <r>
          <rPr>
            <sz val="8"/>
            <color indexed="81"/>
            <rFont val="Tahoma"/>
            <family val="2"/>
          </rPr>
          <t>RFBEL includes the IBNR</t>
        </r>
      </text>
    </comment>
    <comment ref="C50" authorId="0" shapeId="0" xr:uid="{00000000-0006-0000-0400-000002000000}">
      <text>
        <r>
          <rPr>
            <sz val="8"/>
            <color indexed="81"/>
            <rFont val="Tahoma"/>
            <family val="2"/>
          </rPr>
          <t xml:space="preserve">Termination values equal the IBNR in this example. Surrender values are zero.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Andrew Patterson</author>
  </authors>
  <commentList>
    <comment ref="G35" authorId="0" shapeId="0" xr:uid="{00000000-0006-0000-0500-000001000000}">
      <text>
        <r>
          <rPr>
            <sz val="8"/>
            <color indexed="81"/>
            <rFont val="Tahoma"/>
            <family val="2"/>
          </rPr>
          <t>Assume the best estimate mortality rate is 0.5 per thousand. The event stress doubles the claims cost in years 1 and 2.</t>
        </r>
      </text>
    </comment>
    <comment ref="K40" authorId="0" shapeId="0" xr:uid="{00000000-0006-0000-0500-000002000000}">
      <text>
        <r>
          <rPr>
            <sz val="8"/>
            <color indexed="81"/>
            <rFont val="Tahoma"/>
            <family val="2"/>
          </rPr>
          <t>Assume repricing in response to the future stress occurs in year 4. Allow for the impact of repricing by keeping premiums unchanged and returning claims to the best estimate.</t>
        </r>
      </text>
    </comment>
    <comment ref="C59" authorId="0" shapeId="0" xr:uid="{00000000-0006-0000-0500-000003000000}">
      <text>
        <r>
          <rPr>
            <sz val="8"/>
            <color indexed="81"/>
            <rFont val="Tahoma"/>
            <family val="2"/>
          </rPr>
          <t>The lapse stress has no impact in this example as the adjusted liability at the end of year 1 is the termination value and the year 1 cash flows are not affected by lapses.</t>
        </r>
      </text>
    </comment>
    <comment ref="C76" authorId="0" shapeId="0" xr:uid="{00000000-0006-0000-0500-000004000000}">
      <text>
        <r>
          <rPr>
            <sz val="8"/>
            <color indexed="81"/>
            <rFont val="Tahoma"/>
            <family val="2"/>
          </rPr>
          <t>The cashflow projection assumes that claims  incurred in year 1 are paid immediately. Hence IBNR at duration 1 is assumed to be zero.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Andrew Patterson</author>
  </authors>
  <commentList>
    <comment ref="D54" authorId="0" shapeId="0" xr:uid="{00000000-0006-0000-0600-000001000000}">
      <text>
        <r>
          <rPr>
            <sz val="8"/>
            <color indexed="81"/>
            <rFont val="Tahoma"/>
            <family val="2"/>
          </rPr>
          <t>The bonds are assumed to be zero coupon in this example.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Andrew Patterson</author>
  </authors>
  <commentList>
    <comment ref="D21" authorId="0" shapeId="0" xr:uid="{00000000-0006-0000-0800-000001000000}">
      <text>
        <r>
          <rPr>
            <sz val="8"/>
            <color indexed="81"/>
            <rFont val="Tahoma"/>
            <family val="2"/>
          </rPr>
          <t>The stress for equities and properties is the percentage fall in value, not the increase in dividend or rental yield. The result of this calculation will change if diversification factors are applied to yield increases.</t>
        </r>
      </text>
    </comment>
    <comment ref="D54" authorId="0" shapeId="0" xr:uid="{00000000-0006-0000-0800-000002000000}">
      <text>
        <r>
          <rPr>
            <sz val="8"/>
            <color indexed="81"/>
            <rFont val="Tahoma"/>
            <family val="2"/>
          </rPr>
          <t>The cashflow projection assumes that claims  incurred in year 1 are paid immediately. Hence IBNR at duration 1 is assumed to be zero.</t>
        </r>
      </text>
    </comment>
  </commentList>
</comments>
</file>

<file path=xl/sharedStrings.xml><?xml version="1.0" encoding="utf-8"?>
<sst xmlns="http://schemas.openxmlformats.org/spreadsheetml/2006/main" count="323" uniqueCount="174">
  <si>
    <t>Factor</t>
  </si>
  <si>
    <t>Expenses</t>
  </si>
  <si>
    <t>Year</t>
  </si>
  <si>
    <t>Premiums</t>
  </si>
  <si>
    <t>Claims</t>
  </si>
  <si>
    <t>Best estimate projection</t>
  </si>
  <si>
    <t>Risk free discount rate</t>
  </si>
  <si>
    <t>RFBEL</t>
  </si>
  <si>
    <t>Termination values</t>
  </si>
  <si>
    <t>Adjusted policy liabilities</t>
  </si>
  <si>
    <t>Random stress</t>
  </si>
  <si>
    <t>Event stress</t>
  </si>
  <si>
    <t>Future stress</t>
  </si>
  <si>
    <t>Insurance Risk Charge</t>
  </si>
  <si>
    <t>Diversification factor</t>
  </si>
  <si>
    <t>Combined impact</t>
  </si>
  <si>
    <t>Sum of impacts</t>
  </si>
  <si>
    <t>IBNR</t>
  </si>
  <si>
    <t>Claims (% of premiums)</t>
  </si>
  <si>
    <t>Expenses (% of premiums)</t>
  </si>
  <si>
    <t>Lapse rate</t>
  </si>
  <si>
    <t>Impact of stress</t>
  </si>
  <si>
    <t>Lapse stress</t>
  </si>
  <si>
    <t>Expense stress</t>
  </si>
  <si>
    <t>Adjusted Liab (1)</t>
  </si>
  <si>
    <t>RFBEL (1)</t>
  </si>
  <si>
    <t>Insurance  Risk Charge</t>
  </si>
  <si>
    <t>Combined stress with lapse and expense stresses</t>
  </si>
  <si>
    <t>Capital Base</t>
  </si>
  <si>
    <t>Adjusted Policy Liabilities</t>
  </si>
  <si>
    <t>Statutory Accounts</t>
  </si>
  <si>
    <t>Assets</t>
  </si>
  <si>
    <t>Australian listed equities</t>
  </si>
  <si>
    <t>Property</t>
  </si>
  <si>
    <t>Liabilities</t>
  </si>
  <si>
    <t>Corporate bonds</t>
  </si>
  <si>
    <t>Policy liabilities</t>
  </si>
  <si>
    <t>Net assets</t>
  </si>
  <si>
    <t>Adjusted policy liabilities less policy liabilities</t>
  </si>
  <si>
    <t>Other liabilities</t>
  </si>
  <si>
    <t>Total assets</t>
  </si>
  <si>
    <t>Total liabilities</t>
  </si>
  <si>
    <t>Regulatory adjustments:</t>
  </si>
  <si>
    <t>Asset Risk Charge</t>
  </si>
  <si>
    <t>Properties</t>
  </si>
  <si>
    <t>zero coupon, rated AA, yield 7%, maturing in 3 years</t>
  </si>
  <si>
    <t>dividend yield ASX 200 4%</t>
  </si>
  <si>
    <t>rental yield 7%</t>
  </si>
  <si>
    <t>Real interest rates</t>
  </si>
  <si>
    <t>Expected inflation</t>
  </si>
  <si>
    <t>Currency</t>
  </si>
  <si>
    <t>Overseas listed equities</t>
  </si>
  <si>
    <t>Equity</t>
  </si>
  <si>
    <t>Credit spreads</t>
  </si>
  <si>
    <t>Up</t>
  </si>
  <si>
    <t>Down</t>
  </si>
  <si>
    <t>Default</t>
  </si>
  <si>
    <t>Stressed risk free discount rate (up)</t>
  </si>
  <si>
    <t>Stressed risk free discount rate (down)</t>
  </si>
  <si>
    <t>Currency stress</t>
  </si>
  <si>
    <t>ASX200 dividend yield</t>
  </si>
  <si>
    <t>Stressed dividend yield</t>
  </si>
  <si>
    <t>Fall in equity values</t>
  </si>
  <si>
    <t>Rental yield</t>
  </si>
  <si>
    <t>Stressed rental yield</t>
  </si>
  <si>
    <t>Fall in property values</t>
  </si>
  <si>
    <t>Increase in spread (grade 2, AA rated)</t>
  </si>
  <si>
    <t>Adjusted balance sheet</t>
  </si>
  <si>
    <t>pre-stress</t>
  </si>
  <si>
    <t>Yield to maturity of bonds</t>
  </si>
  <si>
    <t>Term to maturity of bonds</t>
  </si>
  <si>
    <t>Credit spread</t>
  </si>
  <si>
    <t>RIR</t>
  </si>
  <si>
    <t>INF</t>
  </si>
  <si>
    <t>CUR</t>
  </si>
  <si>
    <t>EQY</t>
  </si>
  <si>
    <t>PROP</t>
  </si>
  <si>
    <t>CSP</t>
  </si>
  <si>
    <t>Correlation matrix</t>
  </si>
  <si>
    <t>Fall in Capital Base</t>
  </si>
  <si>
    <t>Fall in capital base with sign</t>
  </si>
  <si>
    <t>sign</t>
  </si>
  <si>
    <t>Aggregation formula</t>
  </si>
  <si>
    <t>Asset risk charge</t>
  </si>
  <si>
    <t>Default factor (grade 2, AA rated)</t>
  </si>
  <si>
    <t>Operational risk charge</t>
  </si>
  <si>
    <t>GP1</t>
  </si>
  <si>
    <t>GP0</t>
  </si>
  <si>
    <t>NL1</t>
  </si>
  <si>
    <t>premium income (gross of reinsurance) for the 12 months ending on the date 12 months prior to the reporting date</t>
  </si>
  <si>
    <t>premium income (gross of reinsurance) for the 12 months ending on the reporting date</t>
  </si>
  <si>
    <t>Inputs</t>
  </si>
  <si>
    <t>A</t>
  </si>
  <si>
    <t>Combined Stress Scenario Adjustment</t>
  </si>
  <si>
    <t>Aggregation Benefit</t>
  </si>
  <si>
    <t>Insurance risk charge</t>
  </si>
  <si>
    <t>Correlation</t>
  </si>
  <si>
    <t>Aggregation benefit</t>
  </si>
  <si>
    <t>Aggregation diversification factor</t>
  </si>
  <si>
    <t>Sum of capital charges for asset risks</t>
  </si>
  <si>
    <t>Asset risk diversification factor</t>
  </si>
  <si>
    <t>Pre-stress</t>
  </si>
  <si>
    <t>Post-stress</t>
  </si>
  <si>
    <t>Yield to maturity</t>
  </si>
  <si>
    <t>Term</t>
  </si>
  <si>
    <t>Capital charge for combined stress scenario</t>
  </si>
  <si>
    <t>Combined stress scenario adjustment</t>
  </si>
  <si>
    <t>Claims year 1</t>
  </si>
  <si>
    <t>Claims year 2</t>
  </si>
  <si>
    <t>Claims year 3</t>
  </si>
  <si>
    <t>Stressed policy liabilities</t>
  </si>
  <si>
    <t>Stressed Policy Liabilities</t>
  </si>
  <si>
    <t>Claims year 4+</t>
  </si>
  <si>
    <t>Prescribed Capital Amount</t>
  </si>
  <si>
    <t>Asset Concentration Risk Charge</t>
  </si>
  <si>
    <t>Operational Risk Charge</t>
  </si>
  <si>
    <t>+</t>
  </si>
  <si>
    <t>-</t>
  </si>
  <si>
    <t>Prudential Capital Requirement</t>
  </si>
  <si>
    <t>Surplus Capital</t>
  </si>
  <si>
    <t>present value, payable at the end of year 1</t>
  </si>
  <si>
    <t>APRA Supervisory Adjustment</t>
  </si>
  <si>
    <r>
      <t xml:space="preserve">Life Insurance Applications
</t>
    </r>
    <r>
      <rPr>
        <sz val="14"/>
        <color rgb="FF0098CD"/>
        <rFont val="Century Gothic"/>
        <family val="2"/>
      </rPr>
      <t xml:space="preserve">Module 7: The Valuation Cycle </t>
    </r>
  </si>
  <si>
    <t>Notes</t>
  </si>
  <si>
    <t>Purpose</t>
  </si>
  <si>
    <t>Author / Source</t>
  </si>
  <si>
    <t>Creation date</t>
  </si>
  <si>
    <t>Review date</t>
  </si>
  <si>
    <t>13/1/2020</t>
  </si>
  <si>
    <t>Key inputs</t>
  </si>
  <si>
    <t>See assumptions tab</t>
  </si>
  <si>
    <t>Capital Base and Prescribed Capital Amount (PCA)</t>
  </si>
  <si>
    <t xml:space="preserve">This exercise has been adapted from the Life 2B course materials  </t>
  </si>
  <si>
    <t>29/5/2014</t>
  </si>
  <si>
    <t>Description</t>
  </si>
  <si>
    <t>Assumptions</t>
  </si>
  <si>
    <t xml:space="preserve">Provides a summary of all assumptions used in the spreadsheet </t>
  </si>
  <si>
    <t>CB</t>
  </si>
  <si>
    <t>IRC</t>
  </si>
  <si>
    <t>ARC</t>
  </si>
  <si>
    <t>AB</t>
  </si>
  <si>
    <t>CSS</t>
  </si>
  <si>
    <t>ORC</t>
  </si>
  <si>
    <t>PCR</t>
  </si>
  <si>
    <t>Taxation</t>
  </si>
  <si>
    <t>Nil</t>
  </si>
  <si>
    <t>Reinsurance</t>
  </si>
  <si>
    <t>Premiums are paid at the beginning of the year</t>
  </si>
  <si>
    <t>Expenses and claims are paid at the end of the year</t>
  </si>
  <si>
    <t>% of premiums</t>
  </si>
  <si>
    <t xml:space="preserve">Claims  </t>
  </si>
  <si>
    <t xml:space="preserve">Expenses  </t>
  </si>
  <si>
    <t xml:space="preserve">Present value, payable at the end of year 1. </t>
  </si>
  <si>
    <t xml:space="preserve">This example relates to term insurance only and as such only the mortality stress is applicable. Tax is ignored in this example. In practice the insurance risk capital charge would be calculated net of tax. </t>
  </si>
  <si>
    <t xml:space="preserve">The underlying cashflows are not subject to inflation. Typically for death products the sum insured is indexed at CPI (subject to a maximum of 5%) and as a result the inflation stress would not tend to impact the underlying cashflows. 
Again the calculation ignores tax. </t>
  </si>
  <si>
    <t xml:space="preserve">This tab demonstrates the calculation of the capital base in accordance with LPS 112. 
The capital base of a life company includes an allowance for regulatory adjustments. 
This example focuses on one regulatory adjustment - the change from the policy liability to the adjusted policy liability. It does not consider others adjustments such as the deferred tax asset or liability adjustment. Also the regulatory adjustments in respect to moving from the policy liability to adjusted policy liability need to allow for tax. However in this example tax is ignored.   </t>
  </si>
  <si>
    <t>adjusted policy liabilities (net of reinsurance) at the reporting date</t>
  </si>
  <si>
    <t xml:space="preserve">Typically a key part of the CSSA is the tax that has been assumed in the ARC, IRC and AB. 
Tax is ignored in this example. </t>
  </si>
  <si>
    <t>Calculation of the capital base in accordance with LPS 112</t>
  </si>
  <si>
    <t>Calculation of the insurance risk capital charge in accordance with LPS 115</t>
  </si>
  <si>
    <t>Calculation of the asset risk capital charge in accordance with LPS 114</t>
  </si>
  <si>
    <t>Calculation of the operational risk capital charge in accordance with LPS 118</t>
  </si>
  <si>
    <t>Calculation of the prescribed capital amount and prescribed capital requirement in accordance with LPS 110</t>
  </si>
  <si>
    <t>Calculation of the aggregation benefit in accordance with LPS 110</t>
  </si>
  <si>
    <t>Calculation of the combined stress scenario adjustment in accordance with LPS 110</t>
  </si>
  <si>
    <t>Correlation Matrix</t>
  </si>
  <si>
    <t>Mortality future</t>
  </si>
  <si>
    <t>Mortality random</t>
  </si>
  <si>
    <t>Morbidity Future</t>
  </si>
  <si>
    <t>Morbidity random</t>
  </si>
  <si>
    <t>Event</t>
  </si>
  <si>
    <t>Longevity</t>
  </si>
  <si>
    <t>Morbidity future</t>
  </si>
  <si>
    <t>To demonstrate calculation of the capital base and prescribed capital amount (PCA) in accordance with APRA's prudential standards for a statutory fund containing only term insurance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</si>
</sst>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 #,##0.00_-;_-* &quot;-&quot;??_-;_-@_-"/>
    <numFmt numFmtId="165" formatCode="0.0%"/>
    <numFmt numFmtId="166" formatCode="0.0"/>
    <numFmt numFmtId="167" formatCode="_-* #,##0_-;\-* #,##0_-;_-* &quot;-&quot;??_-;_-@_-"/>
    <numFmt numFmtId="168" formatCode="#,##0_ ;\-#,##0\ "/>
    <numFmt numFmtId="169" formatCode="mmm\-yyyy"/>
    <numFmt numFmtId="170" formatCode="0.000000000"/>
  </numFmts>
  <fonts count="23" x14ac:knownFonts="1">
    <font>
      <sz val="10"/>
      <name val="Arial"/>
    </font>
    <font>
      <sz val="10"/>
      <name val="Arial"/>
      <family val="2"/>
    </font>
    <font>
      <sz val="8"/>
      <name val="Arial"/>
      <family val="2"/>
    </font>
    <font>
      <sz val="10"/>
      <name val="Arial"/>
      <family val="2"/>
    </font>
    <font>
      <sz val="8"/>
      <color indexed="81"/>
      <name val="Tahoma"/>
      <family val="2"/>
    </font>
    <font>
      <sz val="9"/>
      <color indexed="81"/>
      <name val="Tahoma"/>
      <family val="2"/>
    </font>
    <font>
      <b/>
      <sz val="10"/>
      <name val="Century Gothic"/>
      <family val="2"/>
    </font>
    <font>
      <sz val="10"/>
      <name val="Century Gothic"/>
      <family val="2"/>
    </font>
    <font>
      <b/>
      <u/>
      <sz val="10"/>
      <name val="Century Gothic"/>
      <family val="2"/>
    </font>
    <font>
      <u/>
      <sz val="10"/>
      <name val="Century Gothic"/>
      <family val="2"/>
    </font>
    <font>
      <b/>
      <sz val="10"/>
      <color theme="1"/>
      <name val="Century Gothic"/>
      <family val="2"/>
    </font>
    <font>
      <sz val="11"/>
      <name val="Century Gothic"/>
      <family val="2"/>
    </font>
    <font>
      <b/>
      <sz val="11"/>
      <color theme="1"/>
      <name val="Century Gothic"/>
      <family val="2"/>
    </font>
    <font>
      <sz val="11"/>
      <color rgb="FFFF0000"/>
      <name val="Century Gothic"/>
      <family val="2"/>
    </font>
    <font>
      <b/>
      <sz val="18"/>
      <color rgb="FF0098CD"/>
      <name val="Century Gothic"/>
      <family val="2"/>
    </font>
    <font>
      <sz val="14"/>
      <color rgb="FF0098CD"/>
      <name val="Century Gothic"/>
      <family val="2"/>
    </font>
    <font>
      <b/>
      <sz val="14"/>
      <color rgb="FF0098CD"/>
      <name val="Century Gothic"/>
      <family val="2"/>
    </font>
    <font>
      <b/>
      <sz val="14"/>
      <color theme="1"/>
      <name val="Century Gothic"/>
      <family val="2"/>
    </font>
    <font>
      <sz val="11"/>
      <color theme="1"/>
      <name val="Century Gothic"/>
      <family val="2"/>
    </font>
    <font>
      <sz val="10"/>
      <color theme="1"/>
      <name val="Century Gothic"/>
      <family val="2"/>
    </font>
    <font>
      <i/>
      <sz val="10"/>
      <name val="Century Gothic"/>
      <family val="2"/>
    </font>
    <font>
      <b/>
      <sz val="14"/>
      <name val="Century Gothic"/>
      <family val="2"/>
    </font>
    <font>
      <sz val="14"/>
      <name val="Century Gothic"/>
      <family val="2"/>
    </font>
  </fonts>
  <fills count="4">
    <fill>
      <patternFill patternType="none"/>
    </fill>
    <fill>
      <patternFill patternType="gray125"/>
    </fill>
    <fill>
      <patternFill patternType="solid">
        <fgColor rgb="FFF2A900"/>
        <bgColor indexed="64"/>
      </patternFill>
    </fill>
    <fill>
      <patternFill patternType="solid">
        <fgColor rgb="FF0098CD"/>
        <bgColor indexed="64"/>
      </patternFill>
    </fill>
  </fills>
  <borders count="12">
    <border>
      <left/>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155">
    <xf numFmtId="0" fontId="0" fillId="0" borderId="0" xfId="0"/>
    <xf numFmtId="0" fontId="6" fillId="0" borderId="0" xfId="0" applyFont="1"/>
    <xf numFmtId="0" fontId="7" fillId="0" borderId="0" xfId="0" applyFont="1"/>
    <xf numFmtId="0" fontId="8" fillId="0" borderId="0" xfId="0" applyFont="1"/>
    <xf numFmtId="0" fontId="9" fillId="0" borderId="0" xfId="0" applyFont="1"/>
    <xf numFmtId="168" fontId="7" fillId="0" borderId="0" xfId="0" applyNumberFormat="1" applyFont="1" applyFill="1" applyBorder="1"/>
    <xf numFmtId="0" fontId="9" fillId="0" borderId="0" xfId="0" applyFont="1" applyBorder="1"/>
    <xf numFmtId="168" fontId="6" fillId="0" borderId="0" xfId="0" applyNumberFormat="1" applyFont="1"/>
    <xf numFmtId="0" fontId="8" fillId="0" borderId="0" xfId="0" applyFont="1" applyFill="1"/>
    <xf numFmtId="0" fontId="7" fillId="0" borderId="0" xfId="0" applyFont="1" applyFill="1"/>
    <xf numFmtId="0" fontId="6" fillId="0" borderId="0" xfId="0" applyFont="1" applyFill="1"/>
    <xf numFmtId="0" fontId="7" fillId="0" borderId="0" xfId="0" applyFont="1" applyFill="1" applyAlignment="1"/>
    <xf numFmtId="0" fontId="6" fillId="0" borderId="0" xfId="0" applyFont="1" applyFill="1" applyAlignment="1"/>
    <xf numFmtId="0" fontId="6" fillId="0" borderId="0" xfId="0" applyFont="1" applyFill="1" applyAlignment="1">
      <alignment wrapText="1"/>
    </xf>
    <xf numFmtId="0" fontId="7" fillId="0" borderId="0" xfId="0" applyFont="1" applyFill="1" applyAlignment="1">
      <alignment horizontal="center" wrapText="1"/>
    </xf>
    <xf numFmtId="168" fontId="7" fillId="0" borderId="0" xfId="1" applyNumberFormat="1" applyFont="1" applyFill="1"/>
    <xf numFmtId="167" fontId="7" fillId="0" borderId="0" xfId="1" applyNumberFormat="1" applyFont="1" applyFill="1"/>
    <xf numFmtId="167" fontId="7" fillId="0" borderId="0" xfId="0" applyNumberFormat="1" applyFont="1" applyFill="1"/>
    <xf numFmtId="168" fontId="7" fillId="0" borderId="0" xfId="0" applyNumberFormat="1" applyFont="1" applyFill="1"/>
    <xf numFmtId="168" fontId="6" fillId="0" borderId="0" xfId="0" applyNumberFormat="1" applyFont="1" applyFill="1" applyBorder="1"/>
    <xf numFmtId="167" fontId="7" fillId="0" borderId="0" xfId="0" applyNumberFormat="1" applyFont="1" applyFill="1" applyBorder="1"/>
    <xf numFmtId="0" fontId="6" fillId="0" borderId="7" xfId="0" applyFont="1" applyBorder="1"/>
    <xf numFmtId="168" fontId="7" fillId="0" borderId="0" xfId="0" applyNumberFormat="1" applyFont="1"/>
    <xf numFmtId="9" fontId="7" fillId="0" borderId="0" xfId="0" applyNumberFormat="1" applyFont="1" applyFill="1"/>
    <xf numFmtId="0" fontId="7" fillId="0" borderId="0" xfId="0" applyFont="1" applyFill="1" applyBorder="1"/>
    <xf numFmtId="0" fontId="6" fillId="0" borderId="0" xfId="0" applyFont="1" applyAlignment="1"/>
    <xf numFmtId="9" fontId="7" fillId="0" borderId="0" xfId="2" applyFont="1" applyFill="1"/>
    <xf numFmtId="9" fontId="7" fillId="0" borderId="0" xfId="0" applyNumberFormat="1" applyFont="1" applyFill="1" applyAlignment="1">
      <alignment wrapText="1"/>
    </xf>
    <xf numFmtId="0" fontId="7" fillId="0" borderId="0" xfId="0" applyFont="1" applyAlignment="1">
      <alignment horizontal="right"/>
    </xf>
    <xf numFmtId="0" fontId="6" fillId="0" borderId="0" xfId="0" applyFont="1" applyFill="1" applyAlignment="1">
      <alignment horizontal="right"/>
    </xf>
    <xf numFmtId="0" fontId="6" fillId="0" borderId="0" xfId="0" applyFont="1" applyAlignment="1">
      <alignment horizontal="center" wrapText="1"/>
    </xf>
    <xf numFmtId="0" fontId="6" fillId="0" borderId="0" xfId="0" applyFont="1" applyAlignment="1">
      <alignment horizontal="center"/>
    </xf>
    <xf numFmtId="0" fontId="7" fillId="0" borderId="0" xfId="0" applyFont="1" applyAlignment="1">
      <alignment horizontal="center"/>
    </xf>
    <xf numFmtId="168" fontId="9" fillId="0" borderId="0" xfId="0" applyNumberFormat="1" applyFont="1" applyFill="1" applyBorder="1"/>
    <xf numFmtId="165" fontId="7" fillId="0" borderId="0" xfId="0" applyNumberFormat="1" applyFont="1"/>
    <xf numFmtId="0" fontId="10" fillId="0" borderId="0" xfId="0" applyFont="1"/>
    <xf numFmtId="0" fontId="11" fillId="0" borderId="0" xfId="0" applyFont="1"/>
    <xf numFmtId="165" fontId="7" fillId="0" borderId="0" xfId="2" applyNumberFormat="1" applyFont="1"/>
    <xf numFmtId="0" fontId="10" fillId="0" borderId="0" xfId="0" applyFont="1" applyFill="1" applyAlignment="1">
      <alignment horizontal="center"/>
    </xf>
    <xf numFmtId="0" fontId="12" fillId="0" borderId="0" xfId="0" applyFont="1" applyFill="1" applyBorder="1" applyAlignment="1">
      <alignment horizontal="center"/>
    </xf>
    <xf numFmtId="0" fontId="11" fillId="0" borderId="0" xfId="0" applyFont="1" applyFill="1" applyBorder="1" applyAlignment="1">
      <alignment horizontal="center"/>
    </xf>
    <xf numFmtId="1" fontId="7" fillId="0" borderId="9" xfId="0" applyNumberFormat="1" applyFont="1" applyFill="1" applyBorder="1" applyAlignment="1">
      <alignment horizontal="right"/>
    </xf>
    <xf numFmtId="1" fontId="7" fillId="0" borderId="10" xfId="0" applyNumberFormat="1" applyFont="1" applyFill="1" applyBorder="1" applyAlignment="1">
      <alignment horizontal="right"/>
    </xf>
    <xf numFmtId="1" fontId="7" fillId="0" borderId="11" xfId="0" applyNumberFormat="1" applyFont="1" applyFill="1" applyBorder="1" applyAlignment="1">
      <alignment horizontal="right"/>
    </xf>
    <xf numFmtId="166" fontId="7" fillId="0" borderId="0" xfId="0" applyNumberFormat="1" applyFont="1" applyFill="1" applyBorder="1" applyAlignment="1">
      <alignment horizontal="center"/>
    </xf>
    <xf numFmtId="0" fontId="7" fillId="0" borderId="0" xfId="0" applyFont="1" applyFill="1" applyAlignment="1">
      <alignment horizontal="center"/>
    </xf>
    <xf numFmtId="0" fontId="7" fillId="0" borderId="3" xfId="0" applyFont="1" applyBorder="1" applyAlignment="1">
      <alignment horizontal="right"/>
    </xf>
    <xf numFmtId="1" fontId="7" fillId="0" borderId="3" xfId="0" applyNumberFormat="1" applyFont="1" applyFill="1" applyBorder="1" applyAlignment="1">
      <alignment horizontal="right"/>
    </xf>
    <xf numFmtId="0" fontId="7" fillId="0" borderId="0" xfId="0" applyFont="1" applyBorder="1"/>
    <xf numFmtId="0" fontId="7" fillId="0" borderId="1" xfId="0" applyFont="1" applyFill="1" applyBorder="1" applyAlignment="1">
      <alignment horizontal="center"/>
    </xf>
    <xf numFmtId="0" fontId="7" fillId="0" borderId="3" xfId="0" applyFont="1" applyFill="1" applyBorder="1" applyAlignment="1">
      <alignment horizontal="center"/>
    </xf>
    <xf numFmtId="0" fontId="7" fillId="0" borderId="4" xfId="0" applyFont="1" applyFill="1" applyBorder="1" applyAlignment="1">
      <alignment horizontal="center"/>
    </xf>
    <xf numFmtId="9" fontId="7" fillId="0" borderId="0" xfId="0" applyNumberFormat="1" applyFont="1"/>
    <xf numFmtId="0" fontId="7" fillId="0" borderId="2" xfId="0" applyFont="1" applyFill="1" applyBorder="1" applyAlignment="1">
      <alignment horizontal="center"/>
    </xf>
    <xf numFmtId="0" fontId="7" fillId="0" borderId="0" xfId="0" applyFont="1" applyFill="1" applyBorder="1" applyAlignment="1">
      <alignment horizontal="center"/>
    </xf>
    <xf numFmtId="0" fontId="7" fillId="0" borderId="5" xfId="0" applyFont="1" applyFill="1" applyBorder="1" applyAlignment="1">
      <alignment horizontal="center"/>
    </xf>
    <xf numFmtId="0" fontId="13" fillId="0" borderId="0" xfId="0" applyFont="1" applyFill="1" applyBorder="1" applyAlignment="1">
      <alignment horizontal="center"/>
    </xf>
    <xf numFmtId="0" fontId="12" fillId="0" borderId="0" xfId="0" applyFont="1" applyFill="1" applyAlignment="1">
      <alignment horizontal="center"/>
    </xf>
    <xf numFmtId="0" fontId="13" fillId="0" borderId="2" xfId="0" applyFont="1" applyFill="1" applyBorder="1" applyAlignment="1">
      <alignment horizontal="center"/>
    </xf>
    <xf numFmtId="0" fontId="7" fillId="0" borderId="6" xfId="0" applyFont="1" applyFill="1" applyBorder="1" applyAlignment="1">
      <alignment horizontal="center"/>
    </xf>
    <xf numFmtId="0" fontId="7" fillId="0" borderId="7" xfId="0" applyFont="1" applyFill="1" applyBorder="1" applyAlignment="1">
      <alignment horizontal="center"/>
    </xf>
    <xf numFmtId="0" fontId="7" fillId="0" borderId="8" xfId="0" applyFont="1" applyFill="1" applyBorder="1" applyAlignment="1">
      <alignment horizontal="center"/>
    </xf>
    <xf numFmtId="0" fontId="12" fillId="0" borderId="0" xfId="0" applyFont="1" applyFill="1"/>
    <xf numFmtId="1" fontId="7" fillId="0" borderId="0" xfId="0" applyNumberFormat="1" applyFont="1"/>
    <xf numFmtId="165" fontId="7" fillId="0" borderId="0" xfId="0" applyNumberFormat="1" applyFont="1" applyFill="1"/>
    <xf numFmtId="1" fontId="7" fillId="0" borderId="0" xfId="0" applyNumberFormat="1" applyFont="1" applyFill="1" applyBorder="1"/>
    <xf numFmtId="0" fontId="12" fillId="0" borderId="0" xfId="0" applyFont="1" applyFill="1" applyBorder="1"/>
    <xf numFmtId="9" fontId="6" fillId="0" borderId="0" xfId="2" applyFont="1"/>
    <xf numFmtId="0" fontId="7" fillId="0" borderId="0" xfId="0" quotePrefix="1" applyFont="1"/>
    <xf numFmtId="0" fontId="16" fillId="0" borderId="0" xfId="0" applyFont="1"/>
    <xf numFmtId="0" fontId="17" fillId="0" borderId="0" xfId="0" applyFont="1"/>
    <xf numFmtId="0" fontId="18" fillId="0" borderId="0" xfId="0" applyFont="1"/>
    <xf numFmtId="0" fontId="19" fillId="0" borderId="0" xfId="0" applyFont="1"/>
    <xf numFmtId="0" fontId="20" fillId="0" borderId="0" xfId="0" applyFont="1" applyAlignment="1">
      <alignment vertical="center"/>
    </xf>
    <xf numFmtId="14" fontId="7" fillId="0" borderId="0" xfId="0" applyNumberFormat="1" applyFont="1" applyAlignment="1">
      <alignment horizontal="left"/>
    </xf>
    <xf numFmtId="169" fontId="7" fillId="0" borderId="0" xfId="0" applyNumberFormat="1" applyFont="1" applyAlignment="1">
      <alignment horizontal="left"/>
    </xf>
    <xf numFmtId="0" fontId="19" fillId="2" borderId="0" xfId="0" applyFont="1" applyFill="1" applyBorder="1"/>
    <xf numFmtId="0" fontId="19" fillId="0" borderId="0" xfId="0" applyFont="1" applyBorder="1"/>
    <xf numFmtId="168" fontId="7" fillId="2" borderId="0" xfId="0" applyNumberFormat="1" applyFont="1" applyFill="1" applyBorder="1"/>
    <xf numFmtId="168" fontId="9" fillId="2" borderId="0" xfId="0" applyNumberFormat="1" applyFont="1" applyFill="1" applyBorder="1"/>
    <xf numFmtId="9" fontId="7" fillId="2" borderId="0" xfId="0" applyNumberFormat="1" applyFont="1" applyFill="1"/>
    <xf numFmtId="0" fontId="7" fillId="2" borderId="0" xfId="0" applyFont="1" applyFill="1"/>
    <xf numFmtId="0" fontId="21" fillId="2" borderId="0" xfId="0" applyFont="1" applyFill="1"/>
    <xf numFmtId="0" fontId="22" fillId="2" borderId="0" xfId="0" applyFont="1" applyFill="1"/>
    <xf numFmtId="0" fontId="22" fillId="0" borderId="0" xfId="0" applyFont="1"/>
    <xf numFmtId="168" fontId="7" fillId="0" borderId="0" xfId="1" applyNumberFormat="1" applyFont="1" applyFill="1" applyAlignment="1">
      <alignment horizontal="center"/>
    </xf>
    <xf numFmtId="168" fontId="7" fillId="2" borderId="0" xfId="0" applyNumberFormat="1" applyFont="1" applyFill="1" applyBorder="1" applyAlignment="1">
      <alignment horizontal="center"/>
    </xf>
    <xf numFmtId="167" fontId="7" fillId="0" borderId="0" xfId="1" applyNumberFormat="1" applyFont="1" applyFill="1" applyAlignment="1">
      <alignment horizontal="center"/>
    </xf>
    <xf numFmtId="167" fontId="7" fillId="0" borderId="0" xfId="0" applyNumberFormat="1" applyFont="1" applyFill="1" applyAlignment="1">
      <alignment horizontal="center"/>
    </xf>
    <xf numFmtId="168" fontId="7" fillId="3" borderId="0" xfId="1" applyNumberFormat="1" applyFont="1" applyFill="1"/>
    <xf numFmtId="168" fontId="7" fillId="3" borderId="0" xfId="0" applyNumberFormat="1" applyFont="1" applyFill="1" applyBorder="1"/>
    <xf numFmtId="168" fontId="9" fillId="3" borderId="0" xfId="0" applyNumberFormat="1" applyFont="1" applyFill="1" applyBorder="1"/>
    <xf numFmtId="165" fontId="7" fillId="2" borderId="0" xfId="0" applyNumberFormat="1" applyFont="1" applyFill="1"/>
    <xf numFmtId="168" fontId="7" fillId="2" borderId="0" xfId="1" applyNumberFormat="1" applyFont="1" applyFill="1"/>
    <xf numFmtId="1" fontId="7" fillId="3" borderId="1" xfId="0" applyNumberFormat="1" applyFont="1" applyFill="1" applyBorder="1"/>
    <xf numFmtId="1" fontId="7" fillId="3" borderId="3" xfId="0" applyNumberFormat="1" applyFont="1" applyFill="1" applyBorder="1"/>
    <xf numFmtId="1" fontId="7" fillId="3" borderId="4" xfId="0" applyNumberFormat="1" applyFont="1" applyFill="1" applyBorder="1"/>
    <xf numFmtId="1" fontId="7" fillId="3" borderId="2" xfId="0" applyNumberFormat="1" applyFont="1" applyFill="1" applyBorder="1"/>
    <xf numFmtId="1" fontId="7" fillId="3" borderId="0" xfId="0" applyNumberFormat="1" applyFont="1" applyFill="1" applyBorder="1"/>
    <xf numFmtId="1" fontId="7" fillId="3" borderId="5" xfId="0" applyNumberFormat="1" applyFont="1" applyFill="1" applyBorder="1"/>
    <xf numFmtId="1" fontId="7" fillId="3" borderId="6" xfId="0" applyNumberFormat="1" applyFont="1" applyFill="1" applyBorder="1"/>
    <xf numFmtId="1" fontId="7" fillId="3" borderId="7" xfId="0" applyNumberFormat="1" applyFont="1" applyFill="1" applyBorder="1"/>
    <xf numFmtId="1" fontId="7" fillId="3" borderId="8" xfId="0" applyNumberFormat="1" applyFont="1" applyFill="1" applyBorder="1"/>
    <xf numFmtId="167" fontId="7" fillId="0" borderId="0" xfId="1" applyNumberFormat="1" applyFont="1" applyFill="1" applyAlignment="1">
      <alignment horizontal="right"/>
    </xf>
    <xf numFmtId="168" fontId="7" fillId="2" borderId="0" xfId="1" applyNumberFormat="1" applyFont="1" applyFill="1" applyAlignment="1">
      <alignment horizontal="right"/>
    </xf>
    <xf numFmtId="167" fontId="7" fillId="0" borderId="0" xfId="0" applyNumberFormat="1" applyFont="1" applyFill="1" applyAlignment="1">
      <alignment horizontal="right"/>
    </xf>
    <xf numFmtId="168" fontId="7" fillId="0" borderId="0" xfId="0" applyNumberFormat="1" applyFont="1" applyFill="1" applyBorder="1" applyAlignment="1">
      <alignment horizontal="center"/>
    </xf>
    <xf numFmtId="9" fontId="7" fillId="0" borderId="0" xfId="0" applyNumberFormat="1" applyFont="1" applyFill="1" applyAlignment="1">
      <alignment horizontal="center"/>
    </xf>
    <xf numFmtId="168" fontId="7" fillId="2" borderId="0" xfId="0" applyNumberFormat="1" applyFont="1" applyFill="1" applyBorder="1" applyAlignment="1">
      <alignment horizontal="right"/>
    </xf>
    <xf numFmtId="168" fontId="7" fillId="0" borderId="0" xfId="0" applyNumberFormat="1" applyFont="1" applyFill="1" applyBorder="1" applyAlignment="1">
      <alignment horizontal="right"/>
    </xf>
    <xf numFmtId="9" fontId="7" fillId="0" borderId="0" xfId="0" applyNumberFormat="1" applyFont="1" applyFill="1" applyAlignment="1">
      <alignment horizontal="right"/>
    </xf>
    <xf numFmtId="0" fontId="3" fillId="0" borderId="0" xfId="0" applyFont="1"/>
    <xf numFmtId="0" fontId="19" fillId="0" borderId="0" xfId="0" applyFont="1" applyFill="1" applyBorder="1"/>
    <xf numFmtId="1" fontId="7" fillId="0" borderId="0" xfId="0" applyNumberFormat="1" applyFont="1" applyFill="1"/>
    <xf numFmtId="0" fontId="7" fillId="0" borderId="0" xfId="0" applyFont="1" applyFill="1" applyAlignment="1">
      <alignment horizontal="right"/>
    </xf>
    <xf numFmtId="0" fontId="7" fillId="0" borderId="0" xfId="0" applyFont="1" applyAlignment="1">
      <alignment wrapText="1"/>
    </xf>
    <xf numFmtId="0" fontId="20" fillId="0" borderId="0" xfId="0" applyFont="1"/>
    <xf numFmtId="0" fontId="10" fillId="0" borderId="0" xfId="0" applyFont="1" applyFill="1" applyAlignment="1">
      <alignment horizontal="left"/>
    </xf>
    <xf numFmtId="0" fontId="10" fillId="0" borderId="0" xfId="0" applyFont="1" applyFill="1" applyAlignment="1">
      <alignment horizontal="center" wrapText="1"/>
    </xf>
    <xf numFmtId="170" fontId="7" fillId="0" borderId="0" xfId="0" applyNumberFormat="1" applyFont="1"/>
    <xf numFmtId="0" fontId="14" fillId="0" borderId="0" xfId="0" applyFont="1" applyAlignment="1">
      <alignment horizontal="right" vertical="top" wrapText="1"/>
    </xf>
    <xf numFmtId="0" fontId="20" fillId="0" borderId="1" xfId="0" applyFont="1" applyBorder="1" applyAlignment="1">
      <alignment horizontal="left" vertical="top" wrapText="1"/>
    </xf>
    <xf numFmtId="0" fontId="20" fillId="0" borderId="3" xfId="0" applyFont="1" applyBorder="1" applyAlignment="1">
      <alignment horizontal="left" vertical="top" wrapText="1"/>
    </xf>
    <xf numFmtId="0" fontId="20" fillId="0" borderId="4" xfId="0" applyFont="1" applyBorder="1" applyAlignment="1">
      <alignment horizontal="left" vertical="top" wrapText="1"/>
    </xf>
    <xf numFmtId="0" fontId="20" fillId="0" borderId="2" xfId="0" applyFont="1" applyBorder="1" applyAlignment="1">
      <alignment horizontal="left" vertical="top" wrapText="1"/>
    </xf>
    <xf numFmtId="0" fontId="20" fillId="0" borderId="0" xfId="0" applyFont="1" applyBorder="1" applyAlignment="1">
      <alignment horizontal="left" vertical="top" wrapText="1"/>
    </xf>
    <xf numFmtId="0" fontId="20" fillId="0" borderId="5" xfId="0" applyFont="1" applyBorder="1" applyAlignment="1">
      <alignment horizontal="left" vertical="top" wrapText="1"/>
    </xf>
    <xf numFmtId="0" fontId="20" fillId="0" borderId="6" xfId="0" applyFont="1" applyBorder="1" applyAlignment="1">
      <alignment horizontal="left" vertical="top" wrapText="1"/>
    </xf>
    <xf numFmtId="0" fontId="20" fillId="0" borderId="7" xfId="0" applyFont="1" applyBorder="1" applyAlignment="1">
      <alignment horizontal="left" vertical="top" wrapText="1"/>
    </xf>
    <xf numFmtId="0" fontId="20" fillId="0" borderId="8" xfId="0" applyFont="1" applyBorder="1" applyAlignment="1">
      <alignment horizontal="left" vertical="top" wrapText="1"/>
    </xf>
    <xf numFmtId="0" fontId="20" fillId="0" borderId="1" xfId="0" applyFont="1" applyFill="1" applyBorder="1" applyAlignment="1">
      <alignment horizontal="left" vertical="top" wrapText="1"/>
    </xf>
    <xf numFmtId="0" fontId="20" fillId="0" borderId="3" xfId="0" applyFont="1" applyFill="1" applyBorder="1" applyAlignment="1">
      <alignment horizontal="left" vertical="top" wrapText="1"/>
    </xf>
    <xf numFmtId="0" fontId="20" fillId="0" borderId="4" xfId="0" applyFont="1" applyFill="1" applyBorder="1" applyAlignment="1">
      <alignment horizontal="left" vertical="top" wrapText="1"/>
    </xf>
    <xf numFmtId="0" fontId="20" fillId="0" borderId="6" xfId="0" applyFont="1" applyFill="1" applyBorder="1" applyAlignment="1">
      <alignment horizontal="left" vertical="top" wrapText="1"/>
    </xf>
    <xf numFmtId="0" fontId="20" fillId="0" borderId="7" xfId="0" applyFont="1" applyFill="1" applyBorder="1" applyAlignment="1">
      <alignment horizontal="left" vertical="top" wrapText="1"/>
    </xf>
    <xf numFmtId="0" fontId="20" fillId="0" borderId="8" xfId="0" applyFont="1" applyFill="1" applyBorder="1" applyAlignment="1">
      <alignment horizontal="left" vertical="top" wrapText="1"/>
    </xf>
    <xf numFmtId="0" fontId="6" fillId="0" borderId="0" xfId="0" applyFont="1" applyAlignment="1">
      <alignment horizontal="center"/>
    </xf>
    <xf numFmtId="0" fontId="20" fillId="0" borderId="1" xfId="0" applyFont="1" applyBorder="1" applyAlignment="1">
      <alignment horizontal="left" wrapText="1"/>
    </xf>
    <xf numFmtId="0" fontId="20" fillId="0" borderId="3" xfId="0" applyFont="1" applyBorder="1" applyAlignment="1">
      <alignment horizontal="left" wrapText="1"/>
    </xf>
    <xf numFmtId="0" fontId="20" fillId="0" borderId="4" xfId="0" applyFont="1" applyBorder="1" applyAlignment="1">
      <alignment horizontal="left" wrapText="1"/>
    </xf>
    <xf numFmtId="0" fontId="20" fillId="0" borderId="2" xfId="0" applyFont="1" applyBorder="1" applyAlignment="1">
      <alignment horizontal="left" wrapText="1"/>
    </xf>
    <xf numFmtId="0" fontId="20" fillId="0" borderId="0" xfId="0" applyFont="1" applyBorder="1" applyAlignment="1">
      <alignment horizontal="left" wrapText="1"/>
    </xf>
    <xf numFmtId="0" fontId="20" fillId="0" borderId="5" xfId="0" applyFont="1" applyBorder="1" applyAlignment="1">
      <alignment horizontal="left" wrapText="1"/>
    </xf>
    <xf numFmtId="0" fontId="20" fillId="0" borderId="6" xfId="0" applyFont="1" applyBorder="1" applyAlignment="1">
      <alignment horizontal="left" wrapText="1"/>
    </xf>
    <xf numFmtId="0" fontId="20" fillId="0" borderId="7" xfId="0" applyFont="1" applyBorder="1" applyAlignment="1">
      <alignment horizontal="left" wrapText="1"/>
    </xf>
    <xf numFmtId="0" fontId="20" fillId="0" borderId="8" xfId="0" applyFont="1" applyBorder="1" applyAlignment="1">
      <alignment horizontal="left" wrapText="1"/>
    </xf>
    <xf numFmtId="0" fontId="20" fillId="0" borderId="1" xfId="0" applyFont="1" applyBorder="1" applyAlignment="1">
      <alignment horizontal="left" vertical="center" wrapText="1"/>
    </xf>
    <xf numFmtId="0" fontId="20" fillId="0" borderId="3" xfId="0" applyFont="1" applyBorder="1" applyAlignment="1">
      <alignment horizontal="left" vertical="center" wrapText="1"/>
    </xf>
    <xf numFmtId="0" fontId="20" fillId="0" borderId="4" xfId="0" applyFont="1" applyBorder="1" applyAlignment="1">
      <alignment horizontal="left" vertical="center" wrapText="1"/>
    </xf>
    <xf numFmtId="0" fontId="20" fillId="0" borderId="2" xfId="0" applyFont="1" applyBorder="1" applyAlignment="1">
      <alignment horizontal="left" vertical="center" wrapText="1"/>
    </xf>
    <xf numFmtId="0" fontId="20" fillId="0" borderId="0" xfId="0" applyFont="1" applyBorder="1" applyAlignment="1">
      <alignment horizontal="left" vertical="center" wrapText="1"/>
    </xf>
    <xf numFmtId="0" fontId="20" fillId="0" borderId="5" xfId="0" applyFont="1" applyBorder="1" applyAlignment="1">
      <alignment horizontal="left" vertical="center" wrapText="1"/>
    </xf>
    <xf numFmtId="0" fontId="20" fillId="0" borderId="6" xfId="0" applyFont="1" applyBorder="1" applyAlignment="1">
      <alignment horizontal="left" vertical="center" wrapText="1"/>
    </xf>
    <xf numFmtId="0" fontId="20" fillId="0" borderId="7" xfId="0" applyFont="1" applyBorder="1" applyAlignment="1">
      <alignment horizontal="left" vertical="center" wrapText="1"/>
    </xf>
    <xf numFmtId="0" fontId="20" fillId="0" borderId="8" xfId="0" applyFont="1" applyBorder="1" applyAlignment="1">
      <alignment horizontal="left" vertical="center" wrapText="1"/>
    </xf>
  </cellXfs>
  <cellStyles count="3">
    <cellStyle name="Comma" xfId="1" builtinId="3"/>
    <cellStyle name="Normal" xfId="0" builtinId="0"/>
    <cellStyle name="Percent" xfId="2"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2A900"/>
      <color rgb="FF0098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19050</xdr:rowOff>
    </xdr:from>
    <xdr:to>
      <xdr:col>0</xdr:col>
      <xdr:colOff>1695450</xdr:colOff>
      <xdr:row>1</xdr:row>
      <xdr:rowOff>92139</xdr:rowOff>
    </xdr:to>
    <xdr:pic>
      <xdr:nvPicPr>
        <xdr:cNvPr id="2" name="Picture 1">
          <a:extLst>
            <a:ext uri="{FF2B5EF4-FFF2-40B4-BE49-F238E27FC236}">
              <a16:creationId xmlns:a16="http://schemas.microsoft.com/office/drawing/2014/main" id="{B7F0B174-509F-478C-99AE-85FF05523A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050"/>
          <a:ext cx="1695450" cy="171138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8CD"/>
  </sheetPr>
  <dimension ref="A1:P30"/>
  <sheetViews>
    <sheetView showGridLines="0" tabSelected="1" topLeftCell="A8" workbookViewId="0">
      <selection activeCell="J16" sqref="J16"/>
    </sheetView>
  </sheetViews>
  <sheetFormatPr defaultRowHeight="12.75" x14ac:dyDescent="0.2"/>
  <cols>
    <col min="1" max="1" width="36.28515625" customWidth="1"/>
  </cols>
  <sheetData>
    <row r="1" spans="1:16" ht="129" customHeight="1" x14ac:dyDescent="0.2">
      <c r="B1" s="120" t="s">
        <v>122</v>
      </c>
      <c r="C1" s="120"/>
      <c r="D1" s="120"/>
      <c r="E1" s="120"/>
      <c r="F1" s="120"/>
      <c r="G1" s="120"/>
      <c r="H1" s="120"/>
      <c r="I1" s="120"/>
      <c r="J1" s="120"/>
      <c r="K1" s="120"/>
      <c r="L1" s="120"/>
      <c r="M1" s="120"/>
      <c r="N1" s="120"/>
      <c r="O1" s="120"/>
      <c r="P1" s="120"/>
    </row>
    <row r="3" spans="1:16" ht="18" x14ac:dyDescent="0.25">
      <c r="A3" s="69" t="s">
        <v>131</v>
      </c>
    </row>
    <row r="4" spans="1:16" ht="18" x14ac:dyDescent="0.25">
      <c r="A4" s="69"/>
    </row>
    <row r="5" spans="1:16" ht="18" x14ac:dyDescent="0.25">
      <c r="A5" s="70" t="s">
        <v>123</v>
      </c>
    </row>
    <row r="6" spans="1:16" ht="18" x14ac:dyDescent="0.25">
      <c r="A6" s="70"/>
    </row>
    <row r="7" spans="1:16" x14ac:dyDescent="0.2">
      <c r="A7" s="1" t="s">
        <v>124</v>
      </c>
    </row>
    <row r="8" spans="1:16" ht="13.5" x14ac:dyDescent="0.25">
      <c r="A8" s="2" t="s">
        <v>173</v>
      </c>
    </row>
    <row r="9" spans="1:16" ht="16.5" x14ac:dyDescent="0.3">
      <c r="A9" s="71"/>
    </row>
    <row r="10" spans="1:16" x14ac:dyDescent="0.2">
      <c r="A10" s="35" t="s">
        <v>125</v>
      </c>
    </row>
    <row r="11" spans="1:16" ht="13.5" x14ac:dyDescent="0.25">
      <c r="A11" s="72" t="s">
        <v>132</v>
      </c>
    </row>
    <row r="12" spans="1:16" x14ac:dyDescent="0.2">
      <c r="A12" s="73"/>
    </row>
    <row r="13" spans="1:16" x14ac:dyDescent="0.2">
      <c r="A13" s="1" t="s">
        <v>126</v>
      </c>
    </row>
    <row r="14" spans="1:16" ht="13.5" x14ac:dyDescent="0.25">
      <c r="A14" s="74" t="s">
        <v>133</v>
      </c>
    </row>
    <row r="15" spans="1:16" x14ac:dyDescent="0.2">
      <c r="A15" s="1"/>
    </row>
    <row r="16" spans="1:16" x14ac:dyDescent="0.2">
      <c r="A16" s="1" t="s">
        <v>127</v>
      </c>
    </row>
    <row r="17" spans="1:2" ht="13.5" x14ac:dyDescent="0.25">
      <c r="A17" s="75" t="s">
        <v>128</v>
      </c>
    </row>
    <row r="18" spans="1:2" ht="13.5" x14ac:dyDescent="0.25">
      <c r="A18" s="2"/>
    </row>
    <row r="19" spans="1:2" x14ac:dyDescent="0.2">
      <c r="A19" s="1" t="s">
        <v>129</v>
      </c>
    </row>
    <row r="20" spans="1:2" ht="13.5" x14ac:dyDescent="0.25">
      <c r="A20" s="75" t="s">
        <v>130</v>
      </c>
    </row>
    <row r="22" spans="1:2" ht="13.5" x14ac:dyDescent="0.25">
      <c r="A22" s="35" t="s">
        <v>134</v>
      </c>
      <c r="B22" s="72"/>
    </row>
    <row r="23" spans="1:2" ht="13.5" x14ac:dyDescent="0.25">
      <c r="A23" s="76" t="s">
        <v>135</v>
      </c>
      <c r="B23" s="77" t="s">
        <v>136</v>
      </c>
    </row>
    <row r="24" spans="1:2" ht="13.5" x14ac:dyDescent="0.25">
      <c r="A24" s="76" t="s">
        <v>137</v>
      </c>
      <c r="B24" s="77" t="s">
        <v>158</v>
      </c>
    </row>
    <row r="25" spans="1:2" ht="13.5" x14ac:dyDescent="0.25">
      <c r="A25" s="76" t="s">
        <v>138</v>
      </c>
      <c r="B25" s="77" t="s">
        <v>159</v>
      </c>
    </row>
    <row r="26" spans="1:2" ht="13.5" x14ac:dyDescent="0.25">
      <c r="A26" s="76" t="s">
        <v>139</v>
      </c>
      <c r="B26" s="77" t="s">
        <v>160</v>
      </c>
    </row>
    <row r="27" spans="1:2" ht="13.5" x14ac:dyDescent="0.25">
      <c r="A27" s="76" t="s">
        <v>140</v>
      </c>
      <c r="B27" s="77" t="s">
        <v>163</v>
      </c>
    </row>
    <row r="28" spans="1:2" ht="13.5" x14ac:dyDescent="0.25">
      <c r="A28" s="76" t="s">
        <v>141</v>
      </c>
      <c r="B28" s="77" t="s">
        <v>164</v>
      </c>
    </row>
    <row r="29" spans="1:2" ht="13.5" x14ac:dyDescent="0.25">
      <c r="A29" s="76" t="s">
        <v>142</v>
      </c>
      <c r="B29" s="112" t="s">
        <v>161</v>
      </c>
    </row>
    <row r="30" spans="1:2" ht="13.5" x14ac:dyDescent="0.25">
      <c r="A30" s="76" t="s">
        <v>143</v>
      </c>
      <c r="B30" s="112" t="s">
        <v>162</v>
      </c>
    </row>
  </sheetData>
  <mergeCells count="1">
    <mergeCell ref="B1:P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7"/>
  <sheetViews>
    <sheetView showGridLines="0" workbookViewId="0">
      <selection activeCell="L20" sqref="L20"/>
    </sheetView>
  </sheetViews>
  <sheetFormatPr defaultRowHeight="13.5" x14ac:dyDescent="0.25"/>
  <cols>
    <col min="1" max="16384" width="9.140625" style="2"/>
  </cols>
  <sheetData>
    <row r="1" spans="1:4" ht="18" x14ac:dyDescent="0.25">
      <c r="A1" s="69" t="s">
        <v>131</v>
      </c>
    </row>
    <row r="3" spans="1:4" ht="18" x14ac:dyDescent="0.25">
      <c r="A3" s="82" t="s">
        <v>85</v>
      </c>
      <c r="B3" s="81"/>
      <c r="C3" s="81"/>
      <c r="D3" s="81"/>
    </row>
    <row r="5" spans="1:4" x14ac:dyDescent="0.25">
      <c r="A5" s="1"/>
    </row>
    <row r="6" spans="1:4" x14ac:dyDescent="0.25">
      <c r="A6" s="1" t="s">
        <v>91</v>
      </c>
    </row>
    <row r="7" spans="1:4" x14ac:dyDescent="0.25">
      <c r="A7" s="2" t="s">
        <v>86</v>
      </c>
      <c r="B7" s="108">
        <v>900</v>
      </c>
      <c r="D7" s="2" t="s">
        <v>90</v>
      </c>
    </row>
    <row r="8" spans="1:4" x14ac:dyDescent="0.25">
      <c r="A8" s="2" t="s">
        <v>87</v>
      </c>
      <c r="B8" s="108">
        <v>800</v>
      </c>
      <c r="D8" s="2" t="s">
        <v>89</v>
      </c>
    </row>
    <row r="9" spans="1:4" x14ac:dyDescent="0.25">
      <c r="A9" s="2" t="s">
        <v>88</v>
      </c>
      <c r="B9" s="109">
        <f>CB!C51</f>
        <v>200</v>
      </c>
      <c r="D9" s="2" t="s">
        <v>156</v>
      </c>
    </row>
    <row r="10" spans="1:4" x14ac:dyDescent="0.25">
      <c r="A10" s="2" t="s">
        <v>92</v>
      </c>
      <c r="B10" s="110">
        <v>0.03</v>
      </c>
    </row>
    <row r="12" spans="1:4" x14ac:dyDescent="0.25">
      <c r="A12" s="1" t="s">
        <v>85</v>
      </c>
      <c r="D12" s="5">
        <f>B10*(MAX(B7,B9)+MAX(0,ABS(B7-B8)-0.2*B8))</f>
        <v>27</v>
      </c>
    </row>
    <row r="17" spans="11:11" x14ac:dyDescent="0.25">
      <c r="K17" s="11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9"/>
  <sheetViews>
    <sheetView showGridLines="0" workbookViewId="0">
      <selection activeCell="L18" sqref="L18"/>
    </sheetView>
  </sheetViews>
  <sheetFormatPr defaultRowHeight="13.5" x14ac:dyDescent="0.25"/>
  <cols>
    <col min="1" max="1" width="34.7109375" style="2" customWidth="1"/>
    <col min="2" max="16384" width="9.140625" style="2"/>
  </cols>
  <sheetData>
    <row r="1" spans="1:3" ht="18" x14ac:dyDescent="0.25">
      <c r="A1" s="69" t="s">
        <v>131</v>
      </c>
    </row>
    <row r="3" spans="1:3" ht="18" x14ac:dyDescent="0.25">
      <c r="A3" s="82" t="s">
        <v>118</v>
      </c>
      <c r="B3" s="82"/>
      <c r="C3" s="82"/>
    </row>
    <row r="6" spans="1:3" x14ac:dyDescent="0.25">
      <c r="A6" s="2" t="s">
        <v>13</v>
      </c>
      <c r="C6" s="5">
        <f>IRC!C79</f>
        <v>685.73345339394109</v>
      </c>
    </row>
    <row r="7" spans="1:3" x14ac:dyDescent="0.25">
      <c r="A7" s="2" t="s">
        <v>43</v>
      </c>
      <c r="B7" s="68" t="s">
        <v>116</v>
      </c>
      <c r="C7" s="5">
        <f>ARC!I58</f>
        <v>229.38986934868154</v>
      </c>
    </row>
    <row r="8" spans="1:3" x14ac:dyDescent="0.25">
      <c r="A8" s="2" t="s">
        <v>114</v>
      </c>
      <c r="B8" s="68" t="s">
        <v>116</v>
      </c>
      <c r="C8" s="93">
        <f>0</f>
        <v>0</v>
      </c>
    </row>
    <row r="9" spans="1:3" x14ac:dyDescent="0.25">
      <c r="A9" s="2" t="s">
        <v>115</v>
      </c>
      <c r="B9" s="68" t="s">
        <v>116</v>
      </c>
      <c r="C9" s="5">
        <f>ORC!D12</f>
        <v>27</v>
      </c>
    </row>
    <row r="10" spans="1:3" x14ac:dyDescent="0.25">
      <c r="A10" s="2" t="s">
        <v>94</v>
      </c>
      <c r="B10" s="68" t="s">
        <v>117</v>
      </c>
      <c r="C10" s="5">
        <f>AB!C9</f>
        <v>149.76706309865256</v>
      </c>
    </row>
    <row r="11" spans="1:3" x14ac:dyDescent="0.25">
      <c r="A11" s="2" t="s">
        <v>93</v>
      </c>
      <c r="B11" s="68" t="s">
        <v>116</v>
      </c>
      <c r="C11" s="5">
        <f>CSS!D37</f>
        <v>0</v>
      </c>
    </row>
    <row r="13" spans="1:3" x14ac:dyDescent="0.25">
      <c r="A13" s="1" t="s">
        <v>113</v>
      </c>
      <c r="C13" s="22">
        <f>SUM(C6:C9)-C10+C11</f>
        <v>792.35625964397002</v>
      </c>
    </row>
    <row r="14" spans="1:3" x14ac:dyDescent="0.25">
      <c r="A14" s="2" t="s">
        <v>121</v>
      </c>
      <c r="C14" s="93">
        <f>0</f>
        <v>0</v>
      </c>
    </row>
    <row r="15" spans="1:3" x14ac:dyDescent="0.25">
      <c r="A15" s="1" t="s">
        <v>118</v>
      </c>
      <c r="C15" s="22">
        <f>C13+C14</f>
        <v>792.35625964397002</v>
      </c>
    </row>
    <row r="17" spans="1:3" x14ac:dyDescent="0.25">
      <c r="A17" s="1" t="s">
        <v>28</v>
      </c>
      <c r="C17" s="22">
        <f>CB!D62</f>
        <v>900</v>
      </c>
    </row>
    <row r="19" spans="1:3" x14ac:dyDescent="0.25">
      <c r="A19" s="1" t="s">
        <v>119</v>
      </c>
      <c r="C19" s="22">
        <f>C17-C15</f>
        <v>107.64374035602998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8CD"/>
  </sheetPr>
  <dimension ref="A1"/>
  <sheetViews>
    <sheetView showGridLines="0" workbookViewId="0">
      <selection activeCell="K33" sqref="K33"/>
    </sheetView>
  </sheetViews>
  <sheetFormatPr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8"/>
  <sheetViews>
    <sheetView showGridLines="0" workbookViewId="0">
      <selection activeCell="A3" sqref="A3"/>
    </sheetView>
  </sheetViews>
  <sheetFormatPr defaultRowHeight="12.75" x14ac:dyDescent="0.2"/>
  <cols>
    <col min="1" max="1" width="20.42578125" customWidth="1"/>
  </cols>
  <sheetData>
    <row r="1" spans="1:7" ht="18" x14ac:dyDescent="0.25">
      <c r="A1" s="69" t="s">
        <v>131</v>
      </c>
      <c r="B1" s="2"/>
      <c r="C1" s="2"/>
      <c r="D1" s="2"/>
      <c r="E1" s="2"/>
      <c r="F1" s="2"/>
      <c r="G1" s="2"/>
    </row>
    <row r="2" spans="1:7" ht="13.5" x14ac:dyDescent="0.25">
      <c r="A2" s="2"/>
      <c r="B2" s="2"/>
      <c r="C2" s="2"/>
      <c r="D2" s="2"/>
      <c r="E2" s="2"/>
      <c r="F2" s="2"/>
      <c r="G2" s="2"/>
    </row>
    <row r="3" spans="1:7" ht="18" x14ac:dyDescent="0.25">
      <c r="A3" s="82" t="s">
        <v>135</v>
      </c>
      <c r="B3" s="83"/>
      <c r="C3" s="83"/>
      <c r="D3" s="83"/>
      <c r="E3" s="83"/>
      <c r="F3" s="83"/>
      <c r="G3" s="83"/>
    </row>
    <row r="6" spans="1:7" ht="13.5" x14ac:dyDescent="0.25">
      <c r="A6" s="11" t="s">
        <v>6</v>
      </c>
      <c r="B6" s="9"/>
      <c r="C6" s="107">
        <v>0.05</v>
      </c>
      <c r="D6" s="2"/>
      <c r="E6" s="2"/>
      <c r="F6" s="2"/>
      <c r="G6" s="2"/>
    </row>
    <row r="7" spans="1:7" ht="13.5" x14ac:dyDescent="0.25">
      <c r="A7" s="9" t="s">
        <v>150</v>
      </c>
      <c r="B7" s="9"/>
      <c r="C7" s="107">
        <v>0.8</v>
      </c>
      <c r="D7" s="2" t="s">
        <v>149</v>
      </c>
      <c r="E7" s="2"/>
      <c r="F7" s="2"/>
      <c r="G7" s="2"/>
    </row>
    <row r="8" spans="1:7" ht="13.5" x14ac:dyDescent="0.25">
      <c r="A8" s="9" t="s">
        <v>151</v>
      </c>
      <c r="B8" s="9"/>
      <c r="C8" s="107">
        <v>0.05</v>
      </c>
      <c r="D8" s="2" t="s">
        <v>149</v>
      </c>
      <c r="E8" s="2"/>
      <c r="F8" s="2"/>
      <c r="G8" s="2"/>
    </row>
    <row r="9" spans="1:7" ht="13.5" x14ac:dyDescent="0.25">
      <c r="A9" s="9" t="s">
        <v>20</v>
      </c>
      <c r="B9" s="9"/>
      <c r="C9" s="107">
        <v>0.1</v>
      </c>
      <c r="D9" s="2" t="s">
        <v>149</v>
      </c>
      <c r="E9" s="2"/>
      <c r="F9" s="2"/>
      <c r="G9" s="2"/>
    </row>
    <row r="10" spans="1:7" ht="13.5" x14ac:dyDescent="0.25">
      <c r="A10" s="9" t="s">
        <v>17</v>
      </c>
      <c r="B10" s="9"/>
      <c r="C10" s="106">
        <v>200</v>
      </c>
      <c r="D10" s="2" t="s">
        <v>152</v>
      </c>
      <c r="E10" s="2"/>
      <c r="F10" s="2"/>
      <c r="G10" s="2"/>
    </row>
    <row r="11" spans="1:7" ht="13.5" x14ac:dyDescent="0.25">
      <c r="A11" s="2"/>
      <c r="B11" s="2"/>
      <c r="C11" s="32"/>
      <c r="D11" s="2"/>
      <c r="E11" s="2"/>
      <c r="F11" s="2"/>
      <c r="G11" s="2"/>
    </row>
    <row r="12" spans="1:7" ht="13.5" x14ac:dyDescent="0.25">
      <c r="A12" s="9" t="s">
        <v>144</v>
      </c>
      <c r="B12" s="2"/>
      <c r="C12" s="32" t="s">
        <v>145</v>
      </c>
      <c r="D12" s="2"/>
      <c r="E12" s="2"/>
      <c r="F12" s="2"/>
      <c r="G12" s="2"/>
    </row>
    <row r="13" spans="1:7" ht="13.5" x14ac:dyDescent="0.25">
      <c r="A13" s="9" t="s">
        <v>146</v>
      </c>
      <c r="B13" s="2"/>
      <c r="C13" s="32" t="s">
        <v>145</v>
      </c>
      <c r="D13" s="2"/>
      <c r="E13" s="2"/>
      <c r="F13" s="2"/>
      <c r="G13" s="2"/>
    </row>
    <row r="14" spans="1:7" ht="13.5" x14ac:dyDescent="0.25">
      <c r="A14" s="2"/>
      <c r="B14" s="2"/>
      <c r="C14" s="2"/>
      <c r="D14" s="2"/>
      <c r="E14" s="2"/>
      <c r="F14" s="2"/>
      <c r="G14" s="2"/>
    </row>
    <row r="15" spans="1:7" ht="13.5" x14ac:dyDescent="0.25">
      <c r="A15" s="9" t="s">
        <v>147</v>
      </c>
      <c r="B15" s="2"/>
      <c r="C15" s="2"/>
      <c r="D15" s="2"/>
      <c r="E15" s="2"/>
      <c r="F15" s="2"/>
      <c r="G15" s="2"/>
    </row>
    <row r="16" spans="1:7" ht="13.5" x14ac:dyDescent="0.25">
      <c r="A16" s="9" t="s">
        <v>148</v>
      </c>
      <c r="B16" s="2"/>
      <c r="C16" s="2"/>
      <c r="D16" s="2"/>
      <c r="E16" s="2"/>
      <c r="F16" s="2"/>
      <c r="G16" s="2"/>
    </row>
    <row r="17" spans="1:7" ht="13.5" x14ac:dyDescent="0.25">
      <c r="A17" s="2"/>
      <c r="B17" s="2"/>
      <c r="C17" s="2"/>
      <c r="D17" s="2"/>
      <c r="E17" s="2"/>
      <c r="F17" s="2"/>
      <c r="G17" s="2"/>
    </row>
    <row r="18" spans="1:7" x14ac:dyDescent="0.2">
      <c r="A18" s="111"/>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98CD"/>
  </sheetPr>
  <dimension ref="A1"/>
  <sheetViews>
    <sheetView workbookViewId="0">
      <selection activeCell="K33" sqref="K33"/>
    </sheetView>
  </sheetViews>
  <sheetFormatPr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62"/>
  <sheetViews>
    <sheetView showGridLines="0" zoomScaleNormal="100" zoomScaleSheetLayoutView="100" workbookViewId="0">
      <selection activeCell="A5" sqref="A5:G7"/>
    </sheetView>
  </sheetViews>
  <sheetFormatPr defaultColWidth="8.85546875" defaultRowHeight="13.5" x14ac:dyDescent="0.25"/>
  <cols>
    <col min="1" max="1" width="9.5703125" style="2" customWidth="1"/>
    <col min="2" max="26" width="14.7109375" style="2" customWidth="1"/>
    <col min="27" max="16384" width="8.85546875" style="2"/>
  </cols>
  <sheetData>
    <row r="1" spans="1:7" ht="18" x14ac:dyDescent="0.25">
      <c r="A1" s="69" t="s">
        <v>131</v>
      </c>
    </row>
    <row r="3" spans="1:7" s="84" customFormat="1" ht="18" x14ac:dyDescent="0.25">
      <c r="A3" s="82" t="s">
        <v>28</v>
      </c>
      <c r="B3" s="83"/>
      <c r="C3" s="83"/>
      <c r="D3" s="83"/>
      <c r="E3" s="83"/>
      <c r="F3" s="83"/>
      <c r="G3" s="83"/>
    </row>
    <row r="5" spans="1:7" ht="41.25" customHeight="1" x14ac:dyDescent="0.25">
      <c r="A5" s="121" t="s">
        <v>155</v>
      </c>
      <c r="B5" s="122"/>
      <c r="C5" s="122"/>
      <c r="D5" s="122"/>
      <c r="E5" s="122"/>
      <c r="F5" s="122"/>
      <c r="G5" s="123"/>
    </row>
    <row r="6" spans="1:7" ht="41.25" customHeight="1" x14ac:dyDescent="0.25">
      <c r="A6" s="124"/>
      <c r="B6" s="125"/>
      <c r="C6" s="125"/>
      <c r="D6" s="125"/>
      <c r="E6" s="125"/>
      <c r="F6" s="125"/>
      <c r="G6" s="126"/>
    </row>
    <row r="7" spans="1:7" ht="29.25" customHeight="1" x14ac:dyDescent="0.25">
      <c r="A7" s="127"/>
      <c r="B7" s="128"/>
      <c r="C7" s="128"/>
      <c r="D7" s="128"/>
      <c r="E7" s="128"/>
      <c r="F7" s="128"/>
      <c r="G7" s="129"/>
    </row>
    <row r="9" spans="1:7" x14ac:dyDescent="0.25">
      <c r="A9" s="3" t="s">
        <v>30</v>
      </c>
    </row>
    <row r="11" spans="1:7" x14ac:dyDescent="0.25">
      <c r="A11" s="4" t="s">
        <v>31</v>
      </c>
    </row>
    <row r="13" spans="1:7" x14ac:dyDescent="0.25">
      <c r="A13" s="2" t="s">
        <v>32</v>
      </c>
      <c r="C13" s="78">
        <v>200</v>
      </c>
      <c r="D13" s="2" t="s">
        <v>46</v>
      </c>
    </row>
    <row r="14" spans="1:7" x14ac:dyDescent="0.25">
      <c r="A14" s="2" t="s">
        <v>51</v>
      </c>
      <c r="C14" s="78">
        <v>100</v>
      </c>
    </row>
    <row r="15" spans="1:7" x14ac:dyDescent="0.25">
      <c r="A15" s="2" t="s">
        <v>44</v>
      </c>
      <c r="C15" s="78">
        <v>100</v>
      </c>
      <c r="D15" s="2" t="s">
        <v>47</v>
      </c>
    </row>
    <row r="16" spans="1:7" x14ac:dyDescent="0.25">
      <c r="A16" s="2" t="s">
        <v>35</v>
      </c>
      <c r="C16" s="79">
        <v>800</v>
      </c>
      <c r="D16" s="2" t="s">
        <v>45</v>
      </c>
    </row>
    <row r="17" spans="1:3" x14ac:dyDescent="0.25">
      <c r="A17" s="2" t="s">
        <v>40</v>
      </c>
      <c r="C17" s="5">
        <f>SUM(C13:C16)</f>
        <v>1200</v>
      </c>
    </row>
    <row r="18" spans="1:3" x14ac:dyDescent="0.25">
      <c r="C18" s="5"/>
    </row>
    <row r="19" spans="1:3" x14ac:dyDescent="0.25">
      <c r="A19" s="6" t="s">
        <v>34</v>
      </c>
      <c r="C19" s="5"/>
    </row>
    <row r="20" spans="1:3" x14ac:dyDescent="0.25">
      <c r="C20" s="5"/>
    </row>
    <row r="21" spans="1:3" x14ac:dyDescent="0.25">
      <c r="A21" s="2" t="s">
        <v>36</v>
      </c>
      <c r="C21" s="78">
        <v>-400</v>
      </c>
    </row>
    <row r="22" spans="1:3" x14ac:dyDescent="0.25">
      <c r="A22" s="2" t="s">
        <v>39</v>
      </c>
      <c r="C22" s="79">
        <v>100</v>
      </c>
    </row>
    <row r="23" spans="1:3" x14ac:dyDescent="0.25">
      <c r="A23" s="2" t="s">
        <v>41</v>
      </c>
      <c r="B23" s="1"/>
      <c r="C23" s="5">
        <f>SUM(C21:C22)</f>
        <v>-300</v>
      </c>
    </row>
    <row r="25" spans="1:3" x14ac:dyDescent="0.25">
      <c r="A25" s="1" t="s">
        <v>37</v>
      </c>
      <c r="C25" s="7">
        <f>C17-C23</f>
        <v>1500</v>
      </c>
    </row>
    <row r="27" spans="1:3" s="9" customFormat="1" x14ac:dyDescent="0.25">
      <c r="A27" s="8" t="s">
        <v>29</v>
      </c>
    </row>
    <row r="28" spans="1:3" s="9" customFormat="1" x14ac:dyDescent="0.25">
      <c r="A28" s="10"/>
    </row>
    <row r="29" spans="1:3" s="9" customFormat="1" x14ac:dyDescent="0.25">
      <c r="A29" s="11" t="s">
        <v>6</v>
      </c>
      <c r="C29" s="23">
        <f>Assumptions!C6</f>
        <v>0.05</v>
      </c>
    </row>
    <row r="30" spans="1:3" s="9" customFormat="1" x14ac:dyDescent="0.25">
      <c r="A30" s="9" t="s">
        <v>18</v>
      </c>
      <c r="C30" s="23">
        <f>Assumptions!C7</f>
        <v>0.8</v>
      </c>
    </row>
    <row r="31" spans="1:3" s="9" customFormat="1" x14ac:dyDescent="0.25">
      <c r="A31" s="9" t="s">
        <v>19</v>
      </c>
      <c r="C31" s="23">
        <f>Assumptions!C8</f>
        <v>0.05</v>
      </c>
    </row>
    <row r="32" spans="1:3" s="9" customFormat="1" x14ac:dyDescent="0.25">
      <c r="A32" s="9" t="s">
        <v>20</v>
      </c>
      <c r="C32" s="23">
        <f>Assumptions!C9</f>
        <v>0.1</v>
      </c>
    </row>
    <row r="33" spans="1:5" s="9" customFormat="1" x14ac:dyDescent="0.25">
      <c r="A33" s="9" t="s">
        <v>17</v>
      </c>
      <c r="C33" s="113">
        <f>Assumptions!C10</f>
        <v>200</v>
      </c>
    </row>
    <row r="34" spans="1:5" s="9" customFormat="1" x14ac:dyDescent="0.25">
      <c r="C34" s="5"/>
    </row>
    <row r="35" spans="1:5" s="9" customFormat="1" ht="12.75" customHeight="1" x14ac:dyDescent="0.25">
      <c r="A35" s="12" t="s">
        <v>5</v>
      </c>
      <c r="C35" s="13"/>
      <c r="D35" s="14"/>
      <c r="E35" s="14"/>
    </row>
    <row r="36" spans="1:5" s="9" customFormat="1" x14ac:dyDescent="0.25">
      <c r="A36" s="45" t="s">
        <v>2</v>
      </c>
      <c r="B36" s="45" t="s">
        <v>3</v>
      </c>
      <c r="C36" s="45" t="s">
        <v>4</v>
      </c>
      <c r="D36" s="45" t="s">
        <v>1</v>
      </c>
    </row>
    <row r="37" spans="1:5" s="9" customFormat="1" x14ac:dyDescent="0.25">
      <c r="A37" s="85">
        <v>1</v>
      </c>
      <c r="B37" s="86">
        <v>1000</v>
      </c>
      <c r="C37" s="87">
        <f>B37*Assumptions!$C$7</f>
        <v>800</v>
      </c>
      <c r="D37" s="88">
        <f>B37*Assumptions!$C$8</f>
        <v>50</v>
      </c>
      <c r="E37" s="17"/>
    </row>
    <row r="38" spans="1:5" s="9" customFormat="1" x14ac:dyDescent="0.25">
      <c r="A38" s="85">
        <f t="shared" ref="A38:A45" si="0">A37+1</f>
        <v>2</v>
      </c>
      <c r="B38" s="87">
        <f>B37*(1-Assumptions!$C$9)</f>
        <v>900</v>
      </c>
      <c r="C38" s="87">
        <f>B38*Assumptions!$C$7</f>
        <v>720</v>
      </c>
      <c r="D38" s="88">
        <f>B38*Assumptions!$C$8</f>
        <v>45</v>
      </c>
      <c r="E38" s="17"/>
    </row>
    <row r="39" spans="1:5" s="9" customFormat="1" x14ac:dyDescent="0.25">
      <c r="A39" s="85">
        <f>A38+1</f>
        <v>3</v>
      </c>
      <c r="B39" s="87">
        <f>B38*(1-Assumptions!$C$9)</f>
        <v>810</v>
      </c>
      <c r="C39" s="87">
        <f>B39*Assumptions!$C$7</f>
        <v>648</v>
      </c>
      <c r="D39" s="88">
        <f>B39*Assumptions!$C$8</f>
        <v>40.5</v>
      </c>
      <c r="E39" s="17"/>
    </row>
    <row r="40" spans="1:5" s="9" customFormat="1" x14ac:dyDescent="0.25">
      <c r="A40" s="85">
        <f t="shared" si="0"/>
        <v>4</v>
      </c>
      <c r="B40" s="87">
        <f>B39*(1-Assumptions!$C$9)</f>
        <v>729</v>
      </c>
      <c r="C40" s="87">
        <f>B40*Assumptions!$C$7</f>
        <v>583.20000000000005</v>
      </c>
      <c r="D40" s="88">
        <f>B40*Assumptions!$C$8</f>
        <v>36.450000000000003</v>
      </c>
      <c r="E40" s="17"/>
    </row>
    <row r="41" spans="1:5" s="9" customFormat="1" x14ac:dyDescent="0.25">
      <c r="A41" s="85">
        <f t="shared" si="0"/>
        <v>5</v>
      </c>
      <c r="B41" s="87">
        <f>B40*(1-Assumptions!$C$9)</f>
        <v>656.1</v>
      </c>
      <c r="C41" s="87">
        <f>B41*Assumptions!$C$7</f>
        <v>524.88</v>
      </c>
      <c r="D41" s="88">
        <f>B41*Assumptions!$C$8</f>
        <v>32.805</v>
      </c>
      <c r="E41" s="17"/>
    </row>
    <row r="42" spans="1:5" s="9" customFormat="1" x14ac:dyDescent="0.25">
      <c r="A42" s="85">
        <f t="shared" si="0"/>
        <v>6</v>
      </c>
      <c r="B42" s="87">
        <f>B41*(1-Assumptions!$C$9)</f>
        <v>590.49</v>
      </c>
      <c r="C42" s="87">
        <f>B42*Assumptions!$C$7</f>
        <v>472.39200000000005</v>
      </c>
      <c r="D42" s="88">
        <f>B42*Assumptions!$C$8</f>
        <v>29.524500000000003</v>
      </c>
      <c r="E42" s="17"/>
    </row>
    <row r="43" spans="1:5" s="9" customFormat="1" x14ac:dyDescent="0.25">
      <c r="A43" s="85">
        <f t="shared" si="0"/>
        <v>7</v>
      </c>
      <c r="B43" s="87">
        <f>B42*(1-Assumptions!$C$9)</f>
        <v>531.44100000000003</v>
      </c>
      <c r="C43" s="87">
        <f>B43*Assumptions!$C$7</f>
        <v>425.15280000000007</v>
      </c>
      <c r="D43" s="88">
        <f>B43*Assumptions!$C$8</f>
        <v>26.572050000000004</v>
      </c>
      <c r="E43" s="17"/>
    </row>
    <row r="44" spans="1:5" s="9" customFormat="1" x14ac:dyDescent="0.25">
      <c r="A44" s="85">
        <f t="shared" si="0"/>
        <v>8</v>
      </c>
      <c r="B44" s="87">
        <f>B43*(1-Assumptions!$C$9)</f>
        <v>478.29690000000005</v>
      </c>
      <c r="C44" s="87">
        <f>B44*Assumptions!$C$7</f>
        <v>382.63752000000005</v>
      </c>
      <c r="D44" s="88">
        <f>B44*Assumptions!$C$8</f>
        <v>23.914845000000003</v>
      </c>
      <c r="E44" s="17"/>
    </row>
    <row r="45" spans="1:5" s="9" customFormat="1" x14ac:dyDescent="0.25">
      <c r="A45" s="85">
        <f t="shared" si="0"/>
        <v>9</v>
      </c>
      <c r="B45" s="87">
        <f>B44*(1-Assumptions!$C$9)</f>
        <v>430.46721000000008</v>
      </c>
      <c r="C45" s="87">
        <f>B45*Assumptions!$C$7</f>
        <v>344.3737680000001</v>
      </c>
      <c r="D45" s="88">
        <f>B45*Assumptions!$C$8</f>
        <v>21.523360500000006</v>
      </c>
      <c r="E45" s="17"/>
    </row>
    <row r="46" spans="1:5" s="9" customFormat="1" x14ac:dyDescent="0.25">
      <c r="A46" s="85">
        <f>A45+1</f>
        <v>10</v>
      </c>
      <c r="B46" s="87">
        <f>B45*(1-Assumptions!$C$9)</f>
        <v>387.42048900000009</v>
      </c>
      <c r="C46" s="87">
        <f>B46*Assumptions!$C$7</f>
        <v>309.93639120000012</v>
      </c>
      <c r="D46" s="88">
        <f>B46*Assumptions!$C$8</f>
        <v>19.371024450000007</v>
      </c>
      <c r="E46" s="17"/>
    </row>
    <row r="47" spans="1:5" s="9" customFormat="1" x14ac:dyDescent="0.25"/>
    <row r="48" spans="1:5" s="9" customFormat="1" x14ac:dyDescent="0.25">
      <c r="A48" s="9" t="s">
        <v>17</v>
      </c>
      <c r="C48" s="18">
        <f>Assumptions!$C$10</f>
        <v>200</v>
      </c>
    </row>
    <row r="49" spans="1:17" s="9" customFormat="1" x14ac:dyDescent="0.25">
      <c r="A49" s="9" t="s">
        <v>7</v>
      </c>
      <c r="C49" s="5">
        <f>Assumptions!$C$10+NPV(Assumptions!$C$6,C37:C46)+NPV(Assumptions!$C$6,D37:D46)-NPV(Assumptions!$C$6,B37:B46)*(1+Assumptions!$C$6)</f>
        <v>-847.92224586492102</v>
      </c>
    </row>
    <row r="50" spans="1:17" s="9" customFormat="1" x14ac:dyDescent="0.25">
      <c r="A50" s="9" t="s">
        <v>8</v>
      </c>
      <c r="C50" s="5">
        <f>C48</f>
        <v>200</v>
      </c>
    </row>
    <row r="51" spans="1:17" s="9" customFormat="1" x14ac:dyDescent="0.25">
      <c r="A51" s="10" t="s">
        <v>9</v>
      </c>
      <c r="B51" s="10"/>
      <c r="C51" s="19">
        <f>MAX(C49,C50)</f>
        <v>200</v>
      </c>
      <c r="H51" s="5"/>
      <c r="I51" s="5"/>
      <c r="J51" s="20"/>
      <c r="M51" s="5"/>
      <c r="Q51" s="5"/>
    </row>
    <row r="52" spans="1:17" s="9" customFormat="1" x14ac:dyDescent="0.25">
      <c r="J52" s="20"/>
    </row>
    <row r="53" spans="1:17" s="9" customFormat="1" x14ac:dyDescent="0.25">
      <c r="J53" s="20"/>
    </row>
    <row r="55" spans="1:17" x14ac:dyDescent="0.25">
      <c r="A55" s="21" t="s">
        <v>28</v>
      </c>
    </row>
    <row r="57" spans="1:17" x14ac:dyDescent="0.25">
      <c r="A57" s="2" t="s">
        <v>37</v>
      </c>
      <c r="D57" s="22">
        <f>C25</f>
        <v>1500</v>
      </c>
    </row>
    <row r="59" spans="1:17" x14ac:dyDescent="0.25">
      <c r="A59" s="2" t="s">
        <v>42</v>
      </c>
    </row>
    <row r="60" spans="1:17" x14ac:dyDescent="0.25">
      <c r="A60" s="2" t="s">
        <v>38</v>
      </c>
      <c r="D60" s="22">
        <f>C51-C21</f>
        <v>600</v>
      </c>
    </row>
    <row r="62" spans="1:17" x14ac:dyDescent="0.25">
      <c r="A62" s="1" t="s">
        <v>28</v>
      </c>
      <c r="D62" s="7">
        <f>D57-D60</f>
        <v>900</v>
      </c>
    </row>
  </sheetData>
  <mergeCells count="1">
    <mergeCell ref="A5:G7"/>
  </mergeCells>
  <pageMargins left="0.75" right="0.75" top="1" bottom="1" header="0.5" footer="0.5"/>
  <pageSetup paperSize="9" orientation="portrait" horizontalDpi="4294967293" verticalDpi="4294967293"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79"/>
  <sheetViews>
    <sheetView showGridLines="0" topLeftCell="A58" zoomScaleNormal="100" zoomScaleSheetLayoutView="100" workbookViewId="0">
      <selection activeCell="B76" sqref="B76"/>
    </sheetView>
  </sheetViews>
  <sheetFormatPr defaultColWidth="8.85546875" defaultRowHeight="13.5" x14ac:dyDescent="0.25"/>
  <cols>
    <col min="1" max="1" width="9.5703125" style="2" customWidth="1"/>
    <col min="2" max="3" width="15.28515625" style="2" customWidth="1"/>
    <col min="4" max="4" width="14.42578125" style="2" customWidth="1"/>
    <col min="5" max="5" width="3.140625" style="2" customWidth="1"/>
    <col min="6" max="6" width="16.140625" style="2" customWidth="1"/>
    <col min="7" max="7" width="15.140625" style="2" customWidth="1"/>
    <col min="8" max="8" width="15" style="2" bestFit="1" customWidth="1"/>
    <col min="9" max="9" width="3.140625" style="2" customWidth="1"/>
    <col min="10" max="10" width="18.140625" style="2" bestFit="1" customWidth="1"/>
    <col min="11" max="16" width="21.140625" style="2" customWidth="1"/>
    <col min="17" max="17" width="13.5703125" style="2" customWidth="1"/>
    <col min="18" max="16384" width="8.85546875" style="2"/>
  </cols>
  <sheetData>
    <row r="1" spans="1:12" ht="18" x14ac:dyDescent="0.25">
      <c r="A1" s="69" t="s">
        <v>131</v>
      </c>
    </row>
    <row r="3" spans="1:12" s="9" customFormat="1" ht="18" x14ac:dyDescent="0.25">
      <c r="A3" s="82" t="s">
        <v>13</v>
      </c>
      <c r="B3" s="83"/>
      <c r="C3" s="83"/>
      <c r="D3" s="83"/>
      <c r="E3" s="83"/>
      <c r="F3" s="83"/>
      <c r="G3" s="83"/>
      <c r="H3" s="82"/>
      <c r="I3" s="83"/>
      <c r="J3" s="83"/>
      <c r="K3" s="83"/>
      <c r="L3" s="83"/>
    </row>
    <row r="4" spans="1:12" s="9" customFormat="1" x14ac:dyDescent="0.25">
      <c r="A4" s="10"/>
    </row>
    <row r="5" spans="1:12" s="9" customFormat="1" ht="15.75" customHeight="1" x14ac:dyDescent="0.25">
      <c r="A5" s="130" t="s">
        <v>153</v>
      </c>
      <c r="B5" s="131"/>
      <c r="C5" s="131"/>
      <c r="D5" s="131"/>
      <c r="E5" s="131"/>
      <c r="F5" s="131"/>
      <c r="G5" s="131"/>
      <c r="H5" s="131"/>
      <c r="I5" s="131"/>
      <c r="J5" s="131"/>
      <c r="K5" s="131"/>
      <c r="L5" s="132"/>
    </row>
    <row r="6" spans="1:12" s="9" customFormat="1" x14ac:dyDescent="0.25">
      <c r="A6" s="133"/>
      <c r="B6" s="134"/>
      <c r="C6" s="134"/>
      <c r="D6" s="134"/>
      <c r="E6" s="134"/>
      <c r="F6" s="134"/>
      <c r="G6" s="134"/>
      <c r="H6" s="134"/>
      <c r="I6" s="134"/>
      <c r="J6" s="134"/>
      <c r="K6" s="134"/>
      <c r="L6" s="135"/>
    </row>
    <row r="7" spans="1:12" s="9" customFormat="1" x14ac:dyDescent="0.25">
      <c r="A7" s="10"/>
    </row>
    <row r="8" spans="1:12" s="9" customFormat="1" x14ac:dyDescent="0.25">
      <c r="A8" s="11" t="s">
        <v>6</v>
      </c>
      <c r="C8" s="23">
        <f>Assumptions!C6</f>
        <v>0.05</v>
      </c>
    </row>
    <row r="9" spans="1:12" s="9" customFormat="1" x14ac:dyDescent="0.25">
      <c r="A9" s="9" t="s">
        <v>18</v>
      </c>
      <c r="C9" s="23">
        <f>Assumptions!C7</f>
        <v>0.8</v>
      </c>
    </row>
    <row r="10" spans="1:12" s="9" customFormat="1" x14ac:dyDescent="0.25">
      <c r="A10" s="9" t="s">
        <v>19</v>
      </c>
      <c r="C10" s="23">
        <f>Assumptions!C8</f>
        <v>0.05</v>
      </c>
    </row>
    <row r="11" spans="1:12" s="9" customFormat="1" x14ac:dyDescent="0.25">
      <c r="A11" s="9" t="s">
        <v>20</v>
      </c>
      <c r="C11" s="23">
        <f>Assumptions!C9</f>
        <v>0.1</v>
      </c>
    </row>
    <row r="12" spans="1:12" s="9" customFormat="1" x14ac:dyDescent="0.25">
      <c r="A12" s="9" t="s">
        <v>17</v>
      </c>
      <c r="C12" s="5">
        <f>Assumptions!C10</f>
        <v>200</v>
      </c>
      <c r="D12" s="9" t="s">
        <v>120</v>
      </c>
    </row>
    <row r="13" spans="1:12" s="9" customFormat="1" x14ac:dyDescent="0.25">
      <c r="C13" s="5"/>
    </row>
    <row r="14" spans="1:12" s="9" customFormat="1" ht="12.75" customHeight="1" x14ac:dyDescent="0.25">
      <c r="B14" s="12" t="s">
        <v>5</v>
      </c>
      <c r="C14" s="13"/>
      <c r="D14" s="14"/>
      <c r="E14" s="14"/>
    </row>
    <row r="15" spans="1:12" s="9" customFormat="1" x14ac:dyDescent="0.25">
      <c r="A15" s="9" t="s">
        <v>2</v>
      </c>
      <c r="B15" s="9" t="s">
        <v>3</v>
      </c>
      <c r="C15" s="9" t="s">
        <v>4</v>
      </c>
      <c r="D15" s="9" t="s">
        <v>1</v>
      </c>
    </row>
    <row r="16" spans="1:12" s="9" customFormat="1" x14ac:dyDescent="0.25">
      <c r="A16" s="15">
        <v>1</v>
      </c>
      <c r="B16" s="16">
        <v>1000</v>
      </c>
      <c r="C16" s="16">
        <f>B16*$C$9</f>
        <v>800</v>
      </c>
      <c r="D16" s="17">
        <f>B16*$C$10</f>
        <v>50</v>
      </c>
      <c r="E16" s="17"/>
    </row>
    <row r="17" spans="1:17" s="9" customFormat="1" x14ac:dyDescent="0.25">
      <c r="A17" s="15">
        <f t="shared" ref="A17:A24" si="0">A16+1</f>
        <v>2</v>
      </c>
      <c r="B17" s="16">
        <f>B16*(1-$C$11)</f>
        <v>900</v>
      </c>
      <c r="C17" s="16">
        <f t="shared" ref="C17:C25" si="1">B17*$C$9</f>
        <v>720</v>
      </c>
      <c r="D17" s="17">
        <f t="shared" ref="D17:D25" si="2">B17*$C$10</f>
        <v>45</v>
      </c>
      <c r="E17" s="17"/>
    </row>
    <row r="18" spans="1:17" s="9" customFormat="1" x14ac:dyDescent="0.25">
      <c r="A18" s="15">
        <f t="shared" si="0"/>
        <v>3</v>
      </c>
      <c r="B18" s="16">
        <f t="shared" ref="B18:B25" si="3">B17*(1-$C$11)</f>
        <v>810</v>
      </c>
      <c r="C18" s="16">
        <f t="shared" si="1"/>
        <v>648</v>
      </c>
      <c r="D18" s="17">
        <f t="shared" si="2"/>
        <v>40.5</v>
      </c>
      <c r="E18" s="17"/>
    </row>
    <row r="19" spans="1:17" s="9" customFormat="1" x14ac:dyDescent="0.25">
      <c r="A19" s="15">
        <f t="shared" si="0"/>
        <v>4</v>
      </c>
      <c r="B19" s="16">
        <f t="shared" si="3"/>
        <v>729</v>
      </c>
      <c r="C19" s="16">
        <f t="shared" si="1"/>
        <v>583.20000000000005</v>
      </c>
      <c r="D19" s="17">
        <f t="shared" si="2"/>
        <v>36.450000000000003</v>
      </c>
      <c r="E19" s="17"/>
    </row>
    <row r="20" spans="1:17" s="9" customFormat="1" x14ac:dyDescent="0.25">
      <c r="A20" s="15">
        <f t="shared" si="0"/>
        <v>5</v>
      </c>
      <c r="B20" s="16">
        <f t="shared" si="3"/>
        <v>656.1</v>
      </c>
      <c r="C20" s="16">
        <f t="shared" si="1"/>
        <v>524.88</v>
      </c>
      <c r="D20" s="17">
        <f t="shared" si="2"/>
        <v>32.805</v>
      </c>
      <c r="E20" s="17"/>
    </row>
    <row r="21" spans="1:17" s="9" customFormat="1" x14ac:dyDescent="0.25">
      <c r="A21" s="15">
        <f t="shared" si="0"/>
        <v>6</v>
      </c>
      <c r="B21" s="16">
        <f t="shared" si="3"/>
        <v>590.49</v>
      </c>
      <c r="C21" s="16">
        <f t="shared" si="1"/>
        <v>472.39200000000005</v>
      </c>
      <c r="D21" s="17">
        <f t="shared" si="2"/>
        <v>29.524500000000003</v>
      </c>
      <c r="E21" s="17"/>
    </row>
    <row r="22" spans="1:17" s="9" customFormat="1" x14ac:dyDescent="0.25">
      <c r="A22" s="15">
        <f t="shared" si="0"/>
        <v>7</v>
      </c>
      <c r="B22" s="16">
        <f t="shared" si="3"/>
        <v>531.44100000000003</v>
      </c>
      <c r="C22" s="16">
        <f t="shared" si="1"/>
        <v>425.15280000000007</v>
      </c>
      <c r="D22" s="17">
        <f t="shared" si="2"/>
        <v>26.572050000000004</v>
      </c>
      <c r="E22" s="17"/>
    </row>
    <row r="23" spans="1:17" s="9" customFormat="1" x14ac:dyDescent="0.25">
      <c r="A23" s="15">
        <f t="shared" si="0"/>
        <v>8</v>
      </c>
      <c r="B23" s="16">
        <f t="shared" si="3"/>
        <v>478.29690000000005</v>
      </c>
      <c r="C23" s="16">
        <f t="shared" si="1"/>
        <v>382.63752000000005</v>
      </c>
      <c r="D23" s="17">
        <f t="shared" si="2"/>
        <v>23.914845000000003</v>
      </c>
      <c r="E23" s="17"/>
    </row>
    <row r="24" spans="1:17" s="9" customFormat="1" x14ac:dyDescent="0.25">
      <c r="A24" s="15">
        <f t="shared" si="0"/>
        <v>9</v>
      </c>
      <c r="B24" s="16">
        <f t="shared" si="3"/>
        <v>430.46721000000008</v>
      </c>
      <c r="C24" s="16">
        <f t="shared" si="1"/>
        <v>344.3737680000001</v>
      </c>
      <c r="D24" s="17">
        <f t="shared" si="2"/>
        <v>21.523360500000006</v>
      </c>
      <c r="E24" s="17"/>
    </row>
    <row r="25" spans="1:17" s="9" customFormat="1" x14ac:dyDescent="0.25">
      <c r="A25" s="15">
        <f>A24+1</f>
        <v>10</v>
      </c>
      <c r="B25" s="16">
        <f t="shared" si="3"/>
        <v>387.42048900000009</v>
      </c>
      <c r="C25" s="16">
        <f t="shared" si="1"/>
        <v>309.93639120000012</v>
      </c>
      <c r="D25" s="17">
        <f t="shared" si="2"/>
        <v>19.371024450000007</v>
      </c>
      <c r="E25" s="17"/>
    </row>
    <row r="26" spans="1:17" s="9" customFormat="1" x14ac:dyDescent="0.25"/>
    <row r="27" spans="1:17" s="9" customFormat="1" x14ac:dyDescent="0.25">
      <c r="A27" s="9" t="s">
        <v>17</v>
      </c>
      <c r="C27" s="18">
        <f>$C$12</f>
        <v>200</v>
      </c>
    </row>
    <row r="28" spans="1:17" s="9" customFormat="1" x14ac:dyDescent="0.25">
      <c r="A28" s="9" t="s">
        <v>7</v>
      </c>
      <c r="C28" s="5">
        <f>$C$12+NPV($C$8,C16:C25)+NPV($C$8,D16:D25)-NPV($C$8,B16:B25)*(1+$C$8)</f>
        <v>-847.92224586492102</v>
      </c>
    </row>
    <row r="29" spans="1:17" s="9" customFormat="1" x14ac:dyDescent="0.25">
      <c r="A29" s="9" t="s">
        <v>8</v>
      </c>
      <c r="C29" s="5">
        <f>C27</f>
        <v>200</v>
      </c>
    </row>
    <row r="30" spans="1:17" s="9" customFormat="1" x14ac:dyDescent="0.25">
      <c r="A30" s="9" t="s">
        <v>9</v>
      </c>
      <c r="C30" s="5">
        <f>MAX(C28,C29)</f>
        <v>200</v>
      </c>
      <c r="H30" s="5"/>
      <c r="I30" s="5"/>
      <c r="J30" s="20"/>
      <c r="M30" s="5"/>
      <c r="Q30" s="5"/>
    </row>
    <row r="31" spans="1:17" s="9" customFormat="1" x14ac:dyDescent="0.25">
      <c r="J31" s="20"/>
    </row>
    <row r="32" spans="1:17" s="9" customFormat="1" x14ac:dyDescent="0.25">
      <c r="J32" s="20"/>
    </row>
    <row r="33" spans="1:12" s="9" customFormat="1" x14ac:dyDescent="0.25">
      <c r="A33" s="10" t="s">
        <v>13</v>
      </c>
      <c r="J33" s="20"/>
    </row>
    <row r="34" spans="1:12" s="9" customFormat="1" x14ac:dyDescent="0.25">
      <c r="A34" s="10"/>
      <c r="J34" s="20"/>
    </row>
    <row r="35" spans="1:12" s="9" customFormat="1" x14ac:dyDescent="0.25">
      <c r="B35" s="12" t="s">
        <v>10</v>
      </c>
      <c r="C35" s="80">
        <v>0.3</v>
      </c>
      <c r="F35" s="12" t="s">
        <v>11</v>
      </c>
      <c r="G35" s="80">
        <v>1</v>
      </c>
      <c r="J35" s="12" t="s">
        <v>12</v>
      </c>
      <c r="K35" s="80">
        <v>0.15</v>
      </c>
    </row>
    <row r="36" spans="1:12" s="9" customFormat="1" x14ac:dyDescent="0.25">
      <c r="A36" s="9" t="s">
        <v>2</v>
      </c>
      <c r="B36" s="9" t="s">
        <v>3</v>
      </c>
      <c r="C36" s="9" t="s">
        <v>4</v>
      </c>
      <c r="D36" s="9" t="s">
        <v>1</v>
      </c>
      <c r="F36" s="9" t="s">
        <v>3</v>
      </c>
      <c r="G36" s="9" t="s">
        <v>4</v>
      </c>
      <c r="H36" s="9" t="s">
        <v>1</v>
      </c>
      <c r="J36" s="9" t="s">
        <v>3</v>
      </c>
      <c r="K36" s="9" t="s">
        <v>4</v>
      </c>
      <c r="L36" s="9" t="s">
        <v>1</v>
      </c>
    </row>
    <row r="37" spans="1:12" s="9" customFormat="1" x14ac:dyDescent="0.25">
      <c r="A37" s="15">
        <v>1</v>
      </c>
      <c r="B37" s="16">
        <v>1000</v>
      </c>
      <c r="C37" s="89">
        <f>B37*$C$9*(1+$C$35)</f>
        <v>1040</v>
      </c>
      <c r="D37" s="17">
        <f>B37*$C$10</f>
        <v>50</v>
      </c>
      <c r="E37" s="17"/>
      <c r="F37" s="16">
        <v>1000</v>
      </c>
      <c r="G37" s="89">
        <f>F37*$C$9*(1+$G$35)</f>
        <v>1600</v>
      </c>
      <c r="H37" s="17">
        <f>F37*$C$10</f>
        <v>50</v>
      </c>
      <c r="I37" s="17"/>
      <c r="J37" s="16">
        <v>1000</v>
      </c>
      <c r="K37" s="89">
        <f>J37*$C$9*(1+$K$35)</f>
        <v>919.99999999999989</v>
      </c>
      <c r="L37" s="17">
        <f>J37*$C$10</f>
        <v>50</v>
      </c>
    </row>
    <row r="38" spans="1:12" s="9" customFormat="1" x14ac:dyDescent="0.25">
      <c r="A38" s="15">
        <f t="shared" ref="A38:A46" si="4">A37+1</f>
        <v>2</v>
      </c>
      <c r="B38" s="16">
        <f t="shared" ref="B38:B46" si="5">B37*(1-$C$11)</f>
        <v>900</v>
      </c>
      <c r="C38" s="16">
        <f t="shared" ref="C38:C46" si="6">B38*$C$9</f>
        <v>720</v>
      </c>
      <c r="D38" s="17">
        <f t="shared" ref="D38:D46" si="7">B38*$C$10</f>
        <v>45</v>
      </c>
      <c r="E38" s="17"/>
      <c r="F38" s="16">
        <f t="shared" ref="F38:F46" si="8">F37*(1-$C$11)</f>
        <v>900</v>
      </c>
      <c r="G38" s="89">
        <f>F38*$C$9*(1+$G$35)</f>
        <v>1440</v>
      </c>
      <c r="H38" s="17">
        <f t="shared" ref="H38:H46" si="9">F38*$C$10</f>
        <v>45</v>
      </c>
      <c r="I38" s="17"/>
      <c r="J38" s="16">
        <f t="shared" ref="J38:J46" si="10">J37*(1-$C$11)</f>
        <v>900</v>
      </c>
      <c r="K38" s="89">
        <f>J38*$C$9*(1+$K$35)</f>
        <v>827.99999999999989</v>
      </c>
      <c r="L38" s="17">
        <f t="shared" ref="L38:L46" si="11">J38*$C$10</f>
        <v>45</v>
      </c>
    </row>
    <row r="39" spans="1:12" s="9" customFormat="1" x14ac:dyDescent="0.25">
      <c r="A39" s="15">
        <f t="shared" si="4"/>
        <v>3</v>
      </c>
      <c r="B39" s="16">
        <f t="shared" si="5"/>
        <v>810</v>
      </c>
      <c r="C39" s="16">
        <f t="shared" si="6"/>
        <v>648</v>
      </c>
      <c r="D39" s="17">
        <f t="shared" si="7"/>
        <v>40.5</v>
      </c>
      <c r="E39" s="17"/>
      <c r="F39" s="16">
        <f t="shared" si="8"/>
        <v>810</v>
      </c>
      <c r="G39" s="16">
        <f t="shared" ref="G39:G46" si="12">F39*$C$9</f>
        <v>648</v>
      </c>
      <c r="H39" s="17">
        <f t="shared" si="9"/>
        <v>40.5</v>
      </c>
      <c r="I39" s="17"/>
      <c r="J39" s="16">
        <f t="shared" si="10"/>
        <v>810</v>
      </c>
      <c r="K39" s="89">
        <f>J39*$C$9*(1+$K$35)</f>
        <v>745.19999999999993</v>
      </c>
      <c r="L39" s="17">
        <f t="shared" si="11"/>
        <v>40.5</v>
      </c>
    </row>
    <row r="40" spans="1:12" s="9" customFormat="1" x14ac:dyDescent="0.25">
      <c r="A40" s="15">
        <f t="shared" si="4"/>
        <v>4</v>
      </c>
      <c r="B40" s="16">
        <f t="shared" si="5"/>
        <v>729</v>
      </c>
      <c r="C40" s="16">
        <f t="shared" si="6"/>
        <v>583.20000000000005</v>
      </c>
      <c r="D40" s="17">
        <f t="shared" si="7"/>
        <v>36.450000000000003</v>
      </c>
      <c r="E40" s="17"/>
      <c r="F40" s="16">
        <f t="shared" si="8"/>
        <v>729</v>
      </c>
      <c r="G40" s="16">
        <f t="shared" si="12"/>
        <v>583.20000000000005</v>
      </c>
      <c r="H40" s="17">
        <f t="shared" si="9"/>
        <v>36.450000000000003</v>
      </c>
      <c r="I40" s="17"/>
      <c r="J40" s="16">
        <f t="shared" si="10"/>
        <v>729</v>
      </c>
      <c r="K40" s="16">
        <f t="shared" ref="K40:K46" si="13">J40*$C$9</f>
        <v>583.20000000000005</v>
      </c>
      <c r="L40" s="17">
        <f t="shared" si="11"/>
        <v>36.450000000000003</v>
      </c>
    </row>
    <row r="41" spans="1:12" s="9" customFormat="1" x14ac:dyDescent="0.25">
      <c r="A41" s="15">
        <f t="shared" si="4"/>
        <v>5</v>
      </c>
      <c r="B41" s="16">
        <f t="shared" si="5"/>
        <v>656.1</v>
      </c>
      <c r="C41" s="16">
        <f t="shared" si="6"/>
        <v>524.88</v>
      </c>
      <c r="D41" s="17">
        <f t="shared" si="7"/>
        <v>32.805</v>
      </c>
      <c r="E41" s="17"/>
      <c r="F41" s="16">
        <f t="shared" si="8"/>
        <v>656.1</v>
      </c>
      <c r="G41" s="16">
        <f t="shared" si="12"/>
        <v>524.88</v>
      </c>
      <c r="H41" s="17">
        <f t="shared" si="9"/>
        <v>32.805</v>
      </c>
      <c r="I41" s="17"/>
      <c r="J41" s="16">
        <f t="shared" si="10"/>
        <v>656.1</v>
      </c>
      <c r="K41" s="16">
        <f t="shared" si="13"/>
        <v>524.88</v>
      </c>
      <c r="L41" s="17">
        <f t="shared" si="11"/>
        <v>32.805</v>
      </c>
    </row>
    <row r="42" spans="1:12" s="9" customFormat="1" x14ac:dyDescent="0.25">
      <c r="A42" s="15">
        <f t="shared" si="4"/>
        <v>6</v>
      </c>
      <c r="B42" s="16">
        <f t="shared" si="5"/>
        <v>590.49</v>
      </c>
      <c r="C42" s="16">
        <f t="shared" si="6"/>
        <v>472.39200000000005</v>
      </c>
      <c r="D42" s="17">
        <f t="shared" si="7"/>
        <v>29.524500000000003</v>
      </c>
      <c r="E42" s="17"/>
      <c r="F42" s="16">
        <f t="shared" si="8"/>
        <v>590.49</v>
      </c>
      <c r="G42" s="16">
        <f t="shared" si="12"/>
        <v>472.39200000000005</v>
      </c>
      <c r="H42" s="17">
        <f t="shared" si="9"/>
        <v>29.524500000000003</v>
      </c>
      <c r="I42" s="17"/>
      <c r="J42" s="16">
        <f t="shared" si="10"/>
        <v>590.49</v>
      </c>
      <c r="K42" s="16">
        <f t="shared" si="13"/>
        <v>472.39200000000005</v>
      </c>
      <c r="L42" s="17">
        <f t="shared" si="11"/>
        <v>29.524500000000003</v>
      </c>
    </row>
    <row r="43" spans="1:12" s="9" customFormat="1" x14ac:dyDescent="0.25">
      <c r="A43" s="15">
        <f t="shared" si="4"/>
        <v>7</v>
      </c>
      <c r="B43" s="16">
        <f t="shared" si="5"/>
        <v>531.44100000000003</v>
      </c>
      <c r="C43" s="16">
        <f t="shared" si="6"/>
        <v>425.15280000000007</v>
      </c>
      <c r="D43" s="17">
        <f t="shared" si="7"/>
        <v>26.572050000000004</v>
      </c>
      <c r="E43" s="17"/>
      <c r="F43" s="16">
        <f t="shared" si="8"/>
        <v>531.44100000000003</v>
      </c>
      <c r="G43" s="16">
        <f t="shared" si="12"/>
        <v>425.15280000000007</v>
      </c>
      <c r="H43" s="17">
        <f t="shared" si="9"/>
        <v>26.572050000000004</v>
      </c>
      <c r="I43" s="17"/>
      <c r="J43" s="16">
        <f t="shared" si="10"/>
        <v>531.44100000000003</v>
      </c>
      <c r="K43" s="16">
        <f t="shared" si="13"/>
        <v>425.15280000000007</v>
      </c>
      <c r="L43" s="17">
        <f t="shared" si="11"/>
        <v>26.572050000000004</v>
      </c>
    </row>
    <row r="44" spans="1:12" s="9" customFormat="1" x14ac:dyDescent="0.25">
      <c r="A44" s="15">
        <f t="shared" si="4"/>
        <v>8</v>
      </c>
      <c r="B44" s="16">
        <f t="shared" si="5"/>
        <v>478.29690000000005</v>
      </c>
      <c r="C44" s="16">
        <f t="shared" si="6"/>
        <v>382.63752000000005</v>
      </c>
      <c r="D44" s="17">
        <f t="shared" si="7"/>
        <v>23.914845000000003</v>
      </c>
      <c r="E44" s="17"/>
      <c r="F44" s="16">
        <f t="shared" si="8"/>
        <v>478.29690000000005</v>
      </c>
      <c r="G44" s="16">
        <f t="shared" si="12"/>
        <v>382.63752000000005</v>
      </c>
      <c r="H44" s="17">
        <f t="shared" si="9"/>
        <v>23.914845000000003</v>
      </c>
      <c r="I44" s="17"/>
      <c r="J44" s="16">
        <f t="shared" si="10"/>
        <v>478.29690000000005</v>
      </c>
      <c r="K44" s="16">
        <f t="shared" si="13"/>
        <v>382.63752000000005</v>
      </c>
      <c r="L44" s="17">
        <f t="shared" si="11"/>
        <v>23.914845000000003</v>
      </c>
    </row>
    <row r="45" spans="1:12" s="9" customFormat="1" x14ac:dyDescent="0.25">
      <c r="A45" s="15">
        <f t="shared" si="4"/>
        <v>9</v>
      </c>
      <c r="B45" s="16">
        <f t="shared" si="5"/>
        <v>430.46721000000008</v>
      </c>
      <c r="C45" s="16">
        <f t="shared" si="6"/>
        <v>344.3737680000001</v>
      </c>
      <c r="D45" s="17">
        <f t="shared" si="7"/>
        <v>21.523360500000006</v>
      </c>
      <c r="E45" s="17"/>
      <c r="F45" s="16">
        <f t="shared" si="8"/>
        <v>430.46721000000008</v>
      </c>
      <c r="G45" s="16">
        <f t="shared" si="12"/>
        <v>344.3737680000001</v>
      </c>
      <c r="H45" s="17">
        <f t="shared" si="9"/>
        <v>21.523360500000006</v>
      </c>
      <c r="I45" s="17"/>
      <c r="J45" s="16">
        <f t="shared" si="10"/>
        <v>430.46721000000008</v>
      </c>
      <c r="K45" s="16">
        <f t="shared" si="13"/>
        <v>344.3737680000001</v>
      </c>
      <c r="L45" s="17">
        <f t="shared" si="11"/>
        <v>21.523360500000006</v>
      </c>
    </row>
    <row r="46" spans="1:12" s="9" customFormat="1" x14ac:dyDescent="0.25">
      <c r="A46" s="15">
        <f t="shared" si="4"/>
        <v>10</v>
      </c>
      <c r="B46" s="16">
        <f t="shared" si="5"/>
        <v>387.42048900000009</v>
      </c>
      <c r="C46" s="16">
        <f t="shared" si="6"/>
        <v>309.93639120000012</v>
      </c>
      <c r="D46" s="17">
        <f t="shared" si="7"/>
        <v>19.371024450000007</v>
      </c>
      <c r="E46" s="17"/>
      <c r="F46" s="16">
        <f t="shared" si="8"/>
        <v>387.42048900000009</v>
      </c>
      <c r="G46" s="16">
        <f t="shared" si="12"/>
        <v>309.93639120000012</v>
      </c>
      <c r="H46" s="17">
        <f t="shared" si="9"/>
        <v>19.371024450000007</v>
      </c>
      <c r="I46" s="17"/>
      <c r="J46" s="16">
        <f t="shared" si="10"/>
        <v>387.42048900000009</v>
      </c>
      <c r="K46" s="16">
        <f t="shared" si="13"/>
        <v>309.93639120000012</v>
      </c>
      <c r="L46" s="17">
        <f t="shared" si="11"/>
        <v>19.371024450000007</v>
      </c>
    </row>
    <row r="47" spans="1:12" s="9" customFormat="1" x14ac:dyDescent="0.25">
      <c r="H47" s="24"/>
      <c r="I47" s="24"/>
    </row>
    <row r="48" spans="1:12" s="9" customFormat="1" x14ac:dyDescent="0.25">
      <c r="B48" s="9" t="s">
        <v>17</v>
      </c>
      <c r="C48" s="89">
        <f>$C$12*(1+C35)</f>
        <v>260</v>
      </c>
      <c r="F48" s="9" t="s">
        <v>17</v>
      </c>
      <c r="G48" s="15">
        <f>$C$12</f>
        <v>200</v>
      </c>
      <c r="H48" s="24"/>
      <c r="I48" s="24"/>
      <c r="J48" s="9" t="s">
        <v>17</v>
      </c>
      <c r="K48" s="89">
        <f>$C$12*(1+K35)</f>
        <v>229.99999999999997</v>
      </c>
    </row>
    <row r="49" spans="1:16" s="9" customFormat="1" x14ac:dyDescent="0.25">
      <c r="B49" s="9" t="s">
        <v>7</v>
      </c>
      <c r="C49" s="5">
        <f>C48+NPV($C$8,C37:C46)+NPV($C$8,D37:D46)-NPV($C$8,B37:B46)*(1+$C$8)</f>
        <v>-559.35081729349258</v>
      </c>
      <c r="F49" s="9" t="s">
        <v>7</v>
      </c>
      <c r="G49" s="5">
        <f>G48+NPV($C$8,G37:G46)+NPV($C$8,H37:H46)-NPV($C$8,F37:F46)*(1+$C$8)</f>
        <v>567.04374052963612</v>
      </c>
      <c r="J49" s="9" t="s">
        <v>7</v>
      </c>
      <c r="K49" s="5">
        <f>K48+NPV($C$8,K37:K46)+NPV($C$8,L37:L46)-NPV($C$8,J37:J46)*(1+$C$8)</f>
        <v>-521.71233332847714</v>
      </c>
    </row>
    <row r="50" spans="1:16" s="9" customFormat="1" x14ac:dyDescent="0.25">
      <c r="B50" s="9" t="s">
        <v>21</v>
      </c>
      <c r="C50" s="5">
        <f>C49-$C$28</f>
        <v>288.57142857142844</v>
      </c>
      <c r="D50" s="20"/>
      <c r="E50" s="20"/>
      <c r="F50" s="9" t="s">
        <v>21</v>
      </c>
      <c r="G50" s="5">
        <f>G49-$C$28</f>
        <v>1414.9659863945571</v>
      </c>
      <c r="J50" s="9" t="s">
        <v>21</v>
      </c>
      <c r="K50" s="5">
        <f>K49-$C$28</f>
        <v>326.20991253644388</v>
      </c>
    </row>
    <row r="51" spans="1:16" s="9" customFormat="1" x14ac:dyDescent="0.25">
      <c r="A51" s="25"/>
      <c r="J51" s="20"/>
    </row>
    <row r="52" spans="1:16" s="9" customFormat="1" x14ac:dyDescent="0.25">
      <c r="A52" s="25" t="s">
        <v>14</v>
      </c>
      <c r="J52" s="20"/>
    </row>
    <row r="53" spans="1:16" s="9" customFormat="1" x14ac:dyDescent="0.25">
      <c r="A53" s="25"/>
      <c r="B53" s="114" t="s">
        <v>15</v>
      </c>
      <c r="C53" s="16">
        <f>SUM(K68:P73)^0.5</f>
        <v>1480.4780035780038</v>
      </c>
      <c r="J53" s="20"/>
    </row>
    <row r="54" spans="1:16" s="9" customFormat="1" x14ac:dyDescent="0.25">
      <c r="A54" s="25"/>
      <c r="B54" s="114" t="s">
        <v>16</v>
      </c>
      <c r="C54" s="18">
        <f>C50+G50+K50</f>
        <v>2029.7473275024295</v>
      </c>
      <c r="J54" s="20"/>
    </row>
    <row r="55" spans="1:16" s="9" customFormat="1" x14ac:dyDescent="0.25">
      <c r="A55" s="25"/>
      <c r="B55" s="114" t="s">
        <v>0</v>
      </c>
      <c r="C55" s="26">
        <f>C53/C54</f>
        <v>0.72939029578608072</v>
      </c>
      <c r="J55" s="1" t="s">
        <v>165</v>
      </c>
      <c r="K55" s="2"/>
      <c r="L55" s="2"/>
      <c r="M55" s="2"/>
      <c r="N55" s="2"/>
      <c r="O55" s="2"/>
      <c r="P55" s="2"/>
    </row>
    <row r="56" spans="1:16" s="9" customFormat="1" x14ac:dyDescent="0.25">
      <c r="A56" s="25"/>
      <c r="J56" s="2"/>
      <c r="K56" s="118" t="s">
        <v>166</v>
      </c>
      <c r="L56" s="38" t="s">
        <v>167</v>
      </c>
      <c r="M56" s="38" t="s">
        <v>172</v>
      </c>
      <c r="N56" s="38" t="s">
        <v>169</v>
      </c>
      <c r="O56" s="38" t="s">
        <v>170</v>
      </c>
      <c r="P56" s="38" t="s">
        <v>171</v>
      </c>
    </row>
    <row r="57" spans="1:16" s="9" customFormat="1" x14ac:dyDescent="0.25">
      <c r="A57" s="25"/>
      <c r="J57" s="117" t="s">
        <v>166</v>
      </c>
      <c r="K57" s="49">
        <v>1</v>
      </c>
      <c r="L57" s="50">
        <v>0</v>
      </c>
      <c r="M57" s="50">
        <v>0.25</v>
      </c>
      <c r="N57" s="50">
        <v>0</v>
      </c>
      <c r="O57" s="50">
        <v>0</v>
      </c>
      <c r="P57" s="51">
        <v>-0.25</v>
      </c>
    </row>
    <row r="58" spans="1:16" x14ac:dyDescent="0.25">
      <c r="A58" s="9"/>
      <c r="B58" s="12" t="s">
        <v>27</v>
      </c>
      <c r="C58" s="27"/>
      <c r="D58" s="9"/>
      <c r="J58" s="117" t="s">
        <v>167</v>
      </c>
      <c r="K58" s="53">
        <v>0</v>
      </c>
      <c r="L58" s="54">
        <v>1</v>
      </c>
      <c r="M58" s="54">
        <v>0</v>
      </c>
      <c r="N58" s="54">
        <v>0</v>
      </c>
      <c r="O58" s="54">
        <v>0</v>
      </c>
      <c r="P58" s="55">
        <v>0</v>
      </c>
    </row>
    <row r="59" spans="1:16" x14ac:dyDescent="0.25">
      <c r="A59" s="9"/>
      <c r="B59" s="11" t="s">
        <v>22</v>
      </c>
      <c r="C59" s="80">
        <v>-0.5</v>
      </c>
      <c r="D59" s="9"/>
      <c r="J59" s="117" t="s">
        <v>168</v>
      </c>
      <c r="K59" s="53">
        <v>0.25</v>
      </c>
      <c r="L59" s="54">
        <v>0</v>
      </c>
      <c r="M59" s="54">
        <v>1</v>
      </c>
      <c r="N59" s="54">
        <v>0</v>
      </c>
      <c r="O59" s="54">
        <v>0</v>
      </c>
      <c r="P59" s="55">
        <v>0</v>
      </c>
    </row>
    <row r="60" spans="1:16" x14ac:dyDescent="0.25">
      <c r="A60" s="9"/>
      <c r="B60" s="11" t="s">
        <v>23</v>
      </c>
      <c r="C60" s="80">
        <v>0.1</v>
      </c>
      <c r="D60" s="9"/>
      <c r="J60" s="117" t="s">
        <v>169</v>
      </c>
      <c r="K60" s="53">
        <v>0</v>
      </c>
      <c r="L60" s="54">
        <v>0</v>
      </c>
      <c r="M60" s="54">
        <v>0</v>
      </c>
      <c r="N60" s="54">
        <v>1</v>
      </c>
      <c r="O60" s="54">
        <v>0</v>
      </c>
      <c r="P60" s="55">
        <v>0</v>
      </c>
    </row>
    <row r="61" spans="1:16" x14ac:dyDescent="0.25">
      <c r="A61" s="9"/>
      <c r="B61" s="12"/>
      <c r="C61" s="27"/>
      <c r="D61" s="9"/>
      <c r="J61" s="117" t="s">
        <v>170</v>
      </c>
      <c r="K61" s="53">
        <v>0</v>
      </c>
      <c r="L61" s="54">
        <v>0</v>
      </c>
      <c r="M61" s="54">
        <v>0</v>
      </c>
      <c r="N61" s="54">
        <v>0</v>
      </c>
      <c r="O61" s="54">
        <v>1</v>
      </c>
      <c r="P61" s="55">
        <v>0</v>
      </c>
    </row>
    <row r="62" spans="1:16" x14ac:dyDescent="0.25">
      <c r="A62" s="9" t="s">
        <v>2</v>
      </c>
      <c r="B62" s="9" t="s">
        <v>3</v>
      </c>
      <c r="C62" s="9" t="s">
        <v>4</v>
      </c>
      <c r="D62" s="9" t="s">
        <v>1</v>
      </c>
      <c r="J62" s="117" t="s">
        <v>171</v>
      </c>
      <c r="K62" s="59">
        <v>-0.25</v>
      </c>
      <c r="L62" s="60">
        <v>0</v>
      </c>
      <c r="M62" s="60">
        <v>0</v>
      </c>
      <c r="N62" s="60">
        <v>0</v>
      </c>
      <c r="O62" s="60">
        <v>0</v>
      </c>
      <c r="P62" s="61">
        <v>1</v>
      </c>
    </row>
    <row r="63" spans="1:16" x14ac:dyDescent="0.25">
      <c r="A63" s="15">
        <v>1</v>
      </c>
      <c r="B63" s="16">
        <v>1000</v>
      </c>
      <c r="C63" s="89">
        <f>B63*$C$9*(1+(C$35+G$35+K$35)*C$55)</f>
        <v>1646.0927431118535</v>
      </c>
      <c r="D63" s="89">
        <f>B63*$C$10*(1+$C$60)</f>
        <v>55.000000000000007</v>
      </c>
    </row>
    <row r="64" spans="1:16" x14ac:dyDescent="0.25">
      <c r="A64" s="15">
        <f t="shared" ref="A64:A72" si="14">A63+1</f>
        <v>2</v>
      </c>
      <c r="B64" s="16">
        <f t="shared" ref="B64:B72" si="15">B63*(1-$C$11*(1+$C$59))</f>
        <v>950</v>
      </c>
      <c r="C64" s="89">
        <f>B64*$C$9*(1+(G$35+K$35)*C$55)</f>
        <v>1397.4871185170346</v>
      </c>
      <c r="D64" s="89">
        <f>B64*$C$10*(1+$C$60)</f>
        <v>52.250000000000007</v>
      </c>
    </row>
    <row r="65" spans="1:17" x14ac:dyDescent="0.25">
      <c r="A65" s="15">
        <f t="shared" si="14"/>
        <v>3</v>
      </c>
      <c r="B65" s="16">
        <f t="shared" si="15"/>
        <v>902.5</v>
      </c>
      <c r="C65" s="89">
        <f>B65*$C$9*(1+K$35*C$55)</f>
        <v>800.99296903363245</v>
      </c>
      <c r="D65" s="89">
        <f>B65*$C$10*(1+$C$60)</f>
        <v>49.637500000000003</v>
      </c>
      <c r="J65" s="1" t="s">
        <v>82</v>
      </c>
    </row>
    <row r="66" spans="1:17" x14ac:dyDescent="0.25">
      <c r="A66" s="15">
        <f t="shared" si="14"/>
        <v>4</v>
      </c>
      <c r="B66" s="16">
        <f t="shared" si="15"/>
        <v>857.375</v>
      </c>
      <c r="C66" s="16">
        <f t="shared" ref="C66:C72" si="16">B66*$C$9</f>
        <v>685.90000000000009</v>
      </c>
      <c r="D66" s="17">
        <f>B66*$C$10</f>
        <v>42.868750000000006</v>
      </c>
    </row>
    <row r="67" spans="1:17" x14ac:dyDescent="0.25">
      <c r="A67" s="15">
        <f t="shared" si="14"/>
        <v>5</v>
      </c>
      <c r="B67" s="16">
        <f t="shared" si="15"/>
        <v>814.50624999999991</v>
      </c>
      <c r="C67" s="16">
        <f t="shared" si="16"/>
        <v>651.60500000000002</v>
      </c>
      <c r="D67" s="17">
        <f t="shared" ref="D67:D72" si="17">B67*$C$10</f>
        <v>40.725312500000001</v>
      </c>
      <c r="K67" s="118" t="s">
        <v>166</v>
      </c>
      <c r="L67" s="38" t="s">
        <v>167</v>
      </c>
      <c r="M67" s="38" t="s">
        <v>172</v>
      </c>
      <c r="N67" s="38" t="s">
        <v>169</v>
      </c>
      <c r="O67" s="38" t="s">
        <v>170</v>
      </c>
      <c r="P67" s="38" t="s">
        <v>171</v>
      </c>
      <c r="Q67" s="63"/>
    </row>
    <row r="68" spans="1:17" x14ac:dyDescent="0.25">
      <c r="A68" s="15">
        <f t="shared" si="14"/>
        <v>6</v>
      </c>
      <c r="B68" s="16">
        <f t="shared" si="15"/>
        <v>773.78093749999982</v>
      </c>
      <c r="C68" s="16">
        <f t="shared" si="16"/>
        <v>619.02474999999993</v>
      </c>
      <c r="D68" s="17">
        <f t="shared" si="17"/>
        <v>38.689046874999995</v>
      </c>
      <c r="J68" s="117" t="s">
        <v>166</v>
      </c>
      <c r="K68" s="94">
        <f>K57*K50*K50</f>
        <v>106412.90703703437</v>
      </c>
      <c r="L68" s="95">
        <f>K50*C50*L57</f>
        <v>0</v>
      </c>
      <c r="M68" s="95">
        <v>0</v>
      </c>
      <c r="N68" s="95">
        <v>0</v>
      </c>
      <c r="O68" s="95">
        <v>0</v>
      </c>
      <c r="P68" s="96">
        <v>0</v>
      </c>
    </row>
    <row r="69" spans="1:17" x14ac:dyDescent="0.25">
      <c r="A69" s="15">
        <f t="shared" si="14"/>
        <v>7</v>
      </c>
      <c r="B69" s="16">
        <f t="shared" si="15"/>
        <v>735.09189062499979</v>
      </c>
      <c r="C69" s="16">
        <f t="shared" si="16"/>
        <v>588.07351249999988</v>
      </c>
      <c r="D69" s="17">
        <f t="shared" si="17"/>
        <v>36.754594531249992</v>
      </c>
      <c r="J69" s="117" t="s">
        <v>167</v>
      </c>
      <c r="K69" s="97">
        <f>C50*K50*K58</f>
        <v>0</v>
      </c>
      <c r="L69" s="98">
        <f>L58*C50*C50</f>
        <v>83273.469387755031</v>
      </c>
      <c r="M69" s="98">
        <v>0</v>
      </c>
      <c r="N69" s="98">
        <v>0</v>
      </c>
      <c r="O69" s="98">
        <v>0</v>
      </c>
      <c r="P69" s="99">
        <v>0</v>
      </c>
    </row>
    <row r="70" spans="1:17" x14ac:dyDescent="0.25">
      <c r="A70" s="15">
        <f t="shared" si="14"/>
        <v>8</v>
      </c>
      <c r="B70" s="16">
        <f t="shared" si="15"/>
        <v>698.33729609374973</v>
      </c>
      <c r="C70" s="16">
        <f t="shared" si="16"/>
        <v>558.66983687499976</v>
      </c>
      <c r="D70" s="17">
        <f t="shared" si="17"/>
        <v>34.916864804687485</v>
      </c>
      <c r="J70" s="117" t="s">
        <v>168</v>
      </c>
      <c r="K70" s="97">
        <v>0</v>
      </c>
      <c r="L70" s="98">
        <v>0</v>
      </c>
      <c r="M70" s="98">
        <v>0</v>
      </c>
      <c r="N70" s="98">
        <v>0</v>
      </c>
      <c r="O70" s="98">
        <v>0</v>
      </c>
      <c r="P70" s="99">
        <v>0</v>
      </c>
    </row>
    <row r="71" spans="1:17" x14ac:dyDescent="0.25">
      <c r="A71" s="15">
        <f t="shared" si="14"/>
        <v>9</v>
      </c>
      <c r="B71" s="16">
        <f t="shared" si="15"/>
        <v>663.42043128906221</v>
      </c>
      <c r="C71" s="16">
        <f t="shared" si="16"/>
        <v>530.73634503124981</v>
      </c>
      <c r="D71" s="17">
        <f t="shared" si="17"/>
        <v>33.171021564453113</v>
      </c>
      <c r="J71" s="117" t="s">
        <v>169</v>
      </c>
      <c r="K71" s="97">
        <v>0</v>
      </c>
      <c r="L71" s="98">
        <v>0</v>
      </c>
      <c r="M71" s="98">
        <v>0</v>
      </c>
      <c r="N71" s="98">
        <v>0</v>
      </c>
      <c r="O71" s="98">
        <v>0</v>
      </c>
      <c r="P71" s="99">
        <v>0</v>
      </c>
    </row>
    <row r="72" spans="1:17" x14ac:dyDescent="0.25">
      <c r="A72" s="15">
        <f t="shared" si="14"/>
        <v>10</v>
      </c>
      <c r="B72" s="16">
        <f t="shared" si="15"/>
        <v>630.24940972460911</v>
      </c>
      <c r="C72" s="16">
        <f t="shared" si="16"/>
        <v>504.19952777968729</v>
      </c>
      <c r="D72" s="17">
        <f t="shared" si="17"/>
        <v>31.512470486230455</v>
      </c>
      <c r="J72" s="117" t="s">
        <v>170</v>
      </c>
      <c r="K72" s="97">
        <f>K50*G50*K61</f>
        <v>0</v>
      </c>
      <c r="L72" s="98">
        <f>C50*G50*L61</f>
        <v>0</v>
      </c>
      <c r="M72" s="98">
        <v>0</v>
      </c>
      <c r="N72" s="98">
        <v>0</v>
      </c>
      <c r="O72" s="98">
        <f>O61*G50*G50</f>
        <v>2002128.7426535222</v>
      </c>
      <c r="P72" s="99">
        <v>0</v>
      </c>
    </row>
    <row r="73" spans="1:17" x14ac:dyDescent="0.25">
      <c r="A73" s="25"/>
      <c r="B73" s="9"/>
      <c r="C73" s="9"/>
      <c r="D73" s="9"/>
      <c r="J73" s="117" t="s">
        <v>171</v>
      </c>
      <c r="K73" s="100">
        <v>0</v>
      </c>
      <c r="L73" s="101">
        <v>0</v>
      </c>
      <c r="M73" s="101">
        <v>0</v>
      </c>
      <c r="N73" s="101">
        <v>0</v>
      </c>
      <c r="O73" s="101">
        <v>0</v>
      </c>
      <c r="P73" s="102">
        <v>0</v>
      </c>
    </row>
    <row r="74" spans="1:17" x14ac:dyDescent="0.25">
      <c r="A74" s="25"/>
      <c r="B74" s="114" t="s">
        <v>17</v>
      </c>
      <c r="C74" s="89">
        <f>$C$12+$C$12*(C$35+K$35)*C$55</f>
        <v>265.64512662074725</v>
      </c>
      <c r="D74" s="9"/>
    </row>
    <row r="75" spans="1:17" x14ac:dyDescent="0.25">
      <c r="A75" s="25"/>
      <c r="B75" s="28" t="s">
        <v>25</v>
      </c>
      <c r="C75" s="5">
        <f>NPV($C$8,C64:C72)+NPV($C$8,D64:D72)-NPV($C$8,B64:B72)*(1+$C$8)</f>
        <v>-440.70134038235119</v>
      </c>
      <c r="D75" s="9"/>
      <c r="K75" s="119"/>
    </row>
    <row r="76" spans="1:17" x14ac:dyDescent="0.25">
      <c r="B76" s="28" t="s">
        <v>24</v>
      </c>
      <c r="C76" s="5">
        <f>MAX(C75,0)</f>
        <v>0</v>
      </c>
    </row>
    <row r="77" spans="1:17" x14ac:dyDescent="0.25">
      <c r="B77" s="28" t="s">
        <v>111</v>
      </c>
      <c r="C77" s="5">
        <f>(C76+C63+D63)/(1+$C$8)+C74-B63</f>
        <v>885.73345339394109</v>
      </c>
    </row>
    <row r="79" spans="1:17" x14ac:dyDescent="0.25">
      <c r="B79" s="29" t="s">
        <v>26</v>
      </c>
      <c r="C79" s="19">
        <f>C77-$C$30</f>
        <v>685.73345339394109</v>
      </c>
    </row>
  </sheetData>
  <mergeCells count="1">
    <mergeCell ref="A5:L6"/>
  </mergeCells>
  <phoneticPr fontId="2" type="noConversion"/>
  <pageMargins left="0.75" right="0.75" top="1" bottom="1" header="0.5" footer="0.5"/>
  <pageSetup paperSize="9" orientation="portrait" horizontalDpi="4294967293" verticalDpi="4294967293"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66"/>
  <sheetViews>
    <sheetView showGridLines="0" workbookViewId="0">
      <selection activeCell="Q49" sqref="Q49:Q50"/>
    </sheetView>
  </sheetViews>
  <sheetFormatPr defaultRowHeight="13.5" x14ac:dyDescent="0.25"/>
  <cols>
    <col min="1" max="1" width="5.42578125" style="2" customWidth="1"/>
    <col min="2" max="2" width="23.5703125" style="2" customWidth="1"/>
    <col min="3" max="3" width="10.5703125" style="2" customWidth="1"/>
    <col min="4" max="4" width="10.28515625" style="2" customWidth="1"/>
    <col min="5" max="11" width="9.140625" style="2"/>
    <col min="12" max="12" width="9.28515625" style="2" customWidth="1"/>
    <col min="13" max="16384" width="9.140625" style="2"/>
  </cols>
  <sheetData>
    <row r="1" spans="1:13" ht="18" x14ac:dyDescent="0.25">
      <c r="A1" s="69" t="s">
        <v>131</v>
      </c>
    </row>
    <row r="3" spans="1:13" ht="18" x14ac:dyDescent="0.25">
      <c r="A3" s="82" t="s">
        <v>43</v>
      </c>
      <c r="B3" s="81"/>
      <c r="C3" s="81"/>
      <c r="D3" s="81"/>
      <c r="E3" s="81"/>
      <c r="F3" s="81"/>
      <c r="G3" s="81"/>
      <c r="H3" s="81"/>
      <c r="I3" s="81"/>
      <c r="J3" s="81"/>
      <c r="K3" s="81"/>
      <c r="L3" s="81"/>
      <c r="M3" s="81"/>
    </row>
    <row r="5" spans="1:13" s="115" customFormat="1" ht="18" customHeight="1" x14ac:dyDescent="0.25">
      <c r="A5" s="137" t="s">
        <v>154</v>
      </c>
      <c r="B5" s="138"/>
      <c r="C5" s="138"/>
      <c r="D5" s="138"/>
      <c r="E5" s="138"/>
      <c r="F5" s="138"/>
      <c r="G5" s="138"/>
      <c r="H5" s="138"/>
      <c r="I5" s="138"/>
      <c r="J5" s="138"/>
      <c r="K5" s="138"/>
      <c r="L5" s="138"/>
      <c r="M5" s="139"/>
    </row>
    <row r="6" spans="1:13" s="115" customFormat="1" ht="18" customHeight="1" x14ac:dyDescent="0.25">
      <c r="A6" s="140"/>
      <c r="B6" s="141"/>
      <c r="C6" s="141"/>
      <c r="D6" s="141"/>
      <c r="E6" s="141"/>
      <c r="F6" s="141"/>
      <c r="G6" s="141"/>
      <c r="H6" s="141"/>
      <c r="I6" s="141"/>
      <c r="J6" s="141"/>
      <c r="K6" s="141"/>
      <c r="L6" s="141"/>
      <c r="M6" s="142"/>
    </row>
    <row r="7" spans="1:13" s="115" customFormat="1" ht="18" customHeight="1" x14ac:dyDescent="0.25">
      <c r="A7" s="143"/>
      <c r="B7" s="144"/>
      <c r="C7" s="144"/>
      <c r="D7" s="144"/>
      <c r="E7" s="144"/>
      <c r="F7" s="144"/>
      <c r="G7" s="144"/>
      <c r="H7" s="144"/>
      <c r="I7" s="144"/>
      <c r="J7" s="144"/>
      <c r="K7" s="144"/>
      <c r="L7" s="144"/>
      <c r="M7" s="145"/>
    </row>
    <row r="9" spans="1:13" ht="36.75" customHeight="1" x14ac:dyDescent="0.25">
      <c r="C9" s="30" t="s">
        <v>67</v>
      </c>
      <c r="D9" s="136" t="s">
        <v>48</v>
      </c>
      <c r="E9" s="136"/>
      <c r="F9" s="136" t="s">
        <v>49</v>
      </c>
      <c r="G9" s="136"/>
      <c r="H9" s="136" t="s">
        <v>50</v>
      </c>
      <c r="I9" s="136"/>
      <c r="J9" s="31" t="s">
        <v>52</v>
      </c>
      <c r="K9" s="31" t="s">
        <v>33</v>
      </c>
      <c r="L9" s="30" t="s">
        <v>53</v>
      </c>
      <c r="M9" s="31" t="s">
        <v>56</v>
      </c>
    </row>
    <row r="10" spans="1:13" x14ac:dyDescent="0.25">
      <c r="A10" s="1"/>
      <c r="C10" s="30" t="s">
        <v>68</v>
      </c>
      <c r="D10" s="32" t="s">
        <v>54</v>
      </c>
      <c r="E10" s="32" t="s">
        <v>55</v>
      </c>
      <c r="F10" s="32" t="s">
        <v>54</v>
      </c>
      <c r="G10" s="32" t="s">
        <v>55</v>
      </c>
      <c r="H10" s="32" t="s">
        <v>54</v>
      </c>
      <c r="I10" s="32" t="s">
        <v>55</v>
      </c>
    </row>
    <row r="11" spans="1:13" x14ac:dyDescent="0.25">
      <c r="A11" s="1"/>
    </row>
    <row r="12" spans="1:13" x14ac:dyDescent="0.25">
      <c r="A12" s="2" t="s">
        <v>32</v>
      </c>
      <c r="C12" s="5">
        <f>CB!C13</f>
        <v>200</v>
      </c>
      <c r="D12" s="5">
        <f>$C12</f>
        <v>200</v>
      </c>
      <c r="E12" s="5">
        <f t="shared" ref="E12:M15" si="0">$C12</f>
        <v>200</v>
      </c>
      <c r="F12" s="5">
        <f t="shared" si="0"/>
        <v>200</v>
      </c>
      <c r="G12" s="5">
        <f t="shared" si="0"/>
        <v>200</v>
      </c>
      <c r="H12" s="5">
        <f t="shared" si="0"/>
        <v>200</v>
      </c>
      <c r="I12" s="5">
        <f t="shared" si="0"/>
        <v>200</v>
      </c>
      <c r="J12" s="90">
        <f>$C12*(1-D46)</f>
        <v>123.07692307692308</v>
      </c>
      <c r="K12" s="5">
        <f t="shared" si="0"/>
        <v>200</v>
      </c>
      <c r="L12" s="5">
        <f t="shared" si="0"/>
        <v>200</v>
      </c>
      <c r="M12" s="5">
        <f t="shared" si="0"/>
        <v>200</v>
      </c>
    </row>
    <row r="13" spans="1:13" x14ac:dyDescent="0.25">
      <c r="A13" s="2" t="s">
        <v>51</v>
      </c>
      <c r="C13" s="5">
        <f>CB!C14</f>
        <v>100</v>
      </c>
      <c r="D13" s="5">
        <f>$C13</f>
        <v>100</v>
      </c>
      <c r="E13" s="5">
        <f t="shared" si="0"/>
        <v>100</v>
      </c>
      <c r="F13" s="5">
        <f t="shared" si="0"/>
        <v>100</v>
      </c>
      <c r="G13" s="5">
        <f t="shared" si="0"/>
        <v>100</v>
      </c>
      <c r="H13" s="90">
        <f>$C13/(1+D41)</f>
        <v>80</v>
      </c>
      <c r="I13" s="90">
        <f>$C13/(1-D41)</f>
        <v>133.33333333333334</v>
      </c>
      <c r="J13" s="90">
        <f>$C13*(1-D46)</f>
        <v>61.53846153846154</v>
      </c>
      <c r="K13" s="5">
        <f t="shared" si="0"/>
        <v>100</v>
      </c>
      <c r="L13" s="5">
        <f t="shared" si="0"/>
        <v>100</v>
      </c>
      <c r="M13" s="5">
        <f t="shared" si="0"/>
        <v>100</v>
      </c>
    </row>
    <row r="14" spans="1:13" x14ac:dyDescent="0.25">
      <c r="A14" s="2" t="s">
        <v>44</v>
      </c>
      <c r="C14" s="5">
        <f>CB!C15</f>
        <v>100</v>
      </c>
      <c r="D14" s="5">
        <f>$C14</f>
        <v>100</v>
      </c>
      <c r="E14" s="5">
        <f t="shared" si="0"/>
        <v>100</v>
      </c>
      <c r="F14" s="5">
        <f t="shared" si="0"/>
        <v>100</v>
      </c>
      <c r="G14" s="5">
        <f t="shared" si="0"/>
        <v>100</v>
      </c>
      <c r="H14" s="5">
        <f t="shared" si="0"/>
        <v>100</v>
      </c>
      <c r="I14" s="5">
        <f t="shared" si="0"/>
        <v>100</v>
      </c>
      <c r="J14" s="5">
        <f t="shared" si="0"/>
        <v>100</v>
      </c>
      <c r="K14" s="90">
        <f>$C14*(1-D51)</f>
        <v>71.794871794871796</v>
      </c>
      <c r="L14" s="5">
        <f t="shared" si="0"/>
        <v>100</v>
      </c>
      <c r="M14" s="5">
        <f t="shared" si="0"/>
        <v>100</v>
      </c>
    </row>
    <row r="15" spans="1:13" x14ac:dyDescent="0.25">
      <c r="A15" s="2" t="s">
        <v>35</v>
      </c>
      <c r="C15" s="33">
        <f>CB!C16</f>
        <v>800</v>
      </c>
      <c r="D15" s="91">
        <f>$C15*((1+D55)^D54)/((1+D33+D56)^D54)</f>
        <v>712.27666007554342</v>
      </c>
      <c r="E15" s="91">
        <f>$C15*((1+D55)^D54)/((1+D34+D56)^D54)</f>
        <v>878.75763464958266</v>
      </c>
      <c r="F15" s="91">
        <f>$C15*((1+D55)^D54)/((1+D37+D56)^D54)</f>
        <v>712.27666007554342</v>
      </c>
      <c r="G15" s="91">
        <f>$C15*((1+D55)^D54)/((1+D38+D56)^D54)</f>
        <v>878.75763464958266</v>
      </c>
      <c r="H15" s="33">
        <f t="shared" si="0"/>
        <v>800</v>
      </c>
      <c r="I15" s="33">
        <f t="shared" si="0"/>
        <v>800</v>
      </c>
      <c r="J15" s="33">
        <f t="shared" si="0"/>
        <v>800</v>
      </c>
      <c r="K15" s="33">
        <f t="shared" si="0"/>
        <v>800</v>
      </c>
      <c r="L15" s="91">
        <f>$C15*((1+D55)^D54)/((1+D55+D57)^D54)*(1-D58)</f>
        <v>738.1192635073171</v>
      </c>
      <c r="M15" s="33">
        <f t="shared" si="0"/>
        <v>800</v>
      </c>
    </row>
    <row r="16" spans="1:13" x14ac:dyDescent="0.25">
      <c r="A16" s="2" t="s">
        <v>40</v>
      </c>
      <c r="C16" s="5">
        <f>SUM(C12:C15)</f>
        <v>1200</v>
      </c>
      <c r="D16" s="5">
        <f t="shared" ref="D16:M16" si="1">SUM(D12:D15)</f>
        <v>1112.2766600755435</v>
      </c>
      <c r="E16" s="5">
        <f t="shared" si="1"/>
        <v>1278.7576346495825</v>
      </c>
      <c r="F16" s="5">
        <f t="shared" si="1"/>
        <v>1112.2766600755435</v>
      </c>
      <c r="G16" s="5">
        <f t="shared" si="1"/>
        <v>1278.7576346495825</v>
      </c>
      <c r="H16" s="5">
        <f t="shared" si="1"/>
        <v>1180</v>
      </c>
      <c r="I16" s="5">
        <f t="shared" si="1"/>
        <v>1233.3333333333335</v>
      </c>
      <c r="J16" s="5">
        <f t="shared" si="1"/>
        <v>1084.6153846153848</v>
      </c>
      <c r="K16" s="5">
        <f t="shared" si="1"/>
        <v>1171.7948717948718</v>
      </c>
      <c r="L16" s="5">
        <f t="shared" si="1"/>
        <v>1138.1192635073171</v>
      </c>
      <c r="M16" s="5">
        <f t="shared" si="1"/>
        <v>1200</v>
      </c>
    </row>
    <row r="17" spans="1:16" x14ac:dyDescent="0.25">
      <c r="C17" s="5"/>
      <c r="D17" s="5"/>
      <c r="E17" s="5"/>
      <c r="F17" s="5"/>
      <c r="G17" s="5"/>
      <c r="H17" s="5"/>
      <c r="I17" s="5"/>
      <c r="J17" s="5"/>
      <c r="K17" s="5"/>
      <c r="L17" s="5"/>
      <c r="M17" s="5"/>
    </row>
    <row r="18" spans="1:16" x14ac:dyDescent="0.25">
      <c r="A18" s="9" t="s">
        <v>17</v>
      </c>
      <c r="B18" s="9"/>
      <c r="C18" s="5">
        <f>CB!C48</f>
        <v>200</v>
      </c>
      <c r="D18" s="90">
        <f>$C18*(1+D32)/(1+D33)</f>
        <v>197.64705882352942</v>
      </c>
      <c r="E18" s="90">
        <f>$C18*(1+D32)/(1+D34)</f>
        <v>201.92307692307691</v>
      </c>
      <c r="F18" s="90">
        <f>$C18*(1+D32)/(1+D37)</f>
        <v>197.64705882352942</v>
      </c>
      <c r="G18" s="90">
        <f>$C18*(1+D32)/(1+D38)</f>
        <v>201.92307692307691</v>
      </c>
      <c r="H18" s="5">
        <f t="shared" ref="H18:M19" si="2">$C18</f>
        <v>200</v>
      </c>
      <c r="I18" s="5">
        <f t="shared" si="2"/>
        <v>200</v>
      </c>
      <c r="J18" s="5">
        <f t="shared" si="2"/>
        <v>200</v>
      </c>
      <c r="K18" s="5">
        <f t="shared" si="2"/>
        <v>200</v>
      </c>
      <c r="L18" s="5">
        <f t="shared" si="2"/>
        <v>200</v>
      </c>
      <c r="M18" s="5">
        <f t="shared" si="2"/>
        <v>200</v>
      </c>
    </row>
    <row r="19" spans="1:16" x14ac:dyDescent="0.25">
      <c r="A19" s="9" t="s">
        <v>7</v>
      </c>
      <c r="B19" s="9"/>
      <c r="C19" s="5">
        <f>CB!C49</f>
        <v>-847.92224586492102</v>
      </c>
      <c r="D19" s="90">
        <f>D18+NPV($D$33,CB!$C$37:$C$46)+NPV($D$33,CB!$D$37:$D$46)-NPV($D$33,CB!$B$37:$B$46)*(1+$D$33)</f>
        <v>-861.36500977948799</v>
      </c>
      <c r="E19" s="90">
        <f>E18+NPV($D$34,CB!$C$37:$C$46)+NPV($D$34,CB!$D$37:$D$46)-NPV($D$34,CB!$B$37:$B$46)*(1+$D$34)</f>
        <v>-835.53845515556441</v>
      </c>
      <c r="F19" s="90">
        <f>F18+NPV($D$37,CB!$C$37:$C$46)+NPV($D$37,CB!$D$37:$D$46)-NPV($D$37,CB!$B$37:$B$46)*(1+$D$37)</f>
        <v>-861.36500977948799</v>
      </c>
      <c r="G19" s="90">
        <f>G18+NPV($D$38,CB!$C$37:$C$46)+NPV($D$38,CB!$D$37:$D$46)-NPV($D$38,CB!$B$37:$B$46)*(1+$D$38)</f>
        <v>-835.53845515556441</v>
      </c>
      <c r="H19" s="5">
        <f t="shared" si="2"/>
        <v>-847.92224586492102</v>
      </c>
      <c r="I19" s="5">
        <f t="shared" si="2"/>
        <v>-847.92224586492102</v>
      </c>
      <c r="J19" s="5">
        <f t="shared" si="2"/>
        <v>-847.92224586492102</v>
      </c>
      <c r="K19" s="5">
        <f t="shared" si="2"/>
        <v>-847.92224586492102</v>
      </c>
      <c r="L19" s="5">
        <f t="shared" si="2"/>
        <v>-847.92224586492102</v>
      </c>
      <c r="M19" s="5">
        <f t="shared" si="2"/>
        <v>-847.92224586492102</v>
      </c>
    </row>
    <row r="20" spans="1:16" x14ac:dyDescent="0.25">
      <c r="A20" s="9" t="s">
        <v>8</v>
      </c>
      <c r="B20" s="9"/>
      <c r="C20" s="5">
        <f>C18</f>
        <v>200</v>
      </c>
      <c r="D20" s="90">
        <f t="shared" ref="D20:M20" si="3">D18</f>
        <v>197.64705882352942</v>
      </c>
      <c r="E20" s="90">
        <f t="shared" si="3"/>
        <v>201.92307692307691</v>
      </c>
      <c r="F20" s="90">
        <f t="shared" si="3"/>
        <v>197.64705882352942</v>
      </c>
      <c r="G20" s="90">
        <f t="shared" si="3"/>
        <v>201.92307692307691</v>
      </c>
      <c r="H20" s="5">
        <f t="shared" si="3"/>
        <v>200</v>
      </c>
      <c r="I20" s="5">
        <f t="shared" si="3"/>
        <v>200</v>
      </c>
      <c r="J20" s="5">
        <f t="shared" si="3"/>
        <v>200</v>
      </c>
      <c r="K20" s="5">
        <f t="shared" si="3"/>
        <v>200</v>
      </c>
      <c r="L20" s="5">
        <f t="shared" si="3"/>
        <v>200</v>
      </c>
      <c r="M20" s="5">
        <f t="shared" si="3"/>
        <v>200</v>
      </c>
    </row>
    <row r="21" spans="1:16" x14ac:dyDescent="0.25">
      <c r="A21" s="9" t="s">
        <v>9</v>
      </c>
      <c r="B21" s="9"/>
      <c r="C21" s="5">
        <f>MAX(C19,C20)</f>
        <v>200</v>
      </c>
      <c r="D21" s="90">
        <f t="shared" ref="D21:M21" si="4">MAX(D19,D20)</f>
        <v>197.64705882352942</v>
      </c>
      <c r="E21" s="90">
        <f t="shared" si="4"/>
        <v>201.92307692307691</v>
      </c>
      <c r="F21" s="90">
        <f t="shared" si="4"/>
        <v>197.64705882352942</v>
      </c>
      <c r="G21" s="90">
        <f t="shared" si="4"/>
        <v>201.92307692307691</v>
      </c>
      <c r="H21" s="5">
        <f t="shared" si="4"/>
        <v>200</v>
      </c>
      <c r="I21" s="5">
        <f t="shared" si="4"/>
        <v>200</v>
      </c>
      <c r="J21" s="5">
        <f t="shared" si="4"/>
        <v>200</v>
      </c>
      <c r="K21" s="5">
        <f t="shared" si="4"/>
        <v>200</v>
      </c>
      <c r="L21" s="5">
        <f t="shared" si="4"/>
        <v>200</v>
      </c>
      <c r="M21" s="5">
        <f t="shared" si="4"/>
        <v>200</v>
      </c>
    </row>
    <row r="22" spans="1:16" x14ac:dyDescent="0.25">
      <c r="A22" s="9"/>
      <c r="B22" s="9"/>
      <c r="C22" s="5"/>
      <c r="D22" s="5"/>
      <c r="E22" s="5"/>
      <c r="F22" s="5"/>
      <c r="G22" s="5"/>
      <c r="H22" s="5"/>
      <c r="I22" s="5"/>
      <c r="J22" s="5"/>
      <c r="K22" s="5"/>
      <c r="L22" s="5"/>
      <c r="M22" s="5"/>
    </row>
    <row r="23" spans="1:16" x14ac:dyDescent="0.25">
      <c r="A23" s="2" t="s">
        <v>39</v>
      </c>
      <c r="B23" s="9"/>
      <c r="C23" s="33">
        <f>CB!C22</f>
        <v>100</v>
      </c>
      <c r="D23" s="33">
        <f t="shared" ref="D23:M23" si="5">$C23</f>
        <v>100</v>
      </c>
      <c r="E23" s="33">
        <f t="shared" si="5"/>
        <v>100</v>
      </c>
      <c r="F23" s="33">
        <f t="shared" si="5"/>
        <v>100</v>
      </c>
      <c r="G23" s="33">
        <f t="shared" si="5"/>
        <v>100</v>
      </c>
      <c r="H23" s="33">
        <f t="shared" si="5"/>
        <v>100</v>
      </c>
      <c r="I23" s="33">
        <f t="shared" si="5"/>
        <v>100</v>
      </c>
      <c r="J23" s="33">
        <f t="shared" si="5"/>
        <v>100</v>
      </c>
      <c r="K23" s="33">
        <f t="shared" si="5"/>
        <v>100</v>
      </c>
      <c r="L23" s="33">
        <f t="shared" si="5"/>
        <v>100</v>
      </c>
      <c r="M23" s="33">
        <f t="shared" si="5"/>
        <v>100</v>
      </c>
    </row>
    <row r="24" spans="1:16" x14ac:dyDescent="0.25">
      <c r="A24" s="2" t="s">
        <v>41</v>
      </c>
      <c r="C24" s="5">
        <f t="shared" ref="C24:M24" si="6">SUM(C21:C23)</f>
        <v>300</v>
      </c>
      <c r="D24" s="5">
        <f t="shared" si="6"/>
        <v>297.64705882352939</v>
      </c>
      <c r="E24" s="5">
        <f t="shared" si="6"/>
        <v>301.92307692307691</v>
      </c>
      <c r="F24" s="5">
        <f t="shared" si="6"/>
        <v>297.64705882352939</v>
      </c>
      <c r="G24" s="5">
        <f t="shared" si="6"/>
        <v>301.92307692307691</v>
      </c>
      <c r="H24" s="5">
        <f t="shared" si="6"/>
        <v>300</v>
      </c>
      <c r="I24" s="5">
        <f t="shared" si="6"/>
        <v>300</v>
      </c>
      <c r="J24" s="5">
        <f t="shared" si="6"/>
        <v>300</v>
      </c>
      <c r="K24" s="5">
        <f t="shared" si="6"/>
        <v>300</v>
      </c>
      <c r="L24" s="5">
        <f t="shared" si="6"/>
        <v>300</v>
      </c>
      <c r="M24" s="5">
        <f t="shared" si="6"/>
        <v>300</v>
      </c>
    </row>
    <row r="25" spans="1:16" x14ac:dyDescent="0.25">
      <c r="C25" s="5"/>
      <c r="D25" s="5"/>
      <c r="E25" s="5"/>
      <c r="F25" s="5"/>
      <c r="G25" s="5"/>
      <c r="H25" s="5"/>
      <c r="I25" s="5"/>
      <c r="J25" s="5"/>
      <c r="K25" s="5"/>
      <c r="L25" s="5"/>
      <c r="M25" s="5"/>
    </row>
    <row r="26" spans="1:16" x14ac:dyDescent="0.25">
      <c r="A26" s="2" t="s">
        <v>28</v>
      </c>
      <c r="C26" s="5">
        <f t="shared" ref="C26:M26" si="7">C16-C24</f>
        <v>900</v>
      </c>
      <c r="D26" s="5">
        <f t="shared" si="7"/>
        <v>814.62960125201414</v>
      </c>
      <c r="E26" s="5">
        <f t="shared" si="7"/>
        <v>976.83455772650564</v>
      </c>
      <c r="F26" s="5">
        <f t="shared" si="7"/>
        <v>814.62960125201414</v>
      </c>
      <c r="G26" s="5">
        <f t="shared" si="7"/>
        <v>976.83455772650564</v>
      </c>
      <c r="H26" s="5">
        <f t="shared" si="7"/>
        <v>880</v>
      </c>
      <c r="I26" s="5">
        <f t="shared" si="7"/>
        <v>933.33333333333348</v>
      </c>
      <c r="J26" s="5">
        <f t="shared" si="7"/>
        <v>784.61538461538476</v>
      </c>
      <c r="K26" s="5">
        <f t="shared" si="7"/>
        <v>871.79487179487182</v>
      </c>
      <c r="L26" s="5">
        <f t="shared" si="7"/>
        <v>838.1192635073171</v>
      </c>
      <c r="M26" s="5">
        <f t="shared" si="7"/>
        <v>900</v>
      </c>
    </row>
    <row r="27" spans="1:16" x14ac:dyDescent="0.25">
      <c r="C27" s="5"/>
      <c r="D27" s="5"/>
      <c r="E27" s="5"/>
      <c r="F27" s="5"/>
      <c r="G27" s="5"/>
      <c r="H27" s="5"/>
      <c r="I27" s="5"/>
      <c r="J27" s="5"/>
      <c r="K27" s="5"/>
      <c r="L27" s="5"/>
      <c r="M27" s="5"/>
    </row>
    <row r="28" spans="1:16" x14ac:dyDescent="0.25">
      <c r="A28" s="1" t="s">
        <v>79</v>
      </c>
      <c r="C28" s="5"/>
      <c r="D28" s="5">
        <f>MAX(0,$C26-D26)</f>
        <v>85.37039874798586</v>
      </c>
      <c r="E28" s="5">
        <f>MAX(0,$C26-E26)</f>
        <v>0</v>
      </c>
      <c r="F28" s="5">
        <f t="shared" ref="F28:M28" si="8">MAX(0,$C26-F26)</f>
        <v>85.37039874798586</v>
      </c>
      <c r="G28" s="5">
        <f t="shared" si="8"/>
        <v>0</v>
      </c>
      <c r="H28" s="5">
        <f t="shared" si="8"/>
        <v>20</v>
      </c>
      <c r="I28" s="5">
        <f t="shared" si="8"/>
        <v>0</v>
      </c>
      <c r="J28" s="5">
        <f t="shared" si="8"/>
        <v>115.38461538461524</v>
      </c>
      <c r="K28" s="5">
        <f t="shared" si="8"/>
        <v>28.205128205128176</v>
      </c>
      <c r="L28" s="5">
        <f t="shared" si="8"/>
        <v>61.8807364926829</v>
      </c>
      <c r="M28" s="5">
        <f t="shared" si="8"/>
        <v>0</v>
      </c>
    </row>
    <row r="31" spans="1:16" ht="12.75" customHeight="1" x14ac:dyDescent="0.25">
      <c r="A31" s="1" t="s">
        <v>48</v>
      </c>
    </row>
    <row r="32" spans="1:16" ht="12.75" customHeight="1" x14ac:dyDescent="0.3">
      <c r="B32" s="2" t="s">
        <v>6</v>
      </c>
      <c r="D32" s="34">
        <f>Assumptions!C6</f>
        <v>0.05</v>
      </c>
      <c r="G32" s="35" t="s">
        <v>80</v>
      </c>
      <c r="P32" s="36"/>
    </row>
    <row r="33" spans="1:16" ht="12.75" customHeight="1" x14ac:dyDescent="0.3">
      <c r="B33" s="2" t="s">
        <v>57</v>
      </c>
      <c r="D33" s="37">
        <f>MIN(D32*1.25,D32+2%)</f>
        <v>6.25E-2</v>
      </c>
      <c r="H33" s="36"/>
      <c r="I33" s="36"/>
      <c r="J33" s="36"/>
      <c r="K33" s="36"/>
      <c r="L33" s="36"/>
      <c r="M33" s="36"/>
      <c r="N33" s="36"/>
      <c r="O33" s="36"/>
      <c r="P33" s="36"/>
    </row>
    <row r="34" spans="1:16" ht="12.75" customHeight="1" x14ac:dyDescent="0.25">
      <c r="B34" s="2" t="s">
        <v>58</v>
      </c>
      <c r="D34" s="37">
        <f>MAX(D32*(1-0.2),D32-2%)</f>
        <v>4.0000000000000008E-2</v>
      </c>
      <c r="I34" s="38" t="s">
        <v>72</v>
      </c>
      <c r="J34" s="38" t="s">
        <v>73</v>
      </c>
      <c r="K34" s="38" t="s">
        <v>74</v>
      </c>
      <c r="L34" s="38" t="s">
        <v>75</v>
      </c>
      <c r="M34" s="38" t="s">
        <v>76</v>
      </c>
      <c r="N34" s="38" t="s">
        <v>77</v>
      </c>
      <c r="O34" s="39"/>
    </row>
    <row r="35" spans="1:16" ht="12.75" customHeight="1" x14ac:dyDescent="0.3">
      <c r="H35" s="40"/>
      <c r="I35" s="41">
        <f>D28</f>
        <v>85.37039874798586</v>
      </c>
      <c r="J35" s="42">
        <f>F28</f>
        <v>85.37039874798586</v>
      </c>
      <c r="K35" s="42">
        <f>H28</f>
        <v>20</v>
      </c>
      <c r="L35" s="42">
        <f>J28</f>
        <v>115.38461538461524</v>
      </c>
      <c r="M35" s="42">
        <f>K28</f>
        <v>28.205128205128176</v>
      </c>
      <c r="N35" s="43">
        <f>L28</f>
        <v>61.8807364926829</v>
      </c>
      <c r="O35" s="44"/>
    </row>
    <row r="36" spans="1:16" ht="12.75" customHeight="1" x14ac:dyDescent="0.25">
      <c r="A36" s="1" t="s">
        <v>49</v>
      </c>
      <c r="H36" s="45" t="s">
        <v>81</v>
      </c>
      <c r="I36" s="28">
        <v>-1</v>
      </c>
      <c r="J36" s="28">
        <v>-1</v>
      </c>
      <c r="K36" s="46">
        <v>-1</v>
      </c>
      <c r="L36" s="47">
        <v>1</v>
      </c>
      <c r="M36" s="47">
        <v>1</v>
      </c>
      <c r="N36" s="47">
        <v>1</v>
      </c>
      <c r="O36" s="44"/>
    </row>
    <row r="37" spans="1:16" ht="12.75" customHeight="1" x14ac:dyDescent="0.25">
      <c r="B37" s="2" t="s">
        <v>57</v>
      </c>
      <c r="D37" s="37">
        <f>D32+1.25%</f>
        <v>6.25E-2</v>
      </c>
      <c r="H37" s="32"/>
      <c r="O37" s="48"/>
    </row>
    <row r="38" spans="1:16" ht="12.75" customHeight="1" x14ac:dyDescent="0.25">
      <c r="B38" s="2" t="s">
        <v>58</v>
      </c>
      <c r="D38" s="37">
        <f>D32-1%</f>
        <v>0.04</v>
      </c>
      <c r="G38" s="35" t="s">
        <v>78</v>
      </c>
    </row>
    <row r="39" spans="1:16" ht="12.75" customHeight="1" x14ac:dyDescent="0.25">
      <c r="D39" s="37"/>
      <c r="I39" s="38" t="s">
        <v>72</v>
      </c>
      <c r="J39" s="38" t="s">
        <v>73</v>
      </c>
      <c r="K39" s="38" t="s">
        <v>74</v>
      </c>
      <c r="L39" s="38" t="s">
        <v>75</v>
      </c>
      <c r="M39" s="38" t="s">
        <v>76</v>
      </c>
      <c r="N39" s="38" t="s">
        <v>77</v>
      </c>
    </row>
    <row r="40" spans="1:16" ht="12.75" customHeight="1" x14ac:dyDescent="0.25">
      <c r="A40" s="1" t="s">
        <v>50</v>
      </c>
      <c r="H40" s="38" t="s">
        <v>72</v>
      </c>
      <c r="I40" s="49">
        <v>1</v>
      </c>
      <c r="J40" s="50">
        <v>0.2</v>
      </c>
      <c r="K40" s="50">
        <v>0.2</v>
      </c>
      <c r="L40" s="50">
        <v>0.2</v>
      </c>
      <c r="M40" s="50">
        <v>0.2</v>
      </c>
      <c r="N40" s="51">
        <v>0.2</v>
      </c>
      <c r="O40" s="39"/>
    </row>
    <row r="41" spans="1:16" ht="12.75" customHeight="1" x14ac:dyDescent="0.3">
      <c r="B41" s="2" t="s">
        <v>59</v>
      </c>
      <c r="D41" s="52">
        <v>0.25</v>
      </c>
      <c r="H41" s="38" t="s">
        <v>73</v>
      </c>
      <c r="I41" s="53">
        <v>0.2</v>
      </c>
      <c r="J41" s="54">
        <v>1</v>
      </c>
      <c r="K41" s="54">
        <v>0.2</v>
      </c>
      <c r="L41" s="54">
        <v>0.4</v>
      </c>
      <c r="M41" s="54">
        <v>0.4</v>
      </c>
      <c r="N41" s="55">
        <v>0.2</v>
      </c>
      <c r="O41" s="56"/>
    </row>
    <row r="42" spans="1:16" ht="12.75" customHeight="1" x14ac:dyDescent="0.25">
      <c r="H42" s="38" t="s">
        <v>74</v>
      </c>
      <c r="I42" s="53">
        <v>0.2</v>
      </c>
      <c r="J42" s="54">
        <v>0.2</v>
      </c>
      <c r="K42" s="54">
        <v>1</v>
      </c>
      <c r="L42" s="54">
        <v>0.6</v>
      </c>
      <c r="M42" s="54">
        <v>0.2</v>
      </c>
      <c r="N42" s="55">
        <v>0.4</v>
      </c>
      <c r="O42" s="24"/>
    </row>
    <row r="43" spans="1:16" ht="12.75" customHeight="1" x14ac:dyDescent="0.25">
      <c r="A43" s="1" t="s">
        <v>52</v>
      </c>
      <c r="H43" s="38" t="s">
        <v>75</v>
      </c>
      <c r="I43" s="53">
        <v>0.2</v>
      </c>
      <c r="J43" s="54">
        <v>0.4</v>
      </c>
      <c r="K43" s="54">
        <v>0.6</v>
      </c>
      <c r="L43" s="54">
        <v>1</v>
      </c>
      <c r="M43" s="54">
        <v>0.4</v>
      </c>
      <c r="N43" s="55">
        <v>0.8</v>
      </c>
      <c r="O43" s="57"/>
    </row>
    <row r="44" spans="1:16" ht="12.75" customHeight="1" x14ac:dyDescent="0.3">
      <c r="B44" s="2" t="s">
        <v>60</v>
      </c>
      <c r="D44" s="92">
        <v>0.04</v>
      </c>
      <c r="H44" s="38" t="s">
        <v>76</v>
      </c>
      <c r="I44" s="53">
        <v>0.2</v>
      </c>
      <c r="J44" s="54">
        <v>0.4</v>
      </c>
      <c r="K44" s="54">
        <v>0.2</v>
      </c>
      <c r="L44" s="54">
        <v>0.4</v>
      </c>
      <c r="M44" s="54">
        <v>1</v>
      </c>
      <c r="N44" s="55">
        <v>0.4</v>
      </c>
      <c r="O44" s="58"/>
    </row>
    <row r="45" spans="1:16" ht="12.75" customHeight="1" x14ac:dyDescent="0.3">
      <c r="B45" s="2" t="s">
        <v>61</v>
      </c>
      <c r="D45" s="34">
        <f>D44+2.5%</f>
        <v>6.5000000000000002E-2</v>
      </c>
      <c r="H45" s="38" t="s">
        <v>77</v>
      </c>
      <c r="I45" s="59">
        <v>0.2</v>
      </c>
      <c r="J45" s="60">
        <v>0.2</v>
      </c>
      <c r="K45" s="60">
        <v>0.4</v>
      </c>
      <c r="L45" s="60">
        <v>0.8</v>
      </c>
      <c r="M45" s="60">
        <v>0.4</v>
      </c>
      <c r="N45" s="61">
        <v>1</v>
      </c>
      <c r="O45" s="58"/>
    </row>
    <row r="46" spans="1:16" ht="12.75" customHeight="1" x14ac:dyDescent="0.3">
      <c r="B46" s="2" t="s">
        <v>62</v>
      </c>
      <c r="D46" s="34">
        <f>1-D44/D45</f>
        <v>0.38461538461538458</v>
      </c>
      <c r="H46" s="62"/>
      <c r="I46" s="50"/>
      <c r="J46" s="50"/>
      <c r="K46" s="50"/>
      <c r="L46" s="50"/>
      <c r="M46" s="50"/>
      <c r="N46" s="50"/>
      <c r="O46" s="56"/>
    </row>
    <row r="47" spans="1:16" ht="12.75" customHeight="1" x14ac:dyDescent="0.3">
      <c r="G47" s="1" t="s">
        <v>82</v>
      </c>
      <c r="O47" s="56"/>
    </row>
    <row r="48" spans="1:16" ht="12.75" customHeight="1" x14ac:dyDescent="0.3">
      <c r="A48" s="1" t="s">
        <v>33</v>
      </c>
      <c r="I48" s="2">
        <f t="shared" ref="I48:N48" si="9">I36</f>
        <v>-1</v>
      </c>
      <c r="J48" s="2">
        <f t="shared" si="9"/>
        <v>-1</v>
      </c>
      <c r="K48" s="2">
        <f t="shared" si="9"/>
        <v>-1</v>
      </c>
      <c r="L48" s="2">
        <f t="shared" si="9"/>
        <v>1</v>
      </c>
      <c r="M48" s="2">
        <f t="shared" si="9"/>
        <v>1</v>
      </c>
      <c r="N48" s="2">
        <f t="shared" si="9"/>
        <v>1</v>
      </c>
      <c r="O48" s="56"/>
    </row>
    <row r="49" spans="1:16" ht="12.75" customHeight="1" x14ac:dyDescent="0.3">
      <c r="B49" s="2" t="s">
        <v>63</v>
      </c>
      <c r="D49" s="92">
        <v>7.0000000000000007E-2</v>
      </c>
      <c r="I49" s="63">
        <f>I35</f>
        <v>85.37039874798586</v>
      </c>
      <c r="J49" s="63">
        <f t="shared" ref="J49:N49" si="10">J35</f>
        <v>85.37039874798586</v>
      </c>
      <c r="K49" s="63">
        <f t="shared" si="10"/>
        <v>20</v>
      </c>
      <c r="L49" s="63">
        <f t="shared" si="10"/>
        <v>115.38461538461524</v>
      </c>
      <c r="M49" s="63">
        <f t="shared" si="10"/>
        <v>28.205128205128176</v>
      </c>
      <c r="N49" s="63">
        <f t="shared" si="10"/>
        <v>61.8807364926829</v>
      </c>
      <c r="O49" s="56"/>
    </row>
    <row r="50" spans="1:16" ht="12.75" customHeight="1" x14ac:dyDescent="0.25">
      <c r="B50" s="2" t="s">
        <v>64</v>
      </c>
      <c r="D50" s="34">
        <f>D49+2.75%</f>
        <v>9.7500000000000003E-2</v>
      </c>
      <c r="G50" s="2">
        <f>I48</f>
        <v>-1</v>
      </c>
      <c r="H50" s="63">
        <f>I49</f>
        <v>85.37039874798586</v>
      </c>
      <c r="I50" s="94">
        <f>MAX(0,I$49*$H50*I$48*$G50*I40)</f>
        <v>7288.1049823901058</v>
      </c>
      <c r="J50" s="95">
        <f t="shared" ref="I50:N55" si="11">MAX(0,J$49*$H50*J$48*$G50*J40)</f>
        <v>1457.6209964780212</v>
      </c>
      <c r="K50" s="95">
        <f t="shared" si="11"/>
        <v>341.48159499194344</v>
      </c>
      <c r="L50" s="95">
        <f t="shared" si="11"/>
        <v>0</v>
      </c>
      <c r="M50" s="95">
        <f t="shared" si="11"/>
        <v>0</v>
      </c>
      <c r="N50" s="96">
        <f t="shared" si="11"/>
        <v>0</v>
      </c>
      <c r="O50" s="54"/>
    </row>
    <row r="51" spans="1:16" ht="12.75" customHeight="1" x14ac:dyDescent="0.25">
      <c r="B51" s="2" t="s">
        <v>65</v>
      </c>
      <c r="D51" s="34">
        <f>1-D49/D50</f>
        <v>0.28205128205128205</v>
      </c>
      <c r="G51" s="2">
        <f>J48</f>
        <v>-1</v>
      </c>
      <c r="H51" s="63">
        <f>J49</f>
        <v>85.37039874798586</v>
      </c>
      <c r="I51" s="97">
        <f t="shared" si="11"/>
        <v>1457.6209964780212</v>
      </c>
      <c r="J51" s="98">
        <f t="shared" si="11"/>
        <v>7288.1049823901058</v>
      </c>
      <c r="K51" s="98">
        <f t="shared" si="11"/>
        <v>341.48159499194344</v>
      </c>
      <c r="L51" s="98">
        <f t="shared" si="11"/>
        <v>0</v>
      </c>
      <c r="M51" s="98">
        <f t="shared" si="11"/>
        <v>0</v>
      </c>
      <c r="N51" s="99">
        <f t="shared" si="11"/>
        <v>0</v>
      </c>
    </row>
    <row r="52" spans="1:16" ht="12.75" customHeight="1" x14ac:dyDescent="0.25">
      <c r="G52" s="2">
        <f>K48</f>
        <v>-1</v>
      </c>
      <c r="H52" s="63">
        <f>K49</f>
        <v>20</v>
      </c>
      <c r="I52" s="97">
        <f t="shared" si="11"/>
        <v>341.48159499194344</v>
      </c>
      <c r="J52" s="98">
        <f t="shared" si="11"/>
        <v>341.48159499194344</v>
      </c>
      <c r="K52" s="98">
        <f t="shared" si="11"/>
        <v>400</v>
      </c>
      <c r="L52" s="98">
        <f t="shared" si="11"/>
        <v>0</v>
      </c>
      <c r="M52" s="98">
        <f t="shared" si="11"/>
        <v>0</v>
      </c>
      <c r="N52" s="99">
        <f t="shared" si="11"/>
        <v>0</v>
      </c>
    </row>
    <row r="53" spans="1:16" ht="12.75" customHeight="1" x14ac:dyDescent="0.25">
      <c r="A53" s="1" t="s">
        <v>53</v>
      </c>
      <c r="D53" s="28"/>
      <c r="G53" s="2">
        <f>L48</f>
        <v>1</v>
      </c>
      <c r="H53" s="63">
        <f>L49</f>
        <v>115.38461538461524</v>
      </c>
      <c r="I53" s="97">
        <f t="shared" si="11"/>
        <v>0</v>
      </c>
      <c r="J53" s="98">
        <f t="shared" si="11"/>
        <v>0</v>
      </c>
      <c r="K53" s="98">
        <f t="shared" si="11"/>
        <v>0</v>
      </c>
      <c r="L53" s="98">
        <f t="shared" si="11"/>
        <v>13313.60946745559</v>
      </c>
      <c r="M53" s="98">
        <f t="shared" si="11"/>
        <v>1301.7751479289911</v>
      </c>
      <c r="N53" s="99">
        <f t="shared" si="11"/>
        <v>5712.0679839399527</v>
      </c>
    </row>
    <row r="54" spans="1:16" ht="12.75" customHeight="1" x14ac:dyDescent="0.25">
      <c r="A54" s="1"/>
      <c r="B54" s="2" t="s">
        <v>70</v>
      </c>
      <c r="D54" s="93">
        <v>10</v>
      </c>
      <c r="G54" s="2">
        <f>M48</f>
        <v>1</v>
      </c>
      <c r="H54" s="63">
        <f>M49</f>
        <v>28.205128205128176</v>
      </c>
      <c r="I54" s="97">
        <f t="shared" si="11"/>
        <v>0</v>
      </c>
      <c r="J54" s="98">
        <f t="shared" si="11"/>
        <v>0</v>
      </c>
      <c r="K54" s="98">
        <f t="shared" si="11"/>
        <v>0</v>
      </c>
      <c r="L54" s="98">
        <f t="shared" si="11"/>
        <v>1301.7751479289911</v>
      </c>
      <c r="M54" s="98">
        <f t="shared" si="11"/>
        <v>795.52925706771691</v>
      </c>
      <c r="N54" s="99">
        <f t="shared" si="11"/>
        <v>698.14164248154998</v>
      </c>
    </row>
    <row r="55" spans="1:16" ht="12.75" customHeight="1" x14ac:dyDescent="0.25">
      <c r="A55" s="1"/>
      <c r="B55" s="2" t="s">
        <v>69</v>
      </c>
      <c r="D55" s="92">
        <v>7.0000000000000007E-2</v>
      </c>
      <c r="G55" s="2">
        <f>N48</f>
        <v>1</v>
      </c>
      <c r="H55" s="63">
        <f>N49</f>
        <v>61.8807364926829</v>
      </c>
      <c r="I55" s="100">
        <f t="shared" si="11"/>
        <v>0</v>
      </c>
      <c r="J55" s="101">
        <f t="shared" si="11"/>
        <v>0</v>
      </c>
      <c r="K55" s="101">
        <f t="shared" si="11"/>
        <v>0</v>
      </c>
      <c r="L55" s="101">
        <f t="shared" si="11"/>
        <v>5712.0679839399527</v>
      </c>
      <c r="M55" s="101">
        <f t="shared" si="11"/>
        <v>698.14164248154998</v>
      </c>
      <c r="N55" s="102">
        <f t="shared" si="11"/>
        <v>3829.2255488768569</v>
      </c>
      <c r="O55" s="9"/>
    </row>
    <row r="56" spans="1:16" ht="12.75" customHeight="1" x14ac:dyDescent="0.25">
      <c r="A56" s="1"/>
      <c r="B56" s="2" t="s">
        <v>71</v>
      </c>
      <c r="D56" s="64">
        <f>D55-D32</f>
        <v>2.0000000000000004E-2</v>
      </c>
      <c r="O56" s="63"/>
    </row>
    <row r="57" spans="1:16" ht="12.75" customHeight="1" x14ac:dyDescent="0.25">
      <c r="B57" s="2" t="s">
        <v>66</v>
      </c>
      <c r="D57" s="34">
        <v>8.0000000000000002E-3</v>
      </c>
      <c r="O57" s="65"/>
    </row>
    <row r="58" spans="1:16" ht="12.75" customHeight="1" x14ac:dyDescent="0.25">
      <c r="B58" s="2" t="s">
        <v>84</v>
      </c>
      <c r="D58" s="34">
        <v>6.0000000000000001E-3</v>
      </c>
      <c r="G58" s="1" t="s">
        <v>83</v>
      </c>
      <c r="H58" s="1"/>
      <c r="I58" s="19">
        <f>M28+(SUM(I50:N55))^0.5</f>
        <v>229.38986934868154</v>
      </c>
      <c r="O58" s="65"/>
    </row>
    <row r="59" spans="1:16" x14ac:dyDescent="0.25">
      <c r="O59" s="65"/>
      <c r="P59" s="54"/>
    </row>
    <row r="60" spans="1:16" x14ac:dyDescent="0.25">
      <c r="O60" s="65"/>
    </row>
    <row r="61" spans="1:16" x14ac:dyDescent="0.25">
      <c r="O61" s="65"/>
    </row>
    <row r="62" spans="1:16" x14ac:dyDescent="0.25">
      <c r="O62" s="65"/>
    </row>
    <row r="63" spans="1:16" x14ac:dyDescent="0.25">
      <c r="I63" s="48"/>
      <c r="J63" s="48"/>
      <c r="K63" s="48"/>
      <c r="L63" s="48"/>
      <c r="M63" s="48"/>
      <c r="N63" s="48"/>
      <c r="O63" s="65"/>
      <c r="P63" s="9"/>
    </row>
    <row r="64" spans="1:16" x14ac:dyDescent="0.25">
      <c r="H64" s="63"/>
      <c r="I64" s="65"/>
      <c r="J64" s="65"/>
      <c r="K64" s="65"/>
      <c r="L64" s="65"/>
      <c r="M64" s="65"/>
      <c r="N64" s="65"/>
      <c r="O64" s="65"/>
      <c r="P64" s="63"/>
    </row>
    <row r="65" spans="7:16" ht="15" x14ac:dyDescent="0.25">
      <c r="G65" s="9"/>
      <c r="H65" s="66"/>
      <c r="I65" s="54"/>
      <c r="J65" s="24"/>
      <c r="K65" s="9"/>
      <c r="L65" s="9"/>
      <c r="N65" s="9"/>
      <c r="P65" s="65"/>
    </row>
    <row r="66" spans="7:16" x14ac:dyDescent="0.25">
      <c r="P66" s="65"/>
    </row>
  </sheetData>
  <mergeCells count="4">
    <mergeCell ref="D9:E9"/>
    <mergeCell ref="F9:G9"/>
    <mergeCell ref="H9:I9"/>
    <mergeCell ref="A5:M7"/>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9"/>
  <sheetViews>
    <sheetView showGridLines="0" workbookViewId="0">
      <selection activeCell="E20" sqref="E20"/>
    </sheetView>
  </sheetViews>
  <sheetFormatPr defaultRowHeight="13.5" x14ac:dyDescent="0.25"/>
  <cols>
    <col min="1" max="1" width="27.28515625" style="2" customWidth="1"/>
    <col min="2" max="2" width="9.140625" style="2"/>
    <col min="3" max="3" width="13.140625" style="2" bestFit="1" customWidth="1"/>
    <col min="4" max="16384" width="9.140625" style="2"/>
  </cols>
  <sheetData>
    <row r="1" spans="1:3" ht="18" x14ac:dyDescent="0.25">
      <c r="A1" s="69" t="s">
        <v>131</v>
      </c>
    </row>
    <row r="3" spans="1:3" ht="18" x14ac:dyDescent="0.25">
      <c r="A3" s="82" t="s">
        <v>94</v>
      </c>
      <c r="B3" s="81"/>
      <c r="C3" s="81"/>
    </row>
    <row r="5" spans="1:3" x14ac:dyDescent="0.25">
      <c r="A5" s="2" t="s">
        <v>95</v>
      </c>
      <c r="C5" s="5">
        <f>IRC!C79</f>
        <v>685.73345339394109</v>
      </c>
    </row>
    <row r="6" spans="1:3" x14ac:dyDescent="0.25">
      <c r="A6" s="2" t="s">
        <v>83</v>
      </c>
      <c r="C6" s="5">
        <f>ARC!I58</f>
        <v>229.38986934868154</v>
      </c>
    </row>
    <row r="7" spans="1:3" x14ac:dyDescent="0.25">
      <c r="A7" s="2" t="s">
        <v>96</v>
      </c>
      <c r="C7" s="80">
        <v>0.2</v>
      </c>
    </row>
    <row r="9" spans="1:3" x14ac:dyDescent="0.25">
      <c r="A9" s="2" t="s">
        <v>97</v>
      </c>
      <c r="C9" s="5">
        <f>(C5+C6)-(C5^2+C6^2+2*C7*C5*C6)^0.5</f>
        <v>149.76706309865256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67"/>
  <sheetViews>
    <sheetView showGridLines="0" topLeftCell="A36" workbookViewId="0">
      <selection activeCell="B54" sqref="B54"/>
    </sheetView>
  </sheetViews>
  <sheetFormatPr defaultRowHeight="13.5" x14ac:dyDescent="0.25"/>
  <cols>
    <col min="1" max="1" width="6" style="2" customWidth="1"/>
    <col min="2" max="2" width="35.140625" style="2" customWidth="1"/>
    <col min="3" max="3" width="10" style="2" customWidth="1"/>
    <col min="4" max="4" width="10.28515625" style="2" customWidth="1"/>
    <col min="5" max="16384" width="9.140625" style="2"/>
  </cols>
  <sheetData>
    <row r="1" spans="1:4" ht="18" x14ac:dyDescent="0.25">
      <c r="A1" s="69" t="s">
        <v>131</v>
      </c>
    </row>
    <row r="3" spans="1:4" ht="18" x14ac:dyDescent="0.25">
      <c r="A3" s="82" t="s">
        <v>93</v>
      </c>
      <c r="B3" s="82"/>
      <c r="C3" s="82"/>
      <c r="D3" s="81"/>
    </row>
    <row r="5" spans="1:4" ht="21" customHeight="1" x14ac:dyDescent="0.25">
      <c r="A5" s="146" t="s">
        <v>157</v>
      </c>
      <c r="B5" s="147"/>
      <c r="C5" s="147"/>
      <c r="D5" s="148"/>
    </row>
    <row r="6" spans="1:4" ht="21" customHeight="1" x14ac:dyDescent="0.25">
      <c r="A6" s="149"/>
      <c r="B6" s="150"/>
      <c r="C6" s="150"/>
      <c r="D6" s="151"/>
    </row>
    <row r="7" spans="1:4" ht="21" customHeight="1" x14ac:dyDescent="0.25">
      <c r="A7" s="152"/>
      <c r="B7" s="153"/>
      <c r="C7" s="153"/>
      <c r="D7" s="154"/>
    </row>
    <row r="9" spans="1:4" x14ac:dyDescent="0.25">
      <c r="A9" s="2" t="s">
        <v>95</v>
      </c>
      <c r="C9" s="5">
        <f>IRC!C79</f>
        <v>685.73345339394109</v>
      </c>
    </row>
    <row r="10" spans="1:4" x14ac:dyDescent="0.25">
      <c r="A10" s="2" t="s">
        <v>83</v>
      </c>
      <c r="C10" s="5">
        <f>ARC!I58</f>
        <v>229.38986934868154</v>
      </c>
    </row>
    <row r="11" spans="1:4" x14ac:dyDescent="0.25">
      <c r="A11" s="2" t="s">
        <v>97</v>
      </c>
      <c r="C11" s="5">
        <f>AB!C9</f>
        <v>149.76706309865256</v>
      </c>
    </row>
    <row r="13" spans="1:4" x14ac:dyDescent="0.25">
      <c r="A13" s="1" t="s">
        <v>98</v>
      </c>
      <c r="B13" s="1"/>
      <c r="C13" s="67">
        <f>(C9+C10-C11)/(C9+C10)</f>
        <v>0.83634220724502906</v>
      </c>
    </row>
    <row r="16" spans="1:4" x14ac:dyDescent="0.25">
      <c r="A16" s="2" t="s">
        <v>99</v>
      </c>
      <c r="C16" s="5">
        <f>SUM(ARC!I35:N35)+ARC!M28</f>
        <v>396.21127757839804</v>
      </c>
    </row>
    <row r="17" spans="1:4" x14ac:dyDescent="0.25">
      <c r="A17" s="1" t="s">
        <v>100</v>
      </c>
      <c r="B17" s="1"/>
      <c r="C17" s="67">
        <f>C10/C16</f>
        <v>0.57895845557624825</v>
      </c>
    </row>
    <row r="19" spans="1:4" x14ac:dyDescent="0.25">
      <c r="A19" s="4" t="s">
        <v>31</v>
      </c>
      <c r="C19" s="4" t="s">
        <v>101</v>
      </c>
      <c r="D19" s="4" t="s">
        <v>102</v>
      </c>
    </row>
    <row r="21" spans="1:4" x14ac:dyDescent="0.25">
      <c r="A21" s="2" t="s">
        <v>32</v>
      </c>
      <c r="C21" s="5">
        <f>CB!C13</f>
        <v>200</v>
      </c>
      <c r="D21" s="5">
        <f>C21*(1-ARC!$D$46*$C$13*$C$17)</f>
        <v>162.75327748924519</v>
      </c>
    </row>
    <row r="22" spans="1:4" x14ac:dyDescent="0.25">
      <c r="A22" s="2" t="s">
        <v>51</v>
      </c>
      <c r="C22" s="5">
        <f>CB!C14</f>
        <v>100</v>
      </c>
      <c r="D22" s="5">
        <f>C22*(1-ARC!$D$46*$C$13*$C$17)/(1+ARC!D41*$C$13*$C$17)</f>
        <v>72.589540687338186</v>
      </c>
    </row>
    <row r="23" spans="1:4" x14ac:dyDescent="0.25">
      <c r="A23" s="2" t="s">
        <v>44</v>
      </c>
      <c r="C23" s="5">
        <f>CB!C15</f>
        <v>100</v>
      </c>
      <c r="D23" s="5">
        <f>C23*(1-ARC!$D$51*$C$13*$C$17)</f>
        <v>86.342868412723234</v>
      </c>
    </row>
    <row r="24" spans="1:4" x14ac:dyDescent="0.25">
      <c r="A24" s="2" t="s">
        <v>35</v>
      </c>
      <c r="C24" s="33">
        <f>CB!C16</f>
        <v>800</v>
      </c>
      <c r="D24" s="33">
        <f>C24*((1+C41)^D40)/((1+D41)^D40)*(1-ARC!D58*C13*C17)</f>
        <v>687.78159158390224</v>
      </c>
    </row>
    <row r="25" spans="1:4" x14ac:dyDescent="0.25">
      <c r="A25" s="2" t="s">
        <v>40</v>
      </c>
      <c r="C25" s="5">
        <f>SUM(C21:C24)</f>
        <v>1200</v>
      </c>
      <c r="D25" s="5">
        <f>SUM(D21:D24)</f>
        <v>1009.4672781732088</v>
      </c>
    </row>
    <row r="26" spans="1:4" x14ac:dyDescent="0.25">
      <c r="C26" s="5"/>
      <c r="D26" s="5"/>
    </row>
    <row r="27" spans="1:4" x14ac:dyDescent="0.25">
      <c r="A27" s="6" t="s">
        <v>34</v>
      </c>
      <c r="C27" s="5"/>
      <c r="D27" s="5"/>
    </row>
    <row r="28" spans="1:4" x14ac:dyDescent="0.25">
      <c r="C28" s="5"/>
      <c r="D28" s="5"/>
    </row>
    <row r="29" spans="1:4" x14ac:dyDescent="0.25">
      <c r="A29" s="2" t="s">
        <v>110</v>
      </c>
      <c r="C29" s="5">
        <f>CB!C51</f>
        <v>200</v>
      </c>
      <c r="D29" s="5">
        <f>D55</f>
        <v>722.47691574809232</v>
      </c>
    </row>
    <row r="30" spans="1:4" x14ac:dyDescent="0.25">
      <c r="A30" s="2" t="s">
        <v>39</v>
      </c>
      <c r="C30" s="33">
        <f>CB!C22</f>
        <v>100</v>
      </c>
      <c r="D30" s="33">
        <f>C30</f>
        <v>100</v>
      </c>
    </row>
    <row r="31" spans="1:4" x14ac:dyDescent="0.25">
      <c r="A31" s="2" t="s">
        <v>41</v>
      </c>
      <c r="B31" s="1"/>
      <c r="C31" s="5">
        <f>SUM(C29:C30)</f>
        <v>300</v>
      </c>
      <c r="D31" s="5">
        <f>SUM(D29:D30)</f>
        <v>822.47691574809232</v>
      </c>
    </row>
    <row r="32" spans="1:4" x14ac:dyDescent="0.25">
      <c r="D32" s="5"/>
    </row>
    <row r="33" spans="1:4" x14ac:dyDescent="0.25">
      <c r="A33" s="1" t="s">
        <v>28</v>
      </c>
      <c r="C33" s="7">
        <f>C25-C31</f>
        <v>900</v>
      </c>
      <c r="D33" s="7">
        <f>D25-D31</f>
        <v>186.99036242511647</v>
      </c>
    </row>
    <row r="35" spans="1:4" x14ac:dyDescent="0.25">
      <c r="A35" s="2" t="s">
        <v>105</v>
      </c>
      <c r="D35" s="22">
        <f>C33-D33</f>
        <v>713.00963757488353</v>
      </c>
    </row>
    <row r="37" spans="1:4" x14ac:dyDescent="0.25">
      <c r="A37" s="1" t="s">
        <v>106</v>
      </c>
      <c r="D37" s="22">
        <f>MAX(0,D35-C9-C10+C11)</f>
        <v>0</v>
      </c>
    </row>
    <row r="39" spans="1:4" x14ac:dyDescent="0.25">
      <c r="A39" s="2" t="s">
        <v>35</v>
      </c>
    </row>
    <row r="40" spans="1:4" x14ac:dyDescent="0.25">
      <c r="B40" s="2" t="s">
        <v>104</v>
      </c>
      <c r="D40" s="22">
        <f>ARC!D54</f>
        <v>10</v>
      </c>
    </row>
    <row r="41" spans="1:4" x14ac:dyDescent="0.25">
      <c r="B41" s="2" t="s">
        <v>103</v>
      </c>
      <c r="C41" s="37">
        <f>ARC!D55</f>
        <v>7.0000000000000007E-2</v>
      </c>
      <c r="D41" s="37">
        <f>C41+((ARC!D33-ARC!D32)+(ARC!D37-ARC!D32)+ARC!D57)*C13*C17</f>
        <v>8.5978843957113818E-2</v>
      </c>
    </row>
    <row r="42" spans="1:4" x14ac:dyDescent="0.25">
      <c r="D42" s="37"/>
    </row>
    <row r="44" spans="1:4" x14ac:dyDescent="0.25">
      <c r="A44" s="2" t="s">
        <v>9</v>
      </c>
    </row>
    <row r="45" spans="1:4" x14ac:dyDescent="0.25">
      <c r="B45" s="11" t="s">
        <v>6</v>
      </c>
      <c r="C45" s="37">
        <f>ARC!D32</f>
        <v>0.05</v>
      </c>
      <c r="D45" s="37">
        <f>C45+((ARC!D33-ARC!D32)+(ARC!D37-ARC!D32))*C13*C17</f>
        <v>6.2105184815995314E-2</v>
      </c>
    </row>
    <row r="46" spans="1:4" x14ac:dyDescent="0.25">
      <c r="B46" s="11" t="s">
        <v>107</v>
      </c>
      <c r="C46" s="52">
        <f>Assumptions!C7</f>
        <v>0.8</v>
      </c>
      <c r="D46" s="37">
        <f>C46*(1+(IRC!C$35+IRC!G$35+IRC!K$35)*IRC!C$55*C$13)</f>
        <v>1.5076230723081689</v>
      </c>
    </row>
    <row r="47" spans="1:4" x14ac:dyDescent="0.25">
      <c r="B47" s="11" t="s">
        <v>108</v>
      </c>
      <c r="C47" s="52">
        <f>C46</f>
        <v>0.8</v>
      </c>
      <c r="D47" s="37">
        <f>C47*(1+(IRC!G$35+IRC!K$35)*IRC!C$55*C$13)</f>
        <v>1.3612182987271684</v>
      </c>
    </row>
    <row r="48" spans="1:4" x14ac:dyDescent="0.25">
      <c r="B48" s="11" t="s">
        <v>109</v>
      </c>
      <c r="C48" s="52">
        <f>C47</f>
        <v>0.8</v>
      </c>
      <c r="D48" s="37">
        <f>C48*(1+IRC!K$35*IRC!C$55*C$13)</f>
        <v>0.87320238679050033</v>
      </c>
    </row>
    <row r="49" spans="2:6" x14ac:dyDescent="0.25">
      <c r="B49" s="11" t="s">
        <v>112</v>
      </c>
      <c r="C49" s="52">
        <f>C48</f>
        <v>0.8</v>
      </c>
      <c r="D49" s="37">
        <f>C49</f>
        <v>0.8</v>
      </c>
    </row>
    <row r="50" spans="2:6" x14ac:dyDescent="0.25">
      <c r="B50" s="11" t="s">
        <v>20</v>
      </c>
      <c r="C50" s="52">
        <f>Assumptions!C9</f>
        <v>0.1</v>
      </c>
      <c r="D50" s="37">
        <f>C50*(1+IRC!C59*C$13)</f>
        <v>5.818288963774855E-2</v>
      </c>
    </row>
    <row r="51" spans="2:6" x14ac:dyDescent="0.25">
      <c r="B51" s="11" t="s">
        <v>1</v>
      </c>
      <c r="C51" s="52">
        <f>Assumptions!C8</f>
        <v>0.05</v>
      </c>
      <c r="D51" s="37">
        <f>C51*(1+IRC!C60*C$13)</f>
        <v>5.4181711036225148E-2</v>
      </c>
    </row>
    <row r="52" spans="2:6" x14ac:dyDescent="0.25">
      <c r="B52" s="9" t="s">
        <v>17</v>
      </c>
      <c r="C52" s="5">
        <f>CB!C48</f>
        <v>200</v>
      </c>
      <c r="D52" s="5">
        <f>C52*(1+C45)/(1+D45)*(1+(IRC!C35+IRC!K35)*IRC!C55*C13)</f>
        <v>251.99658510648123</v>
      </c>
    </row>
    <row r="53" spans="2:6" x14ac:dyDescent="0.25">
      <c r="B53" s="2" t="s">
        <v>25</v>
      </c>
      <c r="D53" s="5">
        <f>NPV($D$45,E59:E67)+NPV($D$45,F59:F67)-NPV($D$45,D59:D67)*(1+$D$45)</f>
        <v>-535.52932493082608</v>
      </c>
    </row>
    <row r="54" spans="2:6" x14ac:dyDescent="0.25">
      <c r="B54" s="2" t="s">
        <v>24</v>
      </c>
      <c r="C54" s="9"/>
      <c r="D54" s="5">
        <f>MAX(D53,0)</f>
        <v>0</v>
      </c>
      <c r="E54" s="27"/>
      <c r="F54" s="9"/>
    </row>
    <row r="55" spans="2:6" x14ac:dyDescent="0.25">
      <c r="B55" s="2" t="s">
        <v>111</v>
      </c>
      <c r="C55" s="9"/>
      <c r="D55" s="5">
        <f>(D54+E58+F58)/(1+D45)+D52-D58</f>
        <v>722.47691574809232</v>
      </c>
      <c r="E55" s="27"/>
      <c r="F55" s="9"/>
    </row>
    <row r="56" spans="2:6" x14ac:dyDescent="0.25">
      <c r="C56" s="9"/>
      <c r="D56" s="12"/>
      <c r="E56" s="27"/>
      <c r="F56" s="9"/>
    </row>
    <row r="57" spans="2:6" x14ac:dyDescent="0.25">
      <c r="C57" s="45" t="s">
        <v>2</v>
      </c>
      <c r="D57" s="45" t="s">
        <v>3</v>
      </c>
      <c r="E57" s="45" t="s">
        <v>4</v>
      </c>
      <c r="F57" s="45" t="s">
        <v>1</v>
      </c>
    </row>
    <row r="58" spans="2:6" x14ac:dyDescent="0.25">
      <c r="C58" s="85">
        <v>1</v>
      </c>
      <c r="D58" s="103">
        <v>1000</v>
      </c>
      <c r="E58" s="104">
        <f>D58*D46</f>
        <v>1507.623072308169</v>
      </c>
      <c r="F58" s="104">
        <f>D58*D$51</f>
        <v>54.181711036225146</v>
      </c>
    </row>
    <row r="59" spans="2:6" x14ac:dyDescent="0.25">
      <c r="C59" s="85">
        <f t="shared" ref="C59:C67" si="0">C58+1</f>
        <v>2</v>
      </c>
      <c r="D59" s="103">
        <f t="shared" ref="D59:D67" si="1">D58*(1-D$50)</f>
        <v>941.81711036225147</v>
      </c>
      <c r="E59" s="104">
        <f>D59*D47</f>
        <v>1282.0186846794418</v>
      </c>
      <c r="F59" s="104">
        <f>D59*D$51</f>
        <v>51.02926252262008</v>
      </c>
    </row>
    <row r="60" spans="2:6" x14ac:dyDescent="0.25">
      <c r="C60" s="85">
        <f t="shared" si="0"/>
        <v>3</v>
      </c>
      <c r="D60" s="103">
        <f t="shared" si="1"/>
        <v>887.01946937110131</v>
      </c>
      <c r="E60" s="104">
        <f>D60*D48</f>
        <v>774.54751778448872</v>
      </c>
      <c r="F60" s="104">
        <f>D60*D$51</f>
        <v>48.060232572970776</v>
      </c>
    </row>
    <row r="61" spans="2:6" x14ac:dyDescent="0.25">
      <c r="C61" s="85">
        <f t="shared" si="0"/>
        <v>4</v>
      </c>
      <c r="D61" s="103">
        <f t="shared" si="1"/>
        <v>835.41011347814822</v>
      </c>
      <c r="E61" s="103">
        <f>D61*C$46</f>
        <v>668.32809078251864</v>
      </c>
      <c r="F61" s="105">
        <f>D61*C$51</f>
        <v>41.770505673907415</v>
      </c>
    </row>
    <row r="62" spans="2:6" x14ac:dyDescent="0.25">
      <c r="C62" s="85">
        <f t="shared" si="0"/>
        <v>5</v>
      </c>
      <c r="D62" s="103">
        <f t="shared" si="1"/>
        <v>786.80353904339017</v>
      </c>
      <c r="E62" s="103">
        <f t="shared" ref="E62:E67" si="2">D62*C$46</f>
        <v>629.44283123471223</v>
      </c>
      <c r="F62" s="105">
        <f t="shared" ref="F62:F67" si="3">D62*C$51</f>
        <v>39.340176952169514</v>
      </c>
    </row>
    <row r="63" spans="2:6" x14ac:dyDescent="0.25">
      <c r="C63" s="85">
        <f t="shared" si="0"/>
        <v>6</v>
      </c>
      <c r="D63" s="103">
        <f t="shared" si="1"/>
        <v>741.02503556463864</v>
      </c>
      <c r="E63" s="103">
        <f t="shared" si="2"/>
        <v>592.82002845171098</v>
      </c>
      <c r="F63" s="105">
        <f t="shared" si="3"/>
        <v>37.051251778231936</v>
      </c>
    </row>
    <row r="64" spans="2:6" x14ac:dyDescent="0.25">
      <c r="C64" s="85">
        <f t="shared" si="0"/>
        <v>7</v>
      </c>
      <c r="D64" s="103">
        <f t="shared" si="1"/>
        <v>697.91005770157255</v>
      </c>
      <c r="E64" s="103">
        <f t="shared" si="2"/>
        <v>558.32804616125804</v>
      </c>
      <c r="F64" s="105">
        <f t="shared" si="3"/>
        <v>34.895502885078628</v>
      </c>
    </row>
    <row r="65" spans="3:6" x14ac:dyDescent="0.25">
      <c r="C65" s="85">
        <f t="shared" si="0"/>
        <v>8</v>
      </c>
      <c r="D65" s="103">
        <f t="shared" si="1"/>
        <v>657.30363383724728</v>
      </c>
      <c r="E65" s="103">
        <f t="shared" si="2"/>
        <v>525.84290706979789</v>
      </c>
      <c r="F65" s="105">
        <f t="shared" si="3"/>
        <v>32.865181691862368</v>
      </c>
    </row>
    <row r="66" spans="3:6" x14ac:dyDescent="0.25">
      <c r="C66" s="85">
        <f t="shared" si="0"/>
        <v>9</v>
      </c>
      <c r="D66" s="103">
        <f t="shared" si="1"/>
        <v>619.05980905120362</v>
      </c>
      <c r="E66" s="103">
        <f t="shared" si="2"/>
        <v>495.24784724096293</v>
      </c>
      <c r="F66" s="105">
        <f t="shared" si="3"/>
        <v>30.952990452560183</v>
      </c>
    </row>
    <row r="67" spans="3:6" x14ac:dyDescent="0.25">
      <c r="C67" s="85">
        <f t="shared" si="0"/>
        <v>10</v>
      </c>
      <c r="D67" s="103">
        <f t="shared" si="1"/>
        <v>583.04112050201172</v>
      </c>
      <c r="E67" s="103">
        <f t="shared" si="2"/>
        <v>466.43289640160941</v>
      </c>
      <c r="F67" s="105">
        <f t="shared" si="3"/>
        <v>29.152056025100588</v>
      </c>
    </row>
  </sheetData>
  <mergeCells count="1">
    <mergeCell ref="A5:D7"/>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Notes</vt:lpstr>
      <vt:lpstr>Input ==&gt;</vt:lpstr>
      <vt:lpstr>Assumptions</vt:lpstr>
      <vt:lpstr>Calculations ==&gt;</vt:lpstr>
      <vt:lpstr>CB</vt:lpstr>
      <vt:lpstr>IRC</vt:lpstr>
      <vt:lpstr>ARC</vt:lpstr>
      <vt:lpstr>AB</vt:lpstr>
      <vt:lpstr>CSS</vt:lpstr>
      <vt:lpstr>ORC</vt:lpstr>
      <vt:lpstr>PCR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Swinhoe</dc:creator>
  <cp:lastModifiedBy>Georgina Hemmings</cp:lastModifiedBy>
  <cp:lastPrinted>2007-07-25T01:26:09Z</cp:lastPrinted>
  <dcterms:created xsi:type="dcterms:W3CDTF">2005-10-25T23:23:11Z</dcterms:created>
  <dcterms:modified xsi:type="dcterms:W3CDTF">2020-01-12T17:00:25Z</dcterms:modified>
</cp:coreProperties>
</file>