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Zhu\Documents\GitHub\my_file\LIRV\Textbook\"/>
    </mc:Choice>
  </mc:AlternateContent>
  <bookViews>
    <workbookView xWindow="0" yWindow="0" windowWidth="20490" windowHeight="6855" activeTab="4"/>
  </bookViews>
  <sheets>
    <sheet name="Notes" sheetId="1" r:id="rId1"/>
    <sheet name="Data" sheetId="7" r:id="rId2"/>
    <sheet name="Assumptions" sheetId="6" r:id="rId3"/>
    <sheet name="Decrements" sheetId="3" r:id="rId4"/>
    <sheet name="Shareholder cash flows" sheetId="4" r:id="rId5"/>
    <sheet name="Policyholder cash flows" sheetId="9" r:id="rId6"/>
    <sheet name="Liability and profit" sheetId="5" r:id="rId7"/>
    <sheet name="Tables" sheetId="8" r:id="rId8"/>
  </sheets>
  <definedNames>
    <definedName name="Age">Data!$B$7</definedName>
    <definedName name="Annual_premium">Data!$B$9</definedName>
    <definedName name="CB1_factor">Assumptions!$G$7</definedName>
    <definedName name="CB2_factor">Assumptions!$M$7</definedName>
    <definedName name="Decrement">Decrements!$A$5:$H$14</definedName>
    <definedName name="Discount_rate">Assumptions!$B$34</definedName>
    <definedName name="Entry_fee">Assumptions!$B$5</definedName>
    <definedName name="Factor">Assumptions!#REF!</definedName>
    <definedName name="IA95_97UltM">Data!$A$11:$B$110</definedName>
    <definedName name="IC_rate">Assumptions!$B$29</definedName>
    <definedName name="Inflation">Assumptions!$B$26</definedName>
    <definedName name="Initial_comm_rate">Assumptions!$B$29</definedName>
    <definedName name="Initial_expense">Assumptions!$B$24</definedName>
    <definedName name="Invesment_Fee">Assumptions!$A$7</definedName>
    <definedName name="Investment_Fee">Assumptions!$B$7</definedName>
    <definedName name="Investment_rate">Assumptions!$B$32</definedName>
    <definedName name="lapse_rates">Assumptions!$A$12:$B$21</definedName>
    <definedName name="Profit_margin">'Liability and profit'!$I$30</definedName>
    <definedName name="RC_rate">Assumptions!$B$30</definedName>
    <definedName name="Renewal_comm_rate">Assumptions!$B$30</definedName>
    <definedName name="Renewal_expense">Assumptions!$B$25</definedName>
    <definedName name="Single_premium">Data!$B$9</definedName>
    <definedName name="Sum_Insured">Data!$B$8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9" i="4" l="1"/>
  <c r="AA29" i="4"/>
  <c r="V18" i="4"/>
  <c r="Q33" i="4"/>
  <c r="Q32" i="4"/>
  <c r="Q31" i="4"/>
  <c r="Q30" i="4"/>
  <c r="Q29" i="4"/>
  <c r="Q28" i="4"/>
  <c r="Q27" i="4"/>
  <c r="Q26" i="4"/>
  <c r="Q25" i="4"/>
  <c r="Q24" i="4"/>
  <c r="R6" i="4"/>
  <c r="Q23" i="4"/>
  <c r="K8" i="5"/>
  <c r="E10" i="9"/>
  <c r="AE23" i="4" l="1"/>
  <c r="J33" i="4"/>
  <c r="P33" i="4" s="1"/>
  <c r="I25" i="4"/>
  <c r="I26" i="4" s="1"/>
  <c r="I27" i="4" s="1"/>
  <c r="I28" i="4" s="1"/>
  <c r="I29" i="4" s="1"/>
  <c r="I30" i="4" s="1"/>
  <c r="I31" i="4" s="1"/>
  <c r="I32" i="4" s="1"/>
  <c r="I33" i="4" s="1"/>
  <c r="Y11" i="4" l="1"/>
  <c r="Y25" i="4" s="1"/>
  <c r="Y12" i="4"/>
  <c r="Y26" i="4" s="1"/>
  <c r="Y10" i="4"/>
  <c r="Y24" i="4" s="1"/>
  <c r="Y9" i="4"/>
  <c r="Z10" i="4" s="1"/>
  <c r="C10" i="4"/>
  <c r="D10" i="4"/>
  <c r="E10" i="4"/>
  <c r="J19" i="4"/>
  <c r="P19" i="4" s="1"/>
  <c r="I11" i="4"/>
  <c r="I12" i="4" s="1"/>
  <c r="I13" i="4" s="1"/>
  <c r="I14" i="4" s="1"/>
  <c r="I15" i="4" s="1"/>
  <c r="I16" i="4" s="1"/>
  <c r="I17" i="4" s="1"/>
  <c r="I18" i="4" s="1"/>
  <c r="I19" i="4" s="1"/>
  <c r="AE9" i="4" l="1"/>
  <c r="AG9" i="4" s="1"/>
  <c r="AA9" i="4"/>
  <c r="AE11" i="4"/>
  <c r="AA26" i="4"/>
  <c r="AE26" i="4"/>
  <c r="AA24" i="4"/>
  <c r="AE25" i="4"/>
  <c r="AE10" i="4"/>
  <c r="AA25" i="4"/>
  <c r="AF24" i="4"/>
  <c r="Z24" i="4"/>
  <c r="AE12" i="4"/>
  <c r="AE24" i="4"/>
  <c r="AG25" i="4" s="1"/>
  <c r="AG23" i="4"/>
  <c r="AG24" i="4"/>
  <c r="AF10" i="4"/>
  <c r="AA12" i="4"/>
  <c r="AA10" i="4"/>
  <c r="AB10" i="4" s="1"/>
  <c r="AA11" i="4"/>
  <c r="D14" i="8"/>
  <c r="D13" i="8"/>
  <c r="D12" i="8"/>
  <c r="D11" i="8"/>
  <c r="D10" i="8"/>
  <c r="D9" i="8"/>
  <c r="D8" i="8"/>
  <c r="D7" i="8"/>
  <c r="D6" i="8"/>
  <c r="C14" i="8"/>
  <c r="C13" i="8"/>
  <c r="C12" i="8"/>
  <c r="C11" i="8"/>
  <c r="C10" i="8"/>
  <c r="C9" i="8"/>
  <c r="C8" i="8"/>
  <c r="C7" i="8"/>
  <c r="C6" i="8"/>
  <c r="AG10" i="4" l="1"/>
  <c r="AH10" i="4" s="1"/>
  <c r="AG11" i="4"/>
  <c r="AG26" i="4"/>
  <c r="AG12" i="4"/>
  <c r="B51" i="8"/>
  <c r="H43" i="8"/>
  <c r="H44" i="8" s="1"/>
  <c r="H45" i="8" s="1"/>
  <c r="H46" i="8" s="1"/>
  <c r="H47" i="8" s="1"/>
  <c r="H48" i="8" s="1"/>
  <c r="H49" i="8" s="1"/>
  <c r="H50" i="8" s="1"/>
  <c r="H51" i="8" s="1"/>
  <c r="A43" i="8"/>
  <c r="A44" i="8" s="1"/>
  <c r="A45" i="8" s="1"/>
  <c r="A46" i="8" s="1"/>
  <c r="A47" i="8" s="1"/>
  <c r="A48" i="8" s="1"/>
  <c r="A49" i="8" s="1"/>
  <c r="A50" i="8" s="1"/>
  <c r="A51" i="8" s="1"/>
  <c r="H27" i="8"/>
  <c r="H28" i="8" s="1"/>
  <c r="H29" i="8" s="1"/>
  <c r="H30" i="8" s="1"/>
  <c r="H31" i="8" s="1"/>
  <c r="H32" i="8" s="1"/>
  <c r="H33" i="8" s="1"/>
  <c r="H34" i="8" s="1"/>
  <c r="H35" i="8" s="1"/>
  <c r="A27" i="8"/>
  <c r="A28" i="8" s="1"/>
  <c r="A29" i="8" s="1"/>
  <c r="A30" i="8" s="1"/>
  <c r="A31" i="8" s="1"/>
  <c r="A32" i="8" s="1"/>
  <c r="A33" i="8" s="1"/>
  <c r="A34" i="8" s="1"/>
  <c r="A35" i="8" s="1"/>
  <c r="F13" i="8"/>
  <c r="F12" i="8"/>
  <c r="F11" i="8"/>
  <c r="F10" i="8"/>
  <c r="F9" i="8"/>
  <c r="F8" i="8"/>
  <c r="F7" i="8"/>
  <c r="F6" i="8"/>
  <c r="F5" i="8"/>
  <c r="A6" i="8"/>
  <c r="A7" i="8" s="1"/>
  <c r="A8" i="8" s="1"/>
  <c r="A9" i="8" s="1"/>
  <c r="A10" i="8" s="1"/>
  <c r="A11" i="8" s="1"/>
  <c r="A12" i="8" s="1"/>
  <c r="A13" i="8" s="1"/>
  <c r="A14" i="8" s="1"/>
  <c r="B91" i="5" l="1"/>
  <c r="I51" i="8" s="1"/>
  <c r="A82" i="5"/>
  <c r="A83" i="5" s="1"/>
  <c r="A84" i="5" s="1"/>
  <c r="A85" i="5" s="1"/>
  <c r="A86" i="5" s="1"/>
  <c r="A87" i="5" s="1"/>
  <c r="A88" i="5" s="1"/>
  <c r="A89" i="5" s="1"/>
  <c r="A90" i="5" s="1"/>
  <c r="A91" i="5" s="1"/>
  <c r="B17" i="5"/>
  <c r="B35" i="8" s="1"/>
  <c r="A62" i="5"/>
  <c r="A63" i="5" s="1"/>
  <c r="A64" i="5" s="1"/>
  <c r="A65" i="5" s="1"/>
  <c r="A66" i="5" s="1"/>
  <c r="A67" i="5" s="1"/>
  <c r="A68" i="5" s="1"/>
  <c r="A69" i="5" s="1"/>
  <c r="A70" i="5" s="1"/>
  <c r="A71" i="5" s="1"/>
  <c r="A36" i="5"/>
  <c r="A37" i="5" s="1"/>
  <c r="A38" i="5" s="1"/>
  <c r="A39" i="5" s="1"/>
  <c r="A40" i="5" s="1"/>
  <c r="A41" i="5" s="1"/>
  <c r="A42" i="5" s="1"/>
  <c r="A43" i="5" s="1"/>
  <c r="A44" i="5" s="1"/>
  <c r="A45" i="5" s="1"/>
  <c r="E5" i="8"/>
  <c r="C7" i="9"/>
  <c r="D7" i="9" s="1"/>
  <c r="B61" i="5" s="1"/>
  <c r="B81" i="5" s="1"/>
  <c r="D81" i="5" s="1"/>
  <c r="D5" i="8" l="1"/>
  <c r="M8" i="5"/>
  <c r="E7" i="9"/>
  <c r="F7" i="9"/>
  <c r="C82" i="5"/>
  <c r="B45" i="5"/>
  <c r="D45" i="5" s="1"/>
  <c r="I35" i="8" s="1"/>
  <c r="D61" i="5" l="1"/>
  <c r="C62" i="5" l="1"/>
  <c r="B8" i="9" l="1"/>
  <c r="B9" i="9" l="1"/>
  <c r="C5" i="8" l="1"/>
  <c r="G5" i="8" s="1"/>
  <c r="G10" i="4"/>
  <c r="B10" i="9"/>
  <c r="E5" i="3"/>
  <c r="AB24" i="4" l="1"/>
  <c r="AH24" i="4"/>
  <c r="E62" i="5"/>
  <c r="E82" i="5"/>
  <c r="AH9" i="4"/>
  <c r="AB9" i="4"/>
  <c r="AC10" i="4" s="1"/>
  <c r="E36" i="5"/>
  <c r="J26" i="8" s="1"/>
  <c r="E81" i="5"/>
  <c r="J42" i="8" s="1"/>
  <c r="E61" i="5"/>
  <c r="C42" i="8" s="1"/>
  <c r="B11" i="9"/>
  <c r="A8" i="5"/>
  <c r="A9" i="5" s="1"/>
  <c r="A10" i="5" s="1"/>
  <c r="A11" i="5" s="1"/>
  <c r="A12" i="5" s="1"/>
  <c r="A13" i="5" s="1"/>
  <c r="A14" i="5" s="1"/>
  <c r="A15" i="5" s="1"/>
  <c r="A16" i="5" s="1"/>
  <c r="A17" i="5" s="1"/>
  <c r="AI24" i="4" l="1"/>
  <c r="AI10" i="4"/>
  <c r="AC24" i="4"/>
  <c r="B12" i="9"/>
  <c r="B11" i="4"/>
  <c r="A13" i="6"/>
  <c r="A14" i="6" s="1"/>
  <c r="A15" i="6" s="1"/>
  <c r="A16" i="6" s="1"/>
  <c r="A17" i="6" s="1"/>
  <c r="A18" i="6" s="1"/>
  <c r="A19" i="6" s="1"/>
  <c r="A20" i="6" s="1"/>
  <c r="A21" i="6" s="1"/>
  <c r="A6" i="3"/>
  <c r="E11" i="4" l="1"/>
  <c r="B12" i="4"/>
  <c r="E12" i="4" s="1"/>
  <c r="B13" i="9"/>
  <c r="C5" i="3"/>
  <c r="F5" i="3" s="1"/>
  <c r="G5" i="3" s="1"/>
  <c r="C6" i="3"/>
  <c r="A7" i="3"/>
  <c r="Z12" i="4" l="1"/>
  <c r="Z26" i="4"/>
  <c r="AF12" i="4"/>
  <c r="AF26" i="4"/>
  <c r="Z25" i="4"/>
  <c r="Z11" i="4"/>
  <c r="AF25" i="4"/>
  <c r="AF11" i="4"/>
  <c r="G11" i="4"/>
  <c r="E7" i="8"/>
  <c r="E6" i="8"/>
  <c r="G12" i="4"/>
  <c r="B13" i="4"/>
  <c r="E13" i="4" s="1"/>
  <c r="B14" i="9"/>
  <c r="D6" i="3"/>
  <c r="E6" i="3" s="1"/>
  <c r="F6" i="3" s="1"/>
  <c r="H5" i="3"/>
  <c r="A8" i="3"/>
  <c r="C7" i="3"/>
  <c r="Z27" i="4" l="1"/>
  <c r="Z13" i="4"/>
  <c r="AF27" i="4"/>
  <c r="AF13" i="4"/>
  <c r="AH11" i="4"/>
  <c r="B14" i="4"/>
  <c r="E14" i="4" s="1"/>
  <c r="AB11" i="4"/>
  <c r="AH25" i="4"/>
  <c r="AB25" i="4"/>
  <c r="AB12" i="4"/>
  <c r="AB26" i="4"/>
  <c r="AH26" i="4"/>
  <c r="AH12" i="4"/>
  <c r="E8" i="8"/>
  <c r="G14" i="4"/>
  <c r="G13" i="4"/>
  <c r="B15" i="9"/>
  <c r="B15" i="4"/>
  <c r="E15" i="4" s="1"/>
  <c r="A9" i="3"/>
  <c r="C8" i="3"/>
  <c r="G6" i="3"/>
  <c r="E9" i="8" l="1"/>
  <c r="E10" i="8"/>
  <c r="G15" i="4"/>
  <c r="B16" i="9"/>
  <c r="D7" i="3"/>
  <c r="H6" i="3"/>
  <c r="B16" i="4"/>
  <c r="E16" i="4" s="1"/>
  <c r="A10" i="3"/>
  <c r="C9" i="3"/>
  <c r="E7" i="3"/>
  <c r="F7" i="3" s="1"/>
  <c r="E11" i="8" l="1"/>
  <c r="G16" i="4"/>
  <c r="B17" i="4"/>
  <c r="E17" i="4" s="1"/>
  <c r="A11" i="3"/>
  <c r="C10" i="3"/>
  <c r="G7" i="3"/>
  <c r="E12" i="8" l="1"/>
  <c r="G17" i="4"/>
  <c r="D8" i="3"/>
  <c r="E8" i="3" s="1"/>
  <c r="F8" i="3" s="1"/>
  <c r="G8" i="3" s="1"/>
  <c r="H7" i="3"/>
  <c r="B18" i="4"/>
  <c r="E18" i="4" s="1"/>
  <c r="A12" i="3"/>
  <c r="C11" i="3"/>
  <c r="E13" i="8" l="1"/>
  <c r="G18" i="4"/>
  <c r="D9" i="3"/>
  <c r="E9" i="3" s="1"/>
  <c r="F9" i="3" s="1"/>
  <c r="G9" i="3" s="1"/>
  <c r="H8" i="3"/>
  <c r="B19" i="4"/>
  <c r="E19" i="4" s="1"/>
  <c r="A13" i="3"/>
  <c r="C12" i="3"/>
  <c r="E14" i="8" l="1"/>
  <c r="D10" i="3"/>
  <c r="H9" i="3"/>
  <c r="A14" i="3"/>
  <c r="C13" i="3"/>
  <c r="E10" i="3" l="1"/>
  <c r="F10" i="3" s="1"/>
  <c r="G10" i="3" s="1"/>
  <c r="C14" i="3"/>
  <c r="D11" i="3" l="1"/>
  <c r="E11" i="3" s="1"/>
  <c r="F11" i="3" s="1"/>
  <c r="G11" i="3" s="1"/>
  <c r="H10" i="3"/>
  <c r="D12" i="3" l="1"/>
  <c r="H11" i="3"/>
  <c r="E12" i="3" l="1"/>
  <c r="F12" i="3" s="1"/>
  <c r="G12" i="3" s="1"/>
  <c r="D13" i="3" l="1"/>
  <c r="E13" i="3" s="1"/>
  <c r="F13" i="3" s="1"/>
  <c r="G13" i="3" s="1"/>
  <c r="H12" i="3"/>
  <c r="D14" i="3" l="1"/>
  <c r="E14" i="3" s="1"/>
  <c r="F14" i="3" s="1"/>
  <c r="G14" i="3" s="1"/>
  <c r="H14" i="3" s="1"/>
  <c r="H13" i="3"/>
  <c r="G7" i="9" l="1"/>
  <c r="B5" i="8" l="1"/>
  <c r="D8" i="9"/>
  <c r="F8" i="9" l="1"/>
  <c r="E8" i="9"/>
  <c r="B62" i="5"/>
  <c r="G8" i="9" l="1"/>
  <c r="D9" i="9" s="1"/>
  <c r="B42" i="8"/>
  <c r="D42" i="8" s="1"/>
  <c r="E42" i="8" s="1"/>
  <c r="B82" i="5"/>
  <c r="C63" i="5"/>
  <c r="C43" i="8" s="1"/>
  <c r="D62" i="5"/>
  <c r="B6" i="8" l="1"/>
  <c r="I42" i="8"/>
  <c r="K42" i="8" s="1"/>
  <c r="L42" i="8" s="1"/>
  <c r="C83" i="5"/>
  <c r="J43" i="8" s="1"/>
  <c r="D82" i="5"/>
  <c r="E9" i="9"/>
  <c r="F9" i="9"/>
  <c r="B63" i="5"/>
  <c r="B43" i="8" l="1"/>
  <c r="D43" i="8" s="1"/>
  <c r="E43" i="8" s="1"/>
  <c r="B83" i="5"/>
  <c r="C64" i="5"/>
  <c r="D63" i="5"/>
  <c r="E63" i="5" s="1"/>
  <c r="G9" i="9"/>
  <c r="I43" i="8" l="1"/>
  <c r="K43" i="8" s="1"/>
  <c r="L43" i="8" s="1"/>
  <c r="C84" i="5"/>
  <c r="J44" i="8" s="1"/>
  <c r="D83" i="5"/>
  <c r="E83" i="5" s="1"/>
  <c r="D10" i="9"/>
  <c r="B7" i="8"/>
  <c r="C44" i="8"/>
  <c r="B64" i="5" l="1"/>
  <c r="F10" i="9"/>
  <c r="G10" i="9" l="1"/>
  <c r="B84" i="5"/>
  <c r="B44" i="8"/>
  <c r="D44" i="8" s="1"/>
  <c r="E44" i="8" s="1"/>
  <c r="D64" i="5"/>
  <c r="E64" i="5" s="1"/>
  <c r="C65" i="5"/>
  <c r="C45" i="8" s="1"/>
  <c r="D11" i="9" l="1"/>
  <c r="E11" i="9" s="1"/>
  <c r="Y13" i="4"/>
  <c r="B8" i="8"/>
  <c r="C85" i="5"/>
  <c r="J45" i="8" s="1"/>
  <c r="I44" i="8"/>
  <c r="K44" i="8" s="1"/>
  <c r="L44" i="8" s="1"/>
  <c r="D84" i="5"/>
  <c r="E84" i="5" s="1"/>
  <c r="B65" i="5"/>
  <c r="F11" i="9"/>
  <c r="Y27" i="4" l="1"/>
  <c r="AE13" i="4"/>
  <c r="AA13" i="4"/>
  <c r="AB13" i="4" s="1"/>
  <c r="Z14" i="4"/>
  <c r="G11" i="9"/>
  <c r="Y14" i="4" s="1"/>
  <c r="B85" i="5"/>
  <c r="B45" i="8"/>
  <c r="D45" i="8" s="1"/>
  <c r="E45" i="8" s="1"/>
  <c r="C66" i="5"/>
  <c r="C46" i="8" s="1"/>
  <c r="D65" i="5"/>
  <c r="E65" i="5" s="1"/>
  <c r="AA27" i="4" l="1"/>
  <c r="AB27" i="4" s="1"/>
  <c r="AE27" i="4"/>
  <c r="Z28" i="4"/>
  <c r="Y28" i="4"/>
  <c r="AA14" i="4"/>
  <c r="AB14" i="4" s="1"/>
  <c r="AE14" i="4"/>
  <c r="Z15" i="4"/>
  <c r="AG13" i="4"/>
  <c r="AH13" i="4" s="1"/>
  <c r="AF14" i="4"/>
  <c r="I45" i="8"/>
  <c r="K45" i="8" s="1"/>
  <c r="L45" i="8" s="1"/>
  <c r="C86" i="5"/>
  <c r="J46" i="8" s="1"/>
  <c r="D85" i="5"/>
  <c r="E85" i="5" s="1"/>
  <c r="D12" i="9"/>
  <c r="B9" i="8"/>
  <c r="AG14" i="4" l="1"/>
  <c r="AF15" i="4"/>
  <c r="AA28" i="4"/>
  <c r="AE28" i="4"/>
  <c r="Z29" i="4"/>
  <c r="AB28" i="4"/>
  <c r="AH14" i="4"/>
  <c r="AG27" i="4"/>
  <c r="AH27" i="4" s="1"/>
  <c r="AF28" i="4"/>
  <c r="F12" i="9"/>
  <c r="B66" i="5"/>
  <c r="E12" i="9"/>
  <c r="AG28" i="4" l="1"/>
  <c r="AF29" i="4"/>
  <c r="AH28" i="4"/>
  <c r="G12" i="9"/>
  <c r="B86" i="5"/>
  <c r="B46" i="8"/>
  <c r="D46" i="8" s="1"/>
  <c r="E46" i="8" s="1"/>
  <c r="C67" i="5"/>
  <c r="C47" i="8" s="1"/>
  <c r="D66" i="5"/>
  <c r="E66" i="5" s="1"/>
  <c r="D13" i="9" l="1"/>
  <c r="Y15" i="4"/>
  <c r="B10" i="8"/>
  <c r="E13" i="9"/>
  <c r="B67" i="5"/>
  <c r="F13" i="9"/>
  <c r="C87" i="5"/>
  <c r="J47" i="8" s="1"/>
  <c r="I46" i="8"/>
  <c r="K46" i="8" s="1"/>
  <c r="L46" i="8" s="1"/>
  <c r="D86" i="5"/>
  <c r="E86" i="5" s="1"/>
  <c r="Y29" i="4" l="1"/>
  <c r="AE15" i="4"/>
  <c r="AA15" i="4"/>
  <c r="AB15" i="4" s="1"/>
  <c r="Z16" i="4"/>
  <c r="B87" i="5"/>
  <c r="B47" i="8"/>
  <c r="D47" i="8" s="1"/>
  <c r="E47" i="8" s="1"/>
  <c r="C68" i="5"/>
  <c r="C48" i="8" s="1"/>
  <c r="D67" i="5"/>
  <c r="E67" i="5" s="1"/>
  <c r="G13" i="9"/>
  <c r="Y16" i="4" s="1"/>
  <c r="AG15" i="4" l="1"/>
  <c r="AH15" i="4" s="1"/>
  <c r="AF16" i="4"/>
  <c r="Y30" i="4"/>
  <c r="AE16" i="4"/>
  <c r="AA16" i="4"/>
  <c r="AB16" i="4" s="1"/>
  <c r="Z17" i="4"/>
  <c r="AB29" i="4"/>
  <c r="AE29" i="4"/>
  <c r="Z30" i="4"/>
  <c r="I47" i="8"/>
  <c r="K47" i="8" s="1"/>
  <c r="L47" i="8" s="1"/>
  <c r="C88" i="5"/>
  <c r="J48" i="8" s="1"/>
  <c r="D87" i="5"/>
  <c r="E87" i="5" s="1"/>
  <c r="D14" i="9"/>
  <c r="B11" i="8"/>
  <c r="AA30" i="4" l="1"/>
  <c r="AE30" i="4"/>
  <c r="Z31" i="4"/>
  <c r="AB30" i="4"/>
  <c r="AG16" i="4"/>
  <c r="AF17" i="4"/>
  <c r="AH16" i="4"/>
  <c r="AH29" i="4"/>
  <c r="AF30" i="4"/>
  <c r="E14" i="9"/>
  <c r="F14" i="9"/>
  <c r="B68" i="5"/>
  <c r="AG30" i="4" l="1"/>
  <c r="AH30" i="4" s="1"/>
  <c r="AF31" i="4"/>
  <c r="B88" i="5"/>
  <c r="B48" i="8"/>
  <c r="D48" i="8" s="1"/>
  <c r="E48" i="8" s="1"/>
  <c r="D68" i="5"/>
  <c r="E68" i="5" s="1"/>
  <c r="C69" i="5"/>
  <c r="C49" i="8" s="1"/>
  <c r="G14" i="9"/>
  <c r="Y17" i="4" s="1"/>
  <c r="Y31" i="4" l="1"/>
  <c r="AA17" i="4"/>
  <c r="AB17" i="4" s="1"/>
  <c r="AE17" i="4"/>
  <c r="Z18" i="4"/>
  <c r="D15" i="9"/>
  <c r="B12" i="8"/>
  <c r="C89" i="5"/>
  <c r="I48" i="8"/>
  <c r="K48" i="8" s="1"/>
  <c r="L48" i="8" s="1"/>
  <c r="D88" i="5"/>
  <c r="E88" i="5" s="1"/>
  <c r="AG17" i="4" l="1"/>
  <c r="AH17" i="4" s="1"/>
  <c r="AF18" i="4"/>
  <c r="AE31" i="4"/>
  <c r="AA31" i="4"/>
  <c r="AB31" i="4" s="1"/>
  <c r="Z32" i="4"/>
  <c r="J49" i="8"/>
  <c r="F15" i="9"/>
  <c r="E15" i="9"/>
  <c r="B69" i="5"/>
  <c r="AG31" i="4" l="1"/>
  <c r="AH31" i="4" s="1"/>
  <c r="AF32" i="4"/>
  <c r="B89" i="5"/>
  <c r="B49" i="8"/>
  <c r="D49" i="8" s="1"/>
  <c r="E49" i="8" s="1"/>
  <c r="C70" i="5"/>
  <c r="C50" i="8" s="1"/>
  <c r="D69" i="5"/>
  <c r="E69" i="5" s="1"/>
  <c r="G15" i="9"/>
  <c r="Y18" i="4" s="1"/>
  <c r="Y32" i="4" l="1"/>
  <c r="AA18" i="4"/>
  <c r="AB18" i="4" s="1"/>
  <c r="AE18" i="4"/>
  <c r="AA19" i="4"/>
  <c r="Z19" i="4"/>
  <c r="D16" i="9"/>
  <c r="B13" i="8"/>
  <c r="I49" i="8"/>
  <c r="K49" i="8" s="1"/>
  <c r="L49" i="8" s="1"/>
  <c r="C90" i="5"/>
  <c r="J50" i="8" s="1"/>
  <c r="D89" i="5"/>
  <c r="AG19" i="4" l="1"/>
  <c r="AG18" i="4"/>
  <c r="AH18" i="4" s="1"/>
  <c r="AF19" i="4"/>
  <c r="AE32" i="4"/>
  <c r="AA33" i="4"/>
  <c r="AA32" i="4"/>
  <c r="AB32" i="4" s="1"/>
  <c r="Z33" i="4"/>
  <c r="E89" i="5"/>
  <c r="E16" i="9"/>
  <c r="F16" i="9"/>
  <c r="B70" i="5"/>
  <c r="AG33" i="4" l="1"/>
  <c r="AG32" i="4"/>
  <c r="AH32" i="4" s="1"/>
  <c r="AF33" i="4"/>
  <c r="H16" i="9"/>
  <c r="H7" i="9"/>
  <c r="H8" i="9"/>
  <c r="H9" i="9"/>
  <c r="H10" i="9"/>
  <c r="H15" i="9"/>
  <c r="H11" i="9"/>
  <c r="H14" i="9"/>
  <c r="H13" i="9"/>
  <c r="H12" i="9"/>
  <c r="G16" i="9"/>
  <c r="F19" i="4" s="1"/>
  <c r="B90" i="5"/>
  <c r="B50" i="8"/>
  <c r="D70" i="5"/>
  <c r="E70" i="5" s="1"/>
  <c r="C71" i="5"/>
  <c r="D71" i="5"/>
  <c r="J28" i="4" l="1"/>
  <c r="J32" i="4"/>
  <c r="J24" i="4"/>
  <c r="J26" i="4"/>
  <c r="J29" i="4"/>
  <c r="J23" i="4"/>
  <c r="J31" i="4"/>
  <c r="J27" i="4"/>
  <c r="J30" i="4"/>
  <c r="J25" i="4"/>
  <c r="J15" i="4"/>
  <c r="J13" i="4"/>
  <c r="J16" i="4"/>
  <c r="J18" i="4"/>
  <c r="J12" i="4"/>
  <c r="J11" i="4"/>
  <c r="J10" i="4"/>
  <c r="J17" i="4"/>
  <c r="J9" i="4"/>
  <c r="K10" i="4" s="1"/>
  <c r="J14" i="4"/>
  <c r="B16" i="5"/>
  <c r="B15" i="5" s="1"/>
  <c r="F14" i="8"/>
  <c r="G19" i="4"/>
  <c r="C51" i="8"/>
  <c r="D50" i="8"/>
  <c r="E50" i="8" s="1"/>
  <c r="D51" i="8"/>
  <c r="C91" i="5"/>
  <c r="J51" i="8" s="1"/>
  <c r="I50" i="8"/>
  <c r="D90" i="5"/>
  <c r="E90" i="5" s="1"/>
  <c r="D91" i="5"/>
  <c r="K28" i="4" l="1"/>
  <c r="P27" i="4"/>
  <c r="L27" i="4"/>
  <c r="L31" i="4"/>
  <c r="K32" i="4"/>
  <c r="P31" i="4"/>
  <c r="P24" i="4"/>
  <c r="K25" i="4"/>
  <c r="M25" i="4" s="1"/>
  <c r="P26" i="4"/>
  <c r="K27" i="4"/>
  <c r="L26" i="4"/>
  <c r="AB19" i="4"/>
  <c r="AC9" i="4" s="1"/>
  <c r="AH33" i="4"/>
  <c r="AI23" i="4" s="1"/>
  <c r="AB33" i="4"/>
  <c r="AC23" i="4" s="1"/>
  <c r="AH19" i="4"/>
  <c r="AI9" i="4" s="1"/>
  <c r="K26" i="4"/>
  <c r="P25" i="4"/>
  <c r="L25" i="4"/>
  <c r="L24" i="4"/>
  <c r="P23" i="4"/>
  <c r="K24" i="4"/>
  <c r="L23" i="4"/>
  <c r="M23" i="4" s="1"/>
  <c r="L32" i="4"/>
  <c r="P32" i="4"/>
  <c r="L33" i="4"/>
  <c r="K33" i="4"/>
  <c r="M33" i="4" s="1"/>
  <c r="K31" i="4"/>
  <c r="P30" i="4"/>
  <c r="L30" i="4"/>
  <c r="P29" i="4"/>
  <c r="K30" i="4"/>
  <c r="M30" i="4" s="1"/>
  <c r="L29" i="4"/>
  <c r="L28" i="4"/>
  <c r="P28" i="4"/>
  <c r="K29" i="4"/>
  <c r="B44" i="5"/>
  <c r="D17" i="5"/>
  <c r="B34" i="8"/>
  <c r="D35" i="8" s="1"/>
  <c r="C17" i="5"/>
  <c r="C35" i="8" s="1"/>
  <c r="P9" i="4"/>
  <c r="L9" i="4"/>
  <c r="M9" i="4" s="1"/>
  <c r="L17" i="4"/>
  <c r="P17" i="4"/>
  <c r="K18" i="4"/>
  <c r="L16" i="4"/>
  <c r="P16" i="4"/>
  <c r="K17" i="4"/>
  <c r="P10" i="4"/>
  <c r="K11" i="4"/>
  <c r="L10" i="4"/>
  <c r="M10" i="4" s="1"/>
  <c r="L19" i="4"/>
  <c r="P18" i="4"/>
  <c r="K19" i="4"/>
  <c r="L18" i="4"/>
  <c r="L15" i="4"/>
  <c r="K16" i="4"/>
  <c r="P15" i="4"/>
  <c r="L13" i="4"/>
  <c r="P13" i="4"/>
  <c r="K14" i="4"/>
  <c r="P14" i="4"/>
  <c r="K15" i="4"/>
  <c r="L14" i="4"/>
  <c r="E71" i="5"/>
  <c r="L12" i="4"/>
  <c r="P12" i="4"/>
  <c r="K13" i="4"/>
  <c r="K12" i="4"/>
  <c r="P11" i="4"/>
  <c r="L11" i="4"/>
  <c r="E17" i="5"/>
  <c r="E51" i="8"/>
  <c r="E91" i="5"/>
  <c r="B14" i="5"/>
  <c r="D15" i="5" s="1"/>
  <c r="B33" i="8"/>
  <c r="C16" i="5"/>
  <c r="B43" i="5"/>
  <c r="K50" i="8"/>
  <c r="L50" i="8" s="1"/>
  <c r="K51" i="8"/>
  <c r="L51" i="8" s="1"/>
  <c r="D16" i="5"/>
  <c r="D34" i="8" l="1"/>
  <c r="M29" i="4"/>
  <c r="M31" i="4"/>
  <c r="M27" i="4"/>
  <c r="N10" i="4"/>
  <c r="M24" i="4"/>
  <c r="N24" i="4" s="1"/>
  <c r="M16" i="4"/>
  <c r="M26" i="4"/>
  <c r="M32" i="4"/>
  <c r="M28" i="4"/>
  <c r="M15" i="4"/>
  <c r="M19" i="4"/>
  <c r="M18" i="4"/>
  <c r="M11" i="4"/>
  <c r="M13" i="4"/>
  <c r="M12" i="4"/>
  <c r="M14" i="4"/>
  <c r="M17" i="4"/>
  <c r="E16" i="5"/>
  <c r="C34" i="8"/>
  <c r="B13" i="5"/>
  <c r="B32" i="8"/>
  <c r="B42" i="5"/>
  <c r="C15" i="5"/>
  <c r="N23" i="4" l="1"/>
  <c r="N9" i="4"/>
  <c r="E15" i="5"/>
  <c r="C33" i="8"/>
  <c r="B12" i="5"/>
  <c r="D13" i="5" s="1"/>
  <c r="B31" i="8"/>
  <c r="B41" i="5"/>
  <c r="C14" i="5"/>
  <c r="D14" i="5"/>
  <c r="G14" i="8"/>
  <c r="E35" i="8"/>
  <c r="D33" i="8"/>
  <c r="E14" i="5" l="1"/>
  <c r="C32" i="8"/>
  <c r="G13" i="8"/>
  <c r="E34" i="8"/>
  <c r="D32" i="8"/>
  <c r="B11" i="5"/>
  <c r="D12" i="5" s="1"/>
  <c r="B30" i="8"/>
  <c r="B40" i="5"/>
  <c r="C13" i="5"/>
  <c r="E13" i="5" l="1"/>
  <c r="C31" i="8"/>
  <c r="G12" i="8"/>
  <c r="E33" i="8"/>
  <c r="B10" i="5"/>
  <c r="D11" i="5" s="1"/>
  <c r="B29" i="8"/>
  <c r="C12" i="5"/>
  <c r="B39" i="5"/>
  <c r="D31" i="8"/>
  <c r="E12" i="5" l="1"/>
  <c r="C30" i="8"/>
  <c r="B9" i="5"/>
  <c r="D10" i="5" s="1"/>
  <c r="B28" i="8"/>
  <c r="D29" i="8" s="1"/>
  <c r="C11" i="5"/>
  <c r="B38" i="5"/>
  <c r="G11" i="8"/>
  <c r="E32" i="8"/>
  <c r="D30" i="8"/>
  <c r="E11" i="5" l="1"/>
  <c r="C29" i="8"/>
  <c r="B8" i="5"/>
  <c r="B7" i="5" s="1"/>
  <c r="B27" i="8"/>
  <c r="B37" i="5"/>
  <c r="C10" i="5"/>
  <c r="G10" i="8"/>
  <c r="E31" i="8"/>
  <c r="E10" i="5" l="1"/>
  <c r="C28" i="8"/>
  <c r="G7" i="5"/>
  <c r="D9" i="5"/>
  <c r="B26" i="8"/>
  <c r="D26" i="8" s="1"/>
  <c r="B36" i="5"/>
  <c r="C9" i="5"/>
  <c r="G9" i="8"/>
  <c r="E30" i="8"/>
  <c r="D28" i="8"/>
  <c r="D27" i="8" l="1"/>
  <c r="H7" i="5"/>
  <c r="K7" i="5"/>
  <c r="L8" i="5"/>
  <c r="C27" i="8"/>
  <c r="E9" i="5"/>
  <c r="G8" i="8"/>
  <c r="E29" i="8"/>
  <c r="C8" i="5"/>
  <c r="D7" i="5"/>
  <c r="E7" i="5" s="1"/>
  <c r="B35" i="5"/>
  <c r="I30" i="5" l="1"/>
  <c r="D8" i="5"/>
  <c r="E8" i="5" s="1"/>
  <c r="G7" i="8"/>
  <c r="E28" i="8"/>
  <c r="H45" i="5" l="1"/>
  <c r="C35" i="5"/>
  <c r="D35" i="5" s="1"/>
  <c r="F35" i="5" s="1"/>
  <c r="G35" i="5" s="1"/>
  <c r="H37" i="5"/>
  <c r="C36" i="5"/>
  <c r="D36" i="5" s="1"/>
  <c r="C42" i="5"/>
  <c r="D42" i="5" s="1"/>
  <c r="H40" i="5"/>
  <c r="C40" i="5"/>
  <c r="D40" i="5" s="1"/>
  <c r="C41" i="5"/>
  <c r="D41" i="5" s="1"/>
  <c r="C39" i="5"/>
  <c r="D39" i="5" s="1"/>
  <c r="H42" i="5"/>
  <c r="H36" i="5"/>
  <c r="H38" i="5"/>
  <c r="C43" i="5"/>
  <c r="D43" i="5" s="1"/>
  <c r="C38" i="5"/>
  <c r="D38" i="5" s="1"/>
  <c r="C44" i="5"/>
  <c r="D44" i="5" s="1"/>
  <c r="H39" i="5"/>
  <c r="H44" i="5"/>
  <c r="H41" i="5"/>
  <c r="H43" i="5"/>
  <c r="C37" i="5"/>
  <c r="D37" i="5" s="1"/>
  <c r="C26" i="8"/>
  <c r="E26" i="8" s="1"/>
  <c r="G6" i="8"/>
  <c r="E27" i="8"/>
  <c r="E45" i="5" l="1"/>
  <c r="J35" i="8" s="1"/>
  <c r="I34" i="8"/>
  <c r="F44" i="5"/>
  <c r="F45" i="5"/>
  <c r="E38" i="5"/>
  <c r="J28" i="8" s="1"/>
  <c r="I27" i="8"/>
  <c r="F37" i="5"/>
  <c r="E39" i="5"/>
  <c r="J29" i="8" s="1"/>
  <c r="I28" i="8"/>
  <c r="F38" i="5"/>
  <c r="E42" i="5"/>
  <c r="J32" i="8" s="1"/>
  <c r="I31" i="8"/>
  <c r="F41" i="5"/>
  <c r="E37" i="5"/>
  <c r="J27" i="8" s="1"/>
  <c r="I26" i="8"/>
  <c r="K26" i="8" s="1"/>
  <c r="L26" i="8" s="1"/>
  <c r="F36" i="5"/>
  <c r="G36" i="5" s="1"/>
  <c r="E44" i="5"/>
  <c r="J34" i="8" s="1"/>
  <c r="I33" i="8"/>
  <c r="F43" i="5"/>
  <c r="E40" i="5"/>
  <c r="J30" i="8" s="1"/>
  <c r="I29" i="8"/>
  <c r="K29" i="8" s="1"/>
  <c r="F39" i="5"/>
  <c r="E41" i="5"/>
  <c r="J31" i="8" s="1"/>
  <c r="I30" i="8"/>
  <c r="F40" i="5"/>
  <c r="E43" i="5"/>
  <c r="J33" i="8" s="1"/>
  <c r="I32" i="8"/>
  <c r="F42" i="5"/>
  <c r="G39" i="5" l="1"/>
  <c r="L29" i="8"/>
  <c r="K32" i="8"/>
  <c r="L32" i="8" s="1"/>
  <c r="G40" i="5"/>
  <c r="K28" i="8"/>
  <c r="L28" i="8" s="1"/>
  <c r="G43" i="5"/>
  <c r="G37" i="5"/>
  <c r="G41" i="5"/>
  <c r="G42" i="5"/>
  <c r="K30" i="8"/>
  <c r="L30" i="8" s="1"/>
  <c r="K33" i="8"/>
  <c r="L33" i="8" s="1"/>
  <c r="K31" i="8"/>
  <c r="L31" i="8" s="1"/>
  <c r="G38" i="5"/>
  <c r="K27" i="8"/>
  <c r="L27" i="8" s="1"/>
  <c r="G45" i="5"/>
  <c r="K34" i="8"/>
  <c r="L34" i="8" s="1"/>
  <c r="K35" i="8"/>
  <c r="L35" i="8" s="1"/>
  <c r="G44" i="5"/>
  <c r="V12" i="4"/>
  <c r="V26" i="4" s="1"/>
  <c r="V14" i="4"/>
  <c r="V28" i="4" s="1"/>
  <c r="V16" i="4"/>
  <c r="V30" i="4"/>
  <c r="V15" i="4"/>
  <c r="V29" i="4" s="1"/>
  <c r="V17" i="4"/>
  <c r="V31" i="4" s="1"/>
  <c r="Q16" i="4"/>
  <c r="R16" i="4" s="1"/>
  <c r="R30" i="4"/>
  <c r="V13" i="4"/>
  <c r="V27" i="4"/>
  <c r="Q10" i="4"/>
  <c r="R24" i="4" s="1"/>
  <c r="R10" i="4"/>
  <c r="S11" i="4" s="1"/>
  <c r="V10" i="4"/>
  <c r="V24" i="4" s="1"/>
  <c r="Q17" i="4"/>
  <c r="R31" i="4" s="1"/>
  <c r="V11" i="4"/>
  <c r="V25" i="4" s="1"/>
  <c r="V19" i="4"/>
  <c r="V33" i="4" s="1"/>
  <c r="Q19" i="4"/>
  <c r="R33" i="4" s="1"/>
  <c r="R19" i="4"/>
  <c r="Q18" i="4"/>
  <c r="R32" i="4" s="1"/>
  <c r="R18" i="4"/>
  <c r="Q12" i="4"/>
  <c r="R12" i="4" s="1"/>
  <c r="Q13" i="4"/>
  <c r="R13" i="4" s="1"/>
  <c r="R27" i="4"/>
  <c r="Q11" i="4"/>
  <c r="R11" i="4" s="1"/>
  <c r="V32" i="4"/>
  <c r="Q14" i="4"/>
  <c r="R14" i="4" s="1"/>
  <c r="R28" i="4"/>
  <c r="Q9" i="4"/>
  <c r="R23" i="4" s="1"/>
  <c r="Q15" i="4"/>
  <c r="R15" i="4" s="1"/>
  <c r="T19" i="4" l="1"/>
  <c r="W23" i="4"/>
  <c r="S29" i="4"/>
  <c r="T28" i="4"/>
  <c r="S13" i="4"/>
  <c r="T12" i="4"/>
  <c r="S33" i="4"/>
  <c r="T32" i="4"/>
  <c r="S12" i="4"/>
  <c r="T11" i="4"/>
  <c r="T23" i="4"/>
  <c r="U23" i="4" s="1"/>
  <c r="S24" i="4"/>
  <c r="T14" i="4"/>
  <c r="S15" i="4"/>
  <c r="U15" i="4" s="1"/>
  <c r="T33" i="4"/>
  <c r="S28" i="4"/>
  <c r="U28" i="4" s="1"/>
  <c r="S31" i="4"/>
  <c r="T24" i="4"/>
  <c r="S25" i="4"/>
  <c r="U11" i="4"/>
  <c r="T15" i="4"/>
  <c r="S16" i="4"/>
  <c r="U16" i="4" s="1"/>
  <c r="T13" i="4"/>
  <c r="S14" i="4"/>
  <c r="T31" i="4"/>
  <c r="S32" i="4"/>
  <c r="S17" i="4"/>
  <c r="T16" i="4"/>
  <c r="R25" i="4"/>
  <c r="S19" i="4"/>
  <c r="U19" i="4" s="1"/>
  <c r="R17" i="4"/>
  <c r="R26" i="4"/>
  <c r="T27" i="4" s="1"/>
  <c r="R29" i="4"/>
  <c r="R9" i="4"/>
  <c r="T10" i="4" s="1"/>
  <c r="U33" i="4" l="1"/>
  <c r="U13" i="4"/>
  <c r="U32" i="4"/>
  <c r="U12" i="4"/>
  <c r="S30" i="4"/>
  <c r="T29" i="4"/>
  <c r="U29" i="4" s="1"/>
  <c r="U24" i="4"/>
  <c r="T26" i="4"/>
  <c r="S27" i="4"/>
  <c r="U27" i="4" s="1"/>
  <c r="U31" i="4"/>
  <c r="T25" i="4"/>
  <c r="U25" i="4" s="1"/>
  <c r="S26" i="4"/>
  <c r="S10" i="4"/>
  <c r="U10" i="4" s="1"/>
  <c r="T9" i="4"/>
  <c r="U9" i="4" s="1"/>
  <c r="U14" i="4"/>
  <c r="T17" i="4"/>
  <c r="U17" i="4" s="1"/>
  <c r="S18" i="4"/>
  <c r="T30" i="4"/>
  <c r="T18" i="4"/>
  <c r="U18" i="4" l="1"/>
  <c r="W9" i="4" s="1"/>
  <c r="U26" i="4"/>
  <c r="U30" i="4"/>
</calcChain>
</file>

<file path=xl/comments1.xml><?xml version="1.0" encoding="utf-8"?>
<comments xmlns="http://schemas.openxmlformats.org/spreadsheetml/2006/main">
  <authors>
    <author>Zhu, Vincent</author>
  </authors>
  <commentList>
    <comment ref="J9" authorId="0" shapeId="0">
      <text>
        <r>
          <rPr>
            <b/>
            <sz val="9"/>
            <color indexed="81"/>
            <rFont val="Tahoma"/>
            <family val="2"/>
          </rPr>
          <t>Zhu, Vincent:</t>
        </r>
        <r>
          <rPr>
            <sz val="9"/>
            <color indexed="81"/>
            <rFont val="Tahoma"/>
            <family val="2"/>
          </rPr>
          <t xml:space="preserve">
The policy liability at the end of year 0, is </t>
        </r>
        <r>
          <rPr>
            <b/>
            <sz val="9"/>
            <color indexed="81"/>
            <rFont val="Tahoma"/>
            <family val="2"/>
          </rPr>
          <t>after</t>
        </r>
        <r>
          <rPr>
            <sz val="9"/>
            <color indexed="81"/>
            <rFont val="Tahoma"/>
            <family val="2"/>
          </rPr>
          <t xml:space="preserve"> the premium has been paid and </t>
        </r>
        <r>
          <rPr>
            <b/>
            <sz val="9"/>
            <color indexed="81"/>
            <rFont val="Tahoma"/>
            <family val="2"/>
          </rPr>
          <t>after</t>
        </r>
        <r>
          <rPr>
            <sz val="9"/>
            <color indexed="81"/>
            <rFont val="Tahoma"/>
            <family val="2"/>
          </rPr>
          <t xml:space="preserve"> the incurring of expense and payment of commission. Same for 1st period interest.</t>
        </r>
      </text>
    </comment>
    <comment ref="M9" authorId="0" shapeId="0">
      <text>
        <r>
          <rPr>
            <b/>
            <sz val="9"/>
            <color indexed="81"/>
            <rFont val="Tahoma"/>
            <family val="2"/>
          </rPr>
          <t>Zhu, Vincent:</t>
        </r>
        <r>
          <rPr>
            <sz val="9"/>
            <color indexed="81"/>
            <rFont val="Tahoma"/>
            <family val="2"/>
          </rPr>
          <t xml:space="preserve">
Assume the profit is released at the start of the year.</t>
        </r>
      </text>
    </comment>
    <comment ref="J10" authorId="0" shapeId="0">
      <text>
        <r>
          <rPr>
            <b/>
            <sz val="9"/>
            <color indexed="81"/>
            <rFont val="Tahoma"/>
            <family val="2"/>
          </rPr>
          <t>Zhu, Vincent:</t>
        </r>
        <r>
          <rPr>
            <sz val="9"/>
            <color indexed="81"/>
            <rFont val="Tahoma"/>
            <family val="2"/>
          </rPr>
          <t xml:space="preserve">
The policy liability above at the end of subsequent years is </t>
        </r>
        <r>
          <rPr>
            <b/>
            <sz val="9"/>
            <color indexed="81"/>
            <rFont val="Tahoma"/>
            <family val="2"/>
          </rPr>
          <t>before</t>
        </r>
        <r>
          <rPr>
            <sz val="9"/>
            <color indexed="81"/>
            <rFont val="Tahoma"/>
            <family val="2"/>
          </rPr>
          <t xml:space="preserve"> the incurring of expense as that occurs at the start of the policy year.</t>
        </r>
      </text>
    </comment>
  </commentList>
</comments>
</file>

<file path=xl/sharedStrings.xml><?xml version="1.0" encoding="utf-8"?>
<sst xmlns="http://schemas.openxmlformats.org/spreadsheetml/2006/main" count="228" uniqueCount="124">
  <si>
    <t>Pricing basis</t>
  </si>
  <si>
    <t>Lapse Rates</t>
  </si>
  <si>
    <t>Expenses</t>
  </si>
  <si>
    <t xml:space="preserve"> - Initial </t>
  </si>
  <si>
    <t xml:space="preserve"> - Renewal</t>
  </si>
  <si>
    <t xml:space="preserve"> - Inflation</t>
  </si>
  <si>
    <t>Commission</t>
  </si>
  <si>
    <t xml:space="preserve"> - Initial</t>
  </si>
  <si>
    <t>of first year's premium</t>
  </si>
  <si>
    <t>of subsequent premiums</t>
  </si>
  <si>
    <t xml:space="preserve">Investment rate </t>
  </si>
  <si>
    <t>Discount rate</t>
  </si>
  <si>
    <t>Taxation</t>
  </si>
  <si>
    <t>Sum Insured</t>
  </si>
  <si>
    <t>Year</t>
  </si>
  <si>
    <t>lapse</t>
  </si>
  <si>
    <t xml:space="preserve"> Year </t>
  </si>
  <si>
    <t>Decrement table</t>
  </si>
  <si>
    <r>
      <t>q</t>
    </r>
    <r>
      <rPr>
        <vertAlign val="subscript"/>
        <sz val="10"/>
        <color theme="0"/>
        <rFont val="Century Gothic"/>
        <family val="2"/>
      </rPr>
      <t>x</t>
    </r>
  </si>
  <si>
    <r>
      <t>(al)</t>
    </r>
    <r>
      <rPr>
        <vertAlign val="subscript"/>
        <sz val="10"/>
        <color theme="0"/>
        <rFont val="Century Gothic"/>
        <family val="2"/>
      </rPr>
      <t>x</t>
    </r>
  </si>
  <si>
    <r>
      <t>(ad)</t>
    </r>
    <r>
      <rPr>
        <vertAlign val="subscript"/>
        <sz val="10"/>
        <color theme="0"/>
        <rFont val="Century Gothic"/>
        <family val="2"/>
      </rPr>
      <t>x</t>
    </r>
  </si>
  <si>
    <r>
      <t>(aw)</t>
    </r>
    <r>
      <rPr>
        <vertAlign val="subscript"/>
        <sz val="10"/>
        <color theme="0"/>
        <rFont val="Century Gothic"/>
        <family val="2"/>
      </rPr>
      <t>x</t>
    </r>
  </si>
  <si>
    <r>
      <t>(al)</t>
    </r>
    <r>
      <rPr>
        <vertAlign val="subscript"/>
        <sz val="10"/>
        <color theme="0"/>
        <rFont val="Century Gothic"/>
        <family val="2"/>
      </rPr>
      <t>x+1</t>
    </r>
  </si>
  <si>
    <r>
      <t>(ap)</t>
    </r>
    <r>
      <rPr>
        <vertAlign val="subscript"/>
        <sz val="10"/>
        <color theme="0"/>
        <rFont val="Century Gothic"/>
        <family val="2"/>
      </rPr>
      <t>x</t>
    </r>
  </si>
  <si>
    <t>in year 2</t>
  </si>
  <si>
    <t>Profit</t>
  </si>
  <si>
    <t>Best estimate basis</t>
  </si>
  <si>
    <t>Realistic basis</t>
  </si>
  <si>
    <t>Notes</t>
  </si>
  <si>
    <t>Data</t>
  </si>
  <si>
    <t>Assumptions</t>
  </si>
  <si>
    <t>Interest</t>
  </si>
  <si>
    <t>Assumptions:</t>
  </si>
  <si>
    <t>Policy liability</t>
  </si>
  <si>
    <t>Increase in liability</t>
  </si>
  <si>
    <t>Liability and profit calculation</t>
  </si>
  <si>
    <t>These results are liability and profit calculations  for a 10 year single premium unit linked (investment linked) savings contract.</t>
  </si>
  <si>
    <t xml:space="preserve">This is a pure savings contract with no insurance benefits. </t>
  </si>
  <si>
    <t>Single premium</t>
  </si>
  <si>
    <t>Deaths uniform throughout the year - although q(x) is zero!</t>
  </si>
  <si>
    <t>Withdrawals at end of year - although none assumed</t>
  </si>
  <si>
    <t>Shareholder cash flow</t>
  </si>
  <si>
    <t>Policyholder cash flow</t>
  </si>
  <si>
    <t xml:space="preserve"> </t>
  </si>
  <si>
    <t xml:space="preserve">  </t>
  </si>
  <si>
    <t>Investment Fee</t>
  </si>
  <si>
    <t>It's hardly realistic to expect that the policy willl remain in force (i.e. does not surrender) before the 10-year anniversary.</t>
  </si>
  <si>
    <t>Make your own models with different lapse assumptions.</t>
  </si>
  <si>
    <t>Entry fee</t>
  </si>
  <si>
    <t xml:space="preserve">In Table 6.15, the profit is released at the end of the year and hence generates an extra 6% * $461 = $28 i.e. $579 in total. </t>
  </si>
  <si>
    <t>There are four bases:</t>
  </si>
  <si>
    <t>best estimate without allowance for profit margins;</t>
  </si>
  <si>
    <t>best estimate with allowance for profit margins;</t>
  </si>
  <si>
    <t>account balance method; and</t>
  </si>
  <si>
    <t>account balance method plus 1% margin.</t>
  </si>
  <si>
    <t>Best estimate plus profit margin basis</t>
  </si>
  <si>
    <t>Value of fees</t>
  </si>
  <si>
    <t>The profit margin multiplied by the fee is the profit at the end of the year</t>
  </si>
  <si>
    <t>Best Estimate liability</t>
  </si>
  <si>
    <t>Value of future profits</t>
  </si>
  <si>
    <t>Policy Liability</t>
  </si>
  <si>
    <r>
      <t>Profit</t>
    </r>
    <r>
      <rPr>
        <vertAlign val="superscript"/>
        <sz val="10"/>
        <color theme="0"/>
        <rFont val="Century Gothic"/>
        <family val="2"/>
      </rPr>
      <t>(1)</t>
    </r>
  </si>
  <si>
    <r>
      <t>Profit</t>
    </r>
    <r>
      <rPr>
        <vertAlign val="superscript"/>
        <sz val="10"/>
        <color theme="0"/>
        <rFont val="Century Gothic"/>
        <family val="2"/>
      </rPr>
      <t>(2)</t>
    </r>
  </si>
  <si>
    <t>Account balance</t>
  </si>
  <si>
    <t>Premiums received (SOY)</t>
  </si>
  <si>
    <t>Commission (SOY)</t>
  </si>
  <si>
    <t>Expenses (SOY)</t>
  </si>
  <si>
    <t>Payment on termination (EOY)</t>
  </si>
  <si>
    <t>Net cash flow (EOY)</t>
  </si>
  <si>
    <t>Unit Balance (SOY)</t>
  </si>
  <si>
    <t>Unit Balance (EOY)</t>
  </si>
  <si>
    <t>Fees (EOY)</t>
  </si>
  <si>
    <t>Account balance + 1%</t>
  </si>
  <si>
    <t>Allocation to unit fund (SOY)</t>
  </si>
  <si>
    <t>You will need to think about the payout on surrender. Is it the face value of the account or something else?</t>
  </si>
  <si>
    <t>In Table 6.15, profit was shown as at the end of year 1 rather than as at the start of the year as shown above.</t>
  </si>
  <si>
    <t xml:space="preserve">The profit margin is linked to a service provided. Clearly, the service is the provision of investing monies received. </t>
  </si>
  <si>
    <t xml:space="preserve">One metric used to measure the service is the fee extracted at the end of each year. </t>
  </si>
  <si>
    <t>The profit margin is derived by dividing the day one profit by the day 1 value of future fees:</t>
  </si>
  <si>
    <t xml:space="preserve">Best estimate plus profit margin </t>
  </si>
  <si>
    <t>The other method for showing profit demonstrates the profit margin multiplied by profit carrier method.</t>
  </si>
  <si>
    <t>End of year</t>
  </si>
  <si>
    <t>The policy liability is the sum of the BEL and future profits.  This constrains the profit at outset to be zero.</t>
  </si>
  <si>
    <t>Profit is released over the course of the policy in line with the earning of fees.</t>
  </si>
  <si>
    <t>Note that the policy liability at the end of years 1 - 9 is just before expenses are paid.</t>
  </si>
  <si>
    <t>The 'interest' column accounts for the deduction of expenses from the policy liability at the start of the year.</t>
  </si>
  <si>
    <t>Account balance method</t>
  </si>
  <si>
    <t>The liability held is a minimum of the face value of the unit account.</t>
  </si>
  <si>
    <t>There is an immediate 'loss' on day 1 as the face value of the policyholder account exceeds the cash available.</t>
  </si>
  <si>
    <t>The profit of $44 shown in Table 6.15  = $47 earned over the year less interest on the initial $50 capital injected.</t>
  </si>
  <si>
    <t>Account balance plus margin method</t>
  </si>
  <si>
    <t>The effect of this basis is to increase the deferment of profit.</t>
  </si>
  <si>
    <t>Table 6.14: Unit linked policy cash flows</t>
  </si>
  <si>
    <t>Premiums</t>
  </si>
  <si>
    <t>Commissions</t>
  </si>
  <si>
    <t>Policy payments on termination</t>
  </si>
  <si>
    <t>Net cash flow</t>
  </si>
  <si>
    <t>Account (unit) balance</t>
  </si>
  <si>
    <t>Table 6.15:Unit linked profit under four liability bases</t>
  </si>
  <si>
    <t>Basis 1: BE without margins</t>
  </si>
  <si>
    <t>Basis 2: BE with profit margin</t>
  </si>
  <si>
    <t>Basis 3: Account balance</t>
  </si>
  <si>
    <t>Basis 4: Account balance + 1%</t>
  </si>
  <si>
    <t xml:space="preserve">This workbook derives the results shown in Tables 6.14 and 6.15.  These are presented in the "Tables" worksheet. </t>
  </si>
  <si>
    <t>The cash flows for unit-linked contracts may be unbundled i.e. split between the owner and the policyholder.</t>
  </si>
  <si>
    <t>Note that both the entry fee and on-going fees are captured in the unit balance and therefore the final payout.</t>
  </si>
  <si>
    <t>The shareholder receives the single premium of $10,000 and investment earnings on reserves. The shareholder pays expenses and eventually pays the policyholder the unit balance</t>
  </si>
  <si>
    <t>The interest in cell C8 of $551 is less than that shown in Table 6.15 as we have assumed the profit is released at the start of the year.</t>
  </si>
  <si>
    <t>The policy liability at the end of year zero can be considered as the liability on day 1, when the single premium is received. Expenses and commission are assumed to be payable at that point.</t>
  </si>
  <si>
    <t>Profit is shown in two ways in columns G and H in the table above.  One is the build up from cash flow + interest less increase in liability.</t>
  </si>
  <si>
    <t>Profit *</t>
  </si>
  <si>
    <t xml:space="preserve">One could allow for mortality, thereby increasing the risk of contract termination before the expected maturity date, here in 10 years. This decrement is often ignored in practical work. </t>
  </si>
  <si>
    <t>Age</t>
  </si>
  <si>
    <t>However, if you ignore mortality, you should document this as an implicit assumption. When might ignoring mortality be too optimistic?</t>
  </si>
  <si>
    <t>* Profit is at commencement for year 0 and at the end of the year for years 1 to 10</t>
  </si>
  <si>
    <t>Vinc</t>
  </si>
  <si>
    <t>PV of Profit</t>
  </si>
  <si>
    <t>Profit Margin</t>
  </si>
  <si>
    <t>The policy liability above at the end of subsequent years is before the incurring of expense as that occurs at the start of the policy year.</t>
  </si>
  <si>
    <r>
      <t xml:space="preserve">The policy liability above at the end of year 0, is </t>
    </r>
    <r>
      <rPr>
        <b/>
        <sz val="10"/>
        <color rgb="FFFF0000"/>
        <rFont val="Century Gothic"/>
        <family val="2"/>
      </rPr>
      <t>after</t>
    </r>
    <r>
      <rPr>
        <sz val="10"/>
        <color rgb="FFFF0000"/>
        <rFont val="Century Gothic"/>
        <family val="2"/>
      </rPr>
      <t xml:space="preserve"> the premium has been paid and </t>
    </r>
    <r>
      <rPr>
        <b/>
        <sz val="10"/>
        <color rgb="FFFF0000"/>
        <rFont val="Century Gothic"/>
        <family val="2"/>
      </rPr>
      <t>after</t>
    </r>
    <r>
      <rPr>
        <sz val="10"/>
        <color rgb="FFFF0000"/>
        <rFont val="Century Gothic"/>
        <family val="2"/>
      </rPr>
      <t xml:space="preserve"> the incurring of expense and payment of commission.</t>
    </r>
  </si>
  <si>
    <t>Best estimate basis (regular approach)</t>
  </si>
  <si>
    <t>Best estimate plus profit margin basis (regular approach)</t>
  </si>
  <si>
    <t>Account balance (regular approach)</t>
  </si>
  <si>
    <t>Look at this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</si>
</sst>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8" formatCode="&quot;$&quot;#,##0.00_);[Red]\(&quot;$&quot;#,##0.00\)"/>
    <numFmt numFmtId="164" formatCode="0.00000"/>
    <numFmt numFmtId="165" formatCode="&quot;$&quot;#,##0.00"/>
    <numFmt numFmtId="166" formatCode="&quot;$&quot;#,##0"/>
    <numFmt numFmtId="167" formatCode="#,##0.00;[Red]\(#,##0.00\)"/>
    <numFmt numFmtId="168" formatCode="&quot;$&quot;#,##0.0"/>
  </numFmts>
  <fonts count="25" x14ac:knownFonts="1">
    <font>
      <sz val="11"/>
      <color theme="1"/>
      <name val="Calibri"/>
      <family val="2"/>
      <scheme val="minor"/>
    </font>
    <font>
      <b/>
      <sz val="11"/>
      <color theme="1"/>
      <name val="Century Gothic"/>
      <family val="2"/>
    </font>
    <font>
      <sz val="10"/>
      <color theme="1"/>
      <name val="Century Gothic"/>
      <family val="2"/>
    </font>
    <font>
      <b/>
      <sz val="10"/>
      <color theme="1"/>
      <name val="Century Gothic"/>
      <family val="2"/>
    </font>
    <font>
      <b/>
      <sz val="10"/>
      <color theme="0"/>
      <name val="Century Gothic"/>
      <family val="2"/>
    </font>
    <font>
      <sz val="10"/>
      <name val="Century Gothic"/>
      <family val="2"/>
    </font>
    <font>
      <sz val="10"/>
      <color theme="0"/>
      <name val="Century Gothic"/>
      <family val="2"/>
    </font>
    <font>
      <vertAlign val="subscript"/>
      <sz val="10"/>
      <color theme="0"/>
      <name val="Century Gothic"/>
      <family val="2"/>
    </font>
    <font>
      <sz val="10"/>
      <color rgb="FF000000"/>
      <name val="Century Gothic"/>
      <family val="2"/>
    </font>
    <font>
      <sz val="10"/>
      <name val="Times New Roman"/>
      <family val="1"/>
    </font>
    <font>
      <b/>
      <sz val="10"/>
      <color rgb="FF0098D0"/>
      <name val="Century Gothic"/>
      <family val="2"/>
    </font>
    <font>
      <b/>
      <sz val="10"/>
      <color rgb="FFFFFFFF"/>
      <name val="Century Gothic"/>
      <family val="2"/>
    </font>
    <font>
      <sz val="10"/>
      <color rgb="FF00B050"/>
      <name val="Century Gothic"/>
      <family val="2"/>
    </font>
    <font>
      <sz val="10"/>
      <color rgb="FF0070C0"/>
      <name val="Century Gothic"/>
      <family val="2"/>
    </font>
    <font>
      <vertAlign val="superscript"/>
      <sz val="10"/>
      <color theme="0"/>
      <name val="Century Gothic"/>
      <family val="2"/>
    </font>
    <font>
      <sz val="11"/>
      <color theme="1"/>
      <name val="Calibri"/>
      <family val="2"/>
      <scheme val="minor"/>
    </font>
    <font>
      <b/>
      <i/>
      <sz val="11"/>
      <color theme="1"/>
      <name val="Calibri"/>
      <family val="2"/>
      <scheme val="minor"/>
    </font>
    <font>
      <b/>
      <i/>
      <sz val="10"/>
      <color theme="0"/>
      <name val="Century Gothic"/>
      <family val="2"/>
    </font>
    <font>
      <i/>
      <sz val="11"/>
      <color theme="1"/>
      <name val="Calibri"/>
      <family val="2"/>
      <scheme val="minor"/>
    </font>
    <font>
      <sz val="10"/>
      <color rgb="FFFF0000"/>
      <name val="Century Gothic"/>
      <family val="2"/>
    </font>
    <font>
      <sz val="10"/>
      <color rgb="FFC00000"/>
      <name val="Century Gothic"/>
      <family val="2"/>
    </font>
    <font>
      <sz val="9"/>
      <color indexed="81"/>
      <name val="Tahoma"/>
      <family val="2"/>
    </font>
    <font>
      <b/>
      <sz val="9"/>
      <color indexed="81"/>
      <name val="Tahoma"/>
      <family val="2"/>
    </font>
    <font>
      <b/>
      <sz val="10"/>
      <color rgb="FFFF0000"/>
      <name val="Century Gothic"/>
      <family val="2"/>
    </font>
    <font>
      <b/>
      <i/>
      <sz val="11"/>
      <color rgb="FFC00000"/>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CCEAF6"/>
        <bgColor indexed="64"/>
      </patternFill>
    </fill>
    <fill>
      <patternFill patternType="solid">
        <fgColor rgb="FF99D6EC"/>
        <bgColor indexed="64"/>
      </patternFill>
    </fill>
    <fill>
      <patternFill patternType="solid">
        <fgColor rgb="FFFFFF00"/>
        <bgColor indexed="64"/>
      </patternFill>
    </fill>
    <fill>
      <patternFill patternType="solid">
        <fgColor theme="9"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1"/>
      </right>
      <top/>
      <bottom/>
      <diagonal/>
    </border>
    <border>
      <left style="thin">
        <color indexed="64"/>
      </left>
      <right style="thin">
        <color theme="1"/>
      </right>
      <top/>
      <bottom style="thin">
        <color indexed="64"/>
      </bottom>
      <diagonal/>
    </border>
    <border>
      <left style="thin">
        <color theme="1"/>
      </left>
      <right style="thin">
        <color theme="1"/>
      </right>
      <top/>
      <bottom style="thin">
        <color theme="1"/>
      </bottom>
      <diagonal/>
    </border>
  </borders>
  <cellStyleXfs count="2">
    <xf numFmtId="0" fontId="0" fillId="0" borderId="0"/>
    <xf numFmtId="9" fontId="15" fillId="0" borderId="0" applyFont="0" applyFill="0" applyBorder="0" applyAlignment="0" applyProtection="0"/>
  </cellStyleXfs>
  <cellXfs count="94">
    <xf numFmtId="0" fontId="0" fillId="0" borderId="0" xfId="0"/>
    <xf numFmtId="0" fontId="1" fillId="0" borderId="0" xfId="0" applyFont="1"/>
    <xf numFmtId="0" fontId="2" fillId="0" borderId="0" xfId="0" applyFont="1"/>
    <xf numFmtId="0" fontId="3" fillId="0" borderId="0" xfId="0" applyFont="1"/>
    <xf numFmtId="0" fontId="6" fillId="2" borderId="1" xfId="0" applyFont="1" applyFill="1" applyBorder="1" applyAlignment="1">
      <alignment horizontal="center"/>
    </xf>
    <xf numFmtId="0" fontId="2" fillId="0" borderId="1" xfId="0" applyFont="1" applyBorder="1"/>
    <xf numFmtId="164" fontId="2" fillId="0" borderId="1" xfId="0" applyNumberFormat="1" applyFont="1" applyBorder="1"/>
    <xf numFmtId="166" fontId="2" fillId="0" borderId="0" xfId="0" applyNumberFormat="1" applyFont="1"/>
    <xf numFmtId="166" fontId="2" fillId="0" borderId="1" xfId="0" applyNumberFormat="1" applyFont="1" applyBorder="1" applyAlignment="1">
      <alignment horizontal="center"/>
    </xf>
    <xf numFmtId="8" fontId="2" fillId="0" borderId="0" xfId="0" applyNumberFormat="1" applyFont="1"/>
    <xf numFmtId="167" fontId="9" fillId="0" borderId="0" xfId="0" applyNumberFormat="1" applyFont="1"/>
    <xf numFmtId="167" fontId="2" fillId="0" borderId="0" xfId="0" applyNumberFormat="1" applyFont="1"/>
    <xf numFmtId="0" fontId="10" fillId="0" borderId="0" xfId="0" applyFont="1" applyAlignment="1">
      <alignment vertical="center"/>
    </xf>
    <xf numFmtId="0" fontId="6" fillId="2" borderId="3" xfId="0" applyFont="1" applyFill="1" applyBorder="1" applyAlignment="1">
      <alignment horizontal="left" wrapText="1"/>
    </xf>
    <xf numFmtId="0" fontId="12" fillId="0" borderId="0" xfId="0" applyFont="1" applyFill="1" applyAlignment="1">
      <alignment horizontal="right"/>
    </xf>
    <xf numFmtId="0" fontId="12" fillId="0" borderId="0" xfId="0" applyFont="1" applyFill="1"/>
    <xf numFmtId="6" fontId="12" fillId="0" borderId="0" xfId="0" applyNumberFormat="1" applyFont="1" applyFill="1"/>
    <xf numFmtId="0" fontId="13" fillId="0" borderId="0" xfId="0" applyFont="1"/>
    <xf numFmtId="9" fontId="13" fillId="0" borderId="0" xfId="0" applyNumberFormat="1" applyFont="1"/>
    <xf numFmtId="6" fontId="13" fillId="0" borderId="0" xfId="0" applyNumberFormat="1" applyFont="1"/>
    <xf numFmtId="10" fontId="2" fillId="0" borderId="0" xfId="0" applyNumberFormat="1" applyFont="1"/>
    <xf numFmtId="0" fontId="3" fillId="0" borderId="2" xfId="0" applyFont="1" applyBorder="1"/>
    <xf numFmtId="0" fontId="6" fillId="2" borderId="5" xfId="0" applyFont="1" applyFill="1" applyBorder="1" applyAlignment="1">
      <alignment horizontal="center" wrapText="1"/>
    </xf>
    <xf numFmtId="166" fontId="2" fillId="0" borderId="5" xfId="0" applyNumberFormat="1" applyFont="1" applyBorder="1" applyAlignment="1">
      <alignment horizontal="center"/>
    </xf>
    <xf numFmtId="166" fontId="5" fillId="0" borderId="5" xfId="0" applyNumberFormat="1" applyFont="1" applyBorder="1" applyAlignment="1">
      <alignment horizontal="center"/>
    </xf>
    <xf numFmtId="0" fontId="6" fillId="2" borderId="20" xfId="0" applyFont="1" applyFill="1" applyBorder="1" applyAlignment="1">
      <alignment horizontal="left" wrapText="1"/>
    </xf>
    <xf numFmtId="166" fontId="0" fillId="0" borderId="0" xfId="0" applyNumberFormat="1"/>
    <xf numFmtId="165" fontId="0" fillId="0" borderId="0" xfId="0" applyNumberFormat="1"/>
    <xf numFmtId="1" fontId="8" fillId="3" borderId="20" xfId="0" applyNumberFormat="1" applyFont="1" applyFill="1" applyBorder="1" applyAlignment="1">
      <alignment horizontal="center" vertical="center"/>
    </xf>
    <xf numFmtId="1" fontId="8" fillId="4" borderId="20" xfId="0" applyNumberFormat="1" applyFont="1" applyFill="1" applyBorder="1" applyAlignment="1">
      <alignment horizontal="center" vertical="center"/>
    </xf>
    <xf numFmtId="1" fontId="8" fillId="3" borderId="3" xfId="0" applyNumberFormat="1" applyFont="1" applyFill="1" applyBorder="1" applyAlignment="1">
      <alignment horizontal="center" vertical="center"/>
    </xf>
    <xf numFmtId="0" fontId="8" fillId="4" borderId="21" xfId="0" applyFont="1" applyFill="1" applyBorder="1" applyAlignment="1">
      <alignment horizontal="center" vertical="center"/>
    </xf>
    <xf numFmtId="1" fontId="8" fillId="3" borderId="25" xfId="0" applyNumberFormat="1" applyFont="1" applyFill="1" applyBorder="1" applyAlignment="1">
      <alignment horizontal="center" vertical="center"/>
    </xf>
    <xf numFmtId="1" fontId="8" fillId="4" borderId="25" xfId="0" applyNumberFormat="1" applyFont="1" applyFill="1" applyBorder="1" applyAlignment="1">
      <alignment horizontal="center" vertical="center"/>
    </xf>
    <xf numFmtId="1" fontId="8" fillId="3" borderId="27" xfId="0" applyNumberFormat="1" applyFont="1" applyFill="1" applyBorder="1" applyAlignment="1">
      <alignment horizontal="center" vertical="center"/>
    </xf>
    <xf numFmtId="166" fontId="8" fillId="4" borderId="21" xfId="0" applyNumberFormat="1" applyFont="1" applyFill="1" applyBorder="1" applyAlignment="1">
      <alignment horizontal="center" vertical="center"/>
    </xf>
    <xf numFmtId="166" fontId="8" fillId="4" borderId="22" xfId="0" applyNumberFormat="1" applyFont="1" applyFill="1" applyBorder="1" applyAlignment="1">
      <alignment horizontal="center" vertical="center"/>
    </xf>
    <xf numFmtId="166" fontId="8" fillId="4" borderId="23" xfId="0" applyNumberFormat="1" applyFont="1" applyFill="1" applyBorder="1" applyAlignment="1">
      <alignment horizontal="center" vertical="center"/>
    </xf>
    <xf numFmtId="166" fontId="8" fillId="4" borderId="24" xfId="0" applyNumberFormat="1" applyFont="1" applyFill="1" applyBorder="1" applyAlignment="1">
      <alignment horizontal="center" vertical="center"/>
    </xf>
    <xf numFmtId="166" fontId="8" fillId="3" borderId="20" xfId="0" applyNumberFormat="1" applyFont="1" applyFill="1" applyBorder="1" applyAlignment="1">
      <alignment horizontal="center" vertical="center"/>
    </xf>
    <xf numFmtId="166" fontId="8" fillId="3" borderId="25" xfId="0" applyNumberFormat="1" applyFont="1" applyFill="1" applyBorder="1" applyAlignment="1">
      <alignment horizontal="center" vertical="center"/>
    </xf>
    <xf numFmtId="166" fontId="8" fillId="3" borderId="0" xfId="0" applyNumberFormat="1" applyFont="1" applyFill="1" applyBorder="1" applyAlignment="1">
      <alignment horizontal="center" vertical="center"/>
    </xf>
    <xf numFmtId="166" fontId="8" fillId="3" borderId="26" xfId="0" applyNumberFormat="1" applyFont="1" applyFill="1" applyBorder="1" applyAlignment="1">
      <alignment horizontal="center" vertical="center"/>
    </xf>
    <xf numFmtId="166" fontId="8" fillId="4" borderId="20" xfId="0" applyNumberFormat="1" applyFont="1" applyFill="1" applyBorder="1" applyAlignment="1">
      <alignment horizontal="center" vertical="center"/>
    </xf>
    <xf numFmtId="166" fontId="8" fillId="4" borderId="25" xfId="0" applyNumberFormat="1" applyFont="1" applyFill="1" applyBorder="1" applyAlignment="1">
      <alignment horizontal="center" vertical="center"/>
    </xf>
    <xf numFmtId="166" fontId="8" fillId="4" borderId="0" xfId="0" applyNumberFormat="1" applyFont="1" applyFill="1" applyBorder="1" applyAlignment="1">
      <alignment horizontal="center" vertical="center"/>
    </xf>
    <xf numFmtId="166" fontId="8" fillId="4" borderId="26" xfId="0" applyNumberFormat="1" applyFont="1" applyFill="1" applyBorder="1" applyAlignment="1">
      <alignment horizontal="center" vertical="center"/>
    </xf>
    <xf numFmtId="166" fontId="8" fillId="3" borderId="3" xfId="0" applyNumberFormat="1" applyFont="1" applyFill="1" applyBorder="1" applyAlignment="1">
      <alignment horizontal="center" vertical="center"/>
    </xf>
    <xf numFmtId="166" fontId="8" fillId="3" borderId="27" xfId="0" applyNumberFormat="1" applyFont="1" applyFill="1" applyBorder="1" applyAlignment="1">
      <alignment horizontal="center" vertical="center"/>
    </xf>
    <xf numFmtId="166" fontId="8" fillId="3" borderId="4" xfId="0" applyNumberFormat="1" applyFont="1" applyFill="1" applyBorder="1" applyAlignment="1">
      <alignment horizontal="center" vertical="center"/>
    </xf>
    <xf numFmtId="166" fontId="8" fillId="3" borderId="28" xfId="0" applyNumberFormat="1" applyFont="1" applyFill="1" applyBorder="1" applyAlignment="1">
      <alignment horizontal="center" vertical="center"/>
    </xf>
    <xf numFmtId="0" fontId="8" fillId="4" borderId="22" xfId="0" applyFont="1" applyFill="1" applyBorder="1" applyAlignment="1">
      <alignment horizontal="center" vertical="center"/>
    </xf>
    <xf numFmtId="0" fontId="16" fillId="0" borderId="0" xfId="0" applyFont="1"/>
    <xf numFmtId="0" fontId="17" fillId="2" borderId="3" xfId="0" applyFont="1" applyFill="1" applyBorder="1" applyAlignment="1">
      <alignment horizontal="left" wrapText="1"/>
    </xf>
    <xf numFmtId="166" fontId="3" fillId="0" borderId="1" xfId="0" applyNumberFormat="1" applyFont="1" applyBorder="1" applyAlignment="1">
      <alignment horizontal="center"/>
    </xf>
    <xf numFmtId="165" fontId="3" fillId="0" borderId="1" xfId="0" applyNumberFormat="1" applyFont="1" applyBorder="1" applyAlignment="1">
      <alignment horizontal="center"/>
    </xf>
    <xf numFmtId="0" fontId="18" fillId="0" borderId="0" xfId="0" applyFont="1"/>
    <xf numFmtId="10" fontId="18" fillId="0" borderId="0" xfId="1" applyNumberFormat="1" applyFont="1" applyAlignment="1">
      <alignment horizontal="left"/>
    </xf>
    <xf numFmtId="0" fontId="19" fillId="0" borderId="0" xfId="0" applyFont="1"/>
    <xf numFmtId="166" fontId="20" fillId="5" borderId="1" xfId="0" applyNumberFormat="1" applyFont="1" applyFill="1" applyBorder="1" applyAlignment="1">
      <alignment horizontal="center"/>
    </xf>
    <xf numFmtId="166" fontId="20" fillId="5" borderId="5" xfId="0" applyNumberFormat="1" applyFont="1" applyFill="1" applyBorder="1" applyAlignment="1">
      <alignment horizontal="center"/>
    </xf>
    <xf numFmtId="166" fontId="18" fillId="0" borderId="0" xfId="0" applyNumberFormat="1" applyFont="1" applyAlignment="1">
      <alignment horizontal="center"/>
    </xf>
    <xf numFmtId="0" fontId="6" fillId="6" borderId="1" xfId="0" applyFont="1" applyFill="1" applyBorder="1" applyAlignment="1">
      <alignment horizontal="center" wrapText="1"/>
    </xf>
    <xf numFmtId="166" fontId="2" fillId="0" borderId="31" xfId="0" applyNumberFormat="1" applyFont="1" applyBorder="1" applyAlignment="1">
      <alignment horizontal="center"/>
    </xf>
    <xf numFmtId="166" fontId="5" fillId="0" borderId="31" xfId="0" applyNumberFormat="1" applyFont="1" applyBorder="1" applyAlignment="1">
      <alignment horizontal="center"/>
    </xf>
    <xf numFmtId="166" fontId="2" fillId="0" borderId="3" xfId="0" applyNumberFormat="1" applyFont="1" applyBorder="1" applyAlignment="1">
      <alignment horizontal="center"/>
    </xf>
    <xf numFmtId="166" fontId="3" fillId="0" borderId="3" xfId="0" applyNumberFormat="1" applyFont="1" applyBorder="1" applyAlignment="1">
      <alignment horizontal="center"/>
    </xf>
    <xf numFmtId="0" fontId="17" fillId="6" borderId="1" xfId="0" applyFont="1" applyFill="1" applyBorder="1" applyAlignment="1">
      <alignment horizontal="center" wrapText="1"/>
    </xf>
    <xf numFmtId="0" fontId="4" fillId="6" borderId="1"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3" fillId="0" borderId="2"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17" fillId="2" borderId="29" xfId="0" applyFont="1" applyFill="1" applyBorder="1" applyAlignment="1">
      <alignment horizontal="center" wrapText="1"/>
    </xf>
    <xf numFmtId="0" fontId="17" fillId="2" borderId="30" xfId="0" applyFont="1" applyFill="1" applyBorder="1" applyAlignment="1">
      <alignment horizontal="center"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1" fillId="2" borderId="1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wrapText="1"/>
    </xf>
    <xf numFmtId="168" fontId="2" fillId="0" borderId="1" xfId="0" applyNumberFormat="1" applyFont="1" applyBorder="1" applyAlignment="1">
      <alignment horizontal="center"/>
    </xf>
    <xf numFmtId="0" fontId="2" fillId="0" borderId="0" xfId="0" applyFont="1" applyAlignment="1">
      <alignment horizontal="center" vertical="center"/>
    </xf>
    <xf numFmtId="0" fontId="24" fillId="0" borderId="0" xfId="0" applyFont="1" applyAlignment="1">
      <alignment horizontal="righ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x14ac:dyDescent="0.25"/>
  <cols>
    <col min="1" max="1" width="4.5703125" style="2" customWidth="1"/>
    <col min="2" max="2" width="122.5703125" style="2" customWidth="1"/>
    <col min="3" max="16384" width="9.140625" style="2"/>
  </cols>
  <sheetData>
    <row r="1" spans="1:2" ht="15" x14ac:dyDescent="0.25">
      <c r="B1" s="1" t="s">
        <v>28</v>
      </c>
    </row>
    <row r="2" spans="1:2" x14ac:dyDescent="0.25">
      <c r="B2" s="2" t="s">
        <v>103</v>
      </c>
    </row>
    <row r="3" spans="1:2" x14ac:dyDescent="0.25">
      <c r="B3" s="2" t="s">
        <v>36</v>
      </c>
    </row>
    <row r="4" spans="1:2" x14ac:dyDescent="0.25">
      <c r="B4" s="2" t="s">
        <v>104</v>
      </c>
    </row>
    <row r="6" spans="1:2" x14ac:dyDescent="0.25">
      <c r="B6" s="2" t="s">
        <v>50</v>
      </c>
    </row>
    <row r="7" spans="1:2" x14ac:dyDescent="0.25">
      <c r="A7" s="2">
        <v>1</v>
      </c>
      <c r="B7" s="2" t="s">
        <v>51</v>
      </c>
    </row>
    <row r="8" spans="1:2" x14ac:dyDescent="0.25">
      <c r="A8" s="2">
        <v>2</v>
      </c>
      <c r="B8" s="2" t="s">
        <v>52</v>
      </c>
    </row>
    <row r="9" spans="1:2" x14ac:dyDescent="0.25">
      <c r="A9" s="2">
        <v>3</v>
      </c>
      <c r="B9" s="2" t="s">
        <v>53</v>
      </c>
    </row>
    <row r="10" spans="1:2" x14ac:dyDescent="0.25">
      <c r="A10" s="2">
        <v>4</v>
      </c>
      <c r="B10" s="2" t="s">
        <v>54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workbookViewId="0"/>
  </sheetViews>
  <sheetFormatPr defaultRowHeight="13.5" x14ac:dyDescent="0.25"/>
  <cols>
    <col min="1" max="1" width="16.42578125" style="2" customWidth="1"/>
    <col min="2" max="2" width="10.28515625" style="2" bestFit="1" customWidth="1"/>
    <col min="3" max="16384" width="9.140625" style="2"/>
  </cols>
  <sheetData>
    <row r="1" spans="1:3" ht="15" x14ac:dyDescent="0.25">
      <c r="A1" s="1" t="s">
        <v>29</v>
      </c>
    </row>
    <row r="2" spans="1:3" x14ac:dyDescent="0.25">
      <c r="A2" s="2" t="s">
        <v>37</v>
      </c>
    </row>
    <row r="3" spans="1:3" x14ac:dyDescent="0.25">
      <c r="A3" s="2" t="s">
        <v>111</v>
      </c>
      <c r="B3" s="14"/>
    </row>
    <row r="4" spans="1:3" x14ac:dyDescent="0.25">
      <c r="A4" s="2" t="s">
        <v>113</v>
      </c>
    </row>
    <row r="7" spans="1:3" x14ac:dyDescent="0.25">
      <c r="A7" s="2" t="s">
        <v>112</v>
      </c>
      <c r="B7" s="15">
        <v>45</v>
      </c>
    </row>
    <row r="8" spans="1:3" ht="15" x14ac:dyDescent="0.25">
      <c r="A8" s="2" t="s">
        <v>13</v>
      </c>
      <c r="B8" s="16">
        <v>0</v>
      </c>
      <c r="C8"/>
    </row>
    <row r="9" spans="1:3" ht="15" x14ac:dyDescent="0.25">
      <c r="A9" s="2" t="s">
        <v>38</v>
      </c>
      <c r="B9" s="16">
        <v>10000</v>
      </c>
      <c r="C9"/>
    </row>
    <row r="10" spans="1:3" ht="15" x14ac:dyDescent="0.25">
      <c r="A10"/>
      <c r="B10"/>
      <c r="C10"/>
    </row>
    <row r="11" spans="1:3" ht="15" x14ac:dyDescent="0.25">
      <c r="A11"/>
      <c r="B11"/>
      <c r="C11"/>
    </row>
    <row r="12" spans="1:3" ht="15" x14ac:dyDescent="0.25">
      <c r="A12"/>
      <c r="B12"/>
      <c r="C12"/>
    </row>
    <row r="13" spans="1:3" ht="15" x14ac:dyDescent="0.25">
      <c r="A13"/>
      <c r="B13"/>
      <c r="C13"/>
    </row>
    <row r="14" spans="1:3" ht="15" x14ac:dyDescent="0.25">
      <c r="A14"/>
      <c r="B14"/>
      <c r="C14"/>
    </row>
    <row r="15" spans="1:3" ht="15" x14ac:dyDescent="0.25">
      <c r="A15"/>
      <c r="B15"/>
      <c r="C15"/>
    </row>
    <row r="16" spans="1:3" ht="15" x14ac:dyDescent="0.25">
      <c r="A16"/>
      <c r="B16"/>
      <c r="C16"/>
    </row>
    <row r="17" spans="1:3" ht="15" x14ac:dyDescent="0.25">
      <c r="A17"/>
      <c r="B17"/>
      <c r="C17"/>
    </row>
    <row r="18" spans="1:3" ht="15" x14ac:dyDescent="0.25">
      <c r="A18"/>
      <c r="B18"/>
      <c r="C18"/>
    </row>
    <row r="19" spans="1:3" ht="15" x14ac:dyDescent="0.25">
      <c r="A19"/>
      <c r="B19"/>
      <c r="C19"/>
    </row>
    <row r="20" spans="1:3" ht="15" x14ac:dyDescent="0.25">
      <c r="A20"/>
      <c r="B20"/>
      <c r="C20"/>
    </row>
    <row r="21" spans="1:3" ht="15" x14ac:dyDescent="0.25">
      <c r="A21"/>
      <c r="B21"/>
      <c r="C21"/>
    </row>
    <row r="22" spans="1:3" ht="15" x14ac:dyDescent="0.25">
      <c r="A22"/>
      <c r="B22"/>
      <c r="C22"/>
    </row>
    <row r="23" spans="1:3" ht="15" x14ac:dyDescent="0.25">
      <c r="A23"/>
      <c r="B23"/>
      <c r="C23"/>
    </row>
    <row r="24" spans="1:3" ht="15" x14ac:dyDescent="0.25">
      <c r="A24"/>
      <c r="B24"/>
      <c r="C24"/>
    </row>
    <row r="25" spans="1:3" ht="15" x14ac:dyDescent="0.25">
      <c r="A25"/>
      <c r="B25"/>
      <c r="C25"/>
    </row>
    <row r="26" spans="1:3" ht="15" x14ac:dyDescent="0.25">
      <c r="A26"/>
      <c r="B26"/>
      <c r="C26"/>
    </row>
    <row r="27" spans="1:3" ht="15" x14ac:dyDescent="0.25">
      <c r="A27"/>
      <c r="B27"/>
      <c r="C27"/>
    </row>
    <row r="28" spans="1:3" ht="15" x14ac:dyDescent="0.25">
      <c r="A28"/>
      <c r="B28"/>
      <c r="C28"/>
    </row>
    <row r="29" spans="1:3" ht="15" x14ac:dyDescent="0.25">
      <c r="A29"/>
      <c r="B29"/>
      <c r="C29"/>
    </row>
    <row r="30" spans="1:3" ht="15" x14ac:dyDescent="0.25">
      <c r="A30"/>
      <c r="B30"/>
      <c r="C30"/>
    </row>
    <row r="31" spans="1:3" ht="15" x14ac:dyDescent="0.25">
      <c r="A31"/>
      <c r="B31"/>
      <c r="C31"/>
    </row>
    <row r="32" spans="1:3" ht="15" x14ac:dyDescent="0.25">
      <c r="A32"/>
      <c r="B32"/>
      <c r="C32"/>
    </row>
    <row r="33" spans="1:3" ht="15" x14ac:dyDescent="0.25">
      <c r="A33"/>
      <c r="B33"/>
      <c r="C33"/>
    </row>
    <row r="34" spans="1:3" ht="15" x14ac:dyDescent="0.25">
      <c r="A34"/>
      <c r="B34"/>
      <c r="C34"/>
    </row>
    <row r="35" spans="1:3" ht="15" x14ac:dyDescent="0.25">
      <c r="A35"/>
      <c r="B35"/>
      <c r="C35"/>
    </row>
    <row r="36" spans="1:3" ht="15" x14ac:dyDescent="0.25">
      <c r="A36"/>
      <c r="B36"/>
      <c r="C36"/>
    </row>
    <row r="37" spans="1:3" ht="15" x14ac:dyDescent="0.25">
      <c r="A37"/>
      <c r="B37"/>
      <c r="C37"/>
    </row>
    <row r="38" spans="1:3" ht="15" x14ac:dyDescent="0.25">
      <c r="A38"/>
      <c r="B38"/>
      <c r="C38"/>
    </row>
    <row r="39" spans="1:3" ht="15" x14ac:dyDescent="0.25">
      <c r="A39"/>
      <c r="B39"/>
      <c r="C39"/>
    </row>
    <row r="40" spans="1:3" ht="15" x14ac:dyDescent="0.25">
      <c r="A40"/>
      <c r="B40"/>
      <c r="C40"/>
    </row>
    <row r="41" spans="1:3" ht="15" x14ac:dyDescent="0.25">
      <c r="A41"/>
      <c r="B41"/>
      <c r="C41"/>
    </row>
    <row r="42" spans="1:3" ht="15" x14ac:dyDescent="0.25">
      <c r="A42"/>
      <c r="B42"/>
      <c r="C42"/>
    </row>
    <row r="43" spans="1:3" ht="15" x14ac:dyDescent="0.25">
      <c r="A43"/>
      <c r="B43"/>
      <c r="C43"/>
    </row>
    <row r="44" spans="1:3" ht="15" x14ac:dyDescent="0.25">
      <c r="A44"/>
      <c r="B44"/>
      <c r="C44"/>
    </row>
    <row r="45" spans="1:3" ht="15" x14ac:dyDescent="0.25">
      <c r="A45"/>
      <c r="B45"/>
      <c r="C45"/>
    </row>
    <row r="46" spans="1:3" ht="15" x14ac:dyDescent="0.25">
      <c r="A46"/>
      <c r="B46"/>
      <c r="C46"/>
    </row>
    <row r="47" spans="1:3" ht="15" x14ac:dyDescent="0.25">
      <c r="A47"/>
      <c r="B47"/>
      <c r="C47"/>
    </row>
    <row r="48" spans="1:3" ht="15" x14ac:dyDescent="0.25">
      <c r="A48"/>
      <c r="B48"/>
      <c r="C48"/>
    </row>
    <row r="49" spans="1:3" ht="15" x14ac:dyDescent="0.25">
      <c r="A49"/>
      <c r="B49"/>
      <c r="C49"/>
    </row>
    <row r="50" spans="1:3" ht="15" x14ac:dyDescent="0.25">
      <c r="A50"/>
      <c r="B50"/>
      <c r="C50"/>
    </row>
    <row r="51" spans="1:3" ht="15" x14ac:dyDescent="0.25">
      <c r="A51"/>
      <c r="B51"/>
      <c r="C51"/>
    </row>
    <row r="52" spans="1:3" ht="15" x14ac:dyDescent="0.25">
      <c r="A52"/>
      <c r="B52"/>
      <c r="C52"/>
    </row>
    <row r="53" spans="1:3" ht="15" x14ac:dyDescent="0.25">
      <c r="A53"/>
      <c r="B53"/>
      <c r="C53"/>
    </row>
    <row r="54" spans="1:3" ht="15" x14ac:dyDescent="0.25">
      <c r="A54"/>
      <c r="B54"/>
      <c r="C54"/>
    </row>
    <row r="55" spans="1:3" ht="15" x14ac:dyDescent="0.25">
      <c r="A55"/>
      <c r="B55"/>
      <c r="C55"/>
    </row>
    <row r="56" spans="1:3" ht="15" x14ac:dyDescent="0.25">
      <c r="A56"/>
      <c r="B56"/>
      <c r="C56"/>
    </row>
    <row r="57" spans="1:3" ht="15" x14ac:dyDescent="0.25">
      <c r="A57"/>
      <c r="B57"/>
      <c r="C57"/>
    </row>
    <row r="58" spans="1:3" ht="15" x14ac:dyDescent="0.25">
      <c r="A58"/>
      <c r="B58"/>
      <c r="C58"/>
    </row>
    <row r="59" spans="1:3" ht="15" x14ac:dyDescent="0.25">
      <c r="A59"/>
      <c r="B59"/>
      <c r="C59"/>
    </row>
    <row r="60" spans="1:3" ht="15" x14ac:dyDescent="0.25">
      <c r="A60"/>
      <c r="B60"/>
      <c r="C60"/>
    </row>
    <row r="61" spans="1:3" ht="15" x14ac:dyDescent="0.25">
      <c r="A61"/>
      <c r="B61"/>
      <c r="C61"/>
    </row>
    <row r="62" spans="1:3" ht="15" x14ac:dyDescent="0.25">
      <c r="A62"/>
      <c r="B62"/>
      <c r="C62"/>
    </row>
    <row r="63" spans="1:3" ht="15" x14ac:dyDescent="0.25">
      <c r="A63"/>
      <c r="B63"/>
      <c r="C63"/>
    </row>
    <row r="64" spans="1:3" ht="15" x14ac:dyDescent="0.25">
      <c r="A64"/>
      <c r="B64"/>
      <c r="C64"/>
    </row>
    <row r="65" spans="1:3" ht="15" x14ac:dyDescent="0.25">
      <c r="A65"/>
      <c r="B65"/>
      <c r="C65"/>
    </row>
    <row r="66" spans="1:3" ht="15" x14ac:dyDescent="0.25">
      <c r="A66"/>
      <c r="B66"/>
      <c r="C66"/>
    </row>
    <row r="67" spans="1:3" ht="15" x14ac:dyDescent="0.25">
      <c r="A67"/>
      <c r="B67"/>
      <c r="C67"/>
    </row>
    <row r="68" spans="1:3" ht="15" x14ac:dyDescent="0.25">
      <c r="A68"/>
      <c r="B68"/>
      <c r="C68"/>
    </row>
    <row r="69" spans="1:3" ht="15" x14ac:dyDescent="0.25">
      <c r="A69"/>
      <c r="B69"/>
      <c r="C69"/>
    </row>
    <row r="70" spans="1:3" ht="15" x14ac:dyDescent="0.25">
      <c r="A70"/>
      <c r="B70"/>
      <c r="C70"/>
    </row>
    <row r="71" spans="1:3" ht="15" x14ac:dyDescent="0.25">
      <c r="A71"/>
      <c r="B71"/>
      <c r="C71"/>
    </row>
    <row r="72" spans="1:3" ht="15" x14ac:dyDescent="0.25">
      <c r="A72"/>
      <c r="B72"/>
      <c r="C72"/>
    </row>
    <row r="73" spans="1:3" ht="15" x14ac:dyDescent="0.25">
      <c r="A73"/>
      <c r="B73"/>
      <c r="C73"/>
    </row>
    <row r="74" spans="1:3" ht="15" x14ac:dyDescent="0.25">
      <c r="A74"/>
      <c r="B74"/>
      <c r="C74"/>
    </row>
    <row r="75" spans="1:3" ht="15" x14ac:dyDescent="0.25">
      <c r="A75"/>
      <c r="B75"/>
      <c r="C75"/>
    </row>
    <row r="76" spans="1:3" ht="15" x14ac:dyDescent="0.25">
      <c r="A76"/>
      <c r="B76"/>
      <c r="C76"/>
    </row>
    <row r="77" spans="1:3" ht="15" x14ac:dyDescent="0.25">
      <c r="A77"/>
      <c r="B77"/>
      <c r="C77"/>
    </row>
    <row r="78" spans="1:3" ht="15" x14ac:dyDescent="0.25">
      <c r="A78"/>
      <c r="B78"/>
      <c r="C78"/>
    </row>
    <row r="79" spans="1:3" ht="15" x14ac:dyDescent="0.25">
      <c r="A79"/>
      <c r="B79"/>
      <c r="C79"/>
    </row>
    <row r="80" spans="1:3" ht="15" x14ac:dyDescent="0.25">
      <c r="A80"/>
      <c r="B80"/>
      <c r="C80"/>
    </row>
    <row r="81" spans="1:3" ht="15" x14ac:dyDescent="0.25">
      <c r="A81"/>
      <c r="B81"/>
      <c r="C81"/>
    </row>
    <row r="82" spans="1:3" ht="15" x14ac:dyDescent="0.25">
      <c r="A82"/>
      <c r="B82"/>
      <c r="C82"/>
    </row>
    <row r="83" spans="1:3" ht="15" x14ac:dyDescent="0.25">
      <c r="A83"/>
      <c r="B83"/>
      <c r="C83"/>
    </row>
    <row r="84" spans="1:3" ht="15" x14ac:dyDescent="0.25">
      <c r="A84"/>
      <c r="B84"/>
      <c r="C84"/>
    </row>
    <row r="85" spans="1:3" ht="15" x14ac:dyDescent="0.25">
      <c r="A85"/>
      <c r="B85"/>
      <c r="C85"/>
    </row>
    <row r="86" spans="1:3" ht="15" x14ac:dyDescent="0.25">
      <c r="A86"/>
      <c r="B86"/>
      <c r="C86"/>
    </row>
    <row r="87" spans="1:3" ht="15" x14ac:dyDescent="0.25">
      <c r="A87"/>
      <c r="B87"/>
      <c r="C87"/>
    </row>
    <row r="88" spans="1:3" ht="15" x14ac:dyDescent="0.25">
      <c r="A88"/>
      <c r="B88"/>
      <c r="C88"/>
    </row>
    <row r="89" spans="1:3" ht="15" x14ac:dyDescent="0.25">
      <c r="A89"/>
      <c r="B89"/>
      <c r="C89"/>
    </row>
    <row r="90" spans="1:3" ht="15" x14ac:dyDescent="0.25">
      <c r="A90"/>
      <c r="B90"/>
      <c r="C90"/>
    </row>
    <row r="91" spans="1:3" ht="15" x14ac:dyDescent="0.25">
      <c r="A91"/>
      <c r="B91"/>
      <c r="C91"/>
    </row>
    <row r="92" spans="1:3" ht="15" x14ac:dyDescent="0.25">
      <c r="A92"/>
      <c r="B92"/>
      <c r="C92"/>
    </row>
    <row r="93" spans="1:3" ht="15" x14ac:dyDescent="0.25">
      <c r="A93"/>
      <c r="B93"/>
      <c r="C93"/>
    </row>
    <row r="94" spans="1:3" ht="15" x14ac:dyDescent="0.25">
      <c r="A94"/>
      <c r="B94"/>
      <c r="C94"/>
    </row>
    <row r="95" spans="1:3" ht="15" x14ac:dyDescent="0.25">
      <c r="A95"/>
      <c r="B95"/>
      <c r="C95"/>
    </row>
    <row r="96" spans="1:3" ht="15" x14ac:dyDescent="0.25">
      <c r="A96"/>
      <c r="B96"/>
      <c r="C96"/>
    </row>
    <row r="97" spans="1:3" ht="15" x14ac:dyDescent="0.25">
      <c r="A97"/>
      <c r="B97"/>
      <c r="C97"/>
    </row>
    <row r="98" spans="1:3" ht="15" x14ac:dyDescent="0.25">
      <c r="A98"/>
      <c r="B98"/>
      <c r="C98"/>
    </row>
    <row r="99" spans="1:3" ht="15" x14ac:dyDescent="0.25">
      <c r="A99"/>
      <c r="B99"/>
      <c r="C99"/>
    </row>
    <row r="100" spans="1:3" ht="15" x14ac:dyDescent="0.25">
      <c r="A100"/>
      <c r="B100"/>
      <c r="C100"/>
    </row>
    <row r="101" spans="1:3" ht="15" x14ac:dyDescent="0.25">
      <c r="A101"/>
      <c r="B101"/>
      <c r="C101"/>
    </row>
    <row r="102" spans="1:3" ht="15" x14ac:dyDescent="0.25">
      <c r="A102"/>
      <c r="B102"/>
      <c r="C102"/>
    </row>
    <row r="103" spans="1:3" ht="15" x14ac:dyDescent="0.25">
      <c r="A103"/>
      <c r="B103"/>
      <c r="C103"/>
    </row>
    <row r="104" spans="1:3" ht="15" x14ac:dyDescent="0.25">
      <c r="A104"/>
      <c r="B104"/>
      <c r="C104"/>
    </row>
    <row r="105" spans="1:3" ht="15" x14ac:dyDescent="0.25">
      <c r="A105"/>
      <c r="B105"/>
      <c r="C105"/>
    </row>
    <row r="106" spans="1:3" ht="15" x14ac:dyDescent="0.25">
      <c r="A106"/>
      <c r="B106"/>
      <c r="C106"/>
    </row>
    <row r="107" spans="1:3" ht="15" x14ac:dyDescent="0.25">
      <c r="A107"/>
      <c r="B107"/>
      <c r="C107"/>
    </row>
    <row r="108" spans="1:3" ht="15" x14ac:dyDescent="0.25">
      <c r="A108"/>
      <c r="B108"/>
      <c r="C108"/>
    </row>
    <row r="109" spans="1:3" ht="15" x14ac:dyDescent="0.25">
      <c r="A109"/>
      <c r="B109"/>
      <c r="C109"/>
    </row>
    <row r="110" spans="1:3" ht="15" x14ac:dyDescent="0.25">
      <c r="A110"/>
      <c r="B110"/>
      <c r="C110"/>
    </row>
    <row r="111" spans="1:3" ht="15" x14ac:dyDescent="0.25">
      <c r="A111"/>
      <c r="B111"/>
      <c r="C111"/>
    </row>
    <row r="112" spans="1:3" ht="15" x14ac:dyDescent="0.25">
      <c r="A112"/>
      <c r="B112"/>
      <c r="C112"/>
    </row>
    <row r="113" spans="1:3" ht="15" x14ac:dyDescent="0.25">
      <c r="A113"/>
      <c r="B113"/>
      <c r="C1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B25" sqref="B25"/>
    </sheetView>
  </sheetViews>
  <sheetFormatPr defaultRowHeight="13.5" x14ac:dyDescent="0.25"/>
  <cols>
    <col min="1" max="1" width="20.140625" style="2" customWidth="1"/>
    <col min="2" max="2" width="9.140625" style="2"/>
    <col min="3" max="3" width="9.140625" style="2" customWidth="1"/>
    <col min="4" max="5" width="9.140625" style="2"/>
    <col min="6" max="6" width="11" style="2" customWidth="1"/>
    <col min="7" max="11" width="9.140625" style="2"/>
    <col min="12" max="12" width="10.85546875" style="2" customWidth="1"/>
    <col min="13" max="16384" width="9.140625" style="2"/>
  </cols>
  <sheetData>
    <row r="1" spans="1:13" ht="15" x14ac:dyDescent="0.25">
      <c r="A1" s="1" t="s">
        <v>30</v>
      </c>
    </row>
    <row r="3" spans="1:13" x14ac:dyDescent="0.25">
      <c r="A3" s="3" t="s">
        <v>0</v>
      </c>
      <c r="F3" s="3"/>
      <c r="L3" s="3"/>
    </row>
    <row r="5" spans="1:13" x14ac:dyDescent="0.25">
      <c r="A5" s="3" t="s">
        <v>48</v>
      </c>
      <c r="B5" s="18">
        <v>0.03</v>
      </c>
    </row>
    <row r="6" spans="1:13" x14ac:dyDescent="0.25">
      <c r="B6" s="18"/>
    </row>
    <row r="7" spans="1:13" x14ac:dyDescent="0.25">
      <c r="A7" s="3" t="s">
        <v>45</v>
      </c>
      <c r="B7" s="18">
        <v>0.01</v>
      </c>
      <c r="G7" s="18"/>
      <c r="M7" s="18"/>
    </row>
    <row r="8" spans="1:13" x14ac:dyDescent="0.25">
      <c r="B8" s="17"/>
    </row>
    <row r="10" spans="1:13" x14ac:dyDescent="0.25">
      <c r="A10" s="3" t="s">
        <v>1</v>
      </c>
    </row>
    <row r="11" spans="1:13" x14ac:dyDescent="0.25">
      <c r="A11" s="2" t="s">
        <v>16</v>
      </c>
    </row>
    <row r="12" spans="1:13" x14ac:dyDescent="0.25">
      <c r="A12" s="2">
        <v>1</v>
      </c>
      <c r="B12" s="18">
        <v>0</v>
      </c>
    </row>
    <row r="13" spans="1:13" x14ac:dyDescent="0.25">
      <c r="A13" s="2">
        <f>1+A12</f>
        <v>2</v>
      </c>
      <c r="B13" s="18">
        <v>0</v>
      </c>
    </row>
    <row r="14" spans="1:13" x14ac:dyDescent="0.25">
      <c r="A14" s="2">
        <f t="shared" ref="A14:A21" si="0">1+A13</f>
        <v>3</v>
      </c>
      <c r="B14" s="18">
        <v>0</v>
      </c>
    </row>
    <row r="15" spans="1:13" x14ac:dyDescent="0.25">
      <c r="A15" s="2">
        <f t="shared" si="0"/>
        <v>4</v>
      </c>
      <c r="B15" s="18">
        <v>0</v>
      </c>
    </row>
    <row r="16" spans="1:13" x14ac:dyDescent="0.25">
      <c r="A16" s="2">
        <f t="shared" si="0"/>
        <v>5</v>
      </c>
      <c r="B16" s="18">
        <v>0</v>
      </c>
    </row>
    <row r="17" spans="1:3" x14ac:dyDescent="0.25">
      <c r="A17" s="2">
        <f t="shared" si="0"/>
        <v>6</v>
      </c>
      <c r="B17" s="18">
        <v>0</v>
      </c>
    </row>
    <row r="18" spans="1:3" x14ac:dyDescent="0.25">
      <c r="A18" s="2">
        <f t="shared" si="0"/>
        <v>7</v>
      </c>
      <c r="B18" s="18">
        <v>0</v>
      </c>
    </row>
    <row r="19" spans="1:3" x14ac:dyDescent="0.25">
      <c r="A19" s="2">
        <f t="shared" si="0"/>
        <v>8</v>
      </c>
      <c r="B19" s="18">
        <v>0</v>
      </c>
    </row>
    <row r="20" spans="1:3" x14ac:dyDescent="0.25">
      <c r="A20" s="2">
        <f t="shared" si="0"/>
        <v>9</v>
      </c>
      <c r="B20" s="18">
        <v>0</v>
      </c>
    </row>
    <row r="21" spans="1:3" x14ac:dyDescent="0.25">
      <c r="A21" s="2">
        <f t="shared" si="0"/>
        <v>10</v>
      </c>
      <c r="B21" s="18">
        <v>0</v>
      </c>
    </row>
    <row r="22" spans="1:3" x14ac:dyDescent="0.25">
      <c r="B22" s="17"/>
    </row>
    <row r="23" spans="1:3" x14ac:dyDescent="0.25">
      <c r="A23" s="3" t="s">
        <v>2</v>
      </c>
      <c r="B23" s="17"/>
    </row>
    <row r="24" spans="1:3" x14ac:dyDescent="0.25">
      <c r="A24" s="2" t="s">
        <v>3</v>
      </c>
      <c r="B24" s="19">
        <v>50</v>
      </c>
    </row>
    <row r="25" spans="1:3" x14ac:dyDescent="0.25">
      <c r="A25" s="2" t="s">
        <v>4</v>
      </c>
      <c r="B25" s="19">
        <v>50</v>
      </c>
      <c r="C25" s="2" t="s">
        <v>24</v>
      </c>
    </row>
    <row r="26" spans="1:3" x14ac:dyDescent="0.25">
      <c r="A26" s="2" t="s">
        <v>5</v>
      </c>
      <c r="B26" s="18">
        <v>0.02</v>
      </c>
    </row>
    <row r="27" spans="1:3" x14ac:dyDescent="0.25">
      <c r="B27" s="17"/>
    </row>
    <row r="28" spans="1:3" x14ac:dyDescent="0.25">
      <c r="A28" s="3" t="s">
        <v>6</v>
      </c>
      <c r="B28" s="17"/>
    </row>
    <row r="29" spans="1:3" x14ac:dyDescent="0.25">
      <c r="A29" s="2" t="s">
        <v>7</v>
      </c>
      <c r="B29" s="18">
        <v>0.03</v>
      </c>
      <c r="C29" s="2" t="s">
        <v>8</v>
      </c>
    </row>
    <row r="30" spans="1:3" x14ac:dyDescent="0.25">
      <c r="A30" s="2" t="s">
        <v>4</v>
      </c>
      <c r="B30" s="18">
        <v>0</v>
      </c>
      <c r="C30" s="2" t="s">
        <v>9</v>
      </c>
    </row>
    <row r="31" spans="1:3" x14ac:dyDescent="0.25">
      <c r="B31" s="17"/>
    </row>
    <row r="32" spans="1:3" x14ac:dyDescent="0.25">
      <c r="A32" s="3" t="s">
        <v>10</v>
      </c>
      <c r="B32" s="18">
        <v>0.06</v>
      </c>
    </row>
    <row r="33" spans="1:2" x14ac:dyDescent="0.25">
      <c r="B33" s="17"/>
    </row>
    <row r="34" spans="1:2" x14ac:dyDescent="0.25">
      <c r="A34" s="3" t="s">
        <v>11</v>
      </c>
      <c r="B34" s="18">
        <v>0.06</v>
      </c>
    </row>
    <row r="35" spans="1:2" x14ac:dyDescent="0.25">
      <c r="B35" s="17"/>
    </row>
    <row r="36" spans="1:2" x14ac:dyDescent="0.25">
      <c r="A36" s="3" t="s">
        <v>12</v>
      </c>
      <c r="B36" s="18">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defaultRowHeight="15" x14ac:dyDescent="0.25"/>
  <sheetData>
    <row r="1" spans="1:8" x14ac:dyDescent="0.25">
      <c r="A1" s="1" t="s">
        <v>17</v>
      </c>
      <c r="B1" s="1"/>
      <c r="C1" s="2"/>
      <c r="D1" s="2"/>
      <c r="E1" s="2"/>
      <c r="F1" s="2"/>
      <c r="G1" s="2"/>
    </row>
    <row r="2" spans="1:8" x14ac:dyDescent="0.25">
      <c r="A2" s="2"/>
      <c r="B2" s="2"/>
      <c r="C2" s="2"/>
      <c r="D2" s="2"/>
      <c r="E2" s="2"/>
      <c r="F2" s="2"/>
      <c r="G2" s="2"/>
    </row>
    <row r="3" spans="1:8" x14ac:dyDescent="0.25">
      <c r="A3" s="2"/>
      <c r="B3" s="2"/>
      <c r="C3" s="2"/>
      <c r="D3" s="2"/>
      <c r="E3" s="2"/>
      <c r="F3" s="2"/>
      <c r="G3" s="2"/>
    </row>
    <row r="4" spans="1:8" ht="15.75" x14ac:dyDescent="0.3">
      <c r="A4" s="4" t="s">
        <v>14</v>
      </c>
      <c r="B4" s="4" t="s">
        <v>18</v>
      </c>
      <c r="C4" s="4" t="s">
        <v>15</v>
      </c>
      <c r="D4" s="4" t="s">
        <v>19</v>
      </c>
      <c r="E4" s="4" t="s">
        <v>20</v>
      </c>
      <c r="F4" s="4" t="s">
        <v>21</v>
      </c>
      <c r="G4" s="4" t="s">
        <v>22</v>
      </c>
      <c r="H4" s="4" t="s">
        <v>23</v>
      </c>
    </row>
    <row r="5" spans="1:8" x14ac:dyDescent="0.25">
      <c r="A5" s="5">
        <v>1</v>
      </c>
      <c r="B5" s="5">
        <v>0</v>
      </c>
      <c r="C5" s="5">
        <f t="shared" ref="C5:C14" si="0">VLOOKUP(A5,lapse_rates,2)</f>
        <v>0</v>
      </c>
      <c r="D5" s="6">
        <v>1</v>
      </c>
      <c r="E5" s="6">
        <f>D5*B5</f>
        <v>0</v>
      </c>
      <c r="F5" s="6">
        <f>(D5-E5)*C5</f>
        <v>0</v>
      </c>
      <c r="G5" s="6">
        <f>D5-E5-F5</f>
        <v>1</v>
      </c>
      <c r="H5" s="6">
        <f>G5/D5</f>
        <v>1</v>
      </c>
    </row>
    <row r="6" spans="1:8" x14ac:dyDescent="0.25">
      <c r="A6" s="5">
        <f>1+A5</f>
        <v>2</v>
      </c>
      <c r="B6" s="5">
        <v>0</v>
      </c>
      <c r="C6" s="5">
        <f t="shared" si="0"/>
        <v>0</v>
      </c>
      <c r="D6" s="6">
        <f>G5</f>
        <v>1</v>
      </c>
      <c r="E6" s="6">
        <f>D6*B6</f>
        <v>0</v>
      </c>
      <c r="F6" s="6">
        <f>(D6-E6)*C6</f>
        <v>0</v>
      </c>
      <c r="G6" s="6">
        <f>D6-E6-F6</f>
        <v>1</v>
      </c>
      <c r="H6" s="6">
        <f t="shared" ref="H6:H14" si="1">G6/D6</f>
        <v>1</v>
      </c>
    </row>
    <row r="7" spans="1:8" x14ac:dyDescent="0.25">
      <c r="A7" s="5">
        <f t="shared" ref="A7:A14" si="2">1+A6</f>
        <v>3</v>
      </c>
      <c r="B7" s="5">
        <v>0</v>
      </c>
      <c r="C7" s="5">
        <f t="shared" si="0"/>
        <v>0</v>
      </c>
      <c r="D7" s="6">
        <f t="shared" ref="D7:D14" si="3">G6</f>
        <v>1</v>
      </c>
      <c r="E7" s="6">
        <f t="shared" ref="E7:E14" si="4">D7*B7</f>
        <v>0</v>
      </c>
      <c r="F7" s="6">
        <f t="shared" ref="F7:F14" si="5">(D7-E7)*C7</f>
        <v>0</v>
      </c>
      <c r="G7" s="6">
        <f t="shared" ref="G7:G14" si="6">D7-E7-F7</f>
        <v>1</v>
      </c>
      <c r="H7" s="6">
        <f t="shared" si="1"/>
        <v>1</v>
      </c>
    </row>
    <row r="8" spans="1:8" x14ac:dyDescent="0.25">
      <c r="A8" s="5">
        <f t="shared" si="2"/>
        <v>4</v>
      </c>
      <c r="B8" s="5">
        <v>0</v>
      </c>
      <c r="C8" s="5">
        <f t="shared" si="0"/>
        <v>0</v>
      </c>
      <c r="D8" s="6">
        <f t="shared" si="3"/>
        <v>1</v>
      </c>
      <c r="E8" s="6">
        <f t="shared" si="4"/>
        <v>0</v>
      </c>
      <c r="F8" s="6">
        <f t="shared" si="5"/>
        <v>0</v>
      </c>
      <c r="G8" s="6">
        <f t="shared" si="6"/>
        <v>1</v>
      </c>
      <c r="H8" s="6">
        <f t="shared" si="1"/>
        <v>1</v>
      </c>
    </row>
    <row r="9" spans="1:8" x14ac:dyDescent="0.25">
      <c r="A9" s="5">
        <f t="shared" si="2"/>
        <v>5</v>
      </c>
      <c r="B9" s="5">
        <v>0</v>
      </c>
      <c r="C9" s="5">
        <f t="shared" si="0"/>
        <v>0</v>
      </c>
      <c r="D9" s="6">
        <f t="shared" si="3"/>
        <v>1</v>
      </c>
      <c r="E9" s="6">
        <f t="shared" si="4"/>
        <v>0</v>
      </c>
      <c r="F9" s="6">
        <f t="shared" si="5"/>
        <v>0</v>
      </c>
      <c r="G9" s="6">
        <f t="shared" si="6"/>
        <v>1</v>
      </c>
      <c r="H9" s="6">
        <f t="shared" si="1"/>
        <v>1</v>
      </c>
    </row>
    <row r="10" spans="1:8" x14ac:dyDescent="0.25">
      <c r="A10" s="5">
        <f t="shared" si="2"/>
        <v>6</v>
      </c>
      <c r="B10" s="5">
        <v>0</v>
      </c>
      <c r="C10" s="5">
        <f t="shared" si="0"/>
        <v>0</v>
      </c>
      <c r="D10" s="6">
        <f t="shared" si="3"/>
        <v>1</v>
      </c>
      <c r="E10" s="6">
        <f t="shared" si="4"/>
        <v>0</v>
      </c>
      <c r="F10" s="6">
        <f t="shared" si="5"/>
        <v>0</v>
      </c>
      <c r="G10" s="6">
        <f t="shared" si="6"/>
        <v>1</v>
      </c>
      <c r="H10" s="6">
        <f t="shared" si="1"/>
        <v>1</v>
      </c>
    </row>
    <row r="11" spans="1:8" x14ac:dyDescent="0.25">
      <c r="A11" s="5">
        <f t="shared" si="2"/>
        <v>7</v>
      </c>
      <c r="B11" s="5">
        <v>0</v>
      </c>
      <c r="C11" s="5">
        <f t="shared" si="0"/>
        <v>0</v>
      </c>
      <c r="D11" s="6">
        <f t="shared" si="3"/>
        <v>1</v>
      </c>
      <c r="E11" s="6">
        <f t="shared" si="4"/>
        <v>0</v>
      </c>
      <c r="F11" s="6">
        <f t="shared" si="5"/>
        <v>0</v>
      </c>
      <c r="G11" s="6">
        <f t="shared" si="6"/>
        <v>1</v>
      </c>
      <c r="H11" s="6">
        <f t="shared" si="1"/>
        <v>1</v>
      </c>
    </row>
    <row r="12" spans="1:8" x14ac:dyDescent="0.25">
      <c r="A12" s="5">
        <f t="shared" si="2"/>
        <v>8</v>
      </c>
      <c r="B12" s="5">
        <v>0</v>
      </c>
      <c r="C12" s="5">
        <f t="shared" si="0"/>
        <v>0</v>
      </c>
      <c r="D12" s="6">
        <f t="shared" si="3"/>
        <v>1</v>
      </c>
      <c r="E12" s="6">
        <f t="shared" si="4"/>
        <v>0</v>
      </c>
      <c r="F12" s="6">
        <f t="shared" si="5"/>
        <v>0</v>
      </c>
      <c r="G12" s="6">
        <f t="shared" si="6"/>
        <v>1</v>
      </c>
      <c r="H12" s="6">
        <f t="shared" si="1"/>
        <v>1</v>
      </c>
    </row>
    <row r="13" spans="1:8" x14ac:dyDescent="0.25">
      <c r="A13" s="5">
        <f t="shared" si="2"/>
        <v>9</v>
      </c>
      <c r="B13" s="5">
        <v>0</v>
      </c>
      <c r="C13" s="5">
        <f t="shared" si="0"/>
        <v>0</v>
      </c>
      <c r="D13" s="6">
        <f t="shared" si="3"/>
        <v>1</v>
      </c>
      <c r="E13" s="6">
        <f t="shared" si="4"/>
        <v>0</v>
      </c>
      <c r="F13" s="6">
        <f t="shared" si="5"/>
        <v>0</v>
      </c>
      <c r="G13" s="6">
        <f t="shared" si="6"/>
        <v>1</v>
      </c>
      <c r="H13" s="6">
        <f t="shared" si="1"/>
        <v>1</v>
      </c>
    </row>
    <row r="14" spans="1:8" x14ac:dyDescent="0.25">
      <c r="A14" s="5">
        <f t="shared" si="2"/>
        <v>10</v>
      </c>
      <c r="B14" s="5">
        <v>0</v>
      </c>
      <c r="C14" s="5">
        <f t="shared" si="0"/>
        <v>0</v>
      </c>
      <c r="D14" s="6">
        <f t="shared" si="3"/>
        <v>1</v>
      </c>
      <c r="E14" s="6">
        <f t="shared" si="4"/>
        <v>0</v>
      </c>
      <c r="F14" s="6">
        <f t="shared" si="5"/>
        <v>0</v>
      </c>
      <c r="G14" s="6">
        <f t="shared" si="6"/>
        <v>1</v>
      </c>
      <c r="H14" s="6">
        <f t="shared" si="1"/>
        <v>1</v>
      </c>
    </row>
    <row r="16" spans="1:8" x14ac:dyDescent="0.25">
      <c r="A16" s="2" t="s">
        <v>32</v>
      </c>
      <c r="B16" s="2"/>
      <c r="C16" s="2" t="s">
        <v>39</v>
      </c>
      <c r="D16" s="2"/>
      <c r="E16" s="2"/>
      <c r="F16" s="2"/>
    </row>
    <row r="17" spans="1:6" x14ac:dyDescent="0.25">
      <c r="A17" s="2"/>
      <c r="B17" s="2"/>
      <c r="C17" s="2" t="s">
        <v>40</v>
      </c>
      <c r="D17" s="2"/>
      <c r="E17" s="2"/>
      <c r="F17" s="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4"/>
  <sheetViews>
    <sheetView tabSelected="1" zoomScaleNormal="100" workbookViewId="0">
      <pane xSplit="7" ySplit="5" topLeftCell="H6" activePane="bottomRight" state="frozen"/>
      <selection pane="topRight" activeCell="H1" sqref="H1"/>
      <selection pane="bottomLeft" activeCell="A6" sqref="A6"/>
      <selection pane="bottomRight" activeCell="I21" sqref="I21:I22"/>
    </sheetView>
  </sheetViews>
  <sheetFormatPr defaultRowHeight="13.5" x14ac:dyDescent="0.25"/>
  <cols>
    <col min="1" max="1" width="1.140625" style="2" customWidth="1"/>
    <col min="2" max="2" width="9.140625" style="2"/>
    <col min="3" max="3" width="11.140625" style="2" customWidth="1"/>
    <col min="4" max="4" width="12.42578125" style="2" customWidth="1"/>
    <col min="5" max="5" width="13.28515625" style="2" customWidth="1"/>
    <col min="6" max="6" width="11.85546875" style="2" customWidth="1"/>
    <col min="7" max="7" width="13.42578125" style="2" customWidth="1"/>
    <col min="8" max="8" width="2.5703125" style="2" customWidth="1"/>
    <col min="9" max="9" width="7.28515625" style="2" customWidth="1"/>
    <col min="10" max="10" width="10.85546875" style="2" customWidth="1"/>
    <col min="11" max="14" width="9.140625" style="2"/>
    <col min="15" max="15" width="2.42578125" style="2" customWidth="1"/>
    <col min="16" max="23" width="9.140625" style="2"/>
    <col min="24" max="24" width="1.85546875" style="2" customWidth="1"/>
    <col min="25" max="29" width="9.140625" style="2"/>
    <col min="30" max="30" width="1.42578125" style="2" customWidth="1"/>
    <col min="31" max="16384" width="9.140625" style="2"/>
  </cols>
  <sheetData>
    <row r="1" spans="1:35" ht="15" x14ac:dyDescent="0.25">
      <c r="A1" s="1" t="s">
        <v>41</v>
      </c>
    </row>
    <row r="2" spans="1:35" ht="15" x14ac:dyDescent="0.25">
      <c r="A2" s="1"/>
      <c r="E2" s="92"/>
    </row>
    <row r="3" spans="1:35" ht="15" x14ac:dyDescent="0.25">
      <c r="A3" s="1"/>
    </row>
    <row r="4" spans="1:35" ht="15" x14ac:dyDescent="0.25">
      <c r="A4" s="1"/>
      <c r="B4" t="s">
        <v>106</v>
      </c>
    </row>
    <row r="5" spans="1:35" ht="15" x14ac:dyDescent="0.25">
      <c r="A5" s="1"/>
      <c r="B5" t="s">
        <v>105</v>
      </c>
    </row>
    <row r="6" spans="1:35" ht="15" x14ac:dyDescent="0.25">
      <c r="A6" s="1"/>
      <c r="I6" s="52" t="s">
        <v>115</v>
      </c>
      <c r="J6"/>
      <c r="K6"/>
      <c r="L6"/>
      <c r="M6"/>
      <c r="P6" s="56" t="s">
        <v>117</v>
      </c>
      <c r="Q6"/>
      <c r="R6" s="57">
        <f>'Shareholder cash flows'!Q23/'Policyholder cash flows'!H7</f>
        <v>0.52601494138216287</v>
      </c>
      <c r="S6"/>
      <c r="T6"/>
      <c r="U6"/>
      <c r="V6"/>
    </row>
    <row r="7" spans="1:35" ht="13.5" customHeight="1" x14ac:dyDescent="0.25">
      <c r="I7" s="74" t="s">
        <v>81</v>
      </c>
      <c r="J7" s="69" t="s">
        <v>26</v>
      </c>
      <c r="K7" s="70"/>
      <c r="L7" s="70"/>
      <c r="M7" s="70"/>
      <c r="N7" s="70"/>
      <c r="P7" s="69" t="s">
        <v>55</v>
      </c>
      <c r="Q7" s="70"/>
      <c r="R7" s="70"/>
      <c r="S7" s="70"/>
      <c r="T7" s="70"/>
      <c r="U7" s="70"/>
      <c r="V7" s="70"/>
      <c r="W7" s="70"/>
      <c r="Y7" s="69" t="s">
        <v>63</v>
      </c>
      <c r="Z7" s="70"/>
      <c r="AA7" s="70"/>
      <c r="AB7" s="70"/>
      <c r="AC7" s="70"/>
      <c r="AE7" s="69" t="s">
        <v>63</v>
      </c>
      <c r="AF7" s="70"/>
      <c r="AG7" s="70"/>
      <c r="AH7" s="70"/>
      <c r="AI7" s="70"/>
    </row>
    <row r="8" spans="1:35" ht="40.5" x14ac:dyDescent="0.25">
      <c r="B8" s="71" t="s">
        <v>27</v>
      </c>
      <c r="C8" s="72"/>
      <c r="D8" s="72"/>
      <c r="E8" s="72"/>
      <c r="F8" s="72"/>
      <c r="G8" s="73"/>
      <c r="H8"/>
      <c r="I8" s="75"/>
      <c r="J8" s="22" t="s">
        <v>33</v>
      </c>
      <c r="K8" s="22" t="s">
        <v>31</v>
      </c>
      <c r="L8" s="22" t="s">
        <v>34</v>
      </c>
      <c r="M8" s="22" t="s">
        <v>25</v>
      </c>
      <c r="N8" s="22" t="s">
        <v>116</v>
      </c>
      <c r="P8" s="22" t="s">
        <v>58</v>
      </c>
      <c r="Q8" s="22" t="s">
        <v>59</v>
      </c>
      <c r="R8" s="22" t="s">
        <v>60</v>
      </c>
      <c r="S8" s="22" t="s">
        <v>31</v>
      </c>
      <c r="T8" s="22" t="s">
        <v>34</v>
      </c>
      <c r="U8" s="22" t="s">
        <v>61</v>
      </c>
      <c r="V8" s="22" t="s">
        <v>62</v>
      </c>
      <c r="W8" s="22" t="s">
        <v>116</v>
      </c>
      <c r="Y8" s="22" t="s">
        <v>33</v>
      </c>
      <c r="Z8" s="22" t="s">
        <v>31</v>
      </c>
      <c r="AA8" s="22" t="s">
        <v>34</v>
      </c>
      <c r="AB8" s="22" t="s">
        <v>110</v>
      </c>
      <c r="AC8" s="22" t="s">
        <v>116</v>
      </c>
      <c r="AE8" s="22" t="s">
        <v>33</v>
      </c>
      <c r="AF8" s="22" t="s">
        <v>31</v>
      </c>
      <c r="AG8" s="22" t="s">
        <v>34</v>
      </c>
      <c r="AH8" s="22" t="s">
        <v>110</v>
      </c>
      <c r="AI8" s="22" t="s">
        <v>116</v>
      </c>
    </row>
    <row r="9" spans="1:35" ht="39" customHeight="1" x14ac:dyDescent="0.25">
      <c r="B9" s="13" t="s">
        <v>14</v>
      </c>
      <c r="C9" s="13" t="s">
        <v>64</v>
      </c>
      <c r="D9" s="13" t="s">
        <v>65</v>
      </c>
      <c r="E9" s="13" t="s">
        <v>66</v>
      </c>
      <c r="F9" s="13" t="s">
        <v>67</v>
      </c>
      <c r="G9" s="25" t="s">
        <v>68</v>
      </c>
      <c r="H9"/>
      <c r="I9" s="5">
        <v>0</v>
      </c>
      <c r="J9" s="59">
        <f>NPV(Discount_rate,'Shareholder cash flows'!$D10:$D$20)*(1+Discount_rate)-D10
+NPV(Discount_rate,'Shareholder cash flows'!$E10:$E$20)*(1+Discount_rate)-E10
+NPV(Discount_rate,'Shareholder cash flows'!$F10:$F$20)
-NPV(Discount_rate,'Shareholder cash flows'!$C10:$C$20)*(1+Discount_rate)+C10</f>
        <v>9188.5758229253315</v>
      </c>
      <c r="K9" s="8"/>
      <c r="L9" s="8">
        <f>J9</f>
        <v>9188.5758229253315</v>
      </c>
      <c r="M9" s="59">
        <f>G10+K9-L9</f>
        <v>461.42417707466848</v>
      </c>
      <c r="N9" s="54">
        <f>NPV(Discount_rate,'Shareholder cash flows'!$M10:$M$20)+M9</f>
        <v>461.42417707466535</v>
      </c>
      <c r="P9" s="23">
        <f>'Shareholder cash flows'!J9</f>
        <v>9188.5758229253315</v>
      </c>
      <c r="Q9" s="23">
        <f>'Policyholder cash flows'!H7*$R$6</f>
        <v>461.42417707466848</v>
      </c>
      <c r="R9" s="24">
        <f t="shared" ref="R9:R19" si="0">P9+Q9</f>
        <v>9650</v>
      </c>
      <c r="S9" s="24"/>
      <c r="T9" s="24">
        <f>R9</f>
        <v>9650</v>
      </c>
      <c r="U9" s="59">
        <f>G10+S9-T9</f>
        <v>0</v>
      </c>
      <c r="V9" s="24">
        <v>0</v>
      </c>
      <c r="W9" s="54">
        <f>NPV(Discount_rate,'Shareholder cash flows'!$U10:$U$20)+U9</f>
        <v>461.4241770746641</v>
      </c>
      <c r="Y9" s="23">
        <f>'Policyholder cash flows'!D7</f>
        <v>9700</v>
      </c>
      <c r="Z9" s="23"/>
      <c r="AA9" s="24">
        <f>Y9</f>
        <v>9700</v>
      </c>
      <c r="AB9" s="60">
        <f>G10+Z9-AA9</f>
        <v>-50</v>
      </c>
      <c r="AC9" s="55">
        <f>NPV(Discount_rate,AB10:AB20)+AB9</f>
        <v>461.42417707466421</v>
      </c>
      <c r="AE9" s="23">
        <f>Y9*101%</f>
        <v>9797</v>
      </c>
      <c r="AF9" s="23"/>
      <c r="AG9" s="24">
        <f>AE9</f>
        <v>9797</v>
      </c>
      <c r="AH9" s="60">
        <f>G10+AF9-AG9</f>
        <v>-147</v>
      </c>
      <c r="AI9" s="54">
        <f>NPV(Discount_rate,AH10:AH20)+AH9</f>
        <v>461.4241770746637</v>
      </c>
    </row>
    <row r="10" spans="1:35" ht="15" x14ac:dyDescent="0.25">
      <c r="B10" s="5">
        <v>1</v>
      </c>
      <c r="C10" s="8">
        <f>Single_premium</f>
        <v>10000</v>
      </c>
      <c r="D10" s="8">
        <f>Initial_comm_rate * Single_premium</f>
        <v>300</v>
      </c>
      <c r="E10" s="91">
        <f>Initial_expense</f>
        <v>50</v>
      </c>
      <c r="F10" s="8">
        <v>0</v>
      </c>
      <c r="G10" s="8">
        <f>C10-D10-E10-F10</f>
        <v>9650</v>
      </c>
      <c r="H10" s="9"/>
      <c r="I10" s="5">
        <v>1</v>
      </c>
      <c r="J10" s="8">
        <f>NPV(Discount_rate,'Shareholder cash flows'!$D11:$D$20)*(1+Discount_rate)
+NPV(Discount_rate,'Shareholder cash flows'!$E11:$E$20)*(1+Discount_rate)
+NPV(Discount_rate,'Shareholder cash flows'!$F11:$F$20)
-NPV(Discount_rate,'Shareholder cash flows'!$C11:$C$20)*(1+Discount_rate)</f>
        <v>9739.8903723008498</v>
      </c>
      <c r="K10" s="59">
        <f>(J9)*Investment_rate</f>
        <v>551.31454937551985</v>
      </c>
      <c r="L10" s="8">
        <f>J10-J9</f>
        <v>551.31454937551825</v>
      </c>
      <c r="M10" s="59">
        <f>K10-L10</f>
        <v>1.5916157281026244E-12</v>
      </c>
      <c r="N10" s="61">
        <f>M9*(1+Investment_rate)+M10</f>
        <v>489.10962769915022</v>
      </c>
      <c r="P10" s="23">
        <f>'Shareholder cash flows'!J10</f>
        <v>9739.8903723008498</v>
      </c>
      <c r="Q10" s="23">
        <f>'Policyholder cash flows'!H8*$R$6</f>
        <v>438.08617838507882</v>
      </c>
      <c r="R10" s="24">
        <f t="shared" si="0"/>
        <v>10177.976550685929</v>
      </c>
      <c r="S10" s="60">
        <f>(R9)*Investment_rate</f>
        <v>579</v>
      </c>
      <c r="T10" s="24">
        <f>R10-R9</f>
        <v>527.9765506859294</v>
      </c>
      <c r="U10" s="59">
        <f>S10-T10</f>
        <v>51.023449314070604</v>
      </c>
      <c r="V10" s="24">
        <f>$R$6*'Policyholder cash flows'!F7</f>
        <v>51.023449314069801</v>
      </c>
      <c r="Y10" s="23">
        <f>'Policyholder cash flows'!G7</f>
        <v>10185</v>
      </c>
      <c r="Z10" s="59">
        <f>Y9*Investment_rate</f>
        <v>582</v>
      </c>
      <c r="AA10" s="24">
        <f t="shared" ref="AA10:AA19" si="1">Y10-Y9</f>
        <v>485</v>
      </c>
      <c r="AB10" s="60">
        <f>Z10-AA10</f>
        <v>97</v>
      </c>
      <c r="AC10" s="61">
        <f>AB9*(1+Investment_rate)+AB10</f>
        <v>44</v>
      </c>
      <c r="AE10" s="23">
        <f t="shared" ref="AE10:AE18" si="2">Y10*101%</f>
        <v>10286.85</v>
      </c>
      <c r="AF10" s="59">
        <f>AE9*Investment_rate</f>
        <v>587.81999999999994</v>
      </c>
      <c r="AG10" s="24">
        <f t="shared" ref="AG10:AG19" si="3">AE10-AE9</f>
        <v>489.85000000000036</v>
      </c>
      <c r="AH10" s="60">
        <f>AF10-AG10</f>
        <v>97.969999999999573</v>
      </c>
      <c r="AI10" s="61">
        <f>AH9*(1+Investment_rate)+AH10</f>
        <v>-57.850000000000449</v>
      </c>
    </row>
    <row r="11" spans="1:35" ht="15" x14ac:dyDescent="0.25">
      <c r="B11" s="5">
        <f>1+B10</f>
        <v>2</v>
      </c>
      <c r="C11" s="8">
        <v>0</v>
      </c>
      <c r="D11" s="8">
        <v>0</v>
      </c>
      <c r="E11" s="91">
        <f>Renewal_expense *(1+Inflation)^(B11-2)</f>
        <v>50</v>
      </c>
      <c r="F11" s="8">
        <v>0</v>
      </c>
      <c r="G11" s="8">
        <f t="shared" ref="G11:G19" si="4">C11-D11-E11-F11</f>
        <v>-50</v>
      </c>
      <c r="H11" s="9"/>
      <c r="I11" s="5">
        <f t="shared" ref="I11:I19" si="5">1+I10</f>
        <v>2</v>
      </c>
      <c r="J11" s="8">
        <f>NPV(Discount_rate,'Shareholder cash flows'!$D12:$D$20)*(1+Discount_rate)
+NPV(Discount_rate,'Shareholder cash flows'!$E12:$E$20)*(1+Discount_rate)
+NPV(Discount_rate,'Shareholder cash flows'!$F12:$F$20)
-NPV(Discount_rate,'Shareholder cash flows'!$C12:$C$20)*(1+Discount_rate)</f>
        <v>10271.283794638901</v>
      </c>
      <c r="K11" s="8">
        <f t="shared" ref="K11:K19" si="6">(J10+C11-D11-E11)*Investment_rate</f>
        <v>581.39342233805098</v>
      </c>
      <c r="L11" s="8">
        <f t="shared" ref="L11:L19" si="7">J11-J10</f>
        <v>531.3934223380511</v>
      </c>
      <c r="M11" s="8">
        <f t="shared" ref="M11:M18" si="8">G11+K11-L11</f>
        <v>0</v>
      </c>
      <c r="P11" s="23">
        <f>'Shareholder cash flows'!J11</f>
        <v>10271.283794638901</v>
      </c>
      <c r="Q11" s="23">
        <f>'Policyholder cash flows'!H9*$R$6</f>
        <v>410.79672730841025</v>
      </c>
      <c r="R11" s="24">
        <f t="shared" si="0"/>
        <v>10682.080521947311</v>
      </c>
      <c r="S11" s="24">
        <f t="shared" ref="S11:S19" si="9">(R10-E11-D11)*Investment_rate</f>
        <v>607.67859304115575</v>
      </c>
      <c r="T11" s="24">
        <f t="shared" ref="T11:T19" si="10">R11-R10</f>
        <v>504.10397126138196</v>
      </c>
      <c r="U11" s="24">
        <f t="shared" ref="U11:U19" si="11">G11+S11-T11</f>
        <v>53.574621779773793</v>
      </c>
      <c r="V11" s="24">
        <f>$R$6*'Policyholder cash flows'!F8</f>
        <v>53.574621779773295</v>
      </c>
      <c r="Y11" s="23">
        <f>'Policyholder cash flows'!G8</f>
        <v>10694.25</v>
      </c>
      <c r="Z11" s="23">
        <f t="shared" ref="Z11:Z19" si="12">(Y10-D11-E11)*Investment_rate</f>
        <v>608.1</v>
      </c>
      <c r="AA11" s="24">
        <f t="shared" si="1"/>
        <v>509.25</v>
      </c>
      <c r="AB11" s="24">
        <f t="shared" ref="AB11:AB19" si="13">G11+Z11-AA11</f>
        <v>48.850000000000023</v>
      </c>
      <c r="AC11"/>
      <c r="AE11" s="23">
        <f t="shared" si="2"/>
        <v>10801.192499999999</v>
      </c>
      <c r="AF11" s="23">
        <f t="shared" ref="AF11:AF19" si="14">(AE10-D11-E11)*Investment_rate</f>
        <v>614.21100000000001</v>
      </c>
      <c r="AG11" s="24">
        <f t="shared" si="3"/>
        <v>514.34249999999884</v>
      </c>
      <c r="AH11" s="24">
        <f>G11+AF11-AG11</f>
        <v>49.868500000001177</v>
      </c>
      <c r="AI11"/>
    </row>
    <row r="12" spans="1:35" ht="15" x14ac:dyDescent="0.25">
      <c r="B12" s="5">
        <f t="shared" ref="B12:B19" si="15">1+B11</f>
        <v>3</v>
      </c>
      <c r="C12" s="8">
        <v>0</v>
      </c>
      <c r="D12" s="8">
        <v>0</v>
      </c>
      <c r="E12" s="91">
        <f t="shared" ref="E12:E19" si="16">Renewal_expense *(1+Inflation)^(B12-2)</f>
        <v>51</v>
      </c>
      <c r="F12" s="8">
        <v>0</v>
      </c>
      <c r="G12" s="8">
        <f t="shared" si="4"/>
        <v>-51</v>
      </c>
      <c r="H12"/>
      <c r="I12" s="5">
        <f t="shared" si="5"/>
        <v>3</v>
      </c>
      <c r="J12" s="8">
        <f>NPV(Discount_rate,'Shareholder cash flows'!$D13:$D$20)*(1+Discount_rate)
+NPV(Discount_rate,'Shareholder cash flows'!$E13:$E$20)*(1+Discount_rate)
+NPV(Discount_rate,'Shareholder cash flows'!$F13:$F$20)
-NPV(Discount_rate,'Shareholder cash flows'!$C13:$C$20)*(1+Discount_rate)</f>
        <v>10833.500822317237</v>
      </c>
      <c r="K12" s="8">
        <f t="shared" si="6"/>
        <v>613.21702767833403</v>
      </c>
      <c r="L12" s="8">
        <f t="shared" si="7"/>
        <v>562.21702767833631</v>
      </c>
      <c r="M12" s="8">
        <f t="shared" si="8"/>
        <v>-2.2737367544323206E-12</v>
      </c>
      <c r="P12" s="23">
        <f>'Shareholder cash flows'!J12</f>
        <v>10833.500822317237</v>
      </c>
      <c r="Q12" s="23">
        <f>'Policyholder cash flows'!H10*$R$6</f>
        <v>379.19117807815297</v>
      </c>
      <c r="R12" s="24">
        <f t="shared" si="0"/>
        <v>11212.692000395391</v>
      </c>
      <c r="S12" s="24">
        <f t="shared" si="9"/>
        <v>637.8648313168386</v>
      </c>
      <c r="T12" s="24">
        <f t="shared" si="10"/>
        <v>530.61147844807965</v>
      </c>
      <c r="U12" s="24">
        <f t="shared" si="11"/>
        <v>56.253352868758952</v>
      </c>
      <c r="V12" s="24">
        <f>$R$6*'Policyholder cash flows'!F9</f>
        <v>56.253352868761951</v>
      </c>
      <c r="Y12" s="23">
        <f>'Policyholder cash flows'!G9</f>
        <v>11228.962500000001</v>
      </c>
      <c r="Z12" s="23">
        <f t="shared" si="12"/>
        <v>638.59500000000003</v>
      </c>
      <c r="AA12" s="24">
        <f t="shared" si="1"/>
        <v>534.71250000000146</v>
      </c>
      <c r="AB12" s="24">
        <f t="shared" si="13"/>
        <v>52.882499999998572</v>
      </c>
      <c r="AC12"/>
      <c r="AE12" s="23">
        <f t="shared" si="2"/>
        <v>11341.252125000001</v>
      </c>
      <c r="AF12" s="23">
        <f t="shared" si="14"/>
        <v>645.01154999999994</v>
      </c>
      <c r="AG12" s="24">
        <f t="shared" si="3"/>
        <v>540.05962500000169</v>
      </c>
      <c r="AH12" s="24">
        <f t="shared" ref="AH12:AH19" si="17">G12+AF12-AG12</f>
        <v>53.951924999998255</v>
      </c>
      <c r="AI12"/>
    </row>
    <row r="13" spans="1:35" ht="15" x14ac:dyDescent="0.25">
      <c r="B13" s="5">
        <f t="shared" si="15"/>
        <v>4</v>
      </c>
      <c r="C13" s="8">
        <v>0</v>
      </c>
      <c r="D13" s="8">
        <v>0</v>
      </c>
      <c r="E13" s="91">
        <f t="shared" si="16"/>
        <v>52.019999999999996</v>
      </c>
      <c r="F13" s="8">
        <v>0</v>
      </c>
      <c r="G13" s="8">
        <f t="shared" si="4"/>
        <v>-52.019999999999996</v>
      </c>
      <c r="H13"/>
      <c r="I13" s="5">
        <f t="shared" si="5"/>
        <v>4</v>
      </c>
      <c r="J13" s="8">
        <f>NPV(Discount_rate,'Shareholder cash flows'!$D14:$D$20)*(1+Discount_rate)
+NPV(Discount_rate,'Shareholder cash flows'!$E14:$E$20)*(1+Discount_rate)
+NPV(Discount_rate,'Shareholder cash flows'!$F14:$F$20)
-NPV(Discount_rate,'Shareholder cash flows'!$C14:$C$20)*(1+Discount_rate)</f>
        <v>11428.36967165627</v>
      </c>
      <c r="K13" s="8">
        <f t="shared" si="6"/>
        <v>646.88884933903421</v>
      </c>
      <c r="L13" s="8">
        <f t="shared" si="7"/>
        <v>594.86884933903275</v>
      </c>
      <c r="M13" s="8">
        <f t="shared" si="8"/>
        <v>1.4779288903810084E-12</v>
      </c>
      <c r="P13" s="23">
        <f>'Shareholder cash flows'!J13</f>
        <v>11428.36967165627</v>
      </c>
      <c r="Q13" s="23">
        <f>'Policyholder cash flows'!H11*$R$6</f>
        <v>342.87662825064211</v>
      </c>
      <c r="R13" s="24">
        <f t="shared" si="0"/>
        <v>11771.246299906912</v>
      </c>
      <c r="S13" s="24">
        <f t="shared" si="9"/>
        <v>669.64032002372346</v>
      </c>
      <c r="T13" s="24">
        <f t="shared" si="10"/>
        <v>558.55429951152109</v>
      </c>
      <c r="U13" s="24">
        <f t="shared" si="11"/>
        <v>59.066020512202385</v>
      </c>
      <c r="V13" s="24">
        <f>$R$6*'Policyholder cash flows'!F10</f>
        <v>59.066020512200062</v>
      </c>
      <c r="Y13" s="23">
        <f>'Policyholder cash flows'!G10</f>
        <v>11790.410625000002</v>
      </c>
      <c r="Z13" s="23">
        <f t="shared" si="12"/>
        <v>670.61655000000007</v>
      </c>
      <c r="AA13" s="24">
        <f t="shared" si="1"/>
        <v>561.4481250000008</v>
      </c>
      <c r="AB13" s="24">
        <f t="shared" si="13"/>
        <v>57.148424999999293</v>
      </c>
      <c r="AC13"/>
      <c r="AE13" s="23">
        <f t="shared" si="2"/>
        <v>11908.314731250002</v>
      </c>
      <c r="AF13" s="23">
        <f t="shared" si="14"/>
        <v>677.35392750000005</v>
      </c>
      <c r="AG13" s="24">
        <f t="shared" si="3"/>
        <v>567.06260625000141</v>
      </c>
      <c r="AH13" s="24">
        <f t="shared" si="17"/>
        <v>58.271321249998664</v>
      </c>
      <c r="AI13"/>
    </row>
    <row r="14" spans="1:35" ht="15" x14ac:dyDescent="0.25">
      <c r="B14" s="5">
        <f t="shared" si="15"/>
        <v>5</v>
      </c>
      <c r="C14" s="8">
        <v>0</v>
      </c>
      <c r="D14" s="8">
        <v>0</v>
      </c>
      <c r="E14" s="91">
        <f t="shared" si="16"/>
        <v>53.060399999999994</v>
      </c>
      <c r="F14" s="8">
        <v>0</v>
      </c>
      <c r="G14" s="8">
        <f t="shared" si="4"/>
        <v>-53.060399999999994</v>
      </c>
      <c r="H14"/>
      <c r="I14" s="5">
        <f t="shared" si="5"/>
        <v>5</v>
      </c>
      <c r="J14" s="8">
        <f>NPV(Discount_rate,'Shareholder cash flows'!$D15:$D$20)*(1+Discount_rate)
+NPV(Discount_rate,'Shareholder cash flows'!$E15:$E$20)*(1+Discount_rate)
+NPV(Discount_rate,'Shareholder cash flows'!$F15:$F$20)
-NPV(Discount_rate,'Shareholder cash flows'!$C15:$C$20)*(1+Discount_rate)</f>
        <v>12057.827827955647</v>
      </c>
      <c r="K14" s="8">
        <f t="shared" si="6"/>
        <v>682.5185562993762</v>
      </c>
      <c r="L14" s="8">
        <f t="shared" si="7"/>
        <v>629.45815629937715</v>
      </c>
      <c r="M14" s="8">
        <f t="shared" si="8"/>
        <v>-9.0949470177292824E-13</v>
      </c>
      <c r="P14" s="23">
        <f>'Shareholder cash flows'!J14</f>
        <v>12057.827827955647</v>
      </c>
      <c r="Q14" s="23">
        <f>'Policyholder cash flows'!H12*$R$6</f>
        <v>301.42990440787065</v>
      </c>
      <c r="R14" s="24">
        <f t="shared" si="0"/>
        <v>12359.257732363518</v>
      </c>
      <c r="S14" s="24">
        <f t="shared" si="9"/>
        <v>703.09115399441464</v>
      </c>
      <c r="T14" s="24">
        <f t="shared" si="10"/>
        <v>588.01143245660569</v>
      </c>
      <c r="U14" s="24">
        <f t="shared" si="11"/>
        <v>62.019321537808992</v>
      </c>
      <c r="V14" s="24">
        <f>$R$6*'Policyholder cash flows'!F11</f>
        <v>62.019321537810065</v>
      </c>
      <c r="Y14" s="23">
        <f>'Policyholder cash flows'!G11</f>
        <v>12379.931156250002</v>
      </c>
      <c r="Z14" s="23">
        <f t="shared" si="12"/>
        <v>704.24101350000012</v>
      </c>
      <c r="AA14" s="24">
        <f t="shared" si="1"/>
        <v>589.5205312500002</v>
      </c>
      <c r="AB14" s="24">
        <f t="shared" si="13"/>
        <v>61.660082249999959</v>
      </c>
      <c r="AC14"/>
      <c r="AE14" s="23">
        <f t="shared" si="2"/>
        <v>12503.730467812502</v>
      </c>
      <c r="AF14" s="23">
        <f t="shared" si="14"/>
        <v>711.31525987500004</v>
      </c>
      <c r="AG14" s="24">
        <f t="shared" si="3"/>
        <v>595.41573656249966</v>
      </c>
      <c r="AH14" s="24">
        <f t="shared" si="17"/>
        <v>62.839123312500419</v>
      </c>
      <c r="AI14"/>
    </row>
    <row r="15" spans="1:35" ht="15" x14ac:dyDescent="0.25">
      <c r="B15" s="5">
        <f t="shared" si="15"/>
        <v>6</v>
      </c>
      <c r="C15" s="8">
        <v>0</v>
      </c>
      <c r="D15" s="8">
        <v>0</v>
      </c>
      <c r="E15" s="91">
        <f t="shared" si="16"/>
        <v>54.121608000000002</v>
      </c>
      <c r="F15" s="8">
        <v>0</v>
      </c>
      <c r="G15" s="8">
        <f t="shared" si="4"/>
        <v>-54.121608000000002</v>
      </c>
      <c r="H15"/>
      <c r="I15" s="5">
        <f t="shared" si="5"/>
        <v>6</v>
      </c>
      <c r="J15" s="8">
        <f>NPV(Discount_rate,'Shareholder cash flows'!$D16:$D$20)*(1+Discount_rate)
+NPV(Discount_rate,'Shareholder cash flows'!$E16:$E$20)*(1+Discount_rate)
+NPV(Discount_rate,'Shareholder cash flows'!$F16:$F$20)
-NPV(Discount_rate,'Shareholder cash flows'!$C16:$C$20)*(1+Discount_rate)</f>
        <v>12723.928593152987</v>
      </c>
      <c r="K15" s="8">
        <f t="shared" si="6"/>
        <v>720.22237319733881</v>
      </c>
      <c r="L15" s="8">
        <f t="shared" si="7"/>
        <v>666.10076519733957</v>
      </c>
      <c r="M15" s="8">
        <f t="shared" si="8"/>
        <v>0</v>
      </c>
      <c r="P15" s="23">
        <f>'Shareholder cash flows'!J15</f>
        <v>12723.928593152987</v>
      </c>
      <c r="Q15" s="23">
        <f>'Policyholder cash flows'!H13*$R$6</f>
        <v>254.39541105764229</v>
      </c>
      <c r="R15" s="24">
        <f t="shared" si="0"/>
        <v>12978.324004210628</v>
      </c>
      <c r="S15" s="24">
        <f t="shared" si="9"/>
        <v>738.30816746181108</v>
      </c>
      <c r="T15" s="24">
        <f t="shared" si="10"/>
        <v>619.06627184711033</v>
      </c>
      <c r="U15" s="24">
        <f t="shared" si="11"/>
        <v>65.120287614700715</v>
      </c>
      <c r="V15" s="24">
        <f>$R$6*'Policyholder cash flows'!F12</f>
        <v>65.120287614700572</v>
      </c>
      <c r="Y15" s="23">
        <f>'Policyholder cash flows'!G12</f>
        <v>12998.927714062504</v>
      </c>
      <c r="Z15" s="23">
        <f t="shared" si="12"/>
        <v>739.54857289500012</v>
      </c>
      <c r="AA15" s="24">
        <f t="shared" si="1"/>
        <v>618.99655781250112</v>
      </c>
      <c r="AB15" s="24">
        <f t="shared" si="13"/>
        <v>66.430407082498959</v>
      </c>
      <c r="AC15"/>
      <c r="AE15" s="23">
        <f t="shared" si="2"/>
        <v>13128.916991203128</v>
      </c>
      <c r="AF15" s="23">
        <f t="shared" si="14"/>
        <v>746.97653158875016</v>
      </c>
      <c r="AG15" s="24">
        <f t="shared" si="3"/>
        <v>625.18652339062646</v>
      </c>
      <c r="AH15" s="24">
        <f t="shared" si="17"/>
        <v>67.668400198123663</v>
      </c>
      <c r="AI15"/>
    </row>
    <row r="16" spans="1:35" ht="15" x14ac:dyDescent="0.25">
      <c r="B16" s="5">
        <f t="shared" si="15"/>
        <v>7</v>
      </c>
      <c r="C16" s="8">
        <v>0</v>
      </c>
      <c r="D16" s="8">
        <v>0</v>
      </c>
      <c r="E16" s="91">
        <f t="shared" si="16"/>
        <v>55.204040159999998</v>
      </c>
      <c r="F16" s="8">
        <v>0</v>
      </c>
      <c r="G16" s="8">
        <f t="shared" si="4"/>
        <v>-55.204040159999998</v>
      </c>
      <c r="H16"/>
      <c r="I16" s="5">
        <f t="shared" si="5"/>
        <v>7</v>
      </c>
      <c r="J16" s="8">
        <f>NPV(Discount_rate,'Shareholder cash flows'!$D17:$D$20)*(1+Discount_rate)
+NPV(Discount_rate,'Shareholder cash flows'!$E17:$E$20)*(1+Discount_rate)
+NPV(Discount_rate,'Shareholder cash flows'!$F17:$F$20)
-NPV(Discount_rate,'Shareholder cash flows'!$C17:$C$20)*(1+Discount_rate)</f>
        <v>13428.848026172567</v>
      </c>
      <c r="K16" s="8">
        <f t="shared" si="6"/>
        <v>760.12347317957915</v>
      </c>
      <c r="L16" s="8">
        <f t="shared" si="7"/>
        <v>704.91943301958054</v>
      </c>
      <c r="M16" s="8">
        <f t="shared" si="8"/>
        <v>-1.3642420526593924E-12</v>
      </c>
      <c r="P16" s="23">
        <f>'Shareholder cash flows'!J16</f>
        <v>13428.848026172567</v>
      </c>
      <c r="Q16" s="23">
        <f>'Policyholder cash flows'!H14*$R$6</f>
        <v>201.28283372566528</v>
      </c>
      <c r="R16" s="24">
        <f t="shared" si="0"/>
        <v>13630.130859898232</v>
      </c>
      <c r="S16" s="24">
        <f t="shared" si="9"/>
        <v>775.3871978430376</v>
      </c>
      <c r="T16" s="24">
        <f t="shared" si="10"/>
        <v>651.80685568760418</v>
      </c>
      <c r="U16" s="24">
        <f t="shared" si="11"/>
        <v>68.376301995433437</v>
      </c>
      <c r="V16" s="24">
        <f>$R$6*'Policyholder cash flows'!F13</f>
        <v>68.376301995435597</v>
      </c>
      <c r="Y16" s="23">
        <f>'Policyholder cash flows'!G13</f>
        <v>13648.87409976563</v>
      </c>
      <c r="Z16" s="23">
        <f t="shared" si="12"/>
        <v>776.62342043415015</v>
      </c>
      <c r="AA16" s="24">
        <f t="shared" si="1"/>
        <v>649.946385703126</v>
      </c>
      <c r="AB16" s="24">
        <f t="shared" si="13"/>
        <v>71.472994571024174</v>
      </c>
      <c r="AC16"/>
      <c r="AE16" s="23">
        <f t="shared" si="2"/>
        <v>13785.362840763286</v>
      </c>
      <c r="AF16" s="23">
        <f t="shared" si="14"/>
        <v>784.42277706258767</v>
      </c>
      <c r="AG16" s="24">
        <f t="shared" si="3"/>
        <v>656.44584956015751</v>
      </c>
      <c r="AH16" s="24">
        <f t="shared" si="17"/>
        <v>72.772887342430181</v>
      </c>
      <c r="AI16"/>
    </row>
    <row r="17" spans="2:35" ht="15" x14ac:dyDescent="0.25">
      <c r="B17" s="5">
        <f t="shared" si="15"/>
        <v>8</v>
      </c>
      <c r="C17" s="8">
        <v>0</v>
      </c>
      <c r="D17" s="8">
        <v>0</v>
      </c>
      <c r="E17" s="91">
        <f t="shared" si="16"/>
        <v>56.308120963200004</v>
      </c>
      <c r="F17" s="8">
        <v>0</v>
      </c>
      <c r="G17" s="8">
        <f t="shared" si="4"/>
        <v>-56.308120963200004</v>
      </c>
      <c r="H17"/>
      <c r="I17" s="5">
        <f t="shared" si="5"/>
        <v>8</v>
      </c>
      <c r="J17" s="8">
        <f>NPV(Discount_rate,'Shareholder cash flows'!$D18:$D$20)*(1+Discount_rate)
+NPV(Discount_rate,'Shareholder cash flows'!$E18:$E$20)*(1+Discount_rate)
+NPV(Discount_rate,'Shareholder cash flows'!$F18:$F$20)
-NPV(Discount_rate,'Shareholder cash flows'!$C18:$C$20)*(1+Discount_rate)</f>
        <v>14174.892299521933</v>
      </c>
      <c r="K17" s="8">
        <f t="shared" si="6"/>
        <v>802.35239431256196</v>
      </c>
      <c r="L17" s="8">
        <f t="shared" si="7"/>
        <v>746.04427334936554</v>
      </c>
      <c r="M17" s="8">
        <f t="shared" si="8"/>
        <v>-3.637978807091713E-12</v>
      </c>
      <c r="P17" s="23">
        <f>'Shareholder cash flows'!J17</f>
        <v>14174.892299521933</v>
      </c>
      <c r="Q17" s="23">
        <f>'Policyholder cash flows'!H15*$R$6</f>
        <v>141.56468665399782</v>
      </c>
      <c r="R17" s="24">
        <f t="shared" si="0"/>
        <v>14316.45698617593</v>
      </c>
      <c r="S17" s="24">
        <f t="shared" si="9"/>
        <v>814.42936433610191</v>
      </c>
      <c r="T17" s="24">
        <f t="shared" si="10"/>
        <v>686.32612627769777</v>
      </c>
      <c r="U17" s="24">
        <f t="shared" si="11"/>
        <v>71.795117095204091</v>
      </c>
      <c r="V17" s="24">
        <f>$R$6*'Policyholder cash flows'!F14</f>
        <v>71.795117095207388</v>
      </c>
      <c r="Y17" s="23">
        <f>'Policyholder cash flows'!G14</f>
        <v>14331.317804753911</v>
      </c>
      <c r="Z17" s="23">
        <f t="shared" si="12"/>
        <v>815.55395872814574</v>
      </c>
      <c r="AA17" s="24">
        <f t="shared" si="1"/>
        <v>682.44370498828175</v>
      </c>
      <c r="AB17" s="24">
        <f t="shared" si="13"/>
        <v>76.802132776663939</v>
      </c>
      <c r="AC17"/>
      <c r="AE17" s="23">
        <f t="shared" si="2"/>
        <v>14474.630982801451</v>
      </c>
      <c r="AF17" s="23">
        <f t="shared" si="14"/>
        <v>823.74328318800508</v>
      </c>
      <c r="AG17" s="24">
        <f t="shared" si="3"/>
        <v>689.26814203816502</v>
      </c>
      <c r="AH17" s="24">
        <f t="shared" si="17"/>
        <v>78.167020186640002</v>
      </c>
      <c r="AI17"/>
    </row>
    <row r="18" spans="2:35" ht="15" x14ac:dyDescent="0.25">
      <c r="B18" s="5">
        <f t="shared" si="15"/>
        <v>9</v>
      </c>
      <c r="C18" s="8">
        <v>0</v>
      </c>
      <c r="D18" s="8">
        <v>0</v>
      </c>
      <c r="E18" s="91">
        <f t="shared" si="16"/>
        <v>57.434283382463988</v>
      </c>
      <c r="F18" s="8">
        <v>0</v>
      </c>
      <c r="G18" s="8">
        <f t="shared" si="4"/>
        <v>-57.434283382463988</v>
      </c>
      <c r="H18"/>
      <c r="I18" s="5">
        <f t="shared" si="5"/>
        <v>9</v>
      </c>
      <c r="J18" s="8">
        <f>NPV(Discount_rate,'Shareholder cash flows'!$D19:$D$20)*(1+Discount_rate)
+NPV(Discount_rate,'Shareholder cash flows'!$E19:$E$20)*(1+Discount_rate)
+NPV(Discount_rate,'Shareholder cash flows'!$F19:$F$20)
-NPV(Discount_rate,'Shareholder cash flows'!$C19:$C$20)*(1+Discount_rate)</f>
        <v>14964.505497107837</v>
      </c>
      <c r="K18" s="8">
        <f t="shared" si="6"/>
        <v>847.04748096836806</v>
      </c>
      <c r="L18" s="8">
        <f t="shared" si="7"/>
        <v>789.61319758590435</v>
      </c>
      <c r="M18" s="8">
        <f t="shared" si="8"/>
        <v>0</v>
      </c>
      <c r="P18" s="23">
        <f>'Shareholder cash flows'!J18</f>
        <v>14964.505497107837</v>
      </c>
      <c r="Q18" s="23">
        <f>'Policyholder cash flows'!H16*$R$6</f>
        <v>74.673694903269947</v>
      </c>
      <c r="R18" s="24">
        <f t="shared" si="0"/>
        <v>15039.179192011106</v>
      </c>
      <c r="S18" s="24">
        <f t="shared" si="9"/>
        <v>855.54136216760787</v>
      </c>
      <c r="T18" s="24">
        <f t="shared" si="10"/>
        <v>722.72220583517628</v>
      </c>
      <c r="U18" s="24">
        <f t="shared" si="11"/>
        <v>75.384872949967644</v>
      </c>
      <c r="V18" s="24">
        <f>$R$6*'Policyholder cash flows'!F15</f>
        <v>75.384872949967757</v>
      </c>
      <c r="Y18" s="23">
        <f>'Policyholder cash flows'!G15</f>
        <v>15047.883694991606</v>
      </c>
      <c r="Z18" s="23">
        <f t="shared" si="12"/>
        <v>856.43301128228677</v>
      </c>
      <c r="AA18" s="24">
        <f t="shared" si="1"/>
        <v>716.56589023769448</v>
      </c>
      <c r="AB18" s="24">
        <f t="shared" si="13"/>
        <v>82.43283766212835</v>
      </c>
      <c r="AC18"/>
      <c r="AE18" s="23">
        <f t="shared" si="2"/>
        <v>15198.362531941522</v>
      </c>
      <c r="AF18" s="23">
        <f t="shared" si="14"/>
        <v>865.03180196513915</v>
      </c>
      <c r="AG18" s="24">
        <f t="shared" si="3"/>
        <v>723.73154914007137</v>
      </c>
      <c r="AH18" s="24">
        <f t="shared" si="17"/>
        <v>83.865969442603841</v>
      </c>
      <c r="AI18"/>
    </row>
    <row r="19" spans="2:35" ht="15" x14ac:dyDescent="0.25">
      <c r="B19" s="5">
        <f t="shared" si="15"/>
        <v>10</v>
      </c>
      <c r="C19" s="8">
        <v>0</v>
      </c>
      <c r="D19" s="8">
        <v>0</v>
      </c>
      <c r="E19" s="91">
        <f t="shared" si="16"/>
        <v>58.582969050113277</v>
      </c>
      <c r="F19" s="8">
        <f>'Policyholder cash flows'!G16</f>
        <v>15800.277879741187</v>
      </c>
      <c r="G19" s="8">
        <f t="shared" si="4"/>
        <v>-15858.860848791301</v>
      </c>
      <c r="H19"/>
      <c r="I19" s="5">
        <f t="shared" si="5"/>
        <v>10</v>
      </c>
      <c r="J19" s="8">
        <f>NPV(Discount_rate,'Shareholder cash flows'!$D20:$D$20)*(1+Discount_rate)
+NPV(Discount_rate,'Shareholder cash flows'!$E20:$E$20)*(1+Discount_rate)
+NPV(Discount_rate,'Shareholder cash flows'!$F20:$F$20)
-NPV(Discount_rate,'Shareholder cash flows'!$C20:$C$20)*(1+Discount_rate)</f>
        <v>0</v>
      </c>
      <c r="K19" s="8">
        <f t="shared" si="6"/>
        <v>894.35535168346337</v>
      </c>
      <c r="L19" s="8">
        <f t="shared" si="7"/>
        <v>-14964.505497107837</v>
      </c>
      <c r="M19" s="8">
        <f>G19+K19-L19</f>
        <v>0</v>
      </c>
      <c r="P19" s="23">
        <f>'Shareholder cash flows'!J19</f>
        <v>0</v>
      </c>
      <c r="Q19" s="23">
        <f>'Policyholder cash flows'!H17*$R$6</f>
        <v>0</v>
      </c>
      <c r="R19" s="24">
        <f t="shared" si="0"/>
        <v>0</v>
      </c>
      <c r="S19" s="24">
        <f t="shared" si="9"/>
        <v>898.83577337765951</v>
      </c>
      <c r="T19" s="24">
        <f t="shared" si="10"/>
        <v>-15039.179192011106</v>
      </c>
      <c r="U19" s="24">
        <f t="shared" si="11"/>
        <v>79.154116597464963</v>
      </c>
      <c r="V19" s="24">
        <f>$R$6*'Policyholder cash flows'!F16</f>
        <v>79.154116597466142</v>
      </c>
      <c r="Y19" s="23"/>
      <c r="Z19" s="23">
        <f t="shared" si="12"/>
        <v>899.35804355648952</v>
      </c>
      <c r="AA19" s="24">
        <f t="shared" si="1"/>
        <v>-15047.883694991606</v>
      </c>
      <c r="AB19" s="24">
        <f t="shared" si="13"/>
        <v>88.380889756794204</v>
      </c>
      <c r="AC19" s="26"/>
      <c r="AE19" s="23"/>
      <c r="AF19" s="23">
        <f t="shared" si="14"/>
        <v>908.38677377348449</v>
      </c>
      <c r="AG19" s="24">
        <f t="shared" si="3"/>
        <v>-15198.362531941522</v>
      </c>
      <c r="AH19" s="24">
        <f t="shared" si="17"/>
        <v>247.88845692370523</v>
      </c>
      <c r="AI19"/>
    </row>
    <row r="20" spans="2:35" ht="7.5" customHeight="1" x14ac:dyDescent="0.25">
      <c r="B20"/>
      <c r="C20"/>
      <c r="D20"/>
      <c r="E20"/>
      <c r="F20"/>
      <c r="G20"/>
      <c r="H20"/>
      <c r="I20"/>
    </row>
    <row r="21" spans="2:35" ht="15" x14ac:dyDescent="0.25">
      <c r="B21"/>
      <c r="C21"/>
      <c r="D21"/>
      <c r="E21"/>
      <c r="F21"/>
      <c r="G21"/>
      <c r="H21"/>
      <c r="I21" s="67" t="s">
        <v>81</v>
      </c>
      <c r="J21" s="68" t="s">
        <v>120</v>
      </c>
      <c r="K21" s="68"/>
      <c r="L21" s="68"/>
      <c r="M21" s="68"/>
      <c r="N21" s="68"/>
      <c r="O21"/>
      <c r="P21" s="68" t="s">
        <v>121</v>
      </c>
      <c r="Q21" s="68"/>
      <c r="R21" s="68"/>
      <c r="S21" s="68"/>
      <c r="T21" s="68"/>
      <c r="U21" s="68"/>
      <c r="V21" s="68"/>
      <c r="W21" s="68"/>
      <c r="Y21" s="68" t="s">
        <v>122</v>
      </c>
      <c r="Z21" s="68"/>
      <c r="AA21" s="68"/>
      <c r="AB21" s="68"/>
      <c r="AC21" s="68"/>
      <c r="AE21" s="68" t="s">
        <v>122</v>
      </c>
      <c r="AF21" s="68"/>
      <c r="AG21" s="68"/>
      <c r="AH21" s="68"/>
      <c r="AI21" s="68"/>
    </row>
    <row r="22" spans="2:35" ht="40.5" x14ac:dyDescent="0.25">
      <c r="B22"/>
      <c r="C22"/>
      <c r="D22"/>
      <c r="E22"/>
      <c r="F22"/>
      <c r="G22" s="93" t="s">
        <v>123</v>
      </c>
      <c r="H22"/>
      <c r="I22" s="67"/>
      <c r="J22" s="62" t="s">
        <v>33</v>
      </c>
      <c r="K22" s="62" t="s">
        <v>31</v>
      </c>
      <c r="L22" s="62" t="s">
        <v>34</v>
      </c>
      <c r="M22" s="62" t="s">
        <v>25</v>
      </c>
      <c r="N22" s="62" t="s">
        <v>116</v>
      </c>
      <c r="O22"/>
      <c r="P22" s="62" t="s">
        <v>58</v>
      </c>
      <c r="Q22" s="62" t="s">
        <v>59</v>
      </c>
      <c r="R22" s="62" t="s">
        <v>60</v>
      </c>
      <c r="S22" s="62" t="s">
        <v>31</v>
      </c>
      <c r="T22" s="62" t="s">
        <v>34</v>
      </c>
      <c r="U22" s="62" t="s">
        <v>61</v>
      </c>
      <c r="V22" s="62" t="s">
        <v>62</v>
      </c>
      <c r="W22" s="62" t="s">
        <v>116</v>
      </c>
      <c r="Y22" s="62" t="s">
        <v>33</v>
      </c>
      <c r="Z22" s="62" t="s">
        <v>31</v>
      </c>
      <c r="AA22" s="62" t="s">
        <v>34</v>
      </c>
      <c r="AB22" s="62" t="s">
        <v>110</v>
      </c>
      <c r="AC22" s="62" t="s">
        <v>116</v>
      </c>
      <c r="AE22" s="62" t="s">
        <v>33</v>
      </c>
      <c r="AF22" s="62" t="s">
        <v>31</v>
      </c>
      <c r="AG22" s="62" t="s">
        <v>34</v>
      </c>
      <c r="AH22" s="62" t="s">
        <v>110</v>
      </c>
      <c r="AI22" s="62" t="s">
        <v>116</v>
      </c>
    </row>
    <row r="23" spans="2:35" ht="15" x14ac:dyDescent="0.25">
      <c r="B23"/>
      <c r="C23"/>
      <c r="D23"/>
      <c r="E23"/>
      <c r="F23"/>
      <c r="G23"/>
      <c r="H23"/>
      <c r="I23" s="5">
        <v>0</v>
      </c>
      <c r="J23" s="8">
        <f>NPV(Discount_rate,'Shareholder cash flows'!$D10:$D$20)*(1+Discount_rate)
+NPV(Discount_rate,'Shareholder cash flows'!$E10:$E$20)*(1+Discount_rate)
+NPV(Discount_rate,'Shareholder cash flows'!$F10:$F$20)
-NPV(Discount_rate,'Shareholder cash flows'!$C10:$C$20)*(1+Discount_rate)</f>
        <v>-461.42417707466848</v>
      </c>
      <c r="K23" s="8"/>
      <c r="L23" s="8">
        <f>J23</f>
        <v>-461.42417707466848</v>
      </c>
      <c r="M23" s="8">
        <f>-L23</f>
        <v>461.42417707466848</v>
      </c>
      <c r="N23" s="54">
        <f>NPV(Discount_rate,'Shareholder cash flows'!M24:M33)+M23</f>
        <v>461.42417707466387</v>
      </c>
      <c r="O23"/>
      <c r="P23" s="63">
        <f>'Shareholder cash flows'!J23</f>
        <v>-461.42417707466848</v>
      </c>
      <c r="Q23" s="63">
        <f>-P23</f>
        <v>461.42417707466848</v>
      </c>
      <c r="R23" s="64">
        <f t="shared" ref="R23:R33" si="18">P23+Q23</f>
        <v>0</v>
      </c>
      <c r="S23" s="64"/>
      <c r="T23" s="64">
        <f>R23</f>
        <v>0</v>
      </c>
      <c r="U23" s="65">
        <f>-T23</f>
        <v>0</v>
      </c>
      <c r="V23" s="64">
        <v>0</v>
      </c>
      <c r="W23" s="66">
        <f>NPV(Discount_rate,'Shareholder cash flows'!V24:V33)+V23</f>
        <v>461.42417707466848</v>
      </c>
      <c r="Y23" s="63"/>
      <c r="Z23" s="63"/>
      <c r="AA23" s="64"/>
      <c r="AB23" s="64"/>
      <c r="AC23" s="66">
        <f>NPV(Discount_rate,AB24:AB34)+AB23</f>
        <v>461.42417707466421</v>
      </c>
      <c r="AE23" s="63">
        <f>Y23*101%</f>
        <v>0</v>
      </c>
      <c r="AF23" s="63"/>
      <c r="AG23" s="64">
        <f>AE23</f>
        <v>0</v>
      </c>
      <c r="AH23" s="64"/>
      <c r="AI23" s="66">
        <f>NPV(Discount_rate,AH24:AH34)+AH23</f>
        <v>461.42417707466376</v>
      </c>
    </row>
    <row r="24" spans="2:35" ht="15" x14ac:dyDescent="0.25">
      <c r="B24"/>
      <c r="C24"/>
      <c r="D24"/>
      <c r="E24"/>
      <c r="F24"/>
      <c r="G24"/>
      <c r="H24"/>
      <c r="I24" s="5">
        <v>1</v>
      </c>
      <c r="J24" s="8">
        <f>NPV(Discount_rate,'Shareholder cash flows'!$D11:$D$20)*(1+Discount_rate)
+NPV(Discount_rate,'Shareholder cash flows'!$E11:$E$20)*(1+Discount_rate)
+NPV(Discount_rate,'Shareholder cash flows'!$F11:$F$20)
-NPV(Discount_rate,'Shareholder cash flows'!$C11:$C$20)*(1+Discount_rate)</f>
        <v>9739.8903723008498</v>
      </c>
      <c r="K24" s="8">
        <f t="shared" ref="K24:K33" si="19">(J23+C10-D10-E10)*Investment_rate</f>
        <v>551.31454937551985</v>
      </c>
      <c r="L24" s="8">
        <f>J24-J23</f>
        <v>10201.314549375518</v>
      </c>
      <c r="M24" s="8">
        <f t="shared" ref="M24:M33" si="20">G10+K24-L24</f>
        <v>0</v>
      </c>
      <c r="N24" s="61">
        <f>M23*(1+Investment_rate)+M24</f>
        <v>489.10962769914863</v>
      </c>
      <c r="O24"/>
      <c r="P24" s="23">
        <f>'Shareholder cash flows'!J24</f>
        <v>9739.8903723008498</v>
      </c>
      <c r="Q24" s="23">
        <f>'Policyholder cash flows'!H8*$R$6</f>
        <v>438.08617838507882</v>
      </c>
      <c r="R24" s="24">
        <f t="shared" si="18"/>
        <v>10177.976550685929</v>
      </c>
      <c r="S24" s="24">
        <f t="shared" ref="S24:S33" si="21">(R23+C10-E10-D10)*Investment_rate</f>
        <v>579</v>
      </c>
      <c r="T24" s="24">
        <f>R24-R23</f>
        <v>10177.976550685929</v>
      </c>
      <c r="U24" s="8">
        <f t="shared" ref="U24:U33" si="22">G10+S24-T24</f>
        <v>51.023449314070604</v>
      </c>
      <c r="V24" s="24">
        <f>V10</f>
        <v>51.023449314069801</v>
      </c>
      <c r="Y24" s="23">
        <f t="shared" ref="Y24:Y32" si="23">Y10</f>
        <v>10185</v>
      </c>
      <c r="Z24" s="23">
        <f t="shared" ref="Z24:Z33" si="24">(Y23+C10-D10-E10)*Investment_rate</f>
        <v>579</v>
      </c>
      <c r="AA24" s="24">
        <f>Y24</f>
        <v>10185</v>
      </c>
      <c r="AB24" s="24">
        <f t="shared" ref="AB24:AB33" si="25">G10+Z24-AA24</f>
        <v>44</v>
      </c>
      <c r="AC24" s="61">
        <f>AB23*(1+Investment_rate)+AB24</f>
        <v>44</v>
      </c>
      <c r="AE24" s="23">
        <f t="shared" ref="AE24:AE32" si="26">Y24*101%</f>
        <v>10286.85</v>
      </c>
      <c r="AF24" s="23">
        <f t="shared" ref="AF24:AF33" si="27">(AE23+C10-D10-E10)*Investment_rate</f>
        <v>579</v>
      </c>
      <c r="AG24" s="24">
        <f t="shared" ref="AG24:AG33" si="28">AE24-AE23</f>
        <v>10286.85</v>
      </c>
      <c r="AH24" s="24">
        <f t="shared" ref="AH24:AH33" si="29">G10+AF24-AG24</f>
        <v>-57.850000000000364</v>
      </c>
      <c r="AI24" s="61">
        <f>AH23*(1+Investment_rate)+AH24</f>
        <v>-57.850000000000364</v>
      </c>
    </row>
    <row r="25" spans="2:35" ht="15" x14ac:dyDescent="0.25">
      <c r="B25"/>
      <c r="C25"/>
      <c r="D25"/>
      <c r="E25"/>
      <c r="F25"/>
      <c r="G25"/>
      <c r="H25"/>
      <c r="I25" s="5">
        <f t="shared" ref="I25:I33" si="30">1+I24</f>
        <v>2</v>
      </c>
      <c r="J25" s="8">
        <f>NPV(Discount_rate,'Shareholder cash flows'!$D12:$D$20)*(1+Discount_rate)
+NPV(Discount_rate,'Shareholder cash flows'!$E12:$E$20)*(1+Discount_rate)
+NPV(Discount_rate,'Shareholder cash flows'!$F12:$F$20)
-NPV(Discount_rate,'Shareholder cash flows'!$C12:$C$20)*(1+Discount_rate)</f>
        <v>10271.283794638901</v>
      </c>
      <c r="K25" s="8">
        <f t="shared" si="19"/>
        <v>581.39342233805098</v>
      </c>
      <c r="L25" s="8">
        <f t="shared" ref="L25:L33" si="31">J25-J24</f>
        <v>531.3934223380511</v>
      </c>
      <c r="M25" s="8">
        <f t="shared" si="20"/>
        <v>0</v>
      </c>
      <c r="O25"/>
      <c r="P25" s="23">
        <f>'Shareholder cash flows'!J25</f>
        <v>10271.283794638901</v>
      </c>
      <c r="Q25" s="23">
        <f>'Policyholder cash flows'!H9*$R$6</f>
        <v>410.79672730841025</v>
      </c>
      <c r="R25" s="24">
        <f t="shared" si="18"/>
        <v>10682.080521947311</v>
      </c>
      <c r="S25" s="24">
        <f t="shared" si="21"/>
        <v>607.67859304115575</v>
      </c>
      <c r="T25" s="24">
        <f t="shared" ref="T25:T33" si="32">R25-R24</f>
        <v>504.10397126138196</v>
      </c>
      <c r="U25" s="8">
        <f t="shared" si="22"/>
        <v>53.574621779773793</v>
      </c>
      <c r="V25" s="24">
        <f t="shared" ref="V25:V33" si="33">V11</f>
        <v>53.574621779773295</v>
      </c>
      <c r="Y25" s="23">
        <f t="shared" si="23"/>
        <v>10694.25</v>
      </c>
      <c r="Z25" s="23">
        <f t="shared" si="24"/>
        <v>608.1</v>
      </c>
      <c r="AA25" s="24">
        <f t="shared" ref="AA25:AA33" si="34">Y25-Y24</f>
        <v>509.25</v>
      </c>
      <c r="AB25" s="24">
        <f t="shared" si="25"/>
        <v>48.850000000000023</v>
      </c>
      <c r="AC25"/>
      <c r="AE25" s="23">
        <f t="shared" si="26"/>
        <v>10801.192499999999</v>
      </c>
      <c r="AF25" s="23">
        <f t="shared" si="27"/>
        <v>614.21100000000001</v>
      </c>
      <c r="AG25" s="24">
        <f t="shared" si="28"/>
        <v>514.34249999999884</v>
      </c>
      <c r="AH25" s="24">
        <f t="shared" si="29"/>
        <v>49.868500000001177</v>
      </c>
      <c r="AI25"/>
    </row>
    <row r="26" spans="2:35" ht="15" x14ac:dyDescent="0.25">
      <c r="B26"/>
      <c r="C26"/>
      <c r="D26"/>
      <c r="E26"/>
      <c r="F26"/>
      <c r="G26"/>
      <c r="H26"/>
      <c r="I26" s="5">
        <f t="shared" si="30"/>
        <v>3</v>
      </c>
      <c r="J26" s="8">
        <f>NPV(Discount_rate,'Shareholder cash flows'!$D13:$D$20)*(1+Discount_rate)
+NPV(Discount_rate,'Shareholder cash flows'!$E13:$E$20)*(1+Discount_rate)
+NPV(Discount_rate,'Shareholder cash flows'!$F13:$F$20)
-NPV(Discount_rate,'Shareholder cash flows'!$C13:$C$20)*(1+Discount_rate)</f>
        <v>10833.500822317237</v>
      </c>
      <c r="K26" s="8">
        <f t="shared" si="19"/>
        <v>613.21702767833403</v>
      </c>
      <c r="L26" s="8">
        <f t="shared" si="31"/>
        <v>562.21702767833631</v>
      </c>
      <c r="M26" s="8">
        <f t="shared" si="20"/>
        <v>-2.2737367544323206E-12</v>
      </c>
      <c r="O26"/>
      <c r="P26" s="23">
        <f>'Shareholder cash flows'!J26</f>
        <v>10833.500822317237</v>
      </c>
      <c r="Q26" s="23">
        <f>'Policyholder cash flows'!H10*$R$6</f>
        <v>379.19117807815297</v>
      </c>
      <c r="R26" s="24">
        <f t="shared" si="18"/>
        <v>11212.692000395391</v>
      </c>
      <c r="S26" s="24">
        <f t="shared" si="21"/>
        <v>637.8648313168386</v>
      </c>
      <c r="T26" s="24">
        <f t="shared" si="32"/>
        <v>530.61147844807965</v>
      </c>
      <c r="U26" s="8">
        <f t="shared" si="22"/>
        <v>56.253352868758952</v>
      </c>
      <c r="V26" s="24">
        <f t="shared" si="33"/>
        <v>56.253352868761951</v>
      </c>
      <c r="Y26" s="23">
        <f t="shared" si="23"/>
        <v>11228.962500000001</v>
      </c>
      <c r="Z26" s="23">
        <f t="shared" si="24"/>
        <v>638.59500000000003</v>
      </c>
      <c r="AA26" s="24">
        <f t="shared" si="34"/>
        <v>534.71250000000146</v>
      </c>
      <c r="AB26" s="24">
        <f t="shared" si="25"/>
        <v>52.882499999998572</v>
      </c>
      <c r="AC26"/>
      <c r="AE26" s="23">
        <f t="shared" si="26"/>
        <v>11341.252125000001</v>
      </c>
      <c r="AF26" s="23">
        <f t="shared" si="27"/>
        <v>645.01154999999994</v>
      </c>
      <c r="AG26" s="24">
        <f t="shared" si="28"/>
        <v>540.05962500000169</v>
      </c>
      <c r="AH26" s="24">
        <f t="shared" si="29"/>
        <v>53.951924999998255</v>
      </c>
      <c r="AI26"/>
    </row>
    <row r="27" spans="2:35" ht="15" x14ac:dyDescent="0.25">
      <c r="B27"/>
      <c r="C27"/>
      <c r="D27"/>
      <c r="E27"/>
      <c r="F27"/>
      <c r="G27"/>
      <c r="H27"/>
      <c r="I27" s="5">
        <f t="shared" si="30"/>
        <v>4</v>
      </c>
      <c r="J27" s="8">
        <f>NPV(Discount_rate,'Shareholder cash flows'!$D14:$D$20)*(1+Discount_rate)
+NPV(Discount_rate,'Shareholder cash flows'!$E14:$E$20)*(1+Discount_rate)
+NPV(Discount_rate,'Shareholder cash flows'!$F14:$F$20)
-NPV(Discount_rate,'Shareholder cash flows'!$C14:$C$20)*(1+Discount_rate)</f>
        <v>11428.36967165627</v>
      </c>
      <c r="K27" s="8">
        <f t="shared" si="19"/>
        <v>646.88884933903421</v>
      </c>
      <c r="L27" s="8">
        <f t="shared" si="31"/>
        <v>594.86884933903275</v>
      </c>
      <c r="M27" s="8">
        <f t="shared" si="20"/>
        <v>1.4779288903810084E-12</v>
      </c>
      <c r="O27"/>
      <c r="P27" s="23">
        <f>'Shareholder cash flows'!J27</f>
        <v>11428.36967165627</v>
      </c>
      <c r="Q27" s="23">
        <f>'Policyholder cash flows'!H11*$R$6</f>
        <v>342.87662825064211</v>
      </c>
      <c r="R27" s="24">
        <f t="shared" si="18"/>
        <v>11771.246299906912</v>
      </c>
      <c r="S27" s="24">
        <f t="shared" si="21"/>
        <v>669.64032002372346</v>
      </c>
      <c r="T27" s="24">
        <f t="shared" si="32"/>
        <v>558.55429951152109</v>
      </c>
      <c r="U27" s="8">
        <f t="shared" si="22"/>
        <v>59.066020512202385</v>
      </c>
      <c r="V27" s="24">
        <f t="shared" si="33"/>
        <v>59.066020512200062</v>
      </c>
      <c r="Y27" s="23">
        <f t="shared" si="23"/>
        <v>11790.410625000002</v>
      </c>
      <c r="Z27" s="23">
        <f t="shared" si="24"/>
        <v>670.61655000000007</v>
      </c>
      <c r="AA27" s="24">
        <f t="shared" si="34"/>
        <v>561.4481250000008</v>
      </c>
      <c r="AB27" s="24">
        <f t="shared" si="25"/>
        <v>57.148424999999293</v>
      </c>
      <c r="AC27"/>
      <c r="AE27" s="23">
        <f t="shared" si="26"/>
        <v>11908.314731250002</v>
      </c>
      <c r="AF27" s="23">
        <f t="shared" si="27"/>
        <v>677.35392750000005</v>
      </c>
      <c r="AG27" s="24">
        <f t="shared" si="28"/>
        <v>567.06260625000141</v>
      </c>
      <c r="AH27" s="24">
        <f t="shared" si="29"/>
        <v>58.271321249998664</v>
      </c>
      <c r="AI27"/>
    </row>
    <row r="28" spans="2:35" ht="15" x14ac:dyDescent="0.25">
      <c r="B28"/>
      <c r="C28"/>
      <c r="D28"/>
      <c r="E28"/>
      <c r="F28"/>
      <c r="G28"/>
      <c r="H28"/>
      <c r="I28" s="5">
        <f t="shared" si="30"/>
        <v>5</v>
      </c>
      <c r="J28" s="8">
        <f>NPV(Discount_rate,'Shareholder cash flows'!$D15:$D$20)*(1+Discount_rate)
+NPV(Discount_rate,'Shareholder cash flows'!$E15:$E$20)*(1+Discount_rate)
+NPV(Discount_rate,'Shareholder cash flows'!$F15:$F$20)
-NPV(Discount_rate,'Shareholder cash flows'!$C15:$C$20)*(1+Discount_rate)</f>
        <v>12057.827827955647</v>
      </c>
      <c r="K28" s="8">
        <f t="shared" si="19"/>
        <v>682.5185562993762</v>
      </c>
      <c r="L28" s="8">
        <f t="shared" si="31"/>
        <v>629.45815629937715</v>
      </c>
      <c r="M28" s="8">
        <f t="shared" si="20"/>
        <v>-9.0949470177292824E-13</v>
      </c>
      <c r="O28"/>
      <c r="P28" s="23">
        <f>'Shareholder cash flows'!J28</f>
        <v>12057.827827955647</v>
      </c>
      <c r="Q28" s="23">
        <f>'Policyholder cash flows'!H12*$R$6</f>
        <v>301.42990440787065</v>
      </c>
      <c r="R28" s="24">
        <f t="shared" si="18"/>
        <v>12359.257732363518</v>
      </c>
      <c r="S28" s="24">
        <f t="shared" si="21"/>
        <v>703.09115399441464</v>
      </c>
      <c r="T28" s="24">
        <f t="shared" si="32"/>
        <v>588.01143245660569</v>
      </c>
      <c r="U28" s="8">
        <f t="shared" si="22"/>
        <v>62.019321537808992</v>
      </c>
      <c r="V28" s="24">
        <f t="shared" si="33"/>
        <v>62.019321537810065</v>
      </c>
      <c r="Y28" s="23">
        <f t="shared" si="23"/>
        <v>12379.931156250002</v>
      </c>
      <c r="Z28" s="23">
        <f t="shared" si="24"/>
        <v>704.24101350000012</v>
      </c>
      <c r="AA28" s="24">
        <f t="shared" si="34"/>
        <v>589.5205312500002</v>
      </c>
      <c r="AB28" s="24">
        <f t="shared" si="25"/>
        <v>61.660082249999959</v>
      </c>
      <c r="AC28"/>
      <c r="AE28" s="23">
        <f t="shared" si="26"/>
        <v>12503.730467812502</v>
      </c>
      <c r="AF28" s="23">
        <f t="shared" si="27"/>
        <v>711.31525987500004</v>
      </c>
      <c r="AG28" s="24">
        <f t="shared" si="28"/>
        <v>595.41573656249966</v>
      </c>
      <c r="AH28" s="24">
        <f t="shared" si="29"/>
        <v>62.839123312500419</v>
      </c>
      <c r="AI28"/>
    </row>
    <row r="29" spans="2:35" ht="15" x14ac:dyDescent="0.25">
      <c r="B29"/>
      <c r="C29"/>
      <c r="D29"/>
      <c r="E29"/>
      <c r="F29"/>
      <c r="G29"/>
      <c r="H29"/>
      <c r="I29" s="5">
        <f t="shared" si="30"/>
        <v>6</v>
      </c>
      <c r="J29" s="8">
        <f>NPV(Discount_rate,'Shareholder cash flows'!$D16:$D$20)*(1+Discount_rate)
+NPV(Discount_rate,'Shareholder cash flows'!$E16:$E$20)*(1+Discount_rate)
+NPV(Discount_rate,'Shareholder cash flows'!$F16:$F$20)
-NPV(Discount_rate,'Shareholder cash flows'!$C16:$C$20)*(1+Discount_rate)</f>
        <v>12723.928593152987</v>
      </c>
      <c r="K29" s="8">
        <f t="shared" si="19"/>
        <v>720.22237319733881</v>
      </c>
      <c r="L29" s="8">
        <f t="shared" si="31"/>
        <v>666.10076519733957</v>
      </c>
      <c r="M29" s="8">
        <f t="shared" si="20"/>
        <v>0</v>
      </c>
      <c r="O29"/>
      <c r="P29" s="23">
        <f>'Shareholder cash flows'!J29</f>
        <v>12723.928593152987</v>
      </c>
      <c r="Q29" s="23">
        <f>'Policyholder cash flows'!H13*$R$6</f>
        <v>254.39541105764229</v>
      </c>
      <c r="R29" s="24">
        <f t="shared" si="18"/>
        <v>12978.324004210628</v>
      </c>
      <c r="S29" s="24">
        <f t="shared" si="21"/>
        <v>738.30816746181108</v>
      </c>
      <c r="T29" s="24">
        <f t="shared" si="32"/>
        <v>619.06627184711033</v>
      </c>
      <c r="U29" s="8">
        <f t="shared" si="22"/>
        <v>65.120287614700715</v>
      </c>
      <c r="V29" s="24">
        <f t="shared" si="33"/>
        <v>65.120287614700572</v>
      </c>
      <c r="Y29" s="23">
        <f t="shared" si="23"/>
        <v>12998.927714062504</v>
      </c>
      <c r="Z29" s="23">
        <f t="shared" si="24"/>
        <v>739.54857289500012</v>
      </c>
      <c r="AA29" s="24">
        <f>Y29-Y28</f>
        <v>618.99655781250112</v>
      </c>
      <c r="AB29" s="24">
        <f t="shared" si="25"/>
        <v>66.430407082498959</v>
      </c>
      <c r="AC29"/>
      <c r="AE29" s="23">
        <f t="shared" si="26"/>
        <v>13128.916991203128</v>
      </c>
      <c r="AF29" s="23">
        <f t="shared" si="27"/>
        <v>746.97653158875016</v>
      </c>
      <c r="AG29" s="24">
        <f>AE29-AE28</f>
        <v>625.18652339062646</v>
      </c>
      <c r="AH29" s="24">
        <f t="shared" si="29"/>
        <v>67.668400198123663</v>
      </c>
      <c r="AI29"/>
    </row>
    <row r="30" spans="2:35" ht="15" x14ac:dyDescent="0.25">
      <c r="B30"/>
      <c r="C30"/>
      <c r="D30"/>
      <c r="E30"/>
      <c r="F30"/>
      <c r="G30"/>
      <c r="H30"/>
      <c r="I30" s="5">
        <f t="shared" si="30"/>
        <v>7</v>
      </c>
      <c r="J30" s="8">
        <f>NPV(Discount_rate,'Shareholder cash flows'!$D17:$D$20)*(1+Discount_rate)
+NPV(Discount_rate,'Shareholder cash flows'!$E17:$E$20)*(1+Discount_rate)
+NPV(Discount_rate,'Shareholder cash flows'!$F17:$F$20)
-NPV(Discount_rate,'Shareholder cash flows'!$C17:$C$20)*(1+Discount_rate)</f>
        <v>13428.848026172567</v>
      </c>
      <c r="K30" s="8">
        <f t="shared" si="19"/>
        <v>760.12347317957915</v>
      </c>
      <c r="L30" s="8">
        <f t="shared" si="31"/>
        <v>704.91943301958054</v>
      </c>
      <c r="M30" s="8">
        <f t="shared" si="20"/>
        <v>-1.3642420526593924E-12</v>
      </c>
      <c r="O30"/>
      <c r="P30" s="23">
        <f>'Shareholder cash flows'!J30</f>
        <v>13428.848026172567</v>
      </c>
      <c r="Q30" s="23">
        <f>'Policyholder cash flows'!H14*$R$6</f>
        <v>201.28283372566528</v>
      </c>
      <c r="R30" s="24">
        <f t="shared" si="18"/>
        <v>13630.130859898232</v>
      </c>
      <c r="S30" s="24">
        <f t="shared" si="21"/>
        <v>775.3871978430376</v>
      </c>
      <c r="T30" s="24">
        <f t="shared" si="32"/>
        <v>651.80685568760418</v>
      </c>
      <c r="U30" s="8">
        <f t="shared" si="22"/>
        <v>68.376301995433437</v>
      </c>
      <c r="V30" s="24">
        <f t="shared" si="33"/>
        <v>68.376301995435597</v>
      </c>
      <c r="Y30" s="23">
        <f t="shared" si="23"/>
        <v>13648.87409976563</v>
      </c>
      <c r="Z30" s="23">
        <f t="shared" si="24"/>
        <v>776.62342043415015</v>
      </c>
      <c r="AA30" s="24">
        <f t="shared" si="34"/>
        <v>649.946385703126</v>
      </c>
      <c r="AB30" s="24">
        <f t="shared" si="25"/>
        <v>71.472994571024174</v>
      </c>
      <c r="AC30"/>
      <c r="AE30" s="23">
        <f t="shared" si="26"/>
        <v>13785.362840763286</v>
      </c>
      <c r="AF30" s="23">
        <f t="shared" si="27"/>
        <v>784.42277706258767</v>
      </c>
      <c r="AG30" s="24">
        <f t="shared" si="28"/>
        <v>656.44584956015751</v>
      </c>
      <c r="AH30" s="24">
        <f t="shared" si="29"/>
        <v>72.772887342430181</v>
      </c>
      <c r="AI30"/>
    </row>
    <row r="31" spans="2:35" ht="15" x14ac:dyDescent="0.25">
      <c r="B31"/>
      <c r="C31"/>
      <c r="D31"/>
      <c r="E31"/>
      <c r="F31"/>
      <c r="G31"/>
      <c r="H31"/>
      <c r="I31" s="5">
        <f t="shared" si="30"/>
        <v>8</v>
      </c>
      <c r="J31" s="8">
        <f>NPV(Discount_rate,'Shareholder cash flows'!$D18:$D$20)*(1+Discount_rate)
+NPV(Discount_rate,'Shareholder cash flows'!$E18:$E$20)*(1+Discount_rate)
+NPV(Discount_rate,'Shareholder cash flows'!$F18:$F$20)
-NPV(Discount_rate,'Shareholder cash flows'!$C18:$C$20)*(1+Discount_rate)</f>
        <v>14174.892299521933</v>
      </c>
      <c r="K31" s="8">
        <f t="shared" si="19"/>
        <v>802.35239431256196</v>
      </c>
      <c r="L31" s="8">
        <f t="shared" si="31"/>
        <v>746.04427334936554</v>
      </c>
      <c r="M31" s="8">
        <f t="shared" si="20"/>
        <v>-3.637978807091713E-12</v>
      </c>
      <c r="O31"/>
      <c r="P31" s="23">
        <f>'Shareholder cash flows'!J31</f>
        <v>14174.892299521933</v>
      </c>
      <c r="Q31" s="23">
        <f>'Policyholder cash flows'!H15*$R$6</f>
        <v>141.56468665399782</v>
      </c>
      <c r="R31" s="24">
        <f t="shared" si="18"/>
        <v>14316.45698617593</v>
      </c>
      <c r="S31" s="24">
        <f t="shared" si="21"/>
        <v>814.42936433610191</v>
      </c>
      <c r="T31" s="24">
        <f t="shared" si="32"/>
        <v>686.32612627769777</v>
      </c>
      <c r="U31" s="8">
        <f t="shared" si="22"/>
        <v>71.795117095204091</v>
      </c>
      <c r="V31" s="24">
        <f t="shared" si="33"/>
        <v>71.795117095207388</v>
      </c>
      <c r="Y31" s="23">
        <f t="shared" si="23"/>
        <v>14331.317804753911</v>
      </c>
      <c r="Z31" s="23">
        <f t="shared" si="24"/>
        <v>815.55395872814574</v>
      </c>
      <c r="AA31" s="24">
        <f t="shared" si="34"/>
        <v>682.44370498828175</v>
      </c>
      <c r="AB31" s="24">
        <f t="shared" si="25"/>
        <v>76.802132776663939</v>
      </c>
      <c r="AC31"/>
      <c r="AE31" s="23">
        <f t="shared" si="26"/>
        <v>14474.630982801451</v>
      </c>
      <c r="AF31" s="23">
        <f t="shared" si="27"/>
        <v>823.74328318800508</v>
      </c>
      <c r="AG31" s="24">
        <f t="shared" si="28"/>
        <v>689.26814203816502</v>
      </c>
      <c r="AH31" s="24">
        <f t="shared" si="29"/>
        <v>78.167020186640002</v>
      </c>
      <c r="AI31"/>
    </row>
    <row r="32" spans="2:35" ht="15" x14ac:dyDescent="0.25">
      <c r="B32"/>
      <c r="C32"/>
      <c r="D32"/>
      <c r="E32"/>
      <c r="F32"/>
      <c r="G32"/>
      <c r="H32"/>
      <c r="I32" s="5">
        <f t="shared" si="30"/>
        <v>9</v>
      </c>
      <c r="J32" s="8">
        <f>NPV(Discount_rate,'Shareholder cash flows'!$D19:$D$20)*(1+Discount_rate)
+NPV(Discount_rate,'Shareholder cash flows'!$E19:$E$20)*(1+Discount_rate)
+NPV(Discount_rate,'Shareholder cash flows'!$F19:$F$20)
-NPV(Discount_rate,'Shareholder cash flows'!$C19:$C$20)*(1+Discount_rate)</f>
        <v>14964.505497107837</v>
      </c>
      <c r="K32" s="8">
        <f t="shared" si="19"/>
        <v>847.04748096836806</v>
      </c>
      <c r="L32" s="8">
        <f t="shared" si="31"/>
        <v>789.61319758590435</v>
      </c>
      <c r="M32" s="8">
        <f t="shared" si="20"/>
        <v>0</v>
      </c>
      <c r="O32"/>
      <c r="P32" s="23">
        <f>'Shareholder cash flows'!J32</f>
        <v>14964.505497107837</v>
      </c>
      <c r="Q32" s="23">
        <f>'Policyholder cash flows'!H16*$R$6</f>
        <v>74.673694903269947</v>
      </c>
      <c r="R32" s="24">
        <f t="shared" si="18"/>
        <v>15039.179192011106</v>
      </c>
      <c r="S32" s="24">
        <f t="shared" si="21"/>
        <v>855.54136216760787</v>
      </c>
      <c r="T32" s="24">
        <f t="shared" si="32"/>
        <v>722.72220583517628</v>
      </c>
      <c r="U32" s="8">
        <f t="shared" si="22"/>
        <v>75.384872949967644</v>
      </c>
      <c r="V32" s="24">
        <f t="shared" si="33"/>
        <v>75.384872949967757</v>
      </c>
      <c r="Y32" s="23">
        <f t="shared" si="23"/>
        <v>15047.883694991606</v>
      </c>
      <c r="Z32" s="23">
        <f t="shared" si="24"/>
        <v>856.43301128228677</v>
      </c>
      <c r="AA32" s="24">
        <f t="shared" si="34"/>
        <v>716.56589023769448</v>
      </c>
      <c r="AB32" s="24">
        <f t="shared" si="25"/>
        <v>82.43283766212835</v>
      </c>
      <c r="AC32"/>
      <c r="AE32" s="23">
        <f t="shared" si="26"/>
        <v>15198.362531941522</v>
      </c>
      <c r="AF32" s="23">
        <f t="shared" si="27"/>
        <v>865.03180196513915</v>
      </c>
      <c r="AG32" s="24">
        <f t="shared" si="28"/>
        <v>723.73154914007137</v>
      </c>
      <c r="AH32" s="24">
        <f t="shared" si="29"/>
        <v>83.865969442603841</v>
      </c>
      <c r="AI32"/>
    </row>
    <row r="33" spans="2:35" ht="15" x14ac:dyDescent="0.25">
      <c r="B33"/>
      <c r="C33"/>
      <c r="D33"/>
      <c r="E33"/>
      <c r="F33"/>
      <c r="G33"/>
      <c r="H33"/>
      <c r="I33" s="5">
        <f t="shared" si="30"/>
        <v>10</v>
      </c>
      <c r="J33" s="8">
        <f>NPV(Discount_rate,'Shareholder cash flows'!$D20:$D$20)*(1+Discount_rate)
+NPV(Discount_rate,'Shareholder cash flows'!$E20:$E$20)*(1+Discount_rate)
+NPV(Discount_rate,'Shareholder cash flows'!$F20:$F$20)
-NPV(Discount_rate,'Shareholder cash flows'!$C20:$C$20)*(1+Discount_rate)</f>
        <v>0</v>
      </c>
      <c r="K33" s="8">
        <f t="shared" si="19"/>
        <v>894.35535168346337</v>
      </c>
      <c r="L33" s="8">
        <f t="shared" si="31"/>
        <v>-14964.505497107837</v>
      </c>
      <c r="M33" s="8">
        <f t="shared" si="20"/>
        <v>0</v>
      </c>
      <c r="O33"/>
      <c r="P33" s="23">
        <f>'Shareholder cash flows'!J33</f>
        <v>0</v>
      </c>
      <c r="Q33" s="23">
        <f>'Policyholder cash flows'!H17*$R$6</f>
        <v>0</v>
      </c>
      <c r="R33" s="24">
        <f t="shared" si="18"/>
        <v>0</v>
      </c>
      <c r="S33" s="24">
        <f t="shared" si="21"/>
        <v>898.83577337765951</v>
      </c>
      <c r="T33" s="24">
        <f t="shared" si="32"/>
        <v>-15039.179192011106</v>
      </c>
      <c r="U33" s="8">
        <f t="shared" si="22"/>
        <v>79.154116597464963</v>
      </c>
      <c r="V33" s="24">
        <f t="shared" si="33"/>
        <v>79.154116597466142</v>
      </c>
      <c r="Y33" s="23"/>
      <c r="Z33" s="23">
        <f t="shared" si="24"/>
        <v>899.35804355648952</v>
      </c>
      <c r="AA33" s="24">
        <f t="shared" si="34"/>
        <v>-15047.883694991606</v>
      </c>
      <c r="AB33" s="24">
        <f t="shared" si="25"/>
        <v>88.380889756794204</v>
      </c>
      <c r="AC33"/>
      <c r="AE33" s="23"/>
      <c r="AF33" s="23">
        <f t="shared" si="27"/>
        <v>908.38677377348449</v>
      </c>
      <c r="AG33" s="24">
        <f t="shared" si="28"/>
        <v>-15198.362531941522</v>
      </c>
      <c r="AH33" s="24">
        <f t="shared" si="29"/>
        <v>247.88845692370523</v>
      </c>
      <c r="AI33"/>
    </row>
    <row r="34" spans="2:35" ht="15" x14ac:dyDescent="0.25">
      <c r="B34"/>
      <c r="C34"/>
      <c r="D34"/>
      <c r="E34"/>
      <c r="F34"/>
      <c r="G34"/>
      <c r="H34"/>
      <c r="I34"/>
      <c r="J34"/>
      <c r="K34"/>
      <c r="L34"/>
      <c r="M34"/>
      <c r="N34"/>
      <c r="O34"/>
    </row>
    <row r="35" spans="2:35" ht="15" x14ac:dyDescent="0.25">
      <c r="B35"/>
      <c r="C35"/>
      <c r="D35"/>
      <c r="E35"/>
      <c r="F35"/>
      <c r="G35"/>
      <c r="H35"/>
      <c r="I35"/>
      <c r="J35"/>
      <c r="K35"/>
      <c r="L35"/>
      <c r="M35"/>
      <c r="N35"/>
      <c r="O35"/>
    </row>
    <row r="36" spans="2:35" ht="15" x14ac:dyDescent="0.25">
      <c r="B36"/>
      <c r="C36"/>
      <c r="D36"/>
      <c r="E36"/>
      <c r="F36"/>
      <c r="G36"/>
      <c r="H36"/>
      <c r="I36"/>
      <c r="J36"/>
      <c r="K36"/>
      <c r="L36"/>
      <c r="M36"/>
      <c r="N36"/>
      <c r="O36"/>
    </row>
    <row r="37" spans="2:35" ht="15" x14ac:dyDescent="0.25">
      <c r="B37"/>
      <c r="C37"/>
      <c r="D37"/>
      <c r="E37"/>
      <c r="F37"/>
      <c r="G37"/>
      <c r="H37"/>
      <c r="I37"/>
      <c r="J37"/>
      <c r="K37"/>
      <c r="L37"/>
      <c r="M37"/>
      <c r="N37"/>
      <c r="O37"/>
    </row>
    <row r="38" spans="2:35" ht="15" x14ac:dyDescent="0.25">
      <c r="B38"/>
      <c r="C38"/>
      <c r="D38"/>
      <c r="E38"/>
      <c r="F38"/>
      <c r="G38"/>
      <c r="H38"/>
      <c r="I38"/>
      <c r="J38"/>
      <c r="K38"/>
      <c r="L38"/>
      <c r="M38"/>
      <c r="N38"/>
      <c r="O38"/>
    </row>
    <row r="39" spans="2:35" ht="15" x14ac:dyDescent="0.25">
      <c r="B39"/>
      <c r="C39"/>
      <c r="D39"/>
      <c r="E39"/>
      <c r="F39"/>
      <c r="G39"/>
      <c r="H39"/>
      <c r="I39"/>
      <c r="J39"/>
      <c r="K39"/>
      <c r="L39"/>
      <c r="M39"/>
      <c r="N39"/>
      <c r="O39"/>
    </row>
    <row r="40" spans="2:35" ht="15" x14ac:dyDescent="0.25">
      <c r="B40"/>
      <c r="C40"/>
      <c r="D40"/>
      <c r="E40"/>
      <c r="F40"/>
      <c r="G40"/>
      <c r="H40"/>
      <c r="I40"/>
      <c r="J40"/>
      <c r="K40"/>
      <c r="L40"/>
      <c r="M40"/>
      <c r="N40"/>
      <c r="O40"/>
    </row>
    <row r="41" spans="2:35" ht="15" x14ac:dyDescent="0.25">
      <c r="B41"/>
      <c r="C41"/>
      <c r="D41"/>
      <c r="E41"/>
      <c r="F41"/>
      <c r="G41"/>
      <c r="H41"/>
      <c r="I41"/>
      <c r="J41"/>
      <c r="K41"/>
      <c r="L41" s="10"/>
      <c r="M41"/>
      <c r="N41"/>
      <c r="O41"/>
    </row>
    <row r="42" spans="2:35" ht="15" x14ac:dyDescent="0.25">
      <c r="B42"/>
      <c r="C42"/>
      <c r="D42"/>
      <c r="E42"/>
      <c r="F42"/>
      <c r="G42"/>
      <c r="H42"/>
      <c r="I42"/>
      <c r="J42"/>
      <c r="K42"/>
      <c r="L42" s="10"/>
      <c r="M42" s="11"/>
      <c r="N42" s="11"/>
    </row>
    <row r="43" spans="2:35" ht="15" x14ac:dyDescent="0.25">
      <c r="B43"/>
      <c r="C43"/>
      <c r="D43"/>
      <c r="E43"/>
      <c r="F43"/>
      <c r="G43"/>
      <c r="H43"/>
      <c r="I43"/>
      <c r="J43"/>
      <c r="K43"/>
      <c r="L43" s="10"/>
      <c r="M43" s="11"/>
      <c r="N43" s="11"/>
    </row>
    <row r="44" spans="2:35" ht="15" x14ac:dyDescent="0.25">
      <c r="B44"/>
      <c r="C44"/>
      <c r="D44"/>
      <c r="E44"/>
      <c r="F44"/>
      <c r="G44"/>
      <c r="H44"/>
      <c r="I44"/>
      <c r="J44"/>
      <c r="K44"/>
      <c r="L44" s="10"/>
      <c r="M44" s="11"/>
      <c r="N44" s="11"/>
    </row>
  </sheetData>
  <mergeCells count="11">
    <mergeCell ref="AE7:AI7"/>
    <mergeCell ref="P7:W7"/>
    <mergeCell ref="Y7:AC7"/>
    <mergeCell ref="B8:G8"/>
    <mergeCell ref="I7:I8"/>
    <mergeCell ref="J7:N7"/>
    <mergeCell ref="I21:I22"/>
    <mergeCell ref="J21:N21"/>
    <mergeCell ref="P21:W21"/>
    <mergeCell ref="Y21:AC21"/>
    <mergeCell ref="AE21:AI21"/>
  </mergeCell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7" sqref="D7"/>
    </sheetView>
  </sheetViews>
  <sheetFormatPr defaultRowHeight="15" x14ac:dyDescent="0.25"/>
  <cols>
    <col min="3" max="3" width="10.7109375" customWidth="1"/>
    <col min="5" max="5" width="9.140625" customWidth="1"/>
    <col min="6" max="6" width="13.7109375" customWidth="1"/>
    <col min="11" max="11" width="9.85546875" bestFit="1" customWidth="1"/>
  </cols>
  <sheetData>
    <row r="1" spans="1:8" x14ac:dyDescent="0.25">
      <c r="A1" s="1" t="s">
        <v>42</v>
      </c>
    </row>
    <row r="4" spans="1:8" ht="15" customHeight="1" x14ac:dyDescent="0.25"/>
    <row r="5" spans="1:8" x14ac:dyDescent="0.25">
      <c r="B5" s="71" t="s">
        <v>27</v>
      </c>
      <c r="C5" s="72"/>
      <c r="D5" s="72"/>
      <c r="E5" s="72"/>
      <c r="F5" s="72"/>
      <c r="G5" s="72"/>
      <c r="H5" s="73"/>
    </row>
    <row r="6" spans="1:8" ht="40.5" x14ac:dyDescent="0.25">
      <c r="B6" s="53" t="s">
        <v>14</v>
      </c>
      <c r="C6" s="13" t="s">
        <v>73</v>
      </c>
      <c r="D6" s="13" t="s">
        <v>69</v>
      </c>
      <c r="E6" s="13" t="s">
        <v>31</v>
      </c>
      <c r="F6" s="13" t="s">
        <v>71</v>
      </c>
      <c r="G6" s="25" t="s">
        <v>70</v>
      </c>
      <c r="H6" s="25" t="s">
        <v>56</v>
      </c>
    </row>
    <row r="7" spans="1:8" x14ac:dyDescent="0.25">
      <c r="B7" s="5">
        <v>1</v>
      </c>
      <c r="C7" s="8">
        <f>Single_premium*(1-Entry_fee)</f>
        <v>9700</v>
      </c>
      <c r="D7" s="8">
        <f>C7</f>
        <v>9700</v>
      </c>
      <c r="E7" s="8">
        <f t="shared" ref="E7:E16" si="0">D7*Investment_rate</f>
        <v>582</v>
      </c>
      <c r="F7" s="8">
        <f t="shared" ref="F7:F16" si="1">D7*Investment_Fee</f>
        <v>97</v>
      </c>
      <c r="G7" s="8">
        <f>D7+E7-F7</f>
        <v>10185</v>
      </c>
      <c r="H7" s="8">
        <f>NPV(Discount_rate,F7:$F$16)</f>
        <v>877.20735814504633</v>
      </c>
    </row>
    <row r="8" spans="1:8" x14ac:dyDescent="0.25">
      <c r="B8" s="5">
        <f>1+B7</f>
        <v>2</v>
      </c>
      <c r="C8" s="8" t="s">
        <v>43</v>
      </c>
      <c r="D8" s="8">
        <f>G7</f>
        <v>10185</v>
      </c>
      <c r="E8" s="8">
        <f t="shared" si="0"/>
        <v>611.1</v>
      </c>
      <c r="F8" s="8">
        <f t="shared" si="1"/>
        <v>101.85000000000001</v>
      </c>
      <c r="G8" s="8">
        <f t="shared" ref="G8:G15" si="2">D8+E8-F8</f>
        <v>10694.25</v>
      </c>
      <c r="H8" s="8">
        <f>NPV(Discount_rate,F8:$F$16)</f>
        <v>832.83979963374918</v>
      </c>
    </row>
    <row r="9" spans="1:8" x14ac:dyDescent="0.25">
      <c r="B9" s="5">
        <f t="shared" ref="B9:B16" si="3">1+B8</f>
        <v>3</v>
      </c>
      <c r="C9" s="8" t="s">
        <v>44</v>
      </c>
      <c r="D9" s="8">
        <f t="shared" ref="D9:D16" si="4">G8</f>
        <v>10694.25</v>
      </c>
      <c r="E9" s="8">
        <f t="shared" si="0"/>
        <v>641.65499999999997</v>
      </c>
      <c r="F9" s="8">
        <f t="shared" si="1"/>
        <v>106.9425</v>
      </c>
      <c r="G9" s="8">
        <f t="shared" si="2"/>
        <v>11228.962500000001</v>
      </c>
      <c r="H9" s="8">
        <f>NPV(Discount_rate,F9:$F$16)</f>
        <v>780.96018761177402</v>
      </c>
    </row>
    <row r="10" spans="1:8" x14ac:dyDescent="0.25">
      <c r="B10" s="5">
        <f t="shared" si="3"/>
        <v>4</v>
      </c>
      <c r="C10" s="8" t="s">
        <v>43</v>
      </c>
      <c r="D10" s="8">
        <f t="shared" si="4"/>
        <v>11228.962500000001</v>
      </c>
      <c r="E10" s="8">
        <f>D10*Investment_rate</f>
        <v>673.73775000000012</v>
      </c>
      <c r="F10" s="8">
        <f t="shared" si="1"/>
        <v>112.28962500000002</v>
      </c>
      <c r="G10" s="8">
        <f t="shared" si="2"/>
        <v>11790.410625000002</v>
      </c>
      <c r="H10" s="8">
        <f>NPV(Discount_rate,F10:$F$16)</f>
        <v>720.87529886848063</v>
      </c>
    </row>
    <row r="11" spans="1:8" x14ac:dyDescent="0.25">
      <c r="B11" s="5">
        <f t="shared" si="3"/>
        <v>5</v>
      </c>
      <c r="C11" s="8" t="s">
        <v>43</v>
      </c>
      <c r="D11" s="8">
        <f t="shared" si="4"/>
        <v>11790.410625000002</v>
      </c>
      <c r="E11" s="8">
        <f t="shared" si="0"/>
        <v>707.42463750000013</v>
      </c>
      <c r="F11" s="8">
        <f t="shared" si="1"/>
        <v>117.90410625000003</v>
      </c>
      <c r="G11" s="8">
        <f t="shared" si="2"/>
        <v>12379.931156250002</v>
      </c>
      <c r="H11" s="8">
        <f>NPV(Discount_rate,F11:$F$16)</f>
        <v>651.83819180058947</v>
      </c>
    </row>
    <row r="12" spans="1:8" x14ac:dyDescent="0.25">
      <c r="B12" s="5">
        <f t="shared" si="3"/>
        <v>6</v>
      </c>
      <c r="C12" s="8" t="s">
        <v>43</v>
      </c>
      <c r="D12" s="8">
        <f t="shared" si="4"/>
        <v>12379.931156250002</v>
      </c>
      <c r="E12" s="8">
        <f t="shared" si="0"/>
        <v>742.79586937500017</v>
      </c>
      <c r="F12" s="8">
        <f t="shared" si="1"/>
        <v>123.79931156250002</v>
      </c>
      <c r="G12" s="8">
        <f t="shared" si="2"/>
        <v>12998.927714062504</v>
      </c>
      <c r="H12" s="8">
        <f>NPV(Discount_rate,F12:$F$16)</f>
        <v>573.04437705862495</v>
      </c>
    </row>
    <row r="13" spans="1:8" x14ac:dyDescent="0.25">
      <c r="B13" s="5">
        <f t="shared" si="3"/>
        <v>7</v>
      </c>
      <c r="C13" s="8" t="s">
        <v>43</v>
      </c>
      <c r="D13" s="8">
        <f t="shared" si="4"/>
        <v>12998.927714062504</v>
      </c>
      <c r="E13" s="8">
        <f t="shared" si="0"/>
        <v>779.93566284375015</v>
      </c>
      <c r="F13" s="8">
        <f t="shared" si="1"/>
        <v>129.98927714062503</v>
      </c>
      <c r="G13" s="8">
        <f t="shared" si="2"/>
        <v>13648.87409976563</v>
      </c>
      <c r="H13" s="8">
        <f>NPV(Discount_rate,F13:$F$16)</f>
        <v>483.62772811964237</v>
      </c>
    </row>
    <row r="14" spans="1:8" x14ac:dyDescent="0.25">
      <c r="B14" s="5">
        <f t="shared" si="3"/>
        <v>8</v>
      </c>
      <c r="C14" s="8" t="s">
        <v>43</v>
      </c>
      <c r="D14" s="8">
        <f t="shared" si="4"/>
        <v>13648.87409976563</v>
      </c>
      <c r="E14" s="8">
        <f t="shared" si="0"/>
        <v>818.93244598593776</v>
      </c>
      <c r="F14" s="8">
        <f t="shared" si="1"/>
        <v>136.48874099765629</v>
      </c>
      <c r="G14" s="8">
        <f t="shared" si="2"/>
        <v>14331.317804753911</v>
      </c>
      <c r="H14" s="8">
        <f>NPV(Discount_rate,F14:$F$16)</f>
        <v>382.656114666196</v>
      </c>
    </row>
    <row r="15" spans="1:8" x14ac:dyDescent="0.25">
      <c r="B15" s="5">
        <f t="shared" si="3"/>
        <v>9</v>
      </c>
      <c r="C15" s="8" t="s">
        <v>43</v>
      </c>
      <c r="D15" s="8">
        <f t="shared" si="4"/>
        <v>14331.317804753911</v>
      </c>
      <c r="E15" s="8">
        <f t="shared" si="0"/>
        <v>859.87906828523467</v>
      </c>
      <c r="F15" s="8">
        <f t="shared" si="1"/>
        <v>143.31317804753911</v>
      </c>
      <c r="G15" s="8">
        <f t="shared" si="2"/>
        <v>15047.883694991606</v>
      </c>
      <c r="H15" s="8">
        <f>NPV(Discount_rate,F15:$F$16)</f>
        <v>269.12674054851146</v>
      </c>
    </row>
    <row r="16" spans="1:8" x14ac:dyDescent="0.25">
      <c r="B16" s="5">
        <f t="shared" si="3"/>
        <v>10</v>
      </c>
      <c r="C16" s="8" t="s">
        <v>43</v>
      </c>
      <c r="D16" s="8">
        <f t="shared" si="4"/>
        <v>15047.883694991606</v>
      </c>
      <c r="E16" s="8">
        <f t="shared" si="0"/>
        <v>902.87302169949635</v>
      </c>
      <c r="F16" s="8">
        <f t="shared" si="1"/>
        <v>150.47883694991606</v>
      </c>
      <c r="G16" s="8">
        <f>D16+E16-F16</f>
        <v>15800.277879741187</v>
      </c>
      <c r="H16" s="8">
        <f>NPV(Discount_rate,F16:$F$16)</f>
        <v>141.96116693388308</v>
      </c>
    </row>
    <row r="19" spans="2:2" x14ac:dyDescent="0.25">
      <c r="B19" t="s">
        <v>46</v>
      </c>
    </row>
    <row r="20" spans="2:2" x14ac:dyDescent="0.25">
      <c r="B20" t="s">
        <v>47</v>
      </c>
    </row>
    <row r="21" spans="2:2" x14ac:dyDescent="0.25">
      <c r="B21" t="s">
        <v>74</v>
      </c>
    </row>
  </sheetData>
  <mergeCells count="1">
    <mergeCell ref="B5:H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opLeftCell="A65" zoomScaleNormal="100" workbookViewId="0">
      <selection activeCell="E92" sqref="E92"/>
    </sheetView>
  </sheetViews>
  <sheetFormatPr defaultRowHeight="13.5" x14ac:dyDescent="0.25"/>
  <cols>
    <col min="1" max="1" width="9.140625" style="2"/>
    <col min="2" max="2" width="9.5703125" style="2" bestFit="1" customWidth="1"/>
    <col min="3" max="3" width="9.85546875" style="2" customWidth="1"/>
    <col min="4" max="4" width="12.85546875" style="2" bestFit="1" customWidth="1"/>
    <col min="5" max="5" width="13.42578125" style="2" customWidth="1"/>
    <col min="6" max="6" width="11.5703125" style="2" customWidth="1"/>
    <col min="7" max="7" width="12.140625" style="2" customWidth="1"/>
    <col min="8" max="8" width="9.140625" style="2"/>
    <col min="9" max="9" width="8.85546875" style="2" customWidth="1"/>
    <col min="10" max="16384" width="9.140625" style="2"/>
  </cols>
  <sheetData>
    <row r="1" spans="1:13" ht="15" x14ac:dyDescent="0.25">
      <c r="A1" s="1" t="s">
        <v>35</v>
      </c>
    </row>
    <row r="2" spans="1:13" x14ac:dyDescent="0.25">
      <c r="E2" s="20"/>
    </row>
    <row r="3" spans="1:13" ht="15" x14ac:dyDescent="0.25">
      <c r="A3" s="1" t="s">
        <v>26</v>
      </c>
      <c r="E3" s="20"/>
    </row>
    <row r="5" spans="1:13" ht="15" customHeight="1" x14ac:dyDescent="0.25">
      <c r="A5" s="76" t="s">
        <v>81</v>
      </c>
      <c r="B5" s="78" t="s">
        <v>26</v>
      </c>
      <c r="C5" s="79"/>
      <c r="D5" s="79"/>
      <c r="E5" s="80"/>
    </row>
    <row r="6" spans="1:13" ht="27" x14ac:dyDescent="0.25">
      <c r="A6" s="77"/>
      <c r="B6" s="22" t="s">
        <v>33</v>
      </c>
      <c r="C6" s="22" t="s">
        <v>31</v>
      </c>
      <c r="D6" s="22" t="s">
        <v>34</v>
      </c>
      <c r="E6" s="22" t="s">
        <v>25</v>
      </c>
    </row>
    <row r="7" spans="1:13" x14ac:dyDescent="0.25">
      <c r="A7" s="21">
        <v>0</v>
      </c>
      <c r="B7" s="23">
        <f>(B8+'Shareholder cash flows'!F10)/(1+Discount_rate)</f>
        <v>9188.5758229253333</v>
      </c>
      <c r="C7" s="23"/>
      <c r="D7" s="24">
        <f>B7</f>
        <v>9188.5758229253333</v>
      </c>
      <c r="E7" s="24">
        <f>C7-D7+'Shareholder cash flows'!G10</f>
        <v>461.42417707466666</v>
      </c>
      <c r="F7" s="7"/>
      <c r="G7" s="2">
        <f>B8/(1+Discount_rate)+'Shareholder cash flows'!D10+'Shareholder cash flows'!E10</f>
        <v>9538.5758229253333</v>
      </c>
      <c r="H7" s="2">
        <f>10000-G7</f>
        <v>461.42417707466666</v>
      </c>
      <c r="I7" s="9"/>
      <c r="J7" s="9"/>
      <c r="K7" s="2">
        <f>G7-'Shareholder cash flows'!D10-'Shareholder cash flows'!E10</f>
        <v>9188.5758229253333</v>
      </c>
    </row>
    <row r="8" spans="1:13" x14ac:dyDescent="0.25">
      <c r="A8" s="21">
        <f>1+A7</f>
        <v>1</v>
      </c>
      <c r="B8" s="23">
        <f>(B9+'Shareholder cash flows'!F11)/(1+Discount_rate)+'Shareholder cash flows'!D11+'Shareholder cash flows'!E11</f>
        <v>9739.8903723008534</v>
      </c>
      <c r="C8" s="23">
        <f>(B7)*Investment_rate</f>
        <v>551.31454937551996</v>
      </c>
      <c r="D8" s="24">
        <f>B8-D7</f>
        <v>551.31454937552007</v>
      </c>
      <c r="E8" s="24">
        <f>+'Liability and profit'!C8-'Liability and profit'!D8</f>
        <v>0</v>
      </c>
      <c r="F8" s="7"/>
      <c r="I8" s="9"/>
      <c r="K8" s="7">
        <f>C8</f>
        <v>551.31454937551996</v>
      </c>
      <c r="L8" s="7">
        <f>B8-G7</f>
        <v>201.31454937552007</v>
      </c>
      <c r="M8" s="2">
        <f>-'Shareholder cash flows'!D10-'Shareholder cash flows'!E10</f>
        <v>-350</v>
      </c>
    </row>
    <row r="9" spans="1:13" x14ac:dyDescent="0.25">
      <c r="A9" s="21">
        <f t="shared" ref="A9:A17" si="0">1+A8</f>
        <v>2</v>
      </c>
      <c r="B9" s="23">
        <f>(B10+'Shareholder cash flows'!F12)/(1+Discount_rate)+'Shareholder cash flows'!D12+'Shareholder cash flows'!E12</f>
        <v>10271.283794638905</v>
      </c>
      <c r="C9" s="23">
        <f>(B8-'Shareholder cash flows'!D11-'Shareholder cash flows'!E11)*Investment_rate</f>
        <v>581.39342233805121</v>
      </c>
      <c r="D9" s="24">
        <f t="shared" ref="D9:D17" si="1">B9-B8</f>
        <v>531.3934223380511</v>
      </c>
      <c r="E9" s="24">
        <f>'Shareholder cash flows'!G11+'Liability and profit'!C9-'Liability and profit'!D9</f>
        <v>0</v>
      </c>
      <c r="I9" s="9"/>
    </row>
    <row r="10" spans="1:13" x14ac:dyDescent="0.25">
      <c r="A10" s="21">
        <f t="shared" si="0"/>
        <v>3</v>
      </c>
      <c r="B10" s="23">
        <f>(B11+'Shareholder cash flows'!F13)/(1+Discount_rate)+'Shareholder cash flows'!D13+'Shareholder cash flows'!E13</f>
        <v>10833.500822317239</v>
      </c>
      <c r="C10" s="23">
        <f>(B9-'Shareholder cash flows'!D12-'Shareholder cash flows'!E12)*Investment_rate</f>
        <v>613.21702767833426</v>
      </c>
      <c r="D10" s="24">
        <f t="shared" si="1"/>
        <v>562.21702767833449</v>
      </c>
      <c r="E10" s="24">
        <f>'Shareholder cash flows'!G12+'Liability and profit'!C10-'Liability and profit'!D10</f>
        <v>0</v>
      </c>
      <c r="I10" s="9"/>
    </row>
    <row r="11" spans="1:13" x14ac:dyDescent="0.25">
      <c r="A11" s="21">
        <f t="shared" si="0"/>
        <v>4</v>
      </c>
      <c r="B11" s="23">
        <f>(B12+'Shareholder cash flows'!F14)/(1+Discount_rate)+'Shareholder cash flows'!D14+'Shareholder cash flows'!E14</f>
        <v>11428.369671656274</v>
      </c>
      <c r="C11" s="23">
        <f>(B10-'Shareholder cash flows'!D13-'Shareholder cash flows'!E13)*Investment_rate</f>
        <v>646.88884933903432</v>
      </c>
      <c r="D11" s="24">
        <f t="shared" si="1"/>
        <v>594.86884933903457</v>
      </c>
      <c r="E11" s="24">
        <f>'Shareholder cash flows'!G13+'Liability and profit'!C11-'Liability and profit'!D11</f>
        <v>0</v>
      </c>
      <c r="I11" s="9"/>
    </row>
    <row r="12" spans="1:13" x14ac:dyDescent="0.25">
      <c r="A12" s="21">
        <f t="shared" si="0"/>
        <v>5</v>
      </c>
      <c r="B12" s="23">
        <f>(B13+'Shareholder cash flows'!F15)/(1+Discount_rate)+'Shareholder cash flows'!D15+'Shareholder cash flows'!E15</f>
        <v>12057.827827955651</v>
      </c>
      <c r="C12" s="23">
        <f>(B11-'Shareholder cash flows'!D14-'Shareholder cash flows'!E14)*Investment_rate</f>
        <v>682.51855629937631</v>
      </c>
      <c r="D12" s="24">
        <f t="shared" si="1"/>
        <v>629.45815629937715</v>
      </c>
      <c r="E12" s="24">
        <f>'Shareholder cash flows'!G14+'Liability and profit'!C12-'Liability and profit'!D12</f>
        <v>0</v>
      </c>
      <c r="I12" s="9"/>
    </row>
    <row r="13" spans="1:13" x14ac:dyDescent="0.25">
      <c r="A13" s="21">
        <f t="shared" si="0"/>
        <v>6</v>
      </c>
      <c r="B13" s="23">
        <f>(B14+'Shareholder cash flows'!F16)/(1+Discount_rate)+'Shareholder cash flows'!D16+'Shareholder cash flows'!E16</f>
        <v>12723.92859315299</v>
      </c>
      <c r="C13" s="23">
        <f>(B12-'Shareholder cash flows'!D15-'Shareholder cash flows'!E15)*Investment_rate</f>
        <v>720.22237319733904</v>
      </c>
      <c r="D13" s="24">
        <f t="shared" si="1"/>
        <v>666.10076519733957</v>
      </c>
      <c r="E13" s="24">
        <f>'Shareholder cash flows'!G15+'Liability and profit'!C13-'Liability and profit'!D13</f>
        <v>0</v>
      </c>
      <c r="I13" s="9"/>
    </row>
    <row r="14" spans="1:13" x14ac:dyDescent="0.25">
      <c r="A14" s="21">
        <f t="shared" si="0"/>
        <v>7</v>
      </c>
      <c r="B14" s="23">
        <f>(B15+'Shareholder cash flows'!F17)/(1+Discount_rate)+'Shareholder cash flows'!D17+'Shareholder cash flows'!E17</f>
        <v>13428.848026172569</v>
      </c>
      <c r="C14" s="23">
        <f>(B13-'Shareholder cash flows'!D16-'Shareholder cash flows'!E16)*Investment_rate</f>
        <v>760.12347317957938</v>
      </c>
      <c r="D14" s="24">
        <f t="shared" si="1"/>
        <v>704.91943301957872</v>
      </c>
      <c r="E14" s="24">
        <f>'Shareholder cash flows'!G16+'Liability and profit'!C14-'Liability and profit'!D14</f>
        <v>0</v>
      </c>
      <c r="I14" s="9"/>
    </row>
    <row r="15" spans="1:13" x14ac:dyDescent="0.25">
      <c r="A15" s="21">
        <f t="shared" si="0"/>
        <v>8</v>
      </c>
      <c r="B15" s="23">
        <f>(B16+'Shareholder cash flows'!F18)/(1+Discount_rate)+'Shareholder cash flows'!D18+'Shareholder cash flows'!E18</f>
        <v>14174.892299521933</v>
      </c>
      <c r="C15" s="23">
        <f>(B14-'Shareholder cash flows'!D17-'Shareholder cash flows'!E17)*Investment_rate</f>
        <v>802.35239431256207</v>
      </c>
      <c r="D15" s="24">
        <f t="shared" si="1"/>
        <v>746.04427334936372</v>
      </c>
      <c r="E15" s="24">
        <f>'Shareholder cash flows'!G17+'Liability and profit'!C15-'Liability and profit'!D15</f>
        <v>-1.7053025658242404E-12</v>
      </c>
      <c r="I15" s="9"/>
    </row>
    <row r="16" spans="1:13" x14ac:dyDescent="0.25">
      <c r="A16" s="21">
        <f t="shared" si="0"/>
        <v>9</v>
      </c>
      <c r="B16" s="23">
        <f>(B17+'Shareholder cash flows'!F19)/(1+Discount_rate)+'Shareholder cash flows'!D19+'Shareholder cash flows'!E19</f>
        <v>14964.505497107837</v>
      </c>
      <c r="C16" s="23">
        <f>(B15-'Shareholder cash flows'!D18-'Shareholder cash flows'!E18)*Investment_rate</f>
        <v>847.04748096836806</v>
      </c>
      <c r="D16" s="24">
        <f t="shared" si="1"/>
        <v>789.61319758590435</v>
      </c>
      <c r="E16" s="24">
        <f>'Shareholder cash flows'!G18+'Liability and profit'!C16-'Liability and profit'!D16</f>
        <v>0</v>
      </c>
      <c r="I16" s="9"/>
    </row>
    <row r="17" spans="1:9" x14ac:dyDescent="0.25">
      <c r="A17" s="21">
        <f t="shared" si="0"/>
        <v>10</v>
      </c>
      <c r="B17" s="23">
        <f>(B18+'Shareholder cash flows'!F20)/(1+Discount_rate)+'Shareholder cash flows'!D20+'Shareholder cash flows'!E20</f>
        <v>0</v>
      </c>
      <c r="C17" s="23">
        <f>(B16-'Shareholder cash flows'!D19-'Shareholder cash flows'!E19)*Investment_rate</f>
        <v>894.35535168346337</v>
      </c>
      <c r="D17" s="24">
        <f t="shared" si="1"/>
        <v>-14964.505497107837</v>
      </c>
      <c r="E17" s="24">
        <f>'Shareholder cash flows'!G19+'Liability and profit'!C17-'Liability and profit'!D17</f>
        <v>0</v>
      </c>
      <c r="I17" s="9"/>
    </row>
    <row r="19" spans="1:9" x14ac:dyDescent="0.25">
      <c r="A19" s="2" t="s">
        <v>75</v>
      </c>
    </row>
    <row r="20" spans="1:9" x14ac:dyDescent="0.25">
      <c r="A20" s="2" t="s">
        <v>107</v>
      </c>
    </row>
    <row r="21" spans="1:9" x14ac:dyDescent="0.25">
      <c r="A21" s="2" t="s">
        <v>49</v>
      </c>
    </row>
    <row r="22" spans="1:9" x14ac:dyDescent="0.25">
      <c r="A22" s="58" t="s">
        <v>119</v>
      </c>
    </row>
    <row r="23" spans="1:9" x14ac:dyDescent="0.25">
      <c r="A23" s="2" t="s">
        <v>108</v>
      </c>
    </row>
    <row r="24" spans="1:9" x14ac:dyDescent="0.25">
      <c r="A24" s="2" t="s">
        <v>118</v>
      </c>
    </row>
    <row r="27" spans="1:9" ht="15" x14ac:dyDescent="0.25">
      <c r="A27" s="1" t="s">
        <v>79</v>
      </c>
    </row>
    <row r="28" spans="1:9" x14ac:dyDescent="0.25">
      <c r="A28" s="2" t="s">
        <v>76</v>
      </c>
    </row>
    <row r="29" spans="1:9" x14ac:dyDescent="0.25">
      <c r="A29" s="2" t="s">
        <v>77</v>
      </c>
    </row>
    <row r="30" spans="1:9" x14ac:dyDescent="0.25">
      <c r="A30" s="2" t="s">
        <v>78</v>
      </c>
      <c r="I30" s="20">
        <f>E7/'Policyholder cash flows'!H7</f>
        <v>0.52601494138216076</v>
      </c>
    </row>
    <row r="31" spans="1:9" x14ac:dyDescent="0.25">
      <c r="A31" s="2" t="s">
        <v>57</v>
      </c>
    </row>
    <row r="33" spans="1:11" x14ac:dyDescent="0.25">
      <c r="A33" s="76" t="s">
        <v>81</v>
      </c>
      <c r="B33" s="69" t="s">
        <v>55</v>
      </c>
      <c r="C33" s="70"/>
      <c r="D33" s="70"/>
      <c r="E33" s="70"/>
      <c r="F33" s="70"/>
      <c r="G33" s="70"/>
      <c r="H33" s="70"/>
    </row>
    <row r="34" spans="1:11" ht="40.5" x14ac:dyDescent="0.25">
      <c r="A34" s="77"/>
      <c r="B34" s="22" t="s">
        <v>58</v>
      </c>
      <c r="C34" s="22" t="s">
        <v>59</v>
      </c>
      <c r="D34" s="22" t="s">
        <v>60</v>
      </c>
      <c r="E34" s="22" t="s">
        <v>31</v>
      </c>
      <c r="F34" s="22" t="s">
        <v>34</v>
      </c>
      <c r="G34" s="22" t="s">
        <v>61</v>
      </c>
      <c r="H34" s="22" t="s">
        <v>62</v>
      </c>
    </row>
    <row r="35" spans="1:11" x14ac:dyDescent="0.25">
      <c r="A35" s="21">
        <v>0</v>
      </c>
      <c r="B35" s="23">
        <f t="shared" ref="B35:B45" si="2">B7</f>
        <v>9188.5758229253333</v>
      </c>
      <c r="C35" s="23">
        <f>Profit_margin*'Policyholder cash flows'!H7</f>
        <v>461.42417707466666</v>
      </c>
      <c r="D35" s="24">
        <f t="shared" ref="D35:D45" si="3">B35+C35</f>
        <v>9650</v>
      </c>
      <c r="E35" s="24"/>
      <c r="F35" s="24">
        <f>D35</f>
        <v>9650</v>
      </c>
      <c r="G35" s="24">
        <f>'Shareholder cash flows'!G10+E35-F35</f>
        <v>0</v>
      </c>
      <c r="H35" s="24">
        <v>0</v>
      </c>
      <c r="K35" s="7"/>
    </row>
    <row r="36" spans="1:11" x14ac:dyDescent="0.25">
      <c r="A36" s="21">
        <f>1+A35</f>
        <v>1</v>
      </c>
      <c r="B36" s="23">
        <f t="shared" si="2"/>
        <v>9739.8903723008534</v>
      </c>
      <c r="C36" s="23">
        <f>Profit_margin*'Policyholder cash flows'!H8</f>
        <v>438.08617838507706</v>
      </c>
      <c r="D36" s="24">
        <f t="shared" si="3"/>
        <v>10177.976550685931</v>
      </c>
      <c r="E36" s="24">
        <f>Investment_rate*'Shareholder cash flows'!G10</f>
        <v>579</v>
      </c>
      <c r="F36" s="24">
        <f t="shared" ref="F36:F45" si="4">D36-D35</f>
        <v>527.97655068593122</v>
      </c>
      <c r="G36" s="24">
        <f>'Liability and profit'!E36-'Liability and profit'!F36</f>
        <v>51.023449314068785</v>
      </c>
      <c r="H36" s="24">
        <f>Profit_margin*'Policyholder cash flows'!F7</f>
        <v>51.023449314069595</v>
      </c>
      <c r="J36" s="7"/>
    </row>
    <row r="37" spans="1:11" x14ac:dyDescent="0.25">
      <c r="A37" s="21">
        <f t="shared" ref="A37:A45" si="5">1+A36</f>
        <v>2</v>
      </c>
      <c r="B37" s="23">
        <f t="shared" si="2"/>
        <v>10271.283794638905</v>
      </c>
      <c r="C37" s="23">
        <f>Profit_margin*'Policyholder cash flows'!H9</f>
        <v>410.79672730840861</v>
      </c>
      <c r="D37" s="24">
        <f t="shared" si="3"/>
        <v>10682.080521947313</v>
      </c>
      <c r="E37" s="24">
        <f>(D36 - 'Shareholder cash flows'!E11)*Investment_rate</f>
        <v>607.67859304115586</v>
      </c>
      <c r="F37" s="24">
        <f t="shared" si="4"/>
        <v>504.10397126138196</v>
      </c>
      <c r="G37" s="24">
        <f>'Liability and profit'!E37-'Liability and profit'!F37+'Shareholder cash flows'!G11</f>
        <v>53.574621779773906</v>
      </c>
      <c r="H37" s="24">
        <f>Profit_margin*'Policyholder cash flows'!F8</f>
        <v>53.574621779773075</v>
      </c>
      <c r="J37" s="7"/>
    </row>
    <row r="38" spans="1:11" x14ac:dyDescent="0.25">
      <c r="A38" s="21">
        <f t="shared" si="5"/>
        <v>3</v>
      </c>
      <c r="B38" s="23">
        <f t="shared" si="2"/>
        <v>10833.500822317239</v>
      </c>
      <c r="C38" s="23">
        <f>Profit_margin*'Policyholder cash flows'!H10</f>
        <v>379.19117807815144</v>
      </c>
      <c r="D38" s="24">
        <f t="shared" si="3"/>
        <v>11212.692000395391</v>
      </c>
      <c r="E38" s="24">
        <f>(D37 - 'Shareholder cash flows'!E12)*Investment_rate</f>
        <v>637.86483131683872</v>
      </c>
      <c r="F38" s="24">
        <f t="shared" si="4"/>
        <v>530.61147844807783</v>
      </c>
      <c r="G38" s="24">
        <f>'Liability and profit'!E38-'Liability and profit'!F38+'Shareholder cash flows'!G12</f>
        <v>56.253352868760885</v>
      </c>
      <c r="H38" s="24">
        <f>Profit_margin*'Policyholder cash flows'!F9</f>
        <v>56.253352868761723</v>
      </c>
      <c r="J38" s="7"/>
    </row>
    <row r="39" spans="1:11" x14ac:dyDescent="0.25">
      <c r="A39" s="21">
        <f t="shared" si="5"/>
        <v>4</v>
      </c>
      <c r="B39" s="23">
        <f t="shared" si="2"/>
        <v>11428.369671656274</v>
      </c>
      <c r="C39" s="23">
        <f>Profit_margin*'Policyholder cash flows'!H11</f>
        <v>342.87662825064075</v>
      </c>
      <c r="D39" s="24">
        <f t="shared" si="3"/>
        <v>11771.246299906914</v>
      </c>
      <c r="E39" s="24">
        <f>(D38 - 'Shareholder cash flows'!E13)*Investment_rate</f>
        <v>669.64032002372346</v>
      </c>
      <c r="F39" s="24">
        <f t="shared" si="4"/>
        <v>558.55429951152291</v>
      </c>
      <c r="G39" s="24">
        <f>'Liability and profit'!E39-'Liability and profit'!F39+'Shareholder cash flows'!G13</f>
        <v>59.066020512200552</v>
      </c>
      <c r="H39" s="24">
        <f>Profit_margin*'Policyholder cash flows'!F10</f>
        <v>59.06602051219982</v>
      </c>
      <c r="J39" s="7"/>
    </row>
    <row r="40" spans="1:11" x14ac:dyDescent="0.25">
      <c r="A40" s="21">
        <f t="shared" si="5"/>
        <v>5</v>
      </c>
      <c r="B40" s="23">
        <f t="shared" si="2"/>
        <v>12057.827827955651</v>
      </c>
      <c r="C40" s="23">
        <f>Profit_margin*'Policyholder cash flows'!H12</f>
        <v>301.42990440786946</v>
      </c>
      <c r="D40" s="24">
        <f t="shared" si="3"/>
        <v>12359.25773236352</v>
      </c>
      <c r="E40" s="24">
        <f>(D39 - 'Shareholder cash flows'!E14)*Investment_rate</f>
        <v>703.09115399441475</v>
      </c>
      <c r="F40" s="24">
        <f t="shared" si="4"/>
        <v>588.01143245660569</v>
      </c>
      <c r="G40" s="24">
        <f>'Liability and profit'!E40-'Liability and profit'!F40+'Shareholder cash flows'!G14</f>
        <v>62.01932153780907</v>
      </c>
      <c r="H40" s="24">
        <f>Profit_margin*'Policyholder cash flows'!F11</f>
        <v>62.019321537809816</v>
      </c>
      <c r="J40" s="7"/>
    </row>
    <row r="41" spans="1:11" x14ac:dyDescent="0.25">
      <c r="A41" s="21">
        <f t="shared" si="5"/>
        <v>6</v>
      </c>
      <c r="B41" s="23">
        <f t="shared" si="2"/>
        <v>12723.92859315299</v>
      </c>
      <c r="C41" s="23">
        <f>Profit_margin*'Policyholder cash flows'!H13</f>
        <v>254.39541105764127</v>
      </c>
      <c r="D41" s="24">
        <f t="shared" si="3"/>
        <v>12978.324004210632</v>
      </c>
      <c r="E41" s="24">
        <f>(D40 - 'Shareholder cash flows'!E15)*Investment_rate</f>
        <v>738.30816746181119</v>
      </c>
      <c r="F41" s="24">
        <f t="shared" si="4"/>
        <v>619.06627184711215</v>
      </c>
      <c r="G41" s="24">
        <f>'Liability and profit'!E41-'Liability and profit'!F41+'Shareholder cash flows'!G15</f>
        <v>65.120287614699038</v>
      </c>
      <c r="H41" s="24">
        <f>Profit_margin*'Policyholder cash flows'!F12</f>
        <v>65.120287614700302</v>
      </c>
      <c r="J41" s="7"/>
    </row>
    <row r="42" spans="1:11" x14ac:dyDescent="0.25">
      <c r="A42" s="21">
        <f t="shared" si="5"/>
        <v>7</v>
      </c>
      <c r="B42" s="23">
        <f t="shared" si="2"/>
        <v>13428.848026172569</v>
      </c>
      <c r="C42" s="23">
        <f>Profit_margin*'Policyholder cash flows'!H14</f>
        <v>201.28283372566449</v>
      </c>
      <c r="D42" s="24">
        <f t="shared" si="3"/>
        <v>13630.130859898234</v>
      </c>
      <c r="E42" s="24">
        <f>(D41 - 'Shareholder cash flows'!E16)*Investment_rate</f>
        <v>775.38719784303782</v>
      </c>
      <c r="F42" s="24">
        <f t="shared" si="4"/>
        <v>651.80685568760236</v>
      </c>
      <c r="G42" s="24">
        <f>'Liability and profit'!E42-'Liability and profit'!F42+'Shareholder cash flows'!G16</f>
        <v>68.376301995435455</v>
      </c>
      <c r="H42" s="24">
        <f>Profit_margin*'Policyholder cash flows'!F13</f>
        <v>68.376301995435327</v>
      </c>
      <c r="J42" s="7"/>
    </row>
    <row r="43" spans="1:11" x14ac:dyDescent="0.25">
      <c r="A43" s="21">
        <f t="shared" si="5"/>
        <v>8</v>
      </c>
      <c r="B43" s="23">
        <f t="shared" si="2"/>
        <v>14174.892299521933</v>
      </c>
      <c r="C43" s="23">
        <f>Profit_margin*'Policyholder cash flows'!H15</f>
        <v>141.56468665399726</v>
      </c>
      <c r="D43" s="24">
        <f t="shared" si="3"/>
        <v>14316.45698617593</v>
      </c>
      <c r="E43" s="24">
        <f>(D42 - 'Shareholder cash flows'!E17)*Investment_rate</f>
        <v>814.42936433610203</v>
      </c>
      <c r="F43" s="24">
        <f t="shared" si="4"/>
        <v>686.32612627769595</v>
      </c>
      <c r="G43" s="24">
        <f>'Liability and profit'!E43-'Liability and profit'!F43+'Shareholder cash flows'!G17</f>
        <v>71.795117095206081</v>
      </c>
      <c r="H43" s="24">
        <f>Profit_margin*'Policyholder cash flows'!F14</f>
        <v>71.795117095207104</v>
      </c>
      <c r="J43" s="7"/>
    </row>
    <row r="44" spans="1:11" x14ac:dyDescent="0.25">
      <c r="A44" s="21">
        <f t="shared" si="5"/>
        <v>9</v>
      </c>
      <c r="B44" s="23">
        <f t="shared" si="2"/>
        <v>14964.505497107837</v>
      </c>
      <c r="C44" s="23">
        <f>Profit_margin*'Policyholder cash flows'!H16</f>
        <v>74.673694903269649</v>
      </c>
      <c r="D44" s="24">
        <f t="shared" si="3"/>
        <v>15039.179192011106</v>
      </c>
      <c r="E44" s="24">
        <f>(D43 - 'Shareholder cash flows'!E18)*Investment_rate</f>
        <v>855.54136216760787</v>
      </c>
      <c r="F44" s="24">
        <f t="shared" si="4"/>
        <v>722.72220583517628</v>
      </c>
      <c r="G44" s="24">
        <f>'Liability and profit'!E44-'Liability and profit'!F44+'Shareholder cash flows'!G18</f>
        <v>75.384872949967601</v>
      </c>
      <c r="H44" s="24">
        <f>Profit_margin*'Policyholder cash flows'!F15</f>
        <v>75.384872949967459</v>
      </c>
      <c r="J44" s="7"/>
    </row>
    <row r="45" spans="1:11" x14ac:dyDescent="0.25">
      <c r="A45" s="21">
        <f t="shared" si="5"/>
        <v>10</v>
      </c>
      <c r="B45" s="23">
        <f t="shared" si="2"/>
        <v>0</v>
      </c>
      <c r="C45" s="23"/>
      <c r="D45" s="24">
        <f t="shared" si="3"/>
        <v>0</v>
      </c>
      <c r="E45" s="24">
        <f>(D44 - 'Shareholder cash flows'!E19)*Investment_rate</f>
        <v>898.83577337765951</v>
      </c>
      <c r="F45" s="24">
        <f t="shared" si="4"/>
        <v>-15039.179192011106</v>
      </c>
      <c r="G45" s="24">
        <f>'Liability and profit'!E45-'Liability and profit'!F45+'Shareholder cash flows'!G19</f>
        <v>79.154116597464963</v>
      </c>
      <c r="H45" s="24">
        <f>Profit_margin*'Policyholder cash flows'!F16</f>
        <v>79.154116597465816</v>
      </c>
      <c r="J45" s="7"/>
    </row>
    <row r="47" spans="1:11" x14ac:dyDescent="0.25">
      <c r="A47" s="2" t="s">
        <v>82</v>
      </c>
    </row>
    <row r="48" spans="1:11" x14ac:dyDescent="0.25">
      <c r="A48" s="2" t="s">
        <v>83</v>
      </c>
    </row>
    <row r="49" spans="1:8" x14ac:dyDescent="0.25">
      <c r="A49" s="2" t="s">
        <v>84</v>
      </c>
    </row>
    <row r="50" spans="1:8" x14ac:dyDescent="0.25">
      <c r="A50" s="2" t="s">
        <v>85</v>
      </c>
    </row>
    <row r="52" spans="1:8" x14ac:dyDescent="0.25">
      <c r="A52" s="2" t="s">
        <v>109</v>
      </c>
    </row>
    <row r="53" spans="1:8" x14ac:dyDescent="0.25">
      <c r="A53" s="2" t="s">
        <v>80</v>
      </c>
    </row>
    <row r="56" spans="1:8" ht="15" x14ac:dyDescent="0.25">
      <c r="A56" s="1" t="s">
        <v>86</v>
      </c>
    </row>
    <row r="57" spans="1:8" x14ac:dyDescent="0.25">
      <c r="A57" s="2" t="s">
        <v>87</v>
      </c>
    </row>
    <row r="58" spans="1:8" ht="15" x14ac:dyDescent="0.25">
      <c r="A58"/>
      <c r="B58"/>
      <c r="C58"/>
      <c r="D58"/>
      <c r="E58"/>
      <c r="F58"/>
      <c r="G58"/>
      <c r="H58"/>
    </row>
    <row r="59" spans="1:8" ht="15" x14ac:dyDescent="0.25">
      <c r="A59" s="76" t="s">
        <v>81</v>
      </c>
      <c r="B59" s="78" t="s">
        <v>63</v>
      </c>
      <c r="C59" s="79"/>
      <c r="D59" s="79"/>
      <c r="E59" s="80"/>
      <c r="F59"/>
      <c r="G59"/>
      <c r="H59"/>
    </row>
    <row r="60" spans="1:8" ht="27" x14ac:dyDescent="0.25">
      <c r="A60" s="77"/>
      <c r="B60" s="22" t="s">
        <v>33</v>
      </c>
      <c r="C60" s="22" t="s">
        <v>31</v>
      </c>
      <c r="D60" s="22" t="s">
        <v>34</v>
      </c>
      <c r="E60" s="22" t="s">
        <v>110</v>
      </c>
      <c r="F60"/>
      <c r="G60"/>
      <c r="H60"/>
    </row>
    <row r="61" spans="1:8" ht="15" x14ac:dyDescent="0.25">
      <c r="A61" s="21">
        <v>0</v>
      </c>
      <c r="B61" s="23">
        <f>'Policyholder cash flows'!D7</f>
        <v>9700</v>
      </c>
      <c r="C61" s="23"/>
      <c r="D61" s="24">
        <f>B61</f>
        <v>9700</v>
      </c>
      <c r="E61" s="24">
        <f>C61-D61+'Shareholder cash flows'!G10</f>
        <v>-50</v>
      </c>
      <c r="F61" s="55"/>
      <c r="G61"/>
      <c r="H61"/>
    </row>
    <row r="62" spans="1:8" ht="15" x14ac:dyDescent="0.25">
      <c r="A62" s="21">
        <f>1+A61</f>
        <v>1</v>
      </c>
      <c r="B62" s="23">
        <f>'Policyholder cash flows'!D8</f>
        <v>10185</v>
      </c>
      <c r="C62" s="23">
        <f>D61*Investment_rate</f>
        <v>582</v>
      </c>
      <c r="D62" s="24">
        <f t="shared" ref="D62:D71" si="6">B62-B61</f>
        <v>485</v>
      </c>
      <c r="E62" s="24">
        <f>'Shareholder cash flows'!G10+C62-B62</f>
        <v>47</v>
      </c>
      <c r="F62" s="26"/>
      <c r="G62"/>
      <c r="H62"/>
    </row>
    <row r="63" spans="1:8" ht="15" x14ac:dyDescent="0.25">
      <c r="A63" s="21">
        <f t="shared" ref="A63:A71" si="7">1+A62</f>
        <v>2</v>
      </c>
      <c r="B63" s="23">
        <f>'Policyholder cash flows'!D9</f>
        <v>10694.25</v>
      </c>
      <c r="C63" s="23">
        <f>(B62-'Shareholder cash flows'!D11-'Shareholder cash flows'!E11)*Investment_rate</f>
        <v>608.1</v>
      </c>
      <c r="D63" s="24">
        <f t="shared" si="6"/>
        <v>509.25</v>
      </c>
      <c r="E63" s="24">
        <f>C63-D63+'Shareholder cash flows'!G11</f>
        <v>48.850000000000023</v>
      </c>
      <c r="F63"/>
      <c r="G63"/>
      <c r="H63"/>
    </row>
    <row r="64" spans="1:8" ht="15" x14ac:dyDescent="0.25">
      <c r="A64" s="21">
        <f t="shared" si="7"/>
        <v>3</v>
      </c>
      <c r="B64" s="23">
        <f>'Policyholder cash flows'!D10</f>
        <v>11228.962500000001</v>
      </c>
      <c r="C64" s="23">
        <f>(B63-'Shareholder cash flows'!D12-'Shareholder cash flows'!E12)*Investment_rate</f>
        <v>638.59500000000003</v>
      </c>
      <c r="D64" s="24">
        <f t="shared" si="6"/>
        <v>534.71250000000146</v>
      </c>
      <c r="E64" s="24">
        <f>C64-D64+'Shareholder cash flows'!G12</f>
        <v>52.882499999998572</v>
      </c>
      <c r="F64"/>
      <c r="G64"/>
      <c r="H64"/>
    </row>
    <row r="65" spans="1:8" ht="15" x14ac:dyDescent="0.25">
      <c r="A65" s="21">
        <f t="shared" si="7"/>
        <v>4</v>
      </c>
      <c r="B65" s="23">
        <f>'Policyholder cash flows'!D11</f>
        <v>11790.410625000002</v>
      </c>
      <c r="C65" s="23">
        <f>(B64-'Shareholder cash flows'!D13-'Shareholder cash flows'!E13)*Investment_rate</f>
        <v>670.61655000000007</v>
      </c>
      <c r="D65" s="24">
        <f t="shared" si="6"/>
        <v>561.4481250000008</v>
      </c>
      <c r="E65" s="24">
        <f>C65-D65+'Shareholder cash flows'!G13</f>
        <v>57.148424999999278</v>
      </c>
      <c r="F65"/>
      <c r="G65"/>
      <c r="H65"/>
    </row>
    <row r="66" spans="1:8" ht="15" x14ac:dyDescent="0.25">
      <c r="A66" s="21">
        <f t="shared" si="7"/>
        <v>5</v>
      </c>
      <c r="B66" s="23">
        <f>'Policyholder cash flows'!D12</f>
        <v>12379.931156250002</v>
      </c>
      <c r="C66" s="23">
        <f>(B65-'Shareholder cash flows'!D14-'Shareholder cash flows'!E14)*Investment_rate</f>
        <v>704.24101350000012</v>
      </c>
      <c r="D66" s="24">
        <f t="shared" si="6"/>
        <v>589.5205312500002</v>
      </c>
      <c r="E66" s="24">
        <f>C66-D66+'Shareholder cash flows'!G14</f>
        <v>61.660082249999924</v>
      </c>
      <c r="F66"/>
      <c r="G66"/>
      <c r="H66"/>
    </row>
    <row r="67" spans="1:8" ht="15" x14ac:dyDescent="0.25">
      <c r="A67" s="21">
        <f t="shared" si="7"/>
        <v>6</v>
      </c>
      <c r="B67" s="23">
        <f>'Policyholder cash flows'!D13</f>
        <v>12998.927714062504</v>
      </c>
      <c r="C67" s="23">
        <f>(B66-'Shareholder cash flows'!D15-'Shareholder cash flows'!E15)*Investment_rate</f>
        <v>739.54857289500012</v>
      </c>
      <c r="D67" s="24">
        <f t="shared" si="6"/>
        <v>618.99655781250112</v>
      </c>
      <c r="E67" s="24">
        <f>C67-D67+'Shareholder cash flows'!G15</f>
        <v>66.430407082498988</v>
      </c>
      <c r="F67"/>
      <c r="G67"/>
      <c r="H67"/>
    </row>
    <row r="68" spans="1:8" ht="15" x14ac:dyDescent="0.25">
      <c r="A68" s="21">
        <f t="shared" si="7"/>
        <v>7</v>
      </c>
      <c r="B68" s="23">
        <f>'Policyholder cash flows'!D14</f>
        <v>13648.87409976563</v>
      </c>
      <c r="C68" s="23">
        <f>(B67-'Shareholder cash flows'!D16-'Shareholder cash flows'!E16)*Investment_rate</f>
        <v>776.62342043415015</v>
      </c>
      <c r="D68" s="24">
        <f t="shared" si="6"/>
        <v>649.946385703126</v>
      </c>
      <c r="E68" s="24">
        <f>C68-D68+'Shareholder cash flows'!G16</f>
        <v>71.472994571024145</v>
      </c>
      <c r="F68"/>
      <c r="G68"/>
      <c r="H68"/>
    </row>
    <row r="69" spans="1:8" ht="15" x14ac:dyDescent="0.25">
      <c r="A69" s="21">
        <f t="shared" si="7"/>
        <v>8</v>
      </c>
      <c r="B69" s="23">
        <f>'Policyholder cash flows'!D15</f>
        <v>14331.317804753911</v>
      </c>
      <c r="C69" s="23">
        <f>(B68-'Shareholder cash flows'!D17-'Shareholder cash flows'!E17)*Investment_rate</f>
        <v>815.55395872814574</v>
      </c>
      <c r="D69" s="24">
        <f t="shared" si="6"/>
        <v>682.44370498828175</v>
      </c>
      <c r="E69" s="24">
        <f>C69-D69+'Shareholder cash flows'!G17</f>
        <v>76.802132776663996</v>
      </c>
      <c r="F69"/>
      <c r="G69"/>
      <c r="H69"/>
    </row>
    <row r="70" spans="1:8" ht="15" x14ac:dyDescent="0.25">
      <c r="A70" s="21">
        <f t="shared" si="7"/>
        <v>9</v>
      </c>
      <c r="B70" s="23">
        <f>'Policyholder cash flows'!D16</f>
        <v>15047.883694991606</v>
      </c>
      <c r="C70" s="23">
        <f>(B69-'Shareholder cash flows'!D18-'Shareholder cash flows'!E18)*Investment_rate</f>
        <v>856.43301128228677</v>
      </c>
      <c r="D70" s="24">
        <f t="shared" si="6"/>
        <v>716.56589023769448</v>
      </c>
      <c r="E70" s="24">
        <f>C70-D70+'Shareholder cash flows'!G18</f>
        <v>82.432837662128307</v>
      </c>
      <c r="F70"/>
      <c r="G70"/>
      <c r="H70"/>
    </row>
    <row r="71" spans="1:8" ht="15" x14ac:dyDescent="0.25">
      <c r="A71" s="21">
        <f t="shared" si="7"/>
        <v>10</v>
      </c>
      <c r="B71" s="23"/>
      <c r="C71" s="23">
        <f>(B70-'Shareholder cash flows'!D19-'Shareholder cash flows'!E19)*Investment_rate</f>
        <v>899.35804355648952</v>
      </c>
      <c r="D71" s="24">
        <f t="shared" si="6"/>
        <v>-15047.883694991606</v>
      </c>
      <c r="E71" s="24">
        <f>C71-D71+'Shareholder cash flows'!G19</f>
        <v>88.380889756794204</v>
      </c>
      <c r="F71"/>
      <c r="G71"/>
      <c r="H71"/>
    </row>
    <row r="72" spans="1:8" ht="15" x14ac:dyDescent="0.25">
      <c r="A72"/>
      <c r="B72"/>
      <c r="C72"/>
      <c r="D72"/>
      <c r="E72" t="s">
        <v>114</v>
      </c>
      <c r="F72"/>
      <c r="G72"/>
      <c r="H72"/>
    </row>
    <row r="73" spans="1:8" ht="15" x14ac:dyDescent="0.25">
      <c r="A73" t="s">
        <v>88</v>
      </c>
      <c r="B73"/>
      <c r="C73"/>
      <c r="D73"/>
      <c r="E73"/>
      <c r="F73"/>
      <c r="G73"/>
      <c r="H73"/>
    </row>
    <row r="74" spans="1:8" ht="15" x14ac:dyDescent="0.25">
      <c r="A74" t="s">
        <v>89</v>
      </c>
      <c r="B74"/>
      <c r="C74"/>
      <c r="D74"/>
      <c r="E74"/>
      <c r="F74"/>
      <c r="G74"/>
      <c r="H74"/>
    </row>
    <row r="75" spans="1:8" ht="15" x14ac:dyDescent="0.25">
      <c r="A75"/>
      <c r="B75"/>
      <c r="C75"/>
      <c r="D75"/>
      <c r="E75"/>
      <c r="F75"/>
      <c r="G75"/>
      <c r="H75"/>
    </row>
    <row r="76" spans="1:8" ht="15" x14ac:dyDescent="0.25">
      <c r="A76" s="1" t="s">
        <v>90</v>
      </c>
      <c r="B76"/>
      <c r="C76"/>
      <c r="D76"/>
      <c r="E76"/>
      <c r="F76"/>
      <c r="G76"/>
      <c r="H76"/>
    </row>
    <row r="77" spans="1:8" ht="15" x14ac:dyDescent="0.25">
      <c r="A77" t="s">
        <v>91</v>
      </c>
      <c r="B77"/>
      <c r="C77"/>
      <c r="D77"/>
      <c r="E77"/>
      <c r="F77"/>
      <c r="G77"/>
      <c r="H77"/>
    </row>
    <row r="78" spans="1:8" ht="15" x14ac:dyDescent="0.25">
      <c r="A78"/>
      <c r="B78"/>
      <c r="C78"/>
      <c r="D78"/>
      <c r="E78"/>
      <c r="F78"/>
      <c r="G78"/>
      <c r="H78"/>
    </row>
    <row r="79" spans="1:8" ht="15" x14ac:dyDescent="0.25">
      <c r="A79" s="76" t="s">
        <v>81</v>
      </c>
      <c r="B79" s="78" t="s">
        <v>72</v>
      </c>
      <c r="C79" s="79"/>
      <c r="D79" s="79"/>
      <c r="E79" s="80"/>
      <c r="F79"/>
      <c r="G79"/>
      <c r="H79"/>
    </row>
    <row r="80" spans="1:8" ht="27" x14ac:dyDescent="0.25">
      <c r="A80" s="77"/>
      <c r="B80" s="22" t="s">
        <v>33</v>
      </c>
      <c r="C80" s="22" t="s">
        <v>31</v>
      </c>
      <c r="D80" s="22" t="s">
        <v>34</v>
      </c>
      <c r="E80" s="22" t="s">
        <v>110</v>
      </c>
      <c r="F80"/>
      <c r="G80"/>
      <c r="H80"/>
    </row>
    <row r="81" spans="1:8" ht="15" x14ac:dyDescent="0.25">
      <c r="A81" s="21">
        <v>0</v>
      </c>
      <c r="B81" s="23">
        <f t="shared" ref="B81:B91" si="8">B61*1.01</f>
        <v>9797</v>
      </c>
      <c r="C81" s="23"/>
      <c r="D81" s="24">
        <f>B81</f>
        <v>9797</v>
      </c>
      <c r="E81" s="24">
        <f>C81-D81+'Shareholder cash flows'!G10</f>
        <v>-147</v>
      </c>
      <c r="F81"/>
      <c r="G81"/>
      <c r="H81"/>
    </row>
    <row r="82" spans="1:8" ht="15" x14ac:dyDescent="0.25">
      <c r="A82" s="21">
        <f>1+A81</f>
        <v>1</v>
      </c>
      <c r="B82" s="23">
        <f t="shared" si="8"/>
        <v>10286.85</v>
      </c>
      <c r="C82" s="23">
        <f>D81*Investment_rate</f>
        <v>587.81999999999994</v>
      </c>
      <c r="D82" s="24">
        <f t="shared" ref="D82:D91" si="9">B82-B81</f>
        <v>489.85000000000036</v>
      </c>
      <c r="E82" s="24">
        <f>'Shareholder cash flows'!G10+C82-B82</f>
        <v>-49.030000000000655</v>
      </c>
      <c r="F82"/>
      <c r="G82" s="27"/>
      <c r="H82"/>
    </row>
    <row r="83" spans="1:8" ht="15" x14ac:dyDescent="0.25">
      <c r="A83" s="21">
        <f t="shared" ref="A83:A91" si="10">1+A82</f>
        <v>2</v>
      </c>
      <c r="B83" s="23">
        <f t="shared" si="8"/>
        <v>10801.192499999999</v>
      </c>
      <c r="C83" s="23">
        <f>(B82-'Shareholder cash flows'!D11-'Shareholder cash flows'!E11)*Investment_rate</f>
        <v>614.21100000000001</v>
      </c>
      <c r="D83" s="24">
        <f t="shared" si="9"/>
        <v>514.34249999999884</v>
      </c>
      <c r="E83" s="24">
        <f>C83-D83+'Shareholder cash flows'!G11</f>
        <v>49.868500000001177</v>
      </c>
      <c r="F83"/>
      <c r="G83"/>
      <c r="H83"/>
    </row>
    <row r="84" spans="1:8" ht="15" x14ac:dyDescent="0.25">
      <c r="A84" s="21">
        <f t="shared" si="10"/>
        <v>3</v>
      </c>
      <c r="B84" s="23">
        <f t="shared" si="8"/>
        <v>11341.252125000001</v>
      </c>
      <c r="C84" s="23">
        <f>(B83-'Shareholder cash flows'!D12-'Shareholder cash flows'!E12)*Investment_rate</f>
        <v>645.01154999999994</v>
      </c>
      <c r="D84" s="24">
        <f t="shared" si="9"/>
        <v>540.05962500000169</v>
      </c>
      <c r="E84" s="24">
        <f>C84-D84+'Shareholder cash flows'!G12</f>
        <v>53.951924999998255</v>
      </c>
      <c r="F84"/>
      <c r="G84"/>
      <c r="H84"/>
    </row>
    <row r="85" spans="1:8" ht="15" x14ac:dyDescent="0.25">
      <c r="A85" s="21">
        <f t="shared" si="10"/>
        <v>4</v>
      </c>
      <c r="B85" s="23">
        <f t="shared" si="8"/>
        <v>11908.314731250002</v>
      </c>
      <c r="C85" s="23">
        <f>(B84-'Shareholder cash flows'!D13-'Shareholder cash flows'!E13)*Investment_rate</f>
        <v>677.35392750000005</v>
      </c>
      <c r="D85" s="24">
        <f t="shared" si="9"/>
        <v>567.06260625000141</v>
      </c>
      <c r="E85" s="24">
        <f>C85-D85+'Shareholder cash flows'!G13</f>
        <v>58.27132124999865</v>
      </c>
      <c r="F85"/>
      <c r="G85"/>
      <c r="H85"/>
    </row>
    <row r="86" spans="1:8" ht="15" x14ac:dyDescent="0.25">
      <c r="A86" s="21">
        <f t="shared" si="10"/>
        <v>5</v>
      </c>
      <c r="B86" s="23">
        <f t="shared" si="8"/>
        <v>12503.730467812502</v>
      </c>
      <c r="C86" s="23">
        <f>(B85-'Shareholder cash flows'!D14-'Shareholder cash flows'!E14)*Investment_rate</f>
        <v>711.31525987500004</v>
      </c>
      <c r="D86" s="24">
        <f t="shared" si="9"/>
        <v>595.41573656249966</v>
      </c>
      <c r="E86" s="24">
        <f>C86-D86+'Shareholder cash flows'!G14</f>
        <v>62.839123312500384</v>
      </c>
      <c r="F86"/>
      <c r="G86"/>
      <c r="H86"/>
    </row>
    <row r="87" spans="1:8" ht="15" x14ac:dyDescent="0.25">
      <c r="A87" s="21">
        <f t="shared" si="10"/>
        <v>6</v>
      </c>
      <c r="B87" s="23">
        <f t="shared" si="8"/>
        <v>13128.916991203128</v>
      </c>
      <c r="C87" s="23">
        <f>(B86-'Shareholder cash flows'!D15-'Shareholder cash flows'!E15)*Investment_rate</f>
        <v>746.97653158875016</v>
      </c>
      <c r="D87" s="24">
        <f t="shared" si="9"/>
        <v>625.18652339062646</v>
      </c>
      <c r="E87" s="24">
        <f>C87-D87+'Shareholder cash flows'!G15</f>
        <v>67.668400198123692</v>
      </c>
      <c r="F87"/>
      <c r="G87"/>
      <c r="H87"/>
    </row>
    <row r="88" spans="1:8" ht="15" x14ac:dyDescent="0.25">
      <c r="A88" s="21">
        <f t="shared" si="10"/>
        <v>7</v>
      </c>
      <c r="B88" s="23">
        <f t="shared" si="8"/>
        <v>13785.362840763286</v>
      </c>
      <c r="C88" s="23">
        <f>(B87-'Shareholder cash flows'!D16-'Shareholder cash flows'!E16)*Investment_rate</f>
        <v>784.42277706258767</v>
      </c>
      <c r="D88" s="24">
        <f t="shared" si="9"/>
        <v>656.44584956015751</v>
      </c>
      <c r="E88" s="24">
        <f>C88-D88+'Shareholder cash flows'!G16</f>
        <v>72.772887342430153</v>
      </c>
      <c r="F88"/>
      <c r="G88"/>
      <c r="H88"/>
    </row>
    <row r="89" spans="1:8" ht="15" x14ac:dyDescent="0.25">
      <c r="A89" s="21">
        <f t="shared" si="10"/>
        <v>8</v>
      </c>
      <c r="B89" s="23">
        <f t="shared" si="8"/>
        <v>14474.630982801451</v>
      </c>
      <c r="C89" s="23">
        <f>(B88-'Shareholder cash flows'!D17-'Shareholder cash flows'!E17)*Investment_rate</f>
        <v>823.74328318800508</v>
      </c>
      <c r="D89" s="24">
        <f t="shared" si="9"/>
        <v>689.26814203816502</v>
      </c>
      <c r="E89" s="24">
        <f>C89-D89+'Shareholder cash flows'!G17</f>
        <v>78.167020186640059</v>
      </c>
      <c r="F89"/>
      <c r="G89"/>
      <c r="H89"/>
    </row>
    <row r="90" spans="1:8" ht="15" x14ac:dyDescent="0.25">
      <c r="A90" s="21">
        <f t="shared" si="10"/>
        <v>9</v>
      </c>
      <c r="B90" s="23">
        <f t="shared" si="8"/>
        <v>15198.362531941522</v>
      </c>
      <c r="C90" s="23">
        <f>(B89-'Shareholder cash flows'!D18-'Shareholder cash flows'!E18)*Investment_rate</f>
        <v>865.03180196513915</v>
      </c>
      <c r="D90" s="24">
        <f t="shared" si="9"/>
        <v>723.73154914007137</v>
      </c>
      <c r="E90" s="24">
        <f>C90-D90+'Shareholder cash flows'!G18</f>
        <v>83.865969442603799</v>
      </c>
      <c r="F90"/>
      <c r="G90"/>
      <c r="H90"/>
    </row>
    <row r="91" spans="1:8" ht="15" x14ac:dyDescent="0.25">
      <c r="A91" s="21">
        <f t="shared" si="10"/>
        <v>10</v>
      </c>
      <c r="B91" s="23">
        <f t="shared" si="8"/>
        <v>0</v>
      </c>
      <c r="C91" s="23">
        <f>(B90-'Shareholder cash flows'!D19-'Shareholder cash flows'!E19)*Investment_rate</f>
        <v>908.38677377348449</v>
      </c>
      <c r="D91" s="24">
        <f t="shared" si="9"/>
        <v>-15198.362531941522</v>
      </c>
      <c r="E91" s="24">
        <f>C91-D91+'Shareholder cash flows'!G19</f>
        <v>247.88845692370523</v>
      </c>
      <c r="F91"/>
      <c r="G91"/>
      <c r="H91"/>
    </row>
    <row r="92" spans="1:8" ht="15" x14ac:dyDescent="0.25">
      <c r="E92" t="s">
        <v>114</v>
      </c>
    </row>
  </sheetData>
  <mergeCells count="8">
    <mergeCell ref="A79:A80"/>
    <mergeCell ref="B79:E79"/>
    <mergeCell ref="A5:A6"/>
    <mergeCell ref="B5:E5"/>
    <mergeCell ref="A33:A34"/>
    <mergeCell ref="A59:A60"/>
    <mergeCell ref="B59:E59"/>
    <mergeCell ref="B33:H3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topLeftCell="A13" workbookViewId="0">
      <selection activeCell="I61" sqref="I61"/>
    </sheetView>
  </sheetViews>
  <sheetFormatPr defaultRowHeight="15" x14ac:dyDescent="0.25"/>
  <cols>
    <col min="1" max="11" width="13.7109375" customWidth="1"/>
  </cols>
  <sheetData>
    <row r="2" spans="1:7" x14ac:dyDescent="0.25">
      <c r="A2" s="12" t="s">
        <v>92</v>
      </c>
      <c r="B2" s="12"/>
    </row>
    <row r="3" spans="1:7" ht="15" customHeight="1" x14ac:dyDescent="0.25">
      <c r="A3" s="89" t="s">
        <v>14</v>
      </c>
      <c r="B3" s="89" t="s">
        <v>97</v>
      </c>
      <c r="C3" s="83" t="s">
        <v>93</v>
      </c>
      <c r="D3" s="81" t="s">
        <v>94</v>
      </c>
      <c r="E3" s="81" t="s">
        <v>2</v>
      </c>
      <c r="F3" s="87" t="s">
        <v>95</v>
      </c>
      <c r="G3" s="83" t="s">
        <v>96</v>
      </c>
    </row>
    <row r="4" spans="1:7" ht="38.25" customHeight="1" x14ac:dyDescent="0.25">
      <c r="A4" s="90"/>
      <c r="B4" s="90"/>
      <c r="C4" s="84"/>
      <c r="D4" s="82"/>
      <c r="E4" s="82"/>
      <c r="F4" s="88"/>
      <c r="G4" s="84"/>
    </row>
    <row r="5" spans="1:7" x14ac:dyDescent="0.25">
      <c r="A5" s="31">
        <v>1</v>
      </c>
      <c r="B5" s="35">
        <f>'Policyholder cash flows'!G7</f>
        <v>10185</v>
      </c>
      <c r="C5" s="37">
        <f>'Shareholder cash flows'!C10</f>
        <v>10000</v>
      </c>
      <c r="D5" s="37">
        <f>-'Shareholder cash flows'!D10</f>
        <v>-300</v>
      </c>
      <c r="E5" s="37">
        <f>-'Shareholder cash flows'!E10</f>
        <v>-50</v>
      </c>
      <c r="F5" s="38">
        <f>'Shareholder cash flows'!F10</f>
        <v>0</v>
      </c>
      <c r="G5" s="35">
        <f>C5+D5+E5+F5</f>
        <v>9650</v>
      </c>
    </row>
    <row r="6" spans="1:7" x14ac:dyDescent="0.25">
      <c r="A6" s="28">
        <f>1+A5</f>
        <v>2</v>
      </c>
      <c r="B6" s="39">
        <f>'Policyholder cash flows'!G8</f>
        <v>10694.25</v>
      </c>
      <c r="C6" s="41">
        <f>'Shareholder cash flows'!C11</f>
        <v>0</v>
      </c>
      <c r="D6" s="41">
        <f>-'Shareholder cash flows'!D11</f>
        <v>0</v>
      </c>
      <c r="E6" s="41">
        <f>-'Shareholder cash flows'!E11</f>
        <v>-50</v>
      </c>
      <c r="F6" s="42">
        <f>'Shareholder cash flows'!F11</f>
        <v>0</v>
      </c>
      <c r="G6" s="39">
        <f t="shared" ref="G6:G14" si="0">C6+D6+E6+F6</f>
        <v>-50</v>
      </c>
    </row>
    <row r="7" spans="1:7" x14ac:dyDescent="0.25">
      <c r="A7" s="29">
        <f t="shared" ref="A7:A14" si="1">1+A6</f>
        <v>3</v>
      </c>
      <c r="B7" s="43">
        <f>'Policyholder cash flows'!G9</f>
        <v>11228.962500000001</v>
      </c>
      <c r="C7" s="45">
        <f>'Shareholder cash flows'!C12</f>
        <v>0</v>
      </c>
      <c r="D7" s="45">
        <f>-'Shareholder cash flows'!D12</f>
        <v>0</v>
      </c>
      <c r="E7" s="45">
        <f>-'Shareholder cash flows'!E12</f>
        <v>-51</v>
      </c>
      <c r="F7" s="46">
        <f>'Shareholder cash flows'!F12</f>
        <v>0</v>
      </c>
      <c r="G7" s="43">
        <f t="shared" si="0"/>
        <v>-51</v>
      </c>
    </row>
    <row r="8" spans="1:7" x14ac:dyDescent="0.25">
      <c r="A8" s="28">
        <f t="shared" si="1"/>
        <v>4</v>
      </c>
      <c r="B8" s="39">
        <f>'Policyholder cash flows'!G10</f>
        <v>11790.410625000002</v>
      </c>
      <c r="C8" s="41">
        <f>'Shareholder cash flows'!C13</f>
        <v>0</v>
      </c>
      <c r="D8" s="41">
        <f>-'Shareholder cash flows'!D13</f>
        <v>0</v>
      </c>
      <c r="E8" s="41">
        <f>-'Shareholder cash flows'!E13</f>
        <v>-52.019999999999996</v>
      </c>
      <c r="F8" s="42">
        <f>'Shareholder cash flows'!F13</f>
        <v>0</v>
      </c>
      <c r="G8" s="39">
        <f t="shared" si="0"/>
        <v>-52.019999999999996</v>
      </c>
    </row>
    <row r="9" spans="1:7" x14ac:dyDescent="0.25">
      <c r="A9" s="29">
        <f t="shared" si="1"/>
        <v>5</v>
      </c>
      <c r="B9" s="43">
        <f>'Policyholder cash flows'!G11</f>
        <v>12379.931156250002</v>
      </c>
      <c r="C9" s="45">
        <f>'Shareholder cash flows'!C14</f>
        <v>0</v>
      </c>
      <c r="D9" s="45">
        <f>-'Shareholder cash flows'!D14</f>
        <v>0</v>
      </c>
      <c r="E9" s="45">
        <f>-'Shareholder cash flows'!E14</f>
        <v>-53.060399999999994</v>
      </c>
      <c r="F9" s="46">
        <f>'Shareholder cash flows'!F14</f>
        <v>0</v>
      </c>
      <c r="G9" s="43">
        <f t="shared" si="0"/>
        <v>-53.060399999999994</v>
      </c>
    </row>
    <row r="10" spans="1:7" x14ac:dyDescent="0.25">
      <c r="A10" s="28">
        <f t="shared" si="1"/>
        <v>6</v>
      </c>
      <c r="B10" s="39">
        <f>'Policyholder cash flows'!G12</f>
        <v>12998.927714062504</v>
      </c>
      <c r="C10" s="41">
        <f>'Shareholder cash flows'!C15</f>
        <v>0</v>
      </c>
      <c r="D10" s="41">
        <f>-'Shareholder cash flows'!D15</f>
        <v>0</v>
      </c>
      <c r="E10" s="41">
        <f>-'Shareholder cash flows'!E15</f>
        <v>-54.121608000000002</v>
      </c>
      <c r="F10" s="42">
        <f>'Shareholder cash flows'!F15</f>
        <v>0</v>
      </c>
      <c r="G10" s="39">
        <f t="shared" si="0"/>
        <v>-54.121608000000002</v>
      </c>
    </row>
    <row r="11" spans="1:7" x14ac:dyDescent="0.25">
      <c r="A11" s="29">
        <f t="shared" si="1"/>
        <v>7</v>
      </c>
      <c r="B11" s="43">
        <f>'Policyholder cash flows'!G13</f>
        <v>13648.87409976563</v>
      </c>
      <c r="C11" s="45">
        <f>'Shareholder cash flows'!C16</f>
        <v>0</v>
      </c>
      <c r="D11" s="45">
        <f>-'Shareholder cash flows'!D16</f>
        <v>0</v>
      </c>
      <c r="E11" s="45">
        <f>-'Shareholder cash flows'!E16</f>
        <v>-55.204040159999998</v>
      </c>
      <c r="F11" s="46">
        <f>'Shareholder cash flows'!F16</f>
        <v>0</v>
      </c>
      <c r="G11" s="43">
        <f t="shared" si="0"/>
        <v>-55.204040159999998</v>
      </c>
    </row>
    <row r="12" spans="1:7" x14ac:dyDescent="0.25">
      <c r="A12" s="28">
        <f t="shared" si="1"/>
        <v>8</v>
      </c>
      <c r="B12" s="39">
        <f>'Policyholder cash flows'!G14</f>
        <v>14331.317804753911</v>
      </c>
      <c r="C12" s="41">
        <f>'Shareholder cash flows'!C17</f>
        <v>0</v>
      </c>
      <c r="D12" s="41">
        <f>-'Shareholder cash flows'!D17</f>
        <v>0</v>
      </c>
      <c r="E12" s="41">
        <f>-'Shareholder cash flows'!E17</f>
        <v>-56.308120963200004</v>
      </c>
      <c r="F12" s="42">
        <f>'Shareholder cash flows'!F17</f>
        <v>0</v>
      </c>
      <c r="G12" s="39">
        <f t="shared" si="0"/>
        <v>-56.308120963200004</v>
      </c>
    </row>
    <row r="13" spans="1:7" x14ac:dyDescent="0.25">
      <c r="A13" s="29">
        <f t="shared" si="1"/>
        <v>9</v>
      </c>
      <c r="B13" s="43">
        <f>'Policyholder cash flows'!G15</f>
        <v>15047.883694991606</v>
      </c>
      <c r="C13" s="45">
        <f>'Shareholder cash flows'!C18</f>
        <v>0</v>
      </c>
      <c r="D13" s="45">
        <f>-'Shareholder cash flows'!D18</f>
        <v>0</v>
      </c>
      <c r="E13" s="45">
        <f>-'Shareholder cash flows'!E18</f>
        <v>-57.434283382463988</v>
      </c>
      <c r="F13" s="46">
        <f>'Shareholder cash flows'!F18</f>
        <v>0</v>
      </c>
      <c r="G13" s="43">
        <f t="shared" si="0"/>
        <v>-57.434283382463988</v>
      </c>
    </row>
    <row r="14" spans="1:7" x14ac:dyDescent="0.25">
      <c r="A14" s="30">
        <f t="shared" si="1"/>
        <v>10</v>
      </c>
      <c r="B14" s="47">
        <v>0</v>
      </c>
      <c r="C14" s="49">
        <f>'Shareholder cash flows'!C19</f>
        <v>0</v>
      </c>
      <c r="D14" s="49">
        <f>-'Shareholder cash flows'!D19</f>
        <v>0</v>
      </c>
      <c r="E14" s="49">
        <f>-'Shareholder cash flows'!E19</f>
        <v>-58.582969050113277</v>
      </c>
      <c r="F14" s="50">
        <f>-'Shareholder cash flows'!F19</f>
        <v>-15800.277879741187</v>
      </c>
      <c r="G14" s="47">
        <f t="shared" si="0"/>
        <v>-15858.860848791301</v>
      </c>
    </row>
    <row r="20" spans="1:12" x14ac:dyDescent="0.25">
      <c r="A20" s="12" t="s">
        <v>98</v>
      </c>
      <c r="B20" s="12"/>
    </row>
    <row r="21" spans="1:12" ht="15" customHeight="1" x14ac:dyDescent="0.25"/>
    <row r="22" spans="1:12" x14ac:dyDescent="0.25">
      <c r="A22" s="12" t="s">
        <v>99</v>
      </c>
      <c r="H22" s="12" t="s">
        <v>100</v>
      </c>
    </row>
    <row r="24" spans="1:12" x14ac:dyDescent="0.25">
      <c r="A24" s="83" t="s">
        <v>14</v>
      </c>
      <c r="B24" s="85" t="s">
        <v>33</v>
      </c>
      <c r="C24" s="81" t="s">
        <v>31</v>
      </c>
      <c r="D24" s="81" t="s">
        <v>34</v>
      </c>
      <c r="E24" s="81" t="s">
        <v>25</v>
      </c>
      <c r="H24" s="83" t="s">
        <v>14</v>
      </c>
      <c r="I24" s="85" t="s">
        <v>33</v>
      </c>
      <c r="J24" s="81" t="s">
        <v>31</v>
      </c>
      <c r="K24" s="81" t="s">
        <v>34</v>
      </c>
      <c r="L24" s="81" t="s">
        <v>25</v>
      </c>
    </row>
    <row r="25" spans="1:12" x14ac:dyDescent="0.25">
      <c r="A25" s="84"/>
      <c r="B25" s="86"/>
      <c r="C25" s="82"/>
      <c r="D25" s="82"/>
      <c r="E25" s="82" t="s">
        <v>25</v>
      </c>
      <c r="H25" s="84"/>
      <c r="I25" s="86"/>
      <c r="J25" s="82"/>
      <c r="K25" s="82"/>
      <c r="L25" s="82" t="s">
        <v>25</v>
      </c>
    </row>
    <row r="26" spans="1:12" x14ac:dyDescent="0.25">
      <c r="A26" s="51">
        <v>1</v>
      </c>
      <c r="B26" s="36">
        <f>'Liability and profit'!B8</f>
        <v>9739.8903723008534</v>
      </c>
      <c r="C26" s="36">
        <f>'Liability and profit'!C8+ Investment_rate*'Liability and profit'!E7</f>
        <v>579</v>
      </c>
      <c r="D26" s="37">
        <f>B26</f>
        <v>9739.8903723008534</v>
      </c>
      <c r="E26" s="38">
        <f>'Shareholder cash flows'!$G10+C26-D26</f>
        <v>489.10962769914659</v>
      </c>
      <c r="H26" s="51">
        <v>1</v>
      </c>
      <c r="I26" s="36">
        <f>'Liability and profit'!D36</f>
        <v>10177.976550685931</v>
      </c>
      <c r="J26" s="37">
        <f>'Liability and profit'!E36</f>
        <v>579</v>
      </c>
      <c r="K26" s="37">
        <f>I26</f>
        <v>10177.976550685931</v>
      </c>
      <c r="L26" s="38">
        <f>'Shareholder cash flows'!$G10+J26-K26</f>
        <v>51.023449314068785</v>
      </c>
    </row>
    <row r="27" spans="1:12" x14ac:dyDescent="0.25">
      <c r="A27" s="32">
        <f>1+A26</f>
        <v>2</v>
      </c>
      <c r="B27" s="40">
        <f>'Liability and profit'!B9</f>
        <v>10271.283794638905</v>
      </c>
      <c r="C27" s="40">
        <f>'Liability and profit'!C9</f>
        <v>581.39342233805121</v>
      </c>
      <c r="D27" s="41">
        <f>B27-B26</f>
        <v>531.3934223380511</v>
      </c>
      <c r="E27" s="42">
        <f>'Shareholder cash flows'!G11+C27-D27</f>
        <v>0</v>
      </c>
      <c r="H27" s="32">
        <f>1+H26</f>
        <v>2</v>
      </c>
      <c r="I27" s="40">
        <f>'Liability and profit'!D37</f>
        <v>10682.080521947313</v>
      </c>
      <c r="J27" s="41">
        <f>'Liability and profit'!E37</f>
        <v>607.67859304115586</v>
      </c>
      <c r="K27" s="41">
        <f>I27-I26</f>
        <v>504.10397126138196</v>
      </c>
      <c r="L27" s="42">
        <f>'Shareholder cash flows'!$G11+J27-K27</f>
        <v>53.574621779773906</v>
      </c>
    </row>
    <row r="28" spans="1:12" x14ac:dyDescent="0.25">
      <c r="A28" s="33">
        <f t="shared" ref="A28:A35" si="2">1+A27</f>
        <v>3</v>
      </c>
      <c r="B28" s="44">
        <f>'Liability and profit'!B10</f>
        <v>10833.500822317239</v>
      </c>
      <c r="C28" s="44">
        <f>'Liability and profit'!C10</f>
        <v>613.21702767833426</v>
      </c>
      <c r="D28" s="45">
        <f t="shared" ref="D28:D35" si="3">B28-B27</f>
        <v>562.21702767833449</v>
      </c>
      <c r="E28" s="46">
        <f>'Shareholder cash flows'!G12+C28-D28</f>
        <v>0</v>
      </c>
      <c r="H28" s="33">
        <f t="shared" ref="H28:H35" si="4">1+H27</f>
        <v>3</v>
      </c>
      <c r="I28" s="44">
        <f>'Liability and profit'!D38</f>
        <v>11212.692000395391</v>
      </c>
      <c r="J28" s="45">
        <f>'Liability and profit'!E38</f>
        <v>637.86483131683872</v>
      </c>
      <c r="K28" s="45">
        <f t="shared" ref="K28:K35" si="5">I28-I27</f>
        <v>530.61147844807783</v>
      </c>
      <c r="L28" s="46">
        <f>'Shareholder cash flows'!$G12+J28-K28</f>
        <v>56.253352868760885</v>
      </c>
    </row>
    <row r="29" spans="1:12" x14ac:dyDescent="0.25">
      <c r="A29" s="32">
        <f t="shared" si="2"/>
        <v>4</v>
      </c>
      <c r="B29" s="40">
        <f>'Liability and profit'!B11</f>
        <v>11428.369671656274</v>
      </c>
      <c r="C29" s="40">
        <f>'Liability and profit'!C11</f>
        <v>646.88884933903432</v>
      </c>
      <c r="D29" s="41">
        <f t="shared" si="3"/>
        <v>594.86884933903457</v>
      </c>
      <c r="E29" s="42">
        <f>'Shareholder cash flows'!G13+C29-D29</f>
        <v>0</v>
      </c>
      <c r="H29" s="32">
        <f t="shared" si="4"/>
        <v>4</v>
      </c>
      <c r="I29" s="40">
        <f>'Liability and profit'!D39</f>
        <v>11771.246299906914</v>
      </c>
      <c r="J29" s="41">
        <f>'Liability and profit'!E39</f>
        <v>669.64032002372346</v>
      </c>
      <c r="K29" s="41">
        <f t="shared" si="5"/>
        <v>558.55429951152291</v>
      </c>
      <c r="L29" s="42">
        <f>'Shareholder cash flows'!$G13+J29-K29</f>
        <v>59.066020512200566</v>
      </c>
    </row>
    <row r="30" spans="1:12" x14ac:dyDescent="0.25">
      <c r="A30" s="33">
        <f t="shared" si="2"/>
        <v>5</v>
      </c>
      <c r="B30" s="44">
        <f>'Liability and profit'!B12</f>
        <v>12057.827827955651</v>
      </c>
      <c r="C30" s="44">
        <f>'Liability and profit'!C12</f>
        <v>682.51855629937631</v>
      </c>
      <c r="D30" s="45">
        <f t="shared" si="3"/>
        <v>629.45815629937715</v>
      </c>
      <c r="E30" s="46">
        <f>'Shareholder cash flows'!G14+C30-D30</f>
        <v>0</v>
      </c>
      <c r="H30" s="33">
        <f t="shared" si="4"/>
        <v>5</v>
      </c>
      <c r="I30" s="44">
        <f>'Liability and profit'!D40</f>
        <v>12359.25773236352</v>
      </c>
      <c r="J30" s="45">
        <f>'Liability and profit'!E40</f>
        <v>703.09115399441475</v>
      </c>
      <c r="K30" s="45">
        <f t="shared" si="5"/>
        <v>588.01143245660569</v>
      </c>
      <c r="L30" s="46">
        <f>'Shareholder cash flows'!$G14+J30-K30</f>
        <v>62.019321537809105</v>
      </c>
    </row>
    <row r="31" spans="1:12" x14ac:dyDescent="0.25">
      <c r="A31" s="32">
        <f t="shared" si="2"/>
        <v>6</v>
      </c>
      <c r="B31" s="40">
        <f>'Liability and profit'!B13</f>
        <v>12723.92859315299</v>
      </c>
      <c r="C31" s="40">
        <f>'Liability and profit'!C13</f>
        <v>720.22237319733904</v>
      </c>
      <c r="D31" s="41">
        <f t="shared" si="3"/>
        <v>666.10076519733957</v>
      </c>
      <c r="E31" s="42">
        <f>'Shareholder cash flows'!G15+C31-D31</f>
        <v>0</v>
      </c>
      <c r="H31" s="32">
        <f t="shared" si="4"/>
        <v>6</v>
      </c>
      <c r="I31" s="40">
        <f>'Liability and profit'!D41</f>
        <v>12978.324004210632</v>
      </c>
      <c r="J31" s="41">
        <f>'Liability and profit'!E41</f>
        <v>738.30816746181119</v>
      </c>
      <c r="K31" s="41">
        <f t="shared" si="5"/>
        <v>619.06627184711215</v>
      </c>
      <c r="L31" s="42">
        <f>'Shareholder cash flows'!$G15+J31-K31</f>
        <v>65.120287614699009</v>
      </c>
    </row>
    <row r="32" spans="1:12" x14ac:dyDescent="0.25">
      <c r="A32" s="33">
        <f t="shared" si="2"/>
        <v>7</v>
      </c>
      <c r="B32" s="44">
        <f>'Liability and profit'!B14</f>
        <v>13428.848026172569</v>
      </c>
      <c r="C32" s="44">
        <f>'Liability and profit'!C14</f>
        <v>760.12347317957938</v>
      </c>
      <c r="D32" s="45">
        <f t="shared" si="3"/>
        <v>704.91943301957872</v>
      </c>
      <c r="E32" s="46">
        <f>'Shareholder cash flows'!G16+C32-D32</f>
        <v>0</v>
      </c>
      <c r="H32" s="33">
        <f t="shared" si="4"/>
        <v>7</v>
      </c>
      <c r="I32" s="44">
        <f>'Liability and profit'!D42</f>
        <v>13630.130859898234</v>
      </c>
      <c r="J32" s="45">
        <f>'Liability and profit'!E42</f>
        <v>775.38719784303782</v>
      </c>
      <c r="K32" s="45">
        <f t="shared" si="5"/>
        <v>651.80685568760236</v>
      </c>
      <c r="L32" s="46">
        <f>'Shareholder cash flows'!$G16+J32-K32</f>
        <v>68.376301995435483</v>
      </c>
    </row>
    <row r="33" spans="1:12" x14ac:dyDescent="0.25">
      <c r="A33" s="32">
        <f t="shared" si="2"/>
        <v>8</v>
      </c>
      <c r="B33" s="40">
        <f>'Liability and profit'!B15</f>
        <v>14174.892299521933</v>
      </c>
      <c r="C33" s="40">
        <f>'Liability and profit'!C15</f>
        <v>802.35239431256207</v>
      </c>
      <c r="D33" s="41">
        <f t="shared" si="3"/>
        <v>746.04427334936372</v>
      </c>
      <c r="E33" s="42">
        <f>'Shareholder cash flows'!G17+C33-D33</f>
        <v>-1.7053025658242404E-12</v>
      </c>
      <c r="H33" s="32">
        <f t="shared" si="4"/>
        <v>8</v>
      </c>
      <c r="I33" s="40">
        <f>'Liability and profit'!D43</f>
        <v>14316.45698617593</v>
      </c>
      <c r="J33" s="41">
        <f>'Liability and profit'!E43</f>
        <v>814.42936433610203</v>
      </c>
      <c r="K33" s="41">
        <f t="shared" si="5"/>
        <v>686.32612627769595</v>
      </c>
      <c r="L33" s="42">
        <f>'Shareholder cash flows'!$G17+J33-K33</f>
        <v>71.795117095206024</v>
      </c>
    </row>
    <row r="34" spans="1:12" x14ac:dyDescent="0.25">
      <c r="A34" s="33">
        <f t="shared" si="2"/>
        <v>9</v>
      </c>
      <c r="B34" s="44">
        <f>'Liability and profit'!B16</f>
        <v>14964.505497107837</v>
      </c>
      <c r="C34" s="44">
        <f>'Liability and profit'!C16</f>
        <v>847.04748096836806</v>
      </c>
      <c r="D34" s="45">
        <f t="shared" si="3"/>
        <v>789.61319758590435</v>
      </c>
      <c r="E34" s="46">
        <f>'Shareholder cash flows'!G18+C34-D34</f>
        <v>0</v>
      </c>
      <c r="H34" s="33">
        <f t="shared" si="4"/>
        <v>9</v>
      </c>
      <c r="I34" s="44">
        <f>'Liability and profit'!D44</f>
        <v>15039.179192011106</v>
      </c>
      <c r="J34" s="45">
        <f>'Liability and profit'!E44</f>
        <v>855.54136216760787</v>
      </c>
      <c r="K34" s="45">
        <f t="shared" si="5"/>
        <v>722.72220583517628</v>
      </c>
      <c r="L34" s="46">
        <f>'Shareholder cash flows'!$G18+J34-K34</f>
        <v>75.384872949967644</v>
      </c>
    </row>
    <row r="35" spans="1:12" x14ac:dyDescent="0.25">
      <c r="A35" s="34">
        <f t="shared" si="2"/>
        <v>10</v>
      </c>
      <c r="B35" s="48">
        <f>'Liability and profit'!B17</f>
        <v>0</v>
      </c>
      <c r="C35" s="48">
        <f>'Liability and profit'!C17</f>
        <v>894.35535168346337</v>
      </c>
      <c r="D35" s="49">
        <f t="shared" si="3"/>
        <v>-14964.505497107837</v>
      </c>
      <c r="E35" s="50">
        <f>'Shareholder cash flows'!G19+C35-D35</f>
        <v>0</v>
      </c>
      <c r="H35" s="34">
        <f t="shared" si="4"/>
        <v>10</v>
      </c>
      <c r="I35" s="48">
        <f>'Liability and profit'!D45</f>
        <v>0</v>
      </c>
      <c r="J35" s="49">
        <f>'Liability and profit'!E45</f>
        <v>898.83577337765951</v>
      </c>
      <c r="K35" s="49">
        <f t="shared" si="5"/>
        <v>-15039.179192011106</v>
      </c>
      <c r="L35" s="50">
        <f>'Shareholder cash flows'!$G19+J35-K35</f>
        <v>79.154116597464963</v>
      </c>
    </row>
    <row r="38" spans="1:12" x14ac:dyDescent="0.25">
      <c r="A38" s="12" t="s">
        <v>101</v>
      </c>
      <c r="H38" s="12" t="s">
        <v>102</v>
      </c>
    </row>
    <row r="40" spans="1:12" x14ac:dyDescent="0.25">
      <c r="A40" s="83" t="s">
        <v>14</v>
      </c>
      <c r="B40" s="85" t="s">
        <v>33</v>
      </c>
      <c r="C40" s="81" t="s">
        <v>31</v>
      </c>
      <c r="D40" s="81" t="s">
        <v>34</v>
      </c>
      <c r="E40" s="81" t="s">
        <v>25</v>
      </c>
      <c r="H40" s="83" t="s">
        <v>14</v>
      </c>
      <c r="I40" s="85" t="s">
        <v>33</v>
      </c>
      <c r="J40" s="81" t="s">
        <v>31</v>
      </c>
      <c r="K40" s="81" t="s">
        <v>34</v>
      </c>
      <c r="L40" s="81" t="s">
        <v>25</v>
      </c>
    </row>
    <row r="41" spans="1:12" x14ac:dyDescent="0.25">
      <c r="A41" s="84"/>
      <c r="B41" s="86"/>
      <c r="C41" s="82"/>
      <c r="D41" s="82"/>
      <c r="E41" s="82" t="s">
        <v>25</v>
      </c>
      <c r="H41" s="84"/>
      <c r="I41" s="86"/>
      <c r="J41" s="82"/>
      <c r="K41" s="82"/>
      <c r="L41" s="82" t="s">
        <v>25</v>
      </c>
    </row>
    <row r="42" spans="1:12" x14ac:dyDescent="0.25">
      <c r="A42" s="51">
        <v>1</v>
      </c>
      <c r="B42" s="36">
        <f>'Liability and profit'!B62</f>
        <v>10185</v>
      </c>
      <c r="C42" s="37">
        <f>'Liability and profit'!C62 +'Liability and profit'!E61*Investment_rate</f>
        <v>579</v>
      </c>
      <c r="D42" s="37">
        <f>B42</f>
        <v>10185</v>
      </c>
      <c r="E42" s="38">
        <f>'Shareholder cash flows'!$G10+C42-D42</f>
        <v>44</v>
      </c>
      <c r="H42" s="51">
        <v>1</v>
      </c>
      <c r="I42" s="36">
        <f>'Liability and profit'!B82</f>
        <v>10286.85</v>
      </c>
      <c r="J42" s="37">
        <f>'Liability and profit'!C82+'Liability and profit'!E81*Investment_rate</f>
        <v>578.99999999999989</v>
      </c>
      <c r="K42" s="37">
        <f>I42</f>
        <v>10286.85</v>
      </c>
      <c r="L42" s="38">
        <f>'Shareholder cash flows'!$G10+J42-K42</f>
        <v>-57.850000000000364</v>
      </c>
    </row>
    <row r="43" spans="1:12" x14ac:dyDescent="0.25">
      <c r="A43" s="32">
        <f>1+A42</f>
        <v>2</v>
      </c>
      <c r="B43" s="40">
        <f>'Liability and profit'!B63</f>
        <v>10694.25</v>
      </c>
      <c r="C43" s="41">
        <f>'Liability and profit'!C63</f>
        <v>608.1</v>
      </c>
      <c r="D43" s="41">
        <f>B43-B42</f>
        <v>509.25</v>
      </c>
      <c r="E43" s="42">
        <f>'Shareholder cash flows'!$G11+C43-D43</f>
        <v>48.850000000000023</v>
      </c>
      <c r="H43" s="32">
        <f>1+H42</f>
        <v>2</v>
      </c>
      <c r="I43" s="40">
        <f>'Liability and profit'!B83</f>
        <v>10801.192499999999</v>
      </c>
      <c r="J43" s="41">
        <f>'Liability and profit'!C83</f>
        <v>614.21100000000001</v>
      </c>
      <c r="K43" s="41">
        <f>I43-I42</f>
        <v>514.34249999999884</v>
      </c>
      <c r="L43" s="42">
        <f>'Shareholder cash flows'!$G11+J43-K43</f>
        <v>49.868500000001177</v>
      </c>
    </row>
    <row r="44" spans="1:12" x14ac:dyDescent="0.25">
      <c r="A44" s="33">
        <f t="shared" ref="A44:A51" si="6">1+A43</f>
        <v>3</v>
      </c>
      <c r="B44" s="44">
        <f>'Liability and profit'!B64</f>
        <v>11228.962500000001</v>
      </c>
      <c r="C44" s="45">
        <f>'Liability and profit'!C64</f>
        <v>638.59500000000003</v>
      </c>
      <c r="D44" s="45">
        <f t="shared" ref="D44:D51" si="7">B44-B43</f>
        <v>534.71250000000146</v>
      </c>
      <c r="E44" s="46">
        <f>'Shareholder cash flows'!$G12+C44-D44</f>
        <v>52.882499999998572</v>
      </c>
      <c r="H44" s="33">
        <f t="shared" ref="H44:H51" si="8">1+H43</f>
        <v>3</v>
      </c>
      <c r="I44" s="44">
        <f>'Liability and profit'!B84</f>
        <v>11341.252125000001</v>
      </c>
      <c r="J44" s="45">
        <f>'Liability and profit'!C84</f>
        <v>645.01154999999994</v>
      </c>
      <c r="K44" s="45">
        <f t="shared" ref="K44:K51" si="9">I44-I43</f>
        <v>540.05962500000169</v>
      </c>
      <c r="L44" s="46">
        <f>'Shareholder cash flows'!$G12+J44-K44</f>
        <v>53.951924999998255</v>
      </c>
    </row>
    <row r="45" spans="1:12" x14ac:dyDescent="0.25">
      <c r="A45" s="32">
        <f t="shared" si="6"/>
        <v>4</v>
      </c>
      <c r="B45" s="40">
        <f>'Liability and profit'!B65</f>
        <v>11790.410625000002</v>
      </c>
      <c r="C45" s="41">
        <f>'Liability and profit'!C65</f>
        <v>670.61655000000007</v>
      </c>
      <c r="D45" s="41">
        <f t="shared" si="7"/>
        <v>561.4481250000008</v>
      </c>
      <c r="E45" s="42">
        <f>'Shareholder cash flows'!$G13+C45-D45</f>
        <v>57.148424999999293</v>
      </c>
      <c r="H45" s="32">
        <f t="shared" si="8"/>
        <v>4</v>
      </c>
      <c r="I45" s="40">
        <f>'Liability and profit'!B85</f>
        <v>11908.314731250002</v>
      </c>
      <c r="J45" s="41">
        <f>'Liability and profit'!C85</f>
        <v>677.35392750000005</v>
      </c>
      <c r="K45" s="41">
        <f t="shared" si="9"/>
        <v>567.06260625000141</v>
      </c>
      <c r="L45" s="42">
        <f>'Shareholder cash flows'!$G13+J45-K45</f>
        <v>58.271321249998664</v>
      </c>
    </row>
    <row r="46" spans="1:12" x14ac:dyDescent="0.25">
      <c r="A46" s="33">
        <f t="shared" si="6"/>
        <v>5</v>
      </c>
      <c r="B46" s="44">
        <f>'Liability and profit'!B66</f>
        <v>12379.931156250002</v>
      </c>
      <c r="C46" s="45">
        <f>'Liability and profit'!C66</f>
        <v>704.24101350000012</v>
      </c>
      <c r="D46" s="45">
        <f t="shared" si="7"/>
        <v>589.5205312500002</v>
      </c>
      <c r="E46" s="46">
        <f>'Shareholder cash flows'!$G14+C46-D46</f>
        <v>61.660082249999959</v>
      </c>
      <c r="H46" s="33">
        <f t="shared" si="8"/>
        <v>5</v>
      </c>
      <c r="I46" s="44">
        <f>'Liability and profit'!B86</f>
        <v>12503.730467812502</v>
      </c>
      <c r="J46" s="45">
        <f>'Liability and profit'!C86</f>
        <v>711.31525987500004</v>
      </c>
      <c r="K46" s="45">
        <f t="shared" si="9"/>
        <v>595.41573656249966</v>
      </c>
      <c r="L46" s="46">
        <f>'Shareholder cash flows'!$G14+J46-K46</f>
        <v>62.839123312500419</v>
      </c>
    </row>
    <row r="47" spans="1:12" x14ac:dyDescent="0.25">
      <c r="A47" s="32">
        <f t="shared" si="6"/>
        <v>6</v>
      </c>
      <c r="B47" s="40">
        <f>'Liability and profit'!B67</f>
        <v>12998.927714062504</v>
      </c>
      <c r="C47" s="41">
        <f>'Liability and profit'!C67</f>
        <v>739.54857289500012</v>
      </c>
      <c r="D47" s="41">
        <f t="shared" si="7"/>
        <v>618.99655781250112</v>
      </c>
      <c r="E47" s="42">
        <f>'Shareholder cash flows'!$G15+C47-D47</f>
        <v>66.430407082498959</v>
      </c>
      <c r="H47" s="32">
        <f t="shared" si="8"/>
        <v>6</v>
      </c>
      <c r="I47" s="40">
        <f>'Liability and profit'!B87</f>
        <v>13128.916991203128</v>
      </c>
      <c r="J47" s="41">
        <f>'Liability and profit'!C87</f>
        <v>746.97653158875016</v>
      </c>
      <c r="K47" s="41">
        <f t="shared" si="9"/>
        <v>625.18652339062646</v>
      </c>
      <c r="L47" s="42">
        <f>'Shareholder cash flows'!$G15+J47-K47</f>
        <v>67.668400198123663</v>
      </c>
    </row>
    <row r="48" spans="1:12" x14ac:dyDescent="0.25">
      <c r="A48" s="33">
        <f t="shared" si="6"/>
        <v>7</v>
      </c>
      <c r="B48" s="44">
        <f>'Liability and profit'!B68</f>
        <v>13648.87409976563</v>
      </c>
      <c r="C48" s="45">
        <f>'Liability and profit'!C68</f>
        <v>776.62342043415015</v>
      </c>
      <c r="D48" s="45">
        <f t="shared" si="7"/>
        <v>649.946385703126</v>
      </c>
      <c r="E48" s="46">
        <f>'Shareholder cash flows'!$G16+C48-D48</f>
        <v>71.472994571024174</v>
      </c>
      <c r="H48" s="33">
        <f t="shared" si="8"/>
        <v>7</v>
      </c>
      <c r="I48" s="44">
        <f>'Liability and profit'!B88</f>
        <v>13785.362840763286</v>
      </c>
      <c r="J48" s="45">
        <f>'Liability and profit'!C88</f>
        <v>784.42277706258767</v>
      </c>
      <c r="K48" s="45">
        <f t="shared" si="9"/>
        <v>656.44584956015751</v>
      </c>
      <c r="L48" s="46">
        <f>'Shareholder cash flows'!$G16+J48-K48</f>
        <v>72.772887342430181</v>
      </c>
    </row>
    <row r="49" spans="1:12" x14ac:dyDescent="0.25">
      <c r="A49" s="32">
        <f t="shared" si="6"/>
        <v>8</v>
      </c>
      <c r="B49" s="40">
        <f>'Liability and profit'!B69</f>
        <v>14331.317804753911</v>
      </c>
      <c r="C49" s="41">
        <f>'Liability and profit'!C69</f>
        <v>815.55395872814574</v>
      </c>
      <c r="D49" s="41">
        <f t="shared" si="7"/>
        <v>682.44370498828175</v>
      </c>
      <c r="E49" s="42">
        <f>'Shareholder cash flows'!$G17+C49-D49</f>
        <v>76.802132776663939</v>
      </c>
      <c r="H49" s="32">
        <f t="shared" si="8"/>
        <v>8</v>
      </c>
      <c r="I49" s="40">
        <f>'Liability and profit'!B89</f>
        <v>14474.630982801451</v>
      </c>
      <c r="J49" s="41">
        <f>'Liability and profit'!C89</f>
        <v>823.74328318800508</v>
      </c>
      <c r="K49" s="41">
        <f t="shared" si="9"/>
        <v>689.26814203816502</v>
      </c>
      <c r="L49" s="42">
        <f>'Shareholder cash flows'!$G17+J49-K49</f>
        <v>78.167020186640002</v>
      </c>
    </row>
    <row r="50" spans="1:12" x14ac:dyDescent="0.25">
      <c r="A50" s="33">
        <f t="shared" si="6"/>
        <v>9</v>
      </c>
      <c r="B50" s="44">
        <f>'Liability and profit'!B70</f>
        <v>15047.883694991606</v>
      </c>
      <c r="C50" s="45">
        <f>'Liability and profit'!C70</f>
        <v>856.43301128228677</v>
      </c>
      <c r="D50" s="45">
        <f t="shared" si="7"/>
        <v>716.56589023769448</v>
      </c>
      <c r="E50" s="46">
        <f>'Shareholder cash flows'!$G18+C50-D50</f>
        <v>82.43283766212835</v>
      </c>
      <c r="H50" s="33">
        <f t="shared" si="8"/>
        <v>9</v>
      </c>
      <c r="I50" s="44">
        <f>'Liability and profit'!B90</f>
        <v>15198.362531941522</v>
      </c>
      <c r="J50" s="45">
        <f>'Liability and profit'!C90</f>
        <v>865.03180196513915</v>
      </c>
      <c r="K50" s="45">
        <f t="shared" si="9"/>
        <v>723.73154914007137</v>
      </c>
      <c r="L50" s="46">
        <f>'Shareholder cash flows'!$G18+J50-K50</f>
        <v>83.865969442603841</v>
      </c>
    </row>
    <row r="51" spans="1:12" x14ac:dyDescent="0.25">
      <c r="A51" s="34">
        <f t="shared" si="6"/>
        <v>10</v>
      </c>
      <c r="B51" s="48">
        <f>'Liability and profit'!B71</f>
        <v>0</v>
      </c>
      <c r="C51" s="49">
        <f>'Liability and profit'!C71</f>
        <v>899.35804355648952</v>
      </c>
      <c r="D51" s="49">
        <f t="shared" si="7"/>
        <v>-15047.883694991606</v>
      </c>
      <c r="E51" s="50">
        <f>'Shareholder cash flows'!$G19+C51-D51</f>
        <v>88.380889756794204</v>
      </c>
      <c r="H51" s="34">
        <f t="shared" si="8"/>
        <v>10</v>
      </c>
      <c r="I51" s="48">
        <f>'Liability and profit'!B91</f>
        <v>0</v>
      </c>
      <c r="J51" s="49">
        <f>'Liability and profit'!C91</f>
        <v>908.38677377348449</v>
      </c>
      <c r="K51" s="49">
        <f t="shared" si="9"/>
        <v>-15198.362531941522</v>
      </c>
      <c r="L51" s="50">
        <f>'Shareholder cash flows'!$G19+J51-K51</f>
        <v>247.88845692370523</v>
      </c>
    </row>
  </sheetData>
  <mergeCells count="27">
    <mergeCell ref="F3:F4"/>
    <mergeCell ref="G3:G4"/>
    <mergeCell ref="A24:A25"/>
    <mergeCell ref="B24:B25"/>
    <mergeCell ref="C24:C25"/>
    <mergeCell ref="D24:D25"/>
    <mergeCell ref="A3:A4"/>
    <mergeCell ref="B3:B4"/>
    <mergeCell ref="C3:C4"/>
    <mergeCell ref="D3:D4"/>
    <mergeCell ref="E3:E4"/>
    <mergeCell ref="L24:L25"/>
    <mergeCell ref="A40:A41"/>
    <mergeCell ref="B40:B41"/>
    <mergeCell ref="C40:C41"/>
    <mergeCell ref="D40:D41"/>
    <mergeCell ref="E40:E41"/>
    <mergeCell ref="H40:H41"/>
    <mergeCell ref="I40:I41"/>
    <mergeCell ref="J40:J41"/>
    <mergeCell ref="K40:K41"/>
    <mergeCell ref="L40:L41"/>
    <mergeCell ref="E24:E25"/>
    <mergeCell ref="H24:H25"/>
    <mergeCell ref="I24:I25"/>
    <mergeCell ref="J24:J25"/>
    <mergeCell ref="K24:K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Notes</vt:lpstr>
      <vt:lpstr>Data</vt:lpstr>
      <vt:lpstr>Assumptions</vt:lpstr>
      <vt:lpstr>Decrements</vt:lpstr>
      <vt:lpstr>Shareholder cash flows</vt:lpstr>
      <vt:lpstr>Policyholder cash flows</vt:lpstr>
      <vt:lpstr>Liability and profit</vt:lpstr>
      <vt:lpstr>Tables</vt:lpstr>
      <vt:lpstr>Age</vt:lpstr>
      <vt:lpstr>Annual_premium</vt:lpstr>
      <vt:lpstr>CB1_factor</vt:lpstr>
      <vt:lpstr>CB2_factor</vt:lpstr>
      <vt:lpstr>Decrement</vt:lpstr>
      <vt:lpstr>Discount_rate</vt:lpstr>
      <vt:lpstr>Entry_fee</vt:lpstr>
      <vt:lpstr>IA95_97UltM</vt:lpstr>
      <vt:lpstr>IC_rate</vt:lpstr>
      <vt:lpstr>Inflation</vt:lpstr>
      <vt:lpstr>Initial_comm_rate</vt:lpstr>
      <vt:lpstr>Initial_expense</vt:lpstr>
      <vt:lpstr>Invesment_Fee</vt:lpstr>
      <vt:lpstr>Investment_Fee</vt:lpstr>
      <vt:lpstr>Investment_rate</vt:lpstr>
      <vt:lpstr>lapse_rates</vt:lpstr>
      <vt:lpstr>Profit_margin</vt:lpstr>
      <vt:lpstr>RC_rate</vt:lpstr>
      <vt:lpstr>Renewal_comm_rate</vt:lpstr>
      <vt:lpstr>Renewal_expense</vt:lpstr>
      <vt:lpstr>Single_premium</vt:lpstr>
      <vt:lpstr>Sum_Insured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Vincent Zhu</cp:lastModifiedBy>
  <dcterms:created xsi:type="dcterms:W3CDTF">2018-12-13T02:59:47Z</dcterms:created>
  <dcterms:modified xsi:type="dcterms:W3CDTF">2020-08-12T15:04:48Z</dcterms:modified>
</cp:coreProperties>
</file>