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VZhu\Documents\GitHub\my_file\LIRV\Textbook\"/>
    </mc:Choice>
  </mc:AlternateContent>
  <bookViews>
    <workbookView xWindow="0" yWindow="0" windowWidth="28800" windowHeight="11835" activeTab="4"/>
  </bookViews>
  <sheets>
    <sheet name="Notes" sheetId="1" r:id="rId1"/>
    <sheet name="Data" sheetId="7" r:id="rId2"/>
    <sheet name="Assumptions" sheetId="6" r:id="rId3"/>
    <sheet name="Decrements" sheetId="3" r:id="rId4"/>
    <sheet name="Shareholder cash flows" sheetId="4" r:id="rId5"/>
    <sheet name="Policyholder cash flows" sheetId="9" r:id="rId6"/>
    <sheet name="Liability and profit" sheetId="5" r:id="rId7"/>
    <sheet name="Tables" sheetId="8" r:id="rId8"/>
  </sheets>
  <definedNames>
    <definedName name="Age">Data!$B$7</definedName>
    <definedName name="Annual_premium">Data!$B$9</definedName>
    <definedName name="CB1_factor">Assumptions!$G$7</definedName>
    <definedName name="CB2_factor">Assumptions!$M$7</definedName>
    <definedName name="DAC_margin">'Liability and profit'!$G$71</definedName>
    <definedName name="Decrement">Decrements!$A$5:$H$14</definedName>
    <definedName name="Discount_rate">Assumptions!$B$34</definedName>
    <definedName name="Entry_fee">Assumptions!$B$5</definedName>
    <definedName name="Factor">Assumptions!#REF!</definedName>
    <definedName name="IA95_97UltM">Data!$A$11:$B$110</definedName>
    <definedName name="IC_rate">Assumptions!$B$29</definedName>
    <definedName name="Inflation">Assumptions!$B$26</definedName>
    <definedName name="Initial_comm_rate">Assumptions!$B$29</definedName>
    <definedName name="Initial_expense">Assumptions!$B$24</definedName>
    <definedName name="Invesment_Fee">Assumptions!$A$7</definedName>
    <definedName name="Investment_Fee">Assumptions!$B$7</definedName>
    <definedName name="Investment_rate">Assumptions!$B$32</definedName>
    <definedName name="lapse_rates">Assumptions!$A$12:$B$21</definedName>
    <definedName name="Profit_margin">'Liability and profit'!$I$24</definedName>
    <definedName name="RC_rate">Assumptions!$B$30</definedName>
    <definedName name="Renewal_comm_rate">Assumptions!$B$30</definedName>
    <definedName name="Renewal_expense">Assumptions!$B$25</definedName>
    <definedName name="Single_premium">Data!$B$9</definedName>
    <definedName name="Sum_Insured">Data!$B$8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W26" i="4" l="1"/>
  <c r="W27" i="4"/>
  <c r="W28" i="4"/>
  <c r="W29" i="4"/>
  <c r="W30" i="4"/>
  <c r="W31" i="4"/>
  <c r="W32" i="4"/>
  <c r="W33" i="4"/>
  <c r="W34" i="4"/>
  <c r="W25" i="4"/>
  <c r="AK24" i="4"/>
  <c r="AB24" i="4"/>
  <c r="AH18" i="4" l="1"/>
  <c r="AL24" i="4"/>
  <c r="AK26" i="4"/>
  <c r="AK27" i="4"/>
  <c r="AK28" i="4"/>
  <c r="AK29" i="4"/>
  <c r="AK30" i="4"/>
  <c r="AK31" i="4"/>
  <c r="AK32" i="4"/>
  <c r="AK33" i="4"/>
  <c r="AK34" i="4"/>
  <c r="AL25" i="4"/>
  <c r="AK25" i="4"/>
  <c r="AJ26" i="4"/>
  <c r="AJ27" i="4"/>
  <c r="AJ28" i="4"/>
  <c r="AJ29" i="4"/>
  <c r="AJ30" i="4"/>
  <c r="AJ31" i="4"/>
  <c r="AJ32" i="4"/>
  <c r="AJ33" i="4"/>
  <c r="AJ34" i="4"/>
  <c r="AJ25" i="4"/>
  <c r="AJ24" i="4"/>
  <c r="AI26" i="4"/>
  <c r="AI27" i="4"/>
  <c r="AI28" i="4"/>
  <c r="AI29" i="4"/>
  <c r="AI30" i="4"/>
  <c r="AI31" i="4"/>
  <c r="AI32" i="4"/>
  <c r="AI33" i="4"/>
  <c r="AI34" i="4"/>
  <c r="AI25" i="4"/>
  <c r="AH26" i="4"/>
  <c r="AH30" i="4"/>
  <c r="AH29" i="4"/>
  <c r="AH25" i="4"/>
  <c r="AH27" i="4"/>
  <c r="AH28" i="4"/>
  <c r="AH31" i="4"/>
  <c r="AH32" i="4"/>
  <c r="AH33" i="4"/>
  <c r="AH34" i="4"/>
  <c r="AH24" i="4"/>
  <c r="AG26" i="4"/>
  <c r="AG27" i="4"/>
  <c r="AG28" i="4"/>
  <c r="AG29" i="4"/>
  <c r="AG30" i="4"/>
  <c r="AG31" i="4"/>
  <c r="AG32" i="4"/>
  <c r="AG33" i="4"/>
  <c r="AG34" i="4"/>
  <c r="AG25" i="4"/>
  <c r="AF26" i="4"/>
  <c r="AF27" i="4"/>
  <c r="AF28" i="4"/>
  <c r="AF29" i="4"/>
  <c r="AF30" i="4"/>
  <c r="AF31" i="4"/>
  <c r="AF32" i="4"/>
  <c r="AF33" i="4"/>
  <c r="AF34" i="4"/>
  <c r="AF25" i="4"/>
  <c r="AG21" i="4"/>
  <c r="C75" i="5"/>
  <c r="AF24" i="4"/>
  <c r="AE25" i="4"/>
  <c r="AE26" i="4"/>
  <c r="AE27" i="4"/>
  <c r="AE28" i="4"/>
  <c r="AE29" i="4"/>
  <c r="AE30" i="4"/>
  <c r="AE31" i="4"/>
  <c r="AE32" i="4"/>
  <c r="AE33" i="4"/>
  <c r="AE34" i="4"/>
  <c r="AE24" i="4"/>
  <c r="AC24" i="4"/>
  <c r="AC25" i="4"/>
  <c r="AB26" i="4"/>
  <c r="AB27" i="4"/>
  <c r="AB28" i="4"/>
  <c r="AB29" i="4"/>
  <c r="AB30" i="4"/>
  <c r="AB31" i="4"/>
  <c r="AB32" i="4"/>
  <c r="AB33" i="4"/>
  <c r="AB34" i="4"/>
  <c r="AB25" i="4"/>
  <c r="AA26" i="4"/>
  <c r="AA27" i="4"/>
  <c r="AA28" i="4"/>
  <c r="AA29" i="4"/>
  <c r="AA30" i="4"/>
  <c r="AA31" i="4"/>
  <c r="AA32" i="4"/>
  <c r="AA33" i="4"/>
  <c r="AA34" i="4"/>
  <c r="AA25" i="4"/>
  <c r="AA24" i="4"/>
  <c r="Z26" i="4"/>
  <c r="Z27" i="4"/>
  <c r="Z28" i="4"/>
  <c r="Z29" i="4"/>
  <c r="Z30" i="4"/>
  <c r="Z31" i="4"/>
  <c r="Z32" i="4"/>
  <c r="Z33" i="4"/>
  <c r="Z34" i="4"/>
  <c r="Z25" i="4"/>
  <c r="Y25" i="4"/>
  <c r="Y26" i="4"/>
  <c r="Y27" i="4"/>
  <c r="Y28" i="4"/>
  <c r="Y29" i="4"/>
  <c r="Y30" i="4"/>
  <c r="Y31" i="4"/>
  <c r="Y32" i="4"/>
  <c r="Y33" i="4"/>
  <c r="Y34" i="4"/>
  <c r="Y24" i="4"/>
  <c r="D34" i="4"/>
  <c r="C34" i="4"/>
  <c r="D33" i="4"/>
  <c r="C33" i="4"/>
  <c r="D32" i="4"/>
  <c r="C32" i="4"/>
  <c r="D31" i="4"/>
  <c r="C31" i="4"/>
  <c r="D30" i="4"/>
  <c r="C30" i="4"/>
  <c r="D29" i="4"/>
  <c r="C29" i="4"/>
  <c r="D28" i="4"/>
  <c r="C28" i="4"/>
  <c r="D27" i="4"/>
  <c r="C27" i="4"/>
  <c r="D26" i="4"/>
  <c r="C26" i="4"/>
  <c r="J34" i="4"/>
  <c r="P34" i="4" s="1"/>
  <c r="I26" i="4"/>
  <c r="I27" i="4" s="1"/>
  <c r="I28" i="4" s="1"/>
  <c r="I29" i="4" s="1"/>
  <c r="I30" i="4" s="1"/>
  <c r="I31" i="4" s="1"/>
  <c r="I32" i="4" s="1"/>
  <c r="I33" i="4" s="1"/>
  <c r="I34" i="4" s="1"/>
  <c r="AF9" i="4" l="1"/>
  <c r="Y9" i="4"/>
  <c r="AE9" i="4" s="1"/>
  <c r="AH9" i="4" s="1"/>
  <c r="AJ9" i="4" l="1"/>
  <c r="AI10" i="4"/>
  <c r="Z10" i="4"/>
  <c r="AA9" i="4"/>
  <c r="J19" i="4"/>
  <c r="P19" i="4" s="1"/>
  <c r="I11" i="4"/>
  <c r="I12" i="4" s="1"/>
  <c r="I13" i="4" s="1"/>
  <c r="I14" i="4" s="1"/>
  <c r="I15" i="4" s="1"/>
  <c r="I16" i="4" s="1"/>
  <c r="I17" i="4" s="1"/>
  <c r="I18" i="4" s="1"/>
  <c r="I19" i="4" s="1"/>
  <c r="D14" i="8" l="1"/>
  <c r="D13" i="8"/>
  <c r="D12" i="8"/>
  <c r="D11" i="8"/>
  <c r="D10" i="8"/>
  <c r="D9" i="8"/>
  <c r="D8" i="8"/>
  <c r="D7" i="8"/>
  <c r="D6" i="8"/>
  <c r="C14" i="8"/>
  <c r="C13" i="8"/>
  <c r="C12" i="8"/>
  <c r="C11" i="8"/>
  <c r="C10" i="8"/>
  <c r="C9" i="8"/>
  <c r="C8" i="8"/>
  <c r="C7" i="8"/>
  <c r="C6" i="8"/>
  <c r="B85" i="5" l="1"/>
  <c r="B17" i="5"/>
  <c r="B51" i="8" l="1"/>
  <c r="H43" i="8"/>
  <c r="H44" i="8" s="1"/>
  <c r="H45" i="8" s="1"/>
  <c r="H46" i="8" s="1"/>
  <c r="H47" i="8" s="1"/>
  <c r="H48" i="8" s="1"/>
  <c r="H49" i="8" s="1"/>
  <c r="H50" i="8" s="1"/>
  <c r="H51" i="8" s="1"/>
  <c r="A43" i="8"/>
  <c r="A44" i="8" s="1"/>
  <c r="A45" i="8" s="1"/>
  <c r="A46" i="8" s="1"/>
  <c r="A47" i="8" s="1"/>
  <c r="A48" i="8" s="1"/>
  <c r="A49" i="8" s="1"/>
  <c r="A50" i="8" s="1"/>
  <c r="A51" i="8" s="1"/>
  <c r="H27" i="8"/>
  <c r="H28" i="8" s="1"/>
  <c r="H29" i="8" s="1"/>
  <c r="H30" i="8" s="1"/>
  <c r="H31" i="8" s="1"/>
  <c r="H32" i="8" s="1"/>
  <c r="H33" i="8" s="1"/>
  <c r="H34" i="8" s="1"/>
  <c r="H35" i="8" s="1"/>
  <c r="A27" i="8"/>
  <c r="A28" i="8" s="1"/>
  <c r="A29" i="8" s="1"/>
  <c r="A30" i="8" s="1"/>
  <c r="A31" i="8" s="1"/>
  <c r="A32" i="8" s="1"/>
  <c r="A33" i="8" s="1"/>
  <c r="A34" i="8" s="1"/>
  <c r="A35" i="8" s="1"/>
  <c r="A6" i="8"/>
  <c r="A7" i="8" s="1"/>
  <c r="A8" i="8" s="1"/>
  <c r="A9" i="8" s="1"/>
  <c r="A10" i="8" s="1"/>
  <c r="A11" i="8" s="1"/>
  <c r="A12" i="8" s="1"/>
  <c r="A13" i="8" s="1"/>
  <c r="A14" i="8" s="1"/>
  <c r="A76" i="5" l="1"/>
  <c r="A77" i="5" s="1"/>
  <c r="A78" i="5" s="1"/>
  <c r="A79" i="5" s="1"/>
  <c r="A80" i="5" s="1"/>
  <c r="A81" i="5" s="1"/>
  <c r="A82" i="5" s="1"/>
  <c r="A83" i="5" s="1"/>
  <c r="A84" i="5" s="1"/>
  <c r="A85" i="5" s="1"/>
  <c r="B35" i="8"/>
  <c r="A56" i="5"/>
  <c r="A57" i="5" s="1"/>
  <c r="A58" i="5" s="1"/>
  <c r="A59" i="5" s="1"/>
  <c r="A60" i="5" s="1"/>
  <c r="A61" i="5" s="1"/>
  <c r="A62" i="5" s="1"/>
  <c r="A63" i="5" s="1"/>
  <c r="A64" i="5" s="1"/>
  <c r="A65" i="5" s="1"/>
  <c r="A30" i="5"/>
  <c r="A31" i="5" s="1"/>
  <c r="A32" i="5" s="1"/>
  <c r="A33" i="5" s="1"/>
  <c r="A34" i="5" s="1"/>
  <c r="A35" i="5" s="1"/>
  <c r="A36" i="5" s="1"/>
  <c r="A37" i="5" s="1"/>
  <c r="A38" i="5" s="1"/>
  <c r="A39" i="5" s="1"/>
  <c r="E10" i="4"/>
  <c r="D10" i="4"/>
  <c r="C6" i="9"/>
  <c r="D6" i="9" s="1"/>
  <c r="E5" i="8" l="1"/>
  <c r="E25" i="4"/>
  <c r="D25" i="4"/>
  <c r="D5" i="8"/>
  <c r="F6" i="9"/>
  <c r="B55" i="5"/>
  <c r="B75" i="5" s="1"/>
  <c r="E75" i="5" s="1"/>
  <c r="E6" i="9"/>
  <c r="G6" i="9" s="1"/>
  <c r="B39" i="5"/>
  <c r="D39" i="5" s="1"/>
  <c r="I35" i="8" s="1"/>
  <c r="F76" i="5" l="1"/>
  <c r="G75" i="5"/>
  <c r="D55" i="5"/>
  <c r="C56" i="5" l="1"/>
  <c r="B7" i="9" l="1"/>
  <c r="B8" i="9" l="1"/>
  <c r="C10" i="4"/>
  <c r="E55" i="5" l="1"/>
  <c r="C25" i="4"/>
  <c r="AK9" i="4"/>
  <c r="AB9" i="4"/>
  <c r="C5" i="8"/>
  <c r="C42" i="8"/>
  <c r="H75" i="5"/>
  <c r="J42" i="8" s="1"/>
  <c r="B9" i="9"/>
  <c r="E5" i="3"/>
  <c r="B10" i="9" l="1"/>
  <c r="A8" i="5"/>
  <c r="A9" i="5" s="1"/>
  <c r="A10" i="5" s="1"/>
  <c r="A11" i="5" s="1"/>
  <c r="A12" i="5" s="1"/>
  <c r="A13" i="5" s="1"/>
  <c r="A14" i="5" s="1"/>
  <c r="A15" i="5" s="1"/>
  <c r="A16" i="5" s="1"/>
  <c r="A17" i="5" s="1"/>
  <c r="B11" i="9" l="1"/>
  <c r="B11" i="4"/>
  <c r="A13" i="6"/>
  <c r="A14" i="6" s="1"/>
  <c r="A15" i="6" s="1"/>
  <c r="A16" i="6" s="1"/>
  <c r="A17" i="6" s="1"/>
  <c r="A18" i="6" s="1"/>
  <c r="A19" i="6" s="1"/>
  <c r="A20" i="6" s="1"/>
  <c r="A21" i="6" s="1"/>
  <c r="A6" i="3"/>
  <c r="B12" i="4" l="1"/>
  <c r="B12" i="9"/>
  <c r="C5" i="3"/>
  <c r="F5" i="3" s="1"/>
  <c r="G5" i="3" s="1"/>
  <c r="C6" i="3"/>
  <c r="A7" i="3"/>
  <c r="B13" i="4" l="1"/>
  <c r="B14" i="4" s="1"/>
  <c r="B13" i="9"/>
  <c r="D6" i="3"/>
  <c r="H5" i="3"/>
  <c r="I6" i="9" s="1"/>
  <c r="A8" i="3"/>
  <c r="C7" i="3"/>
  <c r="J6" i="9" l="1"/>
  <c r="F10" i="4"/>
  <c r="F25" i="4" s="1"/>
  <c r="E6" i="3"/>
  <c r="F6" i="3" s="1"/>
  <c r="E11" i="4"/>
  <c r="B14" i="9"/>
  <c r="B15" i="4"/>
  <c r="A9" i="3"/>
  <c r="C8" i="3"/>
  <c r="E26" i="4" l="1"/>
  <c r="E6" i="8"/>
  <c r="B5" i="8"/>
  <c r="D7" i="9"/>
  <c r="Y10" i="4" s="1"/>
  <c r="G6" i="3"/>
  <c r="H6" i="3" s="1"/>
  <c r="F5" i="8"/>
  <c r="G5" i="8" s="1"/>
  <c r="G10" i="4"/>
  <c r="G25" i="4" s="1"/>
  <c r="B15" i="9"/>
  <c r="B16" i="4"/>
  <c r="A10" i="3"/>
  <c r="C9" i="3"/>
  <c r="Z11" i="4" l="1"/>
  <c r="AE10" i="4"/>
  <c r="AA10" i="4"/>
  <c r="AB10" i="4" s="1"/>
  <c r="AC10" i="4" s="1"/>
  <c r="D7" i="3"/>
  <c r="E7" i="3" s="1"/>
  <c r="F7" i="3" s="1"/>
  <c r="E12" i="4"/>
  <c r="B17" i="4"/>
  <c r="A11" i="3"/>
  <c r="C10" i="3"/>
  <c r="E27" i="4" l="1"/>
  <c r="E7" i="8"/>
  <c r="G7" i="3"/>
  <c r="D8" i="3" s="1"/>
  <c r="B18" i="4"/>
  <c r="A12" i="3"/>
  <c r="C11" i="3"/>
  <c r="H7" i="3" l="1"/>
  <c r="E8" i="3"/>
  <c r="F8" i="3" s="1"/>
  <c r="G8" i="3" s="1"/>
  <c r="H8" i="3" s="1"/>
  <c r="E13" i="4"/>
  <c r="D9" i="3"/>
  <c r="B19" i="4"/>
  <c r="A13" i="3"/>
  <c r="C12" i="3"/>
  <c r="E28" i="4" l="1"/>
  <c r="E8" i="8"/>
  <c r="E9" i="3"/>
  <c r="F9" i="3" s="1"/>
  <c r="G9" i="3" s="1"/>
  <c r="H9" i="3" s="1"/>
  <c r="E14" i="4"/>
  <c r="A14" i="3"/>
  <c r="C13" i="3"/>
  <c r="E29" i="4" l="1"/>
  <c r="E9" i="8"/>
  <c r="D10" i="3"/>
  <c r="E15" i="4" s="1"/>
  <c r="C14" i="3"/>
  <c r="E30" i="4" l="1"/>
  <c r="E10" i="8"/>
  <c r="E10" i="3"/>
  <c r="F10" i="3" s="1"/>
  <c r="G10" i="3" s="1"/>
  <c r="D11" i="3" s="1"/>
  <c r="H10" i="3" l="1"/>
  <c r="E11" i="3"/>
  <c r="F11" i="3" s="1"/>
  <c r="G11" i="3" s="1"/>
  <c r="H11" i="3" s="1"/>
  <c r="E16" i="4"/>
  <c r="E31" i="4" l="1"/>
  <c r="E11" i="8"/>
  <c r="D12" i="3"/>
  <c r="E17" i="4" s="1"/>
  <c r="E32" i="4" l="1"/>
  <c r="E12" i="8"/>
  <c r="E12" i="3"/>
  <c r="F12" i="3" s="1"/>
  <c r="G12" i="3" s="1"/>
  <c r="D13" i="3" s="1"/>
  <c r="H12" i="3" l="1"/>
  <c r="E13" i="3"/>
  <c r="F13" i="3" s="1"/>
  <c r="G13" i="3" s="1"/>
  <c r="H13" i="3" s="1"/>
  <c r="E18" i="4"/>
  <c r="D14" i="3"/>
  <c r="E33" i="4" l="1"/>
  <c r="E13" i="8"/>
  <c r="E14" i="3"/>
  <c r="F14" i="3" s="1"/>
  <c r="G14" i="3" s="1"/>
  <c r="H14" i="3" s="1"/>
  <c r="E19" i="4"/>
  <c r="E34" i="4" l="1"/>
  <c r="E14" i="8"/>
  <c r="F7" i="9"/>
  <c r="B56" i="5"/>
  <c r="E7" i="9"/>
  <c r="G7" i="9" s="1"/>
  <c r="I7" i="9" s="1"/>
  <c r="B76" i="5" l="1"/>
  <c r="D56" i="5"/>
  <c r="E56" i="5" s="1"/>
  <c r="J7" i="9"/>
  <c r="F11" i="4"/>
  <c r="B42" i="8"/>
  <c r="D42" i="8" s="1"/>
  <c r="E42" i="8" s="1"/>
  <c r="C57" i="5"/>
  <c r="C43" i="8" s="1"/>
  <c r="F26" i="4" l="1"/>
  <c r="F6" i="8"/>
  <c r="G11" i="4"/>
  <c r="G26" i="4" s="1"/>
  <c r="D8" i="9"/>
  <c r="B6" i="8"/>
  <c r="B57" i="5" l="1"/>
  <c r="B77" i="5" s="1"/>
  <c r="Y11" i="4"/>
  <c r="E8" i="9"/>
  <c r="F8" i="9"/>
  <c r="B43" i="8"/>
  <c r="D43" i="8" s="1"/>
  <c r="E43" i="8" s="1"/>
  <c r="C58" i="5"/>
  <c r="D57" i="5"/>
  <c r="E57" i="5" s="1"/>
  <c r="G8" i="9" l="1"/>
  <c r="AA11" i="4"/>
  <c r="AB11" i="4" s="1"/>
  <c r="AE11" i="4"/>
  <c r="Z12" i="4"/>
  <c r="I8" i="9"/>
  <c r="C44" i="8"/>
  <c r="J8" i="9" l="1"/>
  <c r="F12" i="4"/>
  <c r="F27" i="4" l="1"/>
  <c r="F7" i="8"/>
  <c r="G12" i="4"/>
  <c r="G27" i="4" s="1"/>
  <c r="D9" i="9"/>
  <c r="Y12" i="4" s="1"/>
  <c r="B7" i="8"/>
  <c r="AE12" i="4" l="1"/>
  <c r="Z13" i="4"/>
  <c r="AA12" i="4"/>
  <c r="AB12" i="4" s="1"/>
  <c r="F9" i="9"/>
  <c r="E9" i="9"/>
  <c r="B58" i="5"/>
  <c r="G9" i="9" l="1"/>
  <c r="I9" i="9" s="1"/>
  <c r="F13" i="4" s="1"/>
  <c r="B44" i="8"/>
  <c r="D44" i="8" s="1"/>
  <c r="E44" i="8" s="1"/>
  <c r="B78" i="5"/>
  <c r="C59" i="5"/>
  <c r="C45" i="8" s="1"/>
  <c r="D58" i="5"/>
  <c r="E58" i="5" s="1"/>
  <c r="F28" i="4" l="1"/>
  <c r="J9" i="9"/>
  <c r="D10" i="9" s="1"/>
  <c r="Y13" i="4" s="1"/>
  <c r="F8" i="8"/>
  <c r="G13" i="4"/>
  <c r="G28" i="4" s="1"/>
  <c r="B8" i="8"/>
  <c r="AA13" i="4" l="1"/>
  <c r="AB13" i="4" s="1"/>
  <c r="AE13" i="4"/>
  <c r="Z14" i="4"/>
  <c r="B59" i="5"/>
  <c r="F10" i="9"/>
  <c r="E10" i="9"/>
  <c r="G10" i="9" l="1"/>
  <c r="I10" i="9" s="1"/>
  <c r="B45" i="8"/>
  <c r="D45" i="8" s="1"/>
  <c r="E45" i="8" s="1"/>
  <c r="B79" i="5"/>
  <c r="C60" i="5"/>
  <c r="C46" i="8" s="1"/>
  <c r="D59" i="5"/>
  <c r="E59" i="5" s="1"/>
  <c r="F14" i="4" l="1"/>
  <c r="J10" i="9"/>
  <c r="D11" i="9" s="1"/>
  <c r="Y14" i="4" s="1"/>
  <c r="F29" i="4" l="1"/>
  <c r="B9" i="8"/>
  <c r="AE14" i="4"/>
  <c r="Z15" i="4"/>
  <c r="AA14" i="4"/>
  <c r="G14" i="4"/>
  <c r="G29" i="4" s="1"/>
  <c r="F9" i="8"/>
  <c r="E11" i="9"/>
  <c r="F11" i="9"/>
  <c r="B60" i="5"/>
  <c r="AB14" i="4" l="1"/>
  <c r="G11" i="9"/>
  <c r="I11" i="9" s="1"/>
  <c r="F15" i="4" s="1"/>
  <c r="B80" i="5"/>
  <c r="B46" i="8"/>
  <c r="D46" i="8" s="1"/>
  <c r="E46" i="8" s="1"/>
  <c r="C61" i="5"/>
  <c r="C47" i="8" s="1"/>
  <c r="D60" i="5"/>
  <c r="E60" i="5" s="1"/>
  <c r="F30" i="4" l="1"/>
  <c r="F10" i="8"/>
  <c r="G15" i="4"/>
  <c r="G30" i="4" s="1"/>
  <c r="J11" i="9"/>
  <c r="D12" i="9" l="1"/>
  <c r="Y15" i="4" s="1"/>
  <c r="B10" i="8"/>
  <c r="AE15" i="4" l="1"/>
  <c r="AA15" i="4"/>
  <c r="AB15" i="4" s="1"/>
  <c r="Z16" i="4"/>
  <c r="F12" i="9"/>
  <c r="B61" i="5"/>
  <c r="E12" i="9"/>
  <c r="G12" i="9" l="1"/>
  <c r="I12" i="9" s="1"/>
  <c r="F16" i="4" s="1"/>
  <c r="B81" i="5"/>
  <c r="C62" i="5"/>
  <c r="C48" i="8" s="1"/>
  <c r="B47" i="8"/>
  <c r="D47" i="8" s="1"/>
  <c r="E47" i="8" s="1"/>
  <c r="D61" i="5"/>
  <c r="E61" i="5" s="1"/>
  <c r="F31" i="4" l="1"/>
  <c r="J12" i="9"/>
  <c r="F11" i="8"/>
  <c r="G16" i="4"/>
  <c r="G31" i="4" s="1"/>
  <c r="D13" i="9"/>
  <c r="Y16" i="4" s="1"/>
  <c r="B11" i="8"/>
  <c r="Z17" i="4" l="1"/>
  <c r="AE16" i="4"/>
  <c r="AA16" i="4"/>
  <c r="AB16" i="4" s="1"/>
  <c r="E13" i="9"/>
  <c r="F13" i="9"/>
  <c r="B62" i="5"/>
  <c r="G13" i="9" l="1"/>
  <c r="I13" i="9" s="1"/>
  <c r="F17" i="4" s="1"/>
  <c r="B82" i="5"/>
  <c r="D62" i="5"/>
  <c r="E62" i="5" s="1"/>
  <c r="B48" i="8"/>
  <c r="D48" i="8" s="1"/>
  <c r="E48" i="8" s="1"/>
  <c r="C63" i="5"/>
  <c r="C49" i="8" s="1"/>
  <c r="F32" i="4" l="1"/>
  <c r="J13" i="9"/>
  <c r="D14" i="9" s="1"/>
  <c r="Y17" i="4" s="1"/>
  <c r="F12" i="8"/>
  <c r="G17" i="4"/>
  <c r="G32" i="4" s="1"/>
  <c r="Z18" i="4" l="1"/>
  <c r="AE17" i="4"/>
  <c r="AA17" i="4"/>
  <c r="AB17" i="4" s="1"/>
  <c r="B12" i="8"/>
  <c r="E14" i="9"/>
  <c r="F14" i="9"/>
  <c r="B63" i="5"/>
  <c r="B83" i="5" l="1"/>
  <c r="C64" i="5"/>
  <c r="C50" i="8" s="1"/>
  <c r="B49" i="8"/>
  <c r="D49" i="8" s="1"/>
  <c r="E49" i="8" s="1"/>
  <c r="D63" i="5"/>
  <c r="E63" i="5" s="1"/>
  <c r="G14" i="9"/>
  <c r="I14" i="9" l="1"/>
  <c r="F18" i="4" s="1"/>
  <c r="F33" i="4" l="1"/>
  <c r="F13" i="8"/>
  <c r="G18" i="4"/>
  <c r="G33" i="4" s="1"/>
  <c r="J14" i="9"/>
  <c r="D15" i="9" l="1"/>
  <c r="Y18" i="4" s="1"/>
  <c r="B13" i="8"/>
  <c r="AE18" i="4" l="1"/>
  <c r="AA19" i="4"/>
  <c r="Z19" i="4"/>
  <c r="AA18" i="4"/>
  <c r="AB18" i="4" s="1"/>
  <c r="F15" i="9"/>
  <c r="E15" i="9"/>
  <c r="B64" i="5"/>
  <c r="H15" i="9" l="1"/>
  <c r="H7" i="9"/>
  <c r="H6" i="9"/>
  <c r="H8" i="9"/>
  <c r="H9" i="9"/>
  <c r="H14" i="9"/>
  <c r="H10" i="9"/>
  <c r="H13" i="9"/>
  <c r="H11" i="9"/>
  <c r="H12" i="9"/>
  <c r="G15" i="9"/>
  <c r="I15" i="9" s="1"/>
  <c r="F19" i="4" s="1"/>
  <c r="B84" i="5"/>
  <c r="B50" i="8"/>
  <c r="C65" i="5"/>
  <c r="D64" i="5"/>
  <c r="E64" i="5" s="1"/>
  <c r="D65" i="5"/>
  <c r="F34" i="4" l="1"/>
  <c r="J33" i="4"/>
  <c r="J28" i="4"/>
  <c r="J24" i="4"/>
  <c r="J9" i="4"/>
  <c r="J25" i="4"/>
  <c r="J29" i="4"/>
  <c r="J26" i="4"/>
  <c r="J27" i="4"/>
  <c r="J31" i="4"/>
  <c r="J30" i="4"/>
  <c r="J32" i="4"/>
  <c r="AG6" i="4"/>
  <c r="G71" i="5"/>
  <c r="D80" i="5" s="1"/>
  <c r="J12" i="4"/>
  <c r="J13" i="4"/>
  <c r="J18" i="4"/>
  <c r="J14" i="4"/>
  <c r="J10" i="4"/>
  <c r="J11" i="4"/>
  <c r="J15" i="4"/>
  <c r="J16" i="4"/>
  <c r="J17" i="4"/>
  <c r="J15" i="9"/>
  <c r="B14" i="8" s="1"/>
  <c r="D82" i="5"/>
  <c r="D84" i="5"/>
  <c r="D77" i="5"/>
  <c r="D51" i="8"/>
  <c r="D50" i="8"/>
  <c r="E50" i="8" s="1"/>
  <c r="F14" i="8"/>
  <c r="G19" i="4"/>
  <c r="G34" i="4" s="1"/>
  <c r="B16" i="5"/>
  <c r="C51" i="8"/>
  <c r="P29" i="4" l="1"/>
  <c r="L29" i="4"/>
  <c r="K30" i="4"/>
  <c r="P26" i="4"/>
  <c r="L26" i="4"/>
  <c r="K27" i="4"/>
  <c r="P25" i="4"/>
  <c r="L25" i="4"/>
  <c r="K26" i="4"/>
  <c r="P32" i="4"/>
  <c r="L32" i="4"/>
  <c r="K33" i="4"/>
  <c r="P24" i="4"/>
  <c r="L24" i="4"/>
  <c r="M24" i="4" s="1"/>
  <c r="K25" i="4"/>
  <c r="P28" i="4"/>
  <c r="L28" i="4"/>
  <c r="K29" i="4"/>
  <c r="M29" i="4" s="1"/>
  <c r="L31" i="4"/>
  <c r="P31" i="4"/>
  <c r="K32" i="4"/>
  <c r="L33" i="4"/>
  <c r="P33" i="4"/>
  <c r="L34" i="4"/>
  <c r="K34" i="4"/>
  <c r="M34" i="4" s="1"/>
  <c r="P30" i="4"/>
  <c r="L30" i="4"/>
  <c r="K31" i="4"/>
  <c r="M31" i="4" s="1"/>
  <c r="P27" i="4"/>
  <c r="L27" i="4"/>
  <c r="K28" i="4"/>
  <c r="M28" i="4" s="1"/>
  <c r="P14" i="4"/>
  <c r="K15" i="4"/>
  <c r="L14" i="4"/>
  <c r="K12" i="4"/>
  <c r="L11" i="4"/>
  <c r="P11" i="4"/>
  <c r="D81" i="5"/>
  <c r="L17" i="4"/>
  <c r="P17" i="4"/>
  <c r="K18" i="4"/>
  <c r="L13" i="4"/>
  <c r="K14" i="4"/>
  <c r="P13" i="4"/>
  <c r="AG13" i="4"/>
  <c r="AG17" i="4"/>
  <c r="AG10" i="4"/>
  <c r="AG14" i="4"/>
  <c r="AG18" i="4"/>
  <c r="AG9" i="4"/>
  <c r="AF10" i="4" s="1"/>
  <c r="AG11" i="4"/>
  <c r="AG15" i="4"/>
  <c r="AG19" i="4"/>
  <c r="AG12" i="4"/>
  <c r="AG16" i="4"/>
  <c r="K16" i="4"/>
  <c r="L15" i="4"/>
  <c r="P15" i="4"/>
  <c r="D79" i="5"/>
  <c r="D76" i="5"/>
  <c r="P18" i="4"/>
  <c r="K19" i="4"/>
  <c r="M19" i="4" s="1"/>
  <c r="L18" i="4"/>
  <c r="L19" i="4"/>
  <c r="D78" i="5"/>
  <c r="L9" i="4"/>
  <c r="M9" i="4" s="1"/>
  <c r="P9" i="4"/>
  <c r="K10" i="4"/>
  <c r="AB19" i="4"/>
  <c r="AC9" i="4" s="1"/>
  <c r="D75" i="5"/>
  <c r="C76" i="5" s="1"/>
  <c r="E76" i="5" s="1"/>
  <c r="D83" i="5"/>
  <c r="P16" i="4"/>
  <c r="K17" i="4"/>
  <c r="M17" i="4" s="1"/>
  <c r="L16" i="4"/>
  <c r="P10" i="4"/>
  <c r="K11" i="4"/>
  <c r="L10" i="4"/>
  <c r="P12" i="4"/>
  <c r="K13" i="4"/>
  <c r="L12" i="4"/>
  <c r="E65" i="5"/>
  <c r="E51" i="8"/>
  <c r="C77" i="5"/>
  <c r="B15" i="5"/>
  <c r="D16" i="5" s="1"/>
  <c r="C17" i="5"/>
  <c r="C35" i="8" s="1"/>
  <c r="B38" i="5"/>
  <c r="B34" i="8"/>
  <c r="D35" i="8" s="1"/>
  <c r="D17" i="5"/>
  <c r="M32" i="4" l="1"/>
  <c r="Q24" i="4"/>
  <c r="R21" i="4" s="1"/>
  <c r="M33" i="4"/>
  <c r="M27" i="4"/>
  <c r="M30" i="4"/>
  <c r="M25" i="4"/>
  <c r="M26" i="4"/>
  <c r="M14" i="4"/>
  <c r="M12" i="4"/>
  <c r="M11" i="4"/>
  <c r="M13" i="4"/>
  <c r="M18" i="4"/>
  <c r="M15" i="4"/>
  <c r="AF11" i="4"/>
  <c r="AH10" i="4"/>
  <c r="M10" i="4"/>
  <c r="M16" i="4"/>
  <c r="E17" i="5"/>
  <c r="I42" i="8"/>
  <c r="K42" i="8" s="1"/>
  <c r="L42" i="8" s="1"/>
  <c r="G76" i="5"/>
  <c r="F77" i="5"/>
  <c r="H76" i="5"/>
  <c r="B14" i="5"/>
  <c r="D15" i="5" s="1"/>
  <c r="C16" i="5"/>
  <c r="B33" i="8"/>
  <c r="D34" i="8" s="1"/>
  <c r="B37" i="5"/>
  <c r="C78" i="5"/>
  <c r="E77" i="5"/>
  <c r="N24" i="4" l="1"/>
  <c r="V27" i="4"/>
  <c r="V25" i="4"/>
  <c r="Q31" i="4"/>
  <c r="R31" i="4" s="1"/>
  <c r="V28" i="4"/>
  <c r="Q32" i="4"/>
  <c r="R32" i="4" s="1"/>
  <c r="V29" i="4"/>
  <c r="Q33" i="4"/>
  <c r="R33" i="4" s="1"/>
  <c r="V34" i="4"/>
  <c r="V30" i="4"/>
  <c r="Q26" i="4"/>
  <c r="R26" i="4" s="1"/>
  <c r="Q34" i="4"/>
  <c r="R34" i="4" s="1"/>
  <c r="V31" i="4"/>
  <c r="Q27" i="4"/>
  <c r="R27" i="4" s="1"/>
  <c r="Q25" i="4"/>
  <c r="R25" i="4" s="1"/>
  <c r="V32" i="4"/>
  <c r="Q28" i="4"/>
  <c r="R28" i="4" s="1"/>
  <c r="V33" i="4"/>
  <c r="Q29" i="4"/>
  <c r="R29" i="4" s="1"/>
  <c r="V26" i="4"/>
  <c r="Q30" i="4"/>
  <c r="R30" i="4" s="1"/>
  <c r="R24" i="4"/>
  <c r="AF12" i="4"/>
  <c r="AH11" i="4"/>
  <c r="AI11" i="4"/>
  <c r="AJ10" i="4"/>
  <c r="AK10" i="4" s="1"/>
  <c r="AL10" i="4" s="1"/>
  <c r="N9" i="4"/>
  <c r="R6" i="4" s="1"/>
  <c r="N10" i="4"/>
  <c r="C34" i="8"/>
  <c r="E16" i="5"/>
  <c r="C79" i="5"/>
  <c r="E78" i="5"/>
  <c r="I43" i="8"/>
  <c r="K43" i="8" s="1"/>
  <c r="F78" i="5"/>
  <c r="G77" i="5"/>
  <c r="H77" i="5" s="1"/>
  <c r="B13" i="5"/>
  <c r="D14" i="5" s="1"/>
  <c r="B32" i="8"/>
  <c r="B36" i="5"/>
  <c r="C15" i="5"/>
  <c r="J43" i="8"/>
  <c r="T25" i="4" l="1"/>
  <c r="S26" i="4"/>
  <c r="T32" i="4"/>
  <c r="S33" i="4"/>
  <c r="U33" i="4" s="1"/>
  <c r="T30" i="4"/>
  <c r="S31" i="4"/>
  <c r="U31" i="4" s="1"/>
  <c r="T27" i="4"/>
  <c r="S28" i="4"/>
  <c r="U28" i="4" s="1"/>
  <c r="T34" i="4"/>
  <c r="T31" i="4"/>
  <c r="S32" i="4"/>
  <c r="U32" i="4" s="1"/>
  <c r="T29" i="4"/>
  <c r="S30" i="4"/>
  <c r="U30" i="4" s="1"/>
  <c r="T26" i="4"/>
  <c r="S27" i="4"/>
  <c r="U27" i="4" s="1"/>
  <c r="W24" i="4"/>
  <c r="T33" i="4"/>
  <c r="S34" i="4"/>
  <c r="U34" i="4" s="1"/>
  <c r="T24" i="4"/>
  <c r="S25" i="4"/>
  <c r="U25" i="4" s="1"/>
  <c r="T28" i="4"/>
  <c r="S29" i="4"/>
  <c r="U29" i="4" s="1"/>
  <c r="L43" i="8"/>
  <c r="AI12" i="4"/>
  <c r="AJ11" i="4"/>
  <c r="AK11" i="4" s="1"/>
  <c r="V11" i="4"/>
  <c r="V15" i="4"/>
  <c r="V19" i="4"/>
  <c r="V13" i="4"/>
  <c r="V17" i="4"/>
  <c r="V14" i="4"/>
  <c r="V18" i="4"/>
  <c r="V12" i="4"/>
  <c r="V16" i="4"/>
  <c r="V10" i="4"/>
  <c r="Q19" i="4"/>
  <c r="R19" i="4" s="1"/>
  <c r="Q13" i="4"/>
  <c r="R13" i="4" s="1"/>
  <c r="Q15" i="4"/>
  <c r="R15" i="4" s="1"/>
  <c r="Q12" i="4"/>
  <c r="R12" i="4" s="1"/>
  <c r="Q9" i="4"/>
  <c r="R9" i="4" s="1"/>
  <c r="Q10" i="4"/>
  <c r="R10" i="4" s="1"/>
  <c r="Q11" i="4"/>
  <c r="R11" i="4" s="1"/>
  <c r="Q17" i="4"/>
  <c r="R17" i="4" s="1"/>
  <c r="Q18" i="4"/>
  <c r="R18" i="4" s="1"/>
  <c r="Q16" i="4"/>
  <c r="R16" i="4" s="1"/>
  <c r="Q14" i="4"/>
  <c r="R14" i="4" s="1"/>
  <c r="AF13" i="4"/>
  <c r="AH12" i="4"/>
  <c r="C33" i="8"/>
  <c r="E15" i="5"/>
  <c r="B12" i="5"/>
  <c r="D13" i="5" s="1"/>
  <c r="B31" i="8"/>
  <c r="D32" i="8" s="1"/>
  <c r="C14" i="5"/>
  <c r="B35" i="5"/>
  <c r="G14" i="8"/>
  <c r="E35" i="8"/>
  <c r="J44" i="8"/>
  <c r="L44" i="8" s="1"/>
  <c r="I44" i="8"/>
  <c r="K44" i="8" s="1"/>
  <c r="G78" i="5"/>
  <c r="H78" i="5" s="1"/>
  <c r="F79" i="5"/>
  <c r="D33" i="8"/>
  <c r="C80" i="5"/>
  <c r="E79" i="5"/>
  <c r="U26" i="4" l="1"/>
  <c r="S17" i="4"/>
  <c r="T16" i="4"/>
  <c r="S14" i="4"/>
  <c r="T13" i="4"/>
  <c r="T19" i="4"/>
  <c r="S18" i="4"/>
  <c r="T17" i="4"/>
  <c r="S13" i="4"/>
  <c r="T12" i="4"/>
  <c r="T10" i="4"/>
  <c r="S11" i="4"/>
  <c r="AI13" i="4"/>
  <c r="AJ12" i="4"/>
  <c r="AK12" i="4" s="1"/>
  <c r="S19" i="4"/>
  <c r="T18" i="4"/>
  <c r="T9" i="4"/>
  <c r="U9" i="4" s="1"/>
  <c r="S10" i="4"/>
  <c r="AF14" i="4"/>
  <c r="AH13" i="4"/>
  <c r="T14" i="4"/>
  <c r="S15" i="4"/>
  <c r="T11" i="4"/>
  <c r="S12" i="4"/>
  <c r="U12" i="4" s="1"/>
  <c r="S16" i="4"/>
  <c r="T15" i="4"/>
  <c r="C32" i="8"/>
  <c r="E14" i="5"/>
  <c r="I45" i="8"/>
  <c r="K45" i="8" s="1"/>
  <c r="F80" i="5"/>
  <c r="G79" i="5"/>
  <c r="H79" i="5" s="1"/>
  <c r="J45" i="8"/>
  <c r="L45" i="8" s="1"/>
  <c r="C81" i="5"/>
  <c r="E80" i="5"/>
  <c r="G13" i="8"/>
  <c r="E34" i="8"/>
  <c r="B11" i="5"/>
  <c r="D12" i="5" s="1"/>
  <c r="C13" i="5"/>
  <c r="B30" i="8"/>
  <c r="D31" i="8" s="1"/>
  <c r="B34" i="5"/>
  <c r="U19" i="4" l="1"/>
  <c r="U14" i="4"/>
  <c r="U13" i="4"/>
  <c r="AI14" i="4"/>
  <c r="AJ13" i="4"/>
  <c r="AK13" i="4"/>
  <c r="AF15" i="4"/>
  <c r="AH14" i="4"/>
  <c r="U15" i="4"/>
  <c r="U18" i="4"/>
  <c r="U11" i="4"/>
  <c r="U16" i="4"/>
  <c r="U10" i="4"/>
  <c r="U17" i="4"/>
  <c r="C31" i="8"/>
  <c r="E13" i="5"/>
  <c r="I46" i="8"/>
  <c r="K46" i="8" s="1"/>
  <c r="G80" i="5"/>
  <c r="H80" i="5" s="1"/>
  <c r="F81" i="5"/>
  <c r="J46" i="8"/>
  <c r="B10" i="5"/>
  <c r="B29" i="8"/>
  <c r="D30" i="8" s="1"/>
  <c r="C12" i="5"/>
  <c r="B33" i="5"/>
  <c r="G12" i="8"/>
  <c r="E33" i="8"/>
  <c r="C82" i="5"/>
  <c r="E81" i="5"/>
  <c r="AF16" i="4" l="1"/>
  <c r="AH15" i="4"/>
  <c r="W9" i="4"/>
  <c r="L46" i="8"/>
  <c r="AI15" i="4"/>
  <c r="AJ14" i="4"/>
  <c r="AK14" i="4" s="1"/>
  <c r="C30" i="8"/>
  <c r="E12" i="5"/>
  <c r="I47" i="8"/>
  <c r="K47" i="8" s="1"/>
  <c r="F82" i="5"/>
  <c r="G81" i="5"/>
  <c r="B9" i="5"/>
  <c r="B8" i="5" s="1"/>
  <c r="B28" i="8"/>
  <c r="B32" i="5"/>
  <c r="C11" i="5"/>
  <c r="C83" i="5"/>
  <c r="E82" i="5"/>
  <c r="D11" i="5"/>
  <c r="H81" i="5"/>
  <c r="J47" i="8"/>
  <c r="G11" i="8"/>
  <c r="E32" i="8"/>
  <c r="AI16" i="4" l="1"/>
  <c r="AJ15" i="4"/>
  <c r="L47" i="8"/>
  <c r="AK15" i="4"/>
  <c r="AF17" i="4"/>
  <c r="AH16" i="4"/>
  <c r="D10" i="5"/>
  <c r="C29" i="8"/>
  <c r="E11" i="5"/>
  <c r="I48" i="8"/>
  <c r="K48" i="8" s="1"/>
  <c r="G82" i="5"/>
  <c r="F83" i="5"/>
  <c r="B31" i="5"/>
  <c r="D9" i="5"/>
  <c r="B27" i="8"/>
  <c r="C10" i="5"/>
  <c r="G10" i="8"/>
  <c r="E31" i="8"/>
  <c r="J48" i="8"/>
  <c r="L48" i="8" s="1"/>
  <c r="H82" i="5"/>
  <c r="C84" i="5"/>
  <c r="E83" i="5"/>
  <c r="D29" i="8"/>
  <c r="D28" i="8"/>
  <c r="AI17" i="4" l="1"/>
  <c r="AJ16" i="4"/>
  <c r="AK16" i="4" s="1"/>
  <c r="AF18" i="4"/>
  <c r="AH17" i="4"/>
  <c r="C28" i="8"/>
  <c r="E10" i="5"/>
  <c r="I49" i="8"/>
  <c r="K49" i="8" s="1"/>
  <c r="F84" i="5"/>
  <c r="G83" i="5"/>
  <c r="B7" i="5"/>
  <c r="D8" i="5" s="1"/>
  <c r="B30" i="5"/>
  <c r="B26" i="8"/>
  <c r="D26" i="8" s="1"/>
  <c r="C9" i="5"/>
  <c r="G9" i="8"/>
  <c r="E30" i="8"/>
  <c r="C85" i="5"/>
  <c r="E85" i="5" s="1"/>
  <c r="E84" i="5"/>
  <c r="H83" i="5"/>
  <c r="J49" i="8"/>
  <c r="L49" i="8" s="1"/>
  <c r="AF19" i="4" l="1"/>
  <c r="AH19" i="4" s="1"/>
  <c r="AI18" i="4"/>
  <c r="AJ17" i="4"/>
  <c r="AK17" i="4" s="1"/>
  <c r="C27" i="8"/>
  <c r="E9" i="5"/>
  <c r="I50" i="8"/>
  <c r="K50" i="8" s="1"/>
  <c r="G84" i="5"/>
  <c r="F85" i="5"/>
  <c r="B29" i="5"/>
  <c r="C8" i="5"/>
  <c r="E8" i="5" s="1"/>
  <c r="D7" i="5"/>
  <c r="E7" i="5" s="1"/>
  <c r="G8" i="8"/>
  <c r="E29" i="8"/>
  <c r="J50" i="8"/>
  <c r="L50" i="8" s="1"/>
  <c r="H84" i="5"/>
  <c r="D27" i="8"/>
  <c r="I51" i="8"/>
  <c r="G85" i="5"/>
  <c r="AJ19" i="4" l="1"/>
  <c r="AI19" i="4"/>
  <c r="AK19" i="4" s="1"/>
  <c r="AJ18" i="4"/>
  <c r="AK18" i="4" s="1"/>
  <c r="AL9" i="4" s="1"/>
  <c r="C26" i="8"/>
  <c r="E26" i="8" s="1"/>
  <c r="K51" i="8"/>
  <c r="G7" i="8"/>
  <c r="E28" i="8"/>
  <c r="I24" i="5"/>
  <c r="H85" i="5"/>
  <c r="J51" i="8"/>
  <c r="L51" i="8" l="1"/>
  <c r="G6" i="8"/>
  <c r="E27" i="8"/>
  <c r="H30" i="5"/>
  <c r="C37" i="5"/>
  <c r="D37" i="5" s="1"/>
  <c r="C38" i="5"/>
  <c r="D38" i="5" s="1"/>
  <c r="H38" i="5"/>
  <c r="H37" i="5"/>
  <c r="H39" i="5"/>
  <c r="H31" i="5"/>
  <c r="C36" i="5"/>
  <c r="D36" i="5" s="1"/>
  <c r="C34" i="5"/>
  <c r="D34" i="5" s="1"/>
  <c r="C33" i="5"/>
  <c r="D33" i="5" s="1"/>
  <c r="H32" i="5"/>
  <c r="C32" i="5"/>
  <c r="D32" i="5" s="1"/>
  <c r="H33" i="5"/>
  <c r="H35" i="5"/>
  <c r="C31" i="5"/>
  <c r="D31" i="5" s="1"/>
  <c r="C29" i="5"/>
  <c r="D29" i="5" s="1"/>
  <c r="C30" i="5"/>
  <c r="D30" i="5" s="1"/>
  <c r="H34" i="5"/>
  <c r="C35" i="5"/>
  <c r="D35" i="5" s="1"/>
  <c r="H36" i="5"/>
  <c r="F29" i="5" l="1"/>
  <c r="G29" i="5" s="1"/>
  <c r="E30" i="5"/>
  <c r="E33" i="5"/>
  <c r="F32" i="5"/>
  <c r="I28" i="8"/>
  <c r="I29" i="8"/>
  <c r="E34" i="5"/>
  <c r="F33" i="5"/>
  <c r="E37" i="5"/>
  <c r="F36" i="5"/>
  <c r="I32" i="8"/>
  <c r="I33" i="8"/>
  <c r="E38" i="5"/>
  <c r="F37" i="5"/>
  <c r="I31" i="8"/>
  <c r="E36" i="5"/>
  <c r="G36" i="5" s="1"/>
  <c r="F35" i="5"/>
  <c r="E31" i="5"/>
  <c r="F30" i="5"/>
  <c r="I26" i="8"/>
  <c r="K26" i="8" s="1"/>
  <c r="I27" i="8"/>
  <c r="E32" i="5"/>
  <c r="F31" i="5"/>
  <c r="E35" i="5"/>
  <c r="F34" i="5"/>
  <c r="I30" i="8"/>
  <c r="I34" i="8"/>
  <c r="F39" i="5"/>
  <c r="E39" i="5"/>
  <c r="F38" i="5"/>
  <c r="K30" i="8" l="1"/>
  <c r="G33" i="5"/>
  <c r="G32" i="5"/>
  <c r="G39" i="5"/>
  <c r="G38" i="5"/>
  <c r="G37" i="5"/>
  <c r="G34" i="5"/>
  <c r="G35" i="5"/>
  <c r="G31" i="5"/>
  <c r="K33" i="8"/>
  <c r="K29" i="8"/>
  <c r="J31" i="8"/>
  <c r="J28" i="8"/>
  <c r="J27" i="8"/>
  <c r="J32" i="8"/>
  <c r="G30" i="5"/>
  <c r="J26" i="8"/>
  <c r="L26" i="8" s="1"/>
  <c r="J35" i="8"/>
  <c r="K34" i="8"/>
  <c r="K35" i="8"/>
  <c r="K27" i="8"/>
  <c r="K31" i="8"/>
  <c r="J34" i="8"/>
  <c r="L34" i="8" s="1"/>
  <c r="K32" i="8"/>
  <c r="J33" i="8"/>
  <c r="J30" i="8"/>
  <c r="L30" i="8" s="1"/>
  <c r="K28" i="8"/>
  <c r="J29" i="8"/>
  <c r="L28" i="8" l="1"/>
  <c r="L29" i="8"/>
  <c r="L35" i="8"/>
  <c r="L31" i="8"/>
  <c r="L27" i="8"/>
  <c r="L33" i="8"/>
  <c r="L32" i="8"/>
</calcChain>
</file>

<file path=xl/comments1.xml><?xml version="1.0" encoding="utf-8"?>
<comments xmlns="http://schemas.openxmlformats.org/spreadsheetml/2006/main">
  <authors>
    <author>Zhu, Vincent</author>
  </authors>
  <commentList>
    <comment ref="J9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The policy liability at the end of year 0, is </t>
        </r>
        <r>
          <rPr>
            <b/>
            <sz val="9"/>
            <color indexed="81"/>
            <rFont val="Tahoma"/>
            <family val="2"/>
          </rPr>
          <t>after</t>
        </r>
        <r>
          <rPr>
            <sz val="9"/>
            <color indexed="81"/>
            <rFont val="Tahoma"/>
            <family val="2"/>
          </rPr>
          <t xml:space="preserve"> the premium has been paid and </t>
        </r>
        <r>
          <rPr>
            <b/>
            <sz val="9"/>
            <color indexed="81"/>
            <rFont val="Tahoma"/>
            <family val="2"/>
          </rPr>
          <t>after</t>
        </r>
        <r>
          <rPr>
            <sz val="9"/>
            <color indexed="81"/>
            <rFont val="Tahoma"/>
            <family val="2"/>
          </rPr>
          <t xml:space="preserve"> the incurring of expense and payment of commission. Same for 1st period interest.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Assume </t>
        </r>
        <r>
          <rPr>
            <b/>
            <sz val="9"/>
            <color indexed="81"/>
            <rFont val="Tahoma"/>
            <family val="2"/>
          </rPr>
          <t>all</t>
        </r>
        <r>
          <rPr>
            <sz val="9"/>
            <color indexed="81"/>
            <rFont val="Tahoma"/>
            <family val="2"/>
          </rPr>
          <t xml:space="preserve"> the profits are released at the start of the year.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Zhu, Vincent:</t>
        </r>
        <r>
          <rPr>
            <sz val="9"/>
            <color indexed="81"/>
            <rFont val="Tahoma"/>
            <family val="2"/>
          </rPr>
          <t xml:space="preserve">
The policy liability above at the end of subsequent years is </t>
        </r>
        <r>
          <rPr>
            <b/>
            <sz val="9"/>
            <color indexed="81"/>
            <rFont val="Tahoma"/>
            <family val="2"/>
          </rPr>
          <t>before</t>
        </r>
        <r>
          <rPr>
            <sz val="9"/>
            <color indexed="81"/>
            <rFont val="Tahoma"/>
            <family val="2"/>
          </rPr>
          <t xml:space="preserve"> the incurring of expense as that occurs at the start of the policy year.</t>
        </r>
      </text>
    </comment>
  </commentList>
</comments>
</file>

<file path=xl/sharedStrings.xml><?xml version="1.0" encoding="utf-8"?>
<sst xmlns="http://schemas.openxmlformats.org/spreadsheetml/2006/main" count="270" uniqueCount="124">
  <si>
    <t>Pricing basis</t>
  </si>
  <si>
    <t>Lapse Rates</t>
  </si>
  <si>
    <t>Expenses</t>
  </si>
  <si>
    <t xml:space="preserve"> - Initial </t>
  </si>
  <si>
    <t xml:space="preserve"> - Renewal</t>
  </si>
  <si>
    <t xml:space="preserve"> - Inflation</t>
  </si>
  <si>
    <t>Commission</t>
  </si>
  <si>
    <t xml:space="preserve"> - Initial</t>
  </si>
  <si>
    <t>of first year's premium</t>
  </si>
  <si>
    <t>of subsequent premiums</t>
  </si>
  <si>
    <t xml:space="preserve">Investment rate </t>
  </si>
  <si>
    <t>Discount rate</t>
  </si>
  <si>
    <t>Taxation</t>
  </si>
  <si>
    <t>Sum Insured</t>
  </si>
  <si>
    <t>Year</t>
  </si>
  <si>
    <t>lapse</t>
  </si>
  <si>
    <t xml:space="preserve"> Year </t>
  </si>
  <si>
    <t>Decrement table</t>
  </si>
  <si>
    <r>
      <t>q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</si>
  <si>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</t>
    </r>
  </si>
  <si>
    <r>
      <t>(ad)</t>
    </r>
    <r>
      <rPr>
        <vertAlign val="subscript"/>
        <sz val="10"/>
        <color theme="0"/>
        <rFont val="Century Gothic"/>
        <family val="2"/>
      </rPr>
      <t>x</t>
    </r>
  </si>
  <si>
    <r>
      <t>(aw)</t>
    </r>
    <r>
      <rPr>
        <vertAlign val="subscript"/>
        <sz val="10"/>
        <color theme="0"/>
        <rFont val="Century Gothic"/>
        <family val="2"/>
      </rPr>
      <t>x</t>
    </r>
  </si>
  <si>
    <r>
      <t>(al)</t>
    </r>
    <r>
      <rPr>
        <vertAlign val="subscript"/>
        <sz val="10"/>
        <color theme="0"/>
        <rFont val="Century Gothic"/>
        <family val="2"/>
      </rPr>
      <t>x+1</t>
    </r>
  </si>
  <si>
    <r>
      <t>(ap)</t>
    </r>
    <r>
      <rPr>
        <vertAlign val="subscript"/>
        <sz val="10"/>
        <color theme="0"/>
        <rFont val="Century Gothic"/>
        <family val="2"/>
      </rPr>
      <t>x</t>
    </r>
  </si>
  <si>
    <t>in year 2</t>
  </si>
  <si>
    <t>Profit</t>
  </si>
  <si>
    <t>Best estimate basis</t>
  </si>
  <si>
    <t>Realistic basis</t>
  </si>
  <si>
    <t>Notes</t>
  </si>
  <si>
    <t>Data</t>
  </si>
  <si>
    <t>Assumptions</t>
  </si>
  <si>
    <t>Interest</t>
  </si>
  <si>
    <t>Assumptions:</t>
  </si>
  <si>
    <t>Policy liability</t>
  </si>
  <si>
    <t>Increase in liability</t>
  </si>
  <si>
    <t>Liability and profit calculation</t>
  </si>
  <si>
    <t>These results are liability and profit calculations  for a 10 year single premium unit linked (investment linked) savings contract.</t>
  </si>
  <si>
    <t xml:space="preserve">This is a pure savings contract with no insurance benefits. </t>
  </si>
  <si>
    <t>Single premium</t>
  </si>
  <si>
    <t>Deaths uniform throughout the year - although q(x) is zero!</t>
  </si>
  <si>
    <t>Shareholder cash flow</t>
  </si>
  <si>
    <t>Policyholder cash flow</t>
  </si>
  <si>
    <t xml:space="preserve"> </t>
  </si>
  <si>
    <t xml:space="preserve">  </t>
  </si>
  <si>
    <t>Investment Fee</t>
  </si>
  <si>
    <t>Entry fee</t>
  </si>
  <si>
    <t>There are four bases:</t>
  </si>
  <si>
    <t>best estimate without allowance for profit margins;</t>
  </si>
  <si>
    <t>best estimate with allowance for profit margins;</t>
  </si>
  <si>
    <t>account balance method; and</t>
  </si>
  <si>
    <t>Best estimate plus profit margin basis</t>
  </si>
  <si>
    <t>Value of fees</t>
  </si>
  <si>
    <t>The profit margin multiplied by the fee is the profit at the end of the year</t>
  </si>
  <si>
    <t>Best Estimate liability</t>
  </si>
  <si>
    <t>Value of future profits</t>
  </si>
  <si>
    <t>Policy Liability</t>
  </si>
  <si>
    <r>
      <t>Profit</t>
    </r>
    <r>
      <rPr>
        <vertAlign val="superscript"/>
        <sz val="10"/>
        <color theme="0"/>
        <rFont val="Century Gothic"/>
        <family val="2"/>
      </rPr>
      <t>(1)</t>
    </r>
  </si>
  <si>
    <r>
      <t>Profit</t>
    </r>
    <r>
      <rPr>
        <vertAlign val="superscript"/>
        <sz val="10"/>
        <color theme="0"/>
        <rFont val="Century Gothic"/>
        <family val="2"/>
      </rPr>
      <t>(2)</t>
    </r>
  </si>
  <si>
    <t>Account balance</t>
  </si>
  <si>
    <t>Premiums received (SOY)</t>
  </si>
  <si>
    <t>Commission (SOY)</t>
  </si>
  <si>
    <t>Expenses (SOY)</t>
  </si>
  <si>
    <t>Payment on termination (EOY)</t>
  </si>
  <si>
    <t>Net cash flow (EOY)</t>
  </si>
  <si>
    <t>Unit Balance (SOY)</t>
  </si>
  <si>
    <t>Unit Balance (EOY)</t>
  </si>
  <si>
    <t>Fees (EOY)</t>
  </si>
  <si>
    <t>Allocation to unit fund (SOY)</t>
  </si>
  <si>
    <t xml:space="preserve">The profit margin is linked to a service provided. Clearly, the service is the provision of investing monies received. </t>
  </si>
  <si>
    <t xml:space="preserve">One metric used to measure the service is the fee extracted at the end of each year. </t>
  </si>
  <si>
    <t>The profit margin is derived by dividing the day one profit by the day 1 value of future fees:</t>
  </si>
  <si>
    <t xml:space="preserve">Best estimate plus profit margin </t>
  </si>
  <si>
    <t>The other method for showing profit demonstrates the profit margin multiplied by profit carrier method.</t>
  </si>
  <si>
    <t>End of year</t>
  </si>
  <si>
    <t>The policy liability is the sum of the BEL and future profits.  This constrains the profit at outset to be zero.</t>
  </si>
  <si>
    <t>Profit is released over the course of the policy in line with the earning of fees.</t>
  </si>
  <si>
    <t>Note that the policy liability at the end of years 1 - 9 is just before expenses are paid.</t>
  </si>
  <si>
    <t>The 'interest' column accounts for the deduction of expenses from the policy liability at the start of the year.</t>
  </si>
  <si>
    <t>Account balance method</t>
  </si>
  <si>
    <t>The liability held is a minimum of the face value of the unit account.</t>
  </si>
  <si>
    <t>There is an immediate 'loss' on day 1 as the face value of the policyholder account exceeds the cash available.</t>
  </si>
  <si>
    <t>Premiums</t>
  </si>
  <si>
    <t>Commissions</t>
  </si>
  <si>
    <t>Policy payments on termination</t>
  </si>
  <si>
    <t>Net cash flow</t>
  </si>
  <si>
    <t>Account (unit) balance</t>
  </si>
  <si>
    <t>Basis 1: BE without margins</t>
  </si>
  <si>
    <t>Basis 2: BE with profit margin</t>
  </si>
  <si>
    <t>Basis 3: Account balance</t>
  </si>
  <si>
    <t>Table 6.16: Unit linked policy cash flows - revised assumptions</t>
  </si>
  <si>
    <t>Surrenders</t>
  </si>
  <si>
    <t>Net unit balance (EOY)</t>
  </si>
  <si>
    <t>Policy liability before DAC</t>
  </si>
  <si>
    <t>DAC</t>
  </si>
  <si>
    <t>Account balance with DAC adjustment</t>
  </si>
  <si>
    <t>$200 of initail costs are spread over the term of the policy.</t>
  </si>
  <si>
    <t>Account balance + DAC</t>
  </si>
  <si>
    <t>Policy liability after DAC</t>
  </si>
  <si>
    <t>DAC release (EOY)</t>
  </si>
  <si>
    <t>Table 6.17: (Revised) Unit linked profit under four liability bases</t>
  </si>
  <si>
    <t>Basis 4: Account balance with DAC adj.</t>
  </si>
  <si>
    <t>Profit is shown in two ways in columns G and H in the table above.  One is the build up from cash flow + interest less increase in liability.</t>
  </si>
  <si>
    <t>Profit *</t>
  </si>
  <si>
    <t xml:space="preserve">This workbook derives the results shown in Tables 6.16 and 6.17.  These are presented in the "Tables" worksheet. </t>
  </si>
  <si>
    <t>The cash flows for unit-linked contracts may be unbundled i.e. split between the owner and the policyholder.</t>
  </si>
  <si>
    <t>account balance method with adjustment for Deferred Acquisition costs</t>
  </si>
  <si>
    <t>Withdrawals at end of year</t>
  </si>
  <si>
    <t xml:space="preserve">Try varyiing the lapse assumptions. What is the impact of higher or lower lapses </t>
  </si>
  <si>
    <t>Age</t>
  </si>
  <si>
    <t xml:space="preserve">One could allow for mortality, thereby increasing the risk of contract termination before the expected maturity date, here in 10 years. This decrement is often ignored in practical work. </t>
  </si>
  <si>
    <t>However, if you ignore mortality, you should document this as an implicit assumption. When might ignoring mortality be too optimistic?</t>
  </si>
  <si>
    <t>The shareholder receives the single premium of $10,000 and investment earnings on reserves. The shareholder pays expenses and eventually pays the policyholder the unit balance</t>
  </si>
  <si>
    <t>Note that both the entry fee and on-going fees are captured in the unit balance and therefore the final payout.</t>
  </si>
  <si>
    <t>* Profit is at commencement for year 0 and at the end of the year for years 1 to 10</t>
  </si>
  <si>
    <t>The profit of -$170 shown in Table 6.17  = $148 -$300 day one loss inflated by 6%</t>
  </si>
  <si>
    <t>Vinc</t>
  </si>
  <si>
    <t>PV of Profit</t>
  </si>
  <si>
    <t>Profit Margin</t>
  </si>
  <si>
    <t>DAC Margin</t>
  </si>
  <si>
    <t>==&gt; to eliminate losses in Year 1 under Account balance basis</t>
  </si>
  <si>
    <t>Best estimate basis (regular approach)</t>
  </si>
  <si>
    <t>Best estimate plus profit margin basis (regular approach)</t>
  </si>
  <si>
    <t>Account balance (regular approach)</t>
  </si>
  <si>
    <t>Look at this ==&gt;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</si>
</sst>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6" formatCode="&quot;$&quot;#,##0_);[Red]\(&quot;$&quot;#,##0\)"/>
    <numFmt numFmtId="8" formatCode="&quot;$&quot;#,##0.00_);[Red]\(&quot;$&quot;#,##0.00\)"/>
    <numFmt numFmtId="164" formatCode="0.00000"/>
    <numFmt numFmtId="165" formatCode="&quot;$&quot;#,##0"/>
    <numFmt numFmtId="166" formatCode="#,##0.00;[Red]\(#,##0.00\)"/>
    <numFmt numFmtId="167" formatCode="0.0%"/>
    <numFmt numFmtId="170" formatCode="&quot;$&quot;#,##0.0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entury Gothic"/>
      <family val="2"/>
    </font>
    <font>
      <sz val="10"/>
      <color theme="1"/>
      <name val="Century Gothic"/>
      <family val="2"/>
    </font>
    <font>
      <b/>
      <sz val="10"/>
      <color theme="1"/>
      <name val="Century Gothic"/>
      <family val="2"/>
    </font>
    <font>
      <b/>
      <sz val="10"/>
      <color theme="0"/>
      <name val="Century Gothic"/>
      <family val="2"/>
    </font>
    <font>
      <sz val="10"/>
      <name val="Century Gothic"/>
      <family val="2"/>
    </font>
    <font>
      <sz val="10"/>
      <color theme="0"/>
      <name val="Century Gothic"/>
      <family val="2"/>
    </font>
    <font>
      <vertAlign val="subscript"/>
      <sz val="10"/>
      <color theme="0"/>
      <name val="Century Gothic"/>
      <family val="2"/>
    </font>
    <font>
      <sz val="10"/>
      <color rgb="FF000000"/>
      <name val="Century Gothic"/>
      <family val="2"/>
    </font>
    <font>
      <sz val="10"/>
      <name val="Times New Roman"/>
      <family val="1"/>
    </font>
    <font>
      <b/>
      <sz val="10"/>
      <color rgb="FF0098D0"/>
      <name val="Century Gothic"/>
      <family val="2"/>
    </font>
    <font>
      <b/>
      <sz val="10"/>
      <color rgb="FFFFFFFF"/>
      <name val="Century Gothic"/>
      <family val="2"/>
    </font>
    <font>
      <sz val="10"/>
      <color rgb="FF00B050"/>
      <name val="Century Gothic"/>
      <family val="2"/>
    </font>
    <font>
      <sz val="10"/>
      <color rgb="FF0070C0"/>
      <name val="Century Gothic"/>
      <family val="2"/>
    </font>
    <font>
      <vertAlign val="superscript"/>
      <sz val="10"/>
      <color theme="0"/>
      <name val="Century Gothic"/>
      <family val="2"/>
    </font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0"/>
      <color theme="0"/>
      <name val="Century Gothic"/>
      <family val="2"/>
    </font>
    <font>
      <sz val="10"/>
      <color rgb="FFC00000"/>
      <name val="Century Gothic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0"/>
      <color theme="1"/>
      <name val="Century Gothic"/>
      <family val="2"/>
    </font>
    <font>
      <i/>
      <sz val="11"/>
      <color theme="1"/>
      <name val="Calibri"/>
      <family val="2"/>
      <scheme val="minor"/>
    </font>
    <font>
      <b/>
      <sz val="10"/>
      <color rgb="FFC00000"/>
      <name val="Century Gothic"/>
      <family val="2"/>
    </font>
    <font>
      <b/>
      <i/>
      <sz val="11"/>
      <color rgb="FFC00000"/>
      <name val="Calibri"/>
      <family val="2"/>
      <scheme val="minor"/>
    </font>
    <font>
      <b/>
      <sz val="10"/>
      <color rgb="FF00B050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rgb="FFCCEAF6"/>
        <bgColor indexed="64"/>
      </patternFill>
    </fill>
    <fill>
      <patternFill patternType="solid">
        <fgColor rgb="FF99D6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theme="1"/>
      </right>
      <top/>
      <bottom/>
      <diagonal/>
    </border>
    <border>
      <left style="thin">
        <color indexed="64"/>
      </left>
      <right style="thin">
        <color theme="1"/>
      </right>
      <top/>
      <bottom style="thin">
        <color indexed="64"/>
      </bottom>
      <diagonal/>
    </border>
  </borders>
  <cellStyleXfs count="2">
    <xf numFmtId="0" fontId="0" fillId="0" borderId="0"/>
    <xf numFmtId="9" fontId="15" fillId="0" borderId="0" applyFont="0" applyFill="0" applyBorder="0" applyAlignment="0" applyProtection="0"/>
  </cellStyleXfs>
  <cellXfs count="107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6" fillId="2" borderId="1" xfId="0" applyFont="1" applyFill="1" applyBorder="1" applyAlignment="1">
      <alignment horizontal="center"/>
    </xf>
    <xf numFmtId="0" fontId="2" fillId="0" borderId="1" xfId="0" applyFont="1" applyBorder="1"/>
    <xf numFmtId="164" fontId="2" fillId="0" borderId="1" xfId="0" applyNumberFormat="1" applyFont="1" applyBorder="1"/>
    <xf numFmtId="165" fontId="2" fillId="0" borderId="0" xfId="0" applyNumberFormat="1" applyFont="1"/>
    <xf numFmtId="165" fontId="2" fillId="0" borderId="1" xfId="0" applyNumberFormat="1" applyFont="1" applyBorder="1" applyAlignment="1">
      <alignment horizontal="center"/>
    </xf>
    <xf numFmtId="8" fontId="2" fillId="0" borderId="0" xfId="0" applyNumberFormat="1" applyFont="1"/>
    <xf numFmtId="166" fontId="9" fillId="0" borderId="0" xfId="0" applyNumberFormat="1" applyFont="1"/>
    <xf numFmtId="166" fontId="2" fillId="0" borderId="0" xfId="0" applyNumberFormat="1" applyFont="1"/>
    <xf numFmtId="0" fontId="10" fillId="0" borderId="0" xfId="0" applyFont="1" applyAlignment="1">
      <alignment vertical="center"/>
    </xf>
    <xf numFmtId="0" fontId="6" fillId="2" borderId="3" xfId="0" applyFont="1" applyFill="1" applyBorder="1" applyAlignment="1">
      <alignment horizontal="left" wrapText="1"/>
    </xf>
    <xf numFmtId="0" fontId="12" fillId="0" borderId="0" xfId="0" applyFont="1" applyFill="1" applyAlignment="1">
      <alignment horizontal="right"/>
    </xf>
    <xf numFmtId="0" fontId="12" fillId="0" borderId="0" xfId="0" applyFont="1" applyFill="1"/>
    <xf numFmtId="6" fontId="12" fillId="0" borderId="0" xfId="0" applyNumberFormat="1" applyFont="1" applyFill="1"/>
    <xf numFmtId="0" fontId="13" fillId="0" borderId="0" xfId="0" applyFont="1"/>
    <xf numFmtId="9" fontId="13" fillId="0" borderId="0" xfId="0" applyNumberFormat="1" applyFont="1"/>
    <xf numFmtId="6" fontId="13" fillId="0" borderId="0" xfId="0" applyNumberFormat="1" applyFont="1"/>
    <xf numFmtId="10" fontId="2" fillId="0" borderId="0" xfId="0" applyNumberFormat="1" applyFont="1"/>
    <xf numFmtId="0" fontId="3" fillId="0" borderId="2" xfId="0" applyFont="1" applyBorder="1"/>
    <xf numFmtId="0" fontId="6" fillId="2" borderId="5" xfId="0" applyFont="1" applyFill="1" applyBorder="1" applyAlignment="1">
      <alignment horizontal="center" wrapText="1"/>
    </xf>
    <xf numFmtId="165" fontId="2" fillId="0" borderId="5" xfId="0" applyNumberFormat="1" applyFont="1" applyBorder="1" applyAlignment="1">
      <alignment horizontal="center"/>
    </xf>
    <xf numFmtId="165" fontId="5" fillId="0" borderId="5" xfId="0" applyNumberFormat="1" applyFont="1" applyBorder="1" applyAlignment="1">
      <alignment horizontal="center"/>
    </xf>
    <xf numFmtId="0" fontId="6" fillId="2" borderId="20" xfId="0" applyFont="1" applyFill="1" applyBorder="1" applyAlignment="1">
      <alignment horizontal="left" wrapText="1"/>
    </xf>
    <xf numFmtId="165" fontId="0" fillId="0" borderId="0" xfId="0" applyNumberFormat="1"/>
    <xf numFmtId="1" fontId="8" fillId="3" borderId="20" xfId="0" applyNumberFormat="1" applyFont="1" applyFill="1" applyBorder="1" applyAlignment="1">
      <alignment horizontal="center" vertical="center"/>
    </xf>
    <xf numFmtId="1" fontId="8" fillId="4" borderId="20" xfId="0" applyNumberFormat="1" applyFont="1" applyFill="1" applyBorder="1" applyAlignment="1">
      <alignment horizontal="center" vertical="center"/>
    </xf>
    <xf numFmtId="1" fontId="8" fillId="3" borderId="3" xfId="0" applyNumberFormat="1" applyFont="1" applyFill="1" applyBorder="1" applyAlignment="1">
      <alignment horizontal="center" vertical="center"/>
    </xf>
    <xf numFmtId="0" fontId="8" fillId="4" borderId="21" xfId="0" applyFont="1" applyFill="1" applyBorder="1" applyAlignment="1">
      <alignment horizontal="center" vertical="center"/>
    </xf>
    <xf numFmtId="1" fontId="8" fillId="3" borderId="25" xfId="0" applyNumberFormat="1" applyFont="1" applyFill="1" applyBorder="1" applyAlignment="1">
      <alignment horizontal="center" vertical="center"/>
    </xf>
    <xf numFmtId="1" fontId="8" fillId="4" borderId="25" xfId="0" applyNumberFormat="1" applyFont="1" applyFill="1" applyBorder="1" applyAlignment="1">
      <alignment horizontal="center" vertical="center"/>
    </xf>
    <xf numFmtId="1" fontId="8" fillId="3" borderId="27" xfId="0" applyNumberFormat="1" applyFont="1" applyFill="1" applyBorder="1" applyAlignment="1">
      <alignment horizontal="center" vertical="center"/>
    </xf>
    <xf numFmtId="165" fontId="8" fillId="4" borderId="21" xfId="0" applyNumberFormat="1" applyFont="1" applyFill="1" applyBorder="1" applyAlignment="1">
      <alignment horizontal="center" vertical="center"/>
    </xf>
    <xf numFmtId="165" fontId="8" fillId="4" borderId="22" xfId="0" applyNumberFormat="1" applyFont="1" applyFill="1" applyBorder="1" applyAlignment="1">
      <alignment horizontal="center" vertical="center"/>
    </xf>
    <xf numFmtId="165" fontId="8" fillId="4" borderId="23" xfId="0" applyNumberFormat="1" applyFont="1" applyFill="1" applyBorder="1" applyAlignment="1">
      <alignment horizontal="center" vertical="center"/>
    </xf>
    <xf numFmtId="165" fontId="8" fillId="4" borderId="24" xfId="0" applyNumberFormat="1" applyFont="1" applyFill="1" applyBorder="1" applyAlignment="1">
      <alignment horizontal="center" vertical="center"/>
    </xf>
    <xf numFmtId="165" fontId="8" fillId="3" borderId="20" xfId="0" applyNumberFormat="1" applyFont="1" applyFill="1" applyBorder="1" applyAlignment="1">
      <alignment horizontal="center" vertical="center"/>
    </xf>
    <xf numFmtId="165" fontId="8" fillId="3" borderId="25" xfId="0" applyNumberFormat="1" applyFont="1" applyFill="1" applyBorder="1" applyAlignment="1">
      <alignment horizontal="center" vertical="center"/>
    </xf>
    <xf numFmtId="165" fontId="8" fillId="3" borderId="0" xfId="0" applyNumberFormat="1" applyFont="1" applyFill="1" applyBorder="1" applyAlignment="1">
      <alignment horizontal="center" vertical="center"/>
    </xf>
    <xf numFmtId="165" fontId="8" fillId="3" borderId="26" xfId="0" applyNumberFormat="1" applyFont="1" applyFill="1" applyBorder="1" applyAlignment="1">
      <alignment horizontal="center" vertical="center"/>
    </xf>
    <xf numFmtId="165" fontId="8" fillId="4" borderId="20" xfId="0" applyNumberFormat="1" applyFont="1" applyFill="1" applyBorder="1" applyAlignment="1">
      <alignment horizontal="center" vertical="center"/>
    </xf>
    <xf numFmtId="165" fontId="8" fillId="4" borderId="25" xfId="0" applyNumberFormat="1" applyFont="1" applyFill="1" applyBorder="1" applyAlignment="1">
      <alignment horizontal="center" vertical="center"/>
    </xf>
    <xf numFmtId="165" fontId="8" fillId="4" borderId="0" xfId="0" applyNumberFormat="1" applyFont="1" applyFill="1" applyBorder="1" applyAlignment="1">
      <alignment horizontal="center" vertical="center"/>
    </xf>
    <xf numFmtId="165" fontId="8" fillId="4" borderId="26" xfId="0" applyNumberFormat="1" applyFont="1" applyFill="1" applyBorder="1" applyAlignment="1">
      <alignment horizontal="center" vertical="center"/>
    </xf>
    <xf numFmtId="165" fontId="8" fillId="3" borderId="3" xfId="0" applyNumberFormat="1" applyFont="1" applyFill="1" applyBorder="1" applyAlignment="1">
      <alignment horizontal="center" vertical="center"/>
    </xf>
    <xf numFmtId="165" fontId="8" fillId="3" borderId="27" xfId="0" applyNumberFormat="1" applyFont="1" applyFill="1" applyBorder="1" applyAlignment="1">
      <alignment horizontal="center" vertical="center"/>
    </xf>
    <xf numFmtId="165" fontId="8" fillId="3" borderId="4" xfId="0" applyNumberFormat="1" applyFont="1" applyFill="1" applyBorder="1" applyAlignment="1">
      <alignment horizontal="center" vertical="center"/>
    </xf>
    <xf numFmtId="165" fontId="8" fillId="3" borderId="28" xfId="0" applyNumberFormat="1" applyFont="1" applyFill="1" applyBorder="1" applyAlignment="1">
      <alignment horizontal="center" vertical="center"/>
    </xf>
    <xf numFmtId="0" fontId="8" fillId="4" borderId="22" xfId="0" applyFont="1" applyFill="1" applyBorder="1" applyAlignment="1">
      <alignment horizontal="center" vertical="center"/>
    </xf>
    <xf numFmtId="167" fontId="13" fillId="0" borderId="0" xfId="0" applyNumberFormat="1" applyFont="1"/>
    <xf numFmtId="10" fontId="0" fillId="0" borderId="0" xfId="0" applyNumberFormat="1"/>
    <xf numFmtId="0" fontId="6" fillId="2" borderId="16" xfId="0" applyFont="1" applyFill="1" applyBorder="1" applyAlignment="1">
      <alignment horizontal="center" wrapText="1"/>
    </xf>
    <xf numFmtId="0" fontId="3" fillId="0" borderId="1" xfId="0" applyFont="1" applyBorder="1"/>
    <xf numFmtId="165" fontId="2" fillId="0" borderId="1" xfId="0" applyNumberFormat="1" applyFont="1" applyBorder="1"/>
    <xf numFmtId="165" fontId="5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left" wrapText="1"/>
    </xf>
    <xf numFmtId="165" fontId="0" fillId="0" borderId="1" xfId="0" applyNumberFormat="1" applyBorder="1"/>
    <xf numFmtId="8" fontId="0" fillId="0" borderId="0" xfId="0" applyNumberFormat="1"/>
    <xf numFmtId="0" fontId="16" fillId="0" borderId="0" xfId="0" applyFont="1"/>
    <xf numFmtId="165" fontId="18" fillId="5" borderId="1" xfId="0" applyNumberFormat="1" applyFont="1" applyFill="1" applyBorder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18" fillId="5" borderId="5" xfId="0" applyNumberFormat="1" applyFont="1" applyFill="1" applyBorder="1" applyAlignment="1">
      <alignment horizontal="center"/>
    </xf>
    <xf numFmtId="165" fontId="21" fillId="0" borderId="5" xfId="0" applyNumberFormat="1" applyFont="1" applyBorder="1" applyAlignment="1">
      <alignment horizontal="center"/>
    </xf>
    <xf numFmtId="10" fontId="3" fillId="0" borderId="0" xfId="1" applyNumberFormat="1" applyFont="1"/>
    <xf numFmtId="165" fontId="22" fillId="0" borderId="0" xfId="0" applyNumberFormat="1" applyFont="1" applyAlignment="1">
      <alignment horizontal="center"/>
    </xf>
    <xf numFmtId="0" fontId="21" fillId="0" borderId="0" xfId="0" quotePrefix="1" applyFont="1"/>
    <xf numFmtId="165" fontId="23" fillId="0" borderId="5" xfId="0" applyNumberFormat="1" applyFont="1" applyBorder="1" applyAlignment="1">
      <alignment horizontal="center"/>
    </xf>
    <xf numFmtId="0" fontId="4" fillId="6" borderId="14" xfId="0" applyFont="1" applyFill="1" applyBorder="1" applyAlignment="1">
      <alignment horizontal="center"/>
    </xf>
    <xf numFmtId="0" fontId="4" fillId="6" borderId="15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17" fillId="2" borderId="29" xfId="0" applyFont="1" applyFill="1" applyBorder="1" applyAlignment="1">
      <alignment horizontal="center" wrapText="1"/>
    </xf>
    <xf numFmtId="0" fontId="17" fillId="2" borderId="30" xfId="0" applyFont="1" applyFill="1" applyBorder="1" applyAlignment="1">
      <alignment horizontal="center" wrapText="1"/>
    </xf>
    <xf numFmtId="0" fontId="4" fillId="2" borderId="14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 applyAlignment="1">
      <alignment horizontal="center"/>
    </xf>
    <xf numFmtId="0" fontId="4" fillId="2" borderId="8" xfId="0" applyFont="1" applyFill="1" applyBorder="1" applyAlignment="1">
      <alignment horizontal="center"/>
    </xf>
    <xf numFmtId="0" fontId="6" fillId="2" borderId="4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22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11" fillId="2" borderId="11" xfId="0" applyFont="1" applyFill="1" applyBorder="1" applyAlignment="1">
      <alignment horizontal="center" vertical="center" wrapText="1"/>
    </xf>
    <xf numFmtId="0" fontId="11" fillId="2" borderId="13" xfId="0" applyFont="1" applyFill="1" applyBorder="1" applyAlignment="1">
      <alignment horizontal="center" vertical="center" wrapText="1"/>
    </xf>
    <xf numFmtId="0" fontId="11" fillId="2" borderId="16" xfId="0" applyFont="1" applyFill="1" applyBorder="1" applyAlignment="1">
      <alignment horizontal="center" vertical="center" wrapText="1"/>
    </xf>
    <xf numFmtId="0" fontId="11" fillId="2" borderId="17" xfId="0" applyFont="1" applyFill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wrapText="1"/>
    </xf>
    <xf numFmtId="0" fontId="4" fillId="7" borderId="1" xfId="0" applyFont="1" applyFill="1" applyBorder="1" applyAlignment="1">
      <alignment horizontal="center"/>
    </xf>
    <xf numFmtId="0" fontId="24" fillId="0" borderId="0" xfId="0" applyFont="1" applyAlignment="1">
      <alignment horizontal="right" vertical="center"/>
    </xf>
    <xf numFmtId="0" fontId="6" fillId="7" borderId="1" xfId="0" applyFont="1" applyFill="1" applyBorder="1" applyAlignment="1">
      <alignment horizontal="center" wrapText="1"/>
    </xf>
    <xf numFmtId="170" fontId="2" fillId="0" borderId="1" xfId="0" applyNumberFormat="1" applyFont="1" applyBorder="1" applyAlignment="1">
      <alignment horizontal="center"/>
    </xf>
    <xf numFmtId="0" fontId="2" fillId="0" borderId="0" xfId="0" applyFont="1" applyBorder="1"/>
    <xf numFmtId="165" fontId="2" fillId="0" borderId="0" xfId="0" applyNumberFormat="1" applyFont="1" applyBorder="1" applyAlignment="1">
      <alignment horizontal="center"/>
    </xf>
    <xf numFmtId="165" fontId="5" fillId="0" borderId="0" xfId="0" applyNumberFormat="1" applyFont="1" applyBorder="1" applyAlignment="1">
      <alignment horizontal="center"/>
    </xf>
    <xf numFmtId="165" fontId="23" fillId="0" borderId="0" xfId="0" applyNumberFormat="1" applyFont="1" applyBorder="1" applyAlignment="1">
      <alignment horizontal="center"/>
    </xf>
    <xf numFmtId="0" fontId="4" fillId="7" borderId="25" xfId="0" applyFont="1" applyFill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165" fontId="18" fillId="0" borderId="1" xfId="0" applyNumberFormat="1" applyFont="1" applyBorder="1" applyAlignment="1">
      <alignment horizontal="center"/>
    </xf>
    <xf numFmtId="165" fontId="25" fillId="0" borderId="1" xfId="0" applyNumberFormat="1" applyFont="1" applyBorder="1" applyAlignment="1">
      <alignment horizontal="center"/>
    </xf>
    <xf numFmtId="165" fontId="25" fillId="0" borderId="0" xfId="0" applyNumberFormat="1" applyFont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/>
  </sheetViews>
  <sheetFormatPr defaultRowHeight="13.5" x14ac:dyDescent="0.25"/>
  <cols>
    <col min="1" max="16384" width="9.140625" style="2"/>
  </cols>
  <sheetData>
    <row r="1" spans="1:2" ht="15" x14ac:dyDescent="0.25">
      <c r="A1" s="1" t="s">
        <v>28</v>
      </c>
    </row>
    <row r="2" spans="1:2" x14ac:dyDescent="0.25">
      <c r="A2" s="2" t="s">
        <v>103</v>
      </c>
    </row>
    <row r="3" spans="1:2" x14ac:dyDescent="0.25">
      <c r="A3" s="2" t="s">
        <v>36</v>
      </c>
    </row>
    <row r="5" spans="1:2" x14ac:dyDescent="0.25">
      <c r="A5" s="2" t="s">
        <v>104</v>
      </c>
    </row>
    <row r="8" spans="1:2" x14ac:dyDescent="0.25">
      <c r="A8" s="2" t="s">
        <v>46</v>
      </c>
    </row>
    <row r="9" spans="1:2" x14ac:dyDescent="0.25">
      <c r="A9" s="2">
        <v>1</v>
      </c>
      <c r="B9" s="2" t="s">
        <v>47</v>
      </c>
    </row>
    <row r="10" spans="1:2" x14ac:dyDescent="0.25">
      <c r="A10" s="2">
        <v>2</v>
      </c>
      <c r="B10" s="2" t="s">
        <v>48</v>
      </c>
    </row>
    <row r="11" spans="1:2" x14ac:dyDescent="0.25">
      <c r="A11" s="2">
        <v>3</v>
      </c>
      <c r="B11" s="2" t="s">
        <v>49</v>
      </c>
    </row>
    <row r="12" spans="1:2" x14ac:dyDescent="0.25">
      <c r="A12" s="2">
        <v>4</v>
      </c>
      <c r="B12" s="2" t="s">
        <v>105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3"/>
  <sheetViews>
    <sheetView workbookViewId="0"/>
  </sheetViews>
  <sheetFormatPr defaultRowHeight="13.5" x14ac:dyDescent="0.25"/>
  <cols>
    <col min="1" max="1" width="16.42578125" style="2" customWidth="1"/>
    <col min="2" max="2" width="10.28515625" style="2" bestFit="1" customWidth="1"/>
    <col min="3" max="16384" width="9.140625" style="2"/>
  </cols>
  <sheetData>
    <row r="1" spans="1:3" ht="15" x14ac:dyDescent="0.25">
      <c r="A1" s="1" t="s">
        <v>29</v>
      </c>
    </row>
    <row r="2" spans="1:3" x14ac:dyDescent="0.25">
      <c r="A2" s="2" t="s">
        <v>37</v>
      </c>
    </row>
    <row r="3" spans="1:3" x14ac:dyDescent="0.25">
      <c r="A3" s="2" t="s">
        <v>109</v>
      </c>
      <c r="B3" s="14"/>
    </row>
    <row r="4" spans="1:3" x14ac:dyDescent="0.25">
      <c r="A4" s="2" t="s">
        <v>110</v>
      </c>
    </row>
    <row r="7" spans="1:3" x14ac:dyDescent="0.25">
      <c r="A7" s="2" t="s">
        <v>108</v>
      </c>
      <c r="B7" s="15">
        <v>45</v>
      </c>
    </row>
    <row r="8" spans="1:3" ht="15" x14ac:dyDescent="0.25">
      <c r="A8" s="2" t="s">
        <v>13</v>
      </c>
      <c r="B8" s="16">
        <v>0</v>
      </c>
      <c r="C8"/>
    </row>
    <row r="9" spans="1:3" ht="15" x14ac:dyDescent="0.25">
      <c r="A9" s="2" t="s">
        <v>38</v>
      </c>
      <c r="B9" s="16">
        <v>10000</v>
      </c>
      <c r="C9"/>
    </row>
    <row r="10" spans="1:3" ht="15" x14ac:dyDescent="0.25">
      <c r="A10"/>
      <c r="B10"/>
      <c r="C10"/>
    </row>
    <row r="11" spans="1:3" ht="15" x14ac:dyDescent="0.25">
      <c r="A11"/>
      <c r="B11"/>
      <c r="C11"/>
    </row>
    <row r="12" spans="1:3" ht="15" x14ac:dyDescent="0.25">
      <c r="A12"/>
      <c r="B12"/>
      <c r="C12"/>
    </row>
    <row r="13" spans="1:3" ht="15" x14ac:dyDescent="0.25">
      <c r="A13"/>
      <c r="B13"/>
      <c r="C13"/>
    </row>
    <row r="14" spans="1:3" ht="15" x14ac:dyDescent="0.25">
      <c r="A14"/>
      <c r="B14"/>
      <c r="C14"/>
    </row>
    <row r="15" spans="1:3" ht="15" x14ac:dyDescent="0.25">
      <c r="A15"/>
      <c r="B15"/>
      <c r="C15"/>
    </row>
    <row r="16" spans="1:3" ht="15" x14ac:dyDescent="0.25">
      <c r="A16"/>
      <c r="B16"/>
      <c r="C16"/>
    </row>
    <row r="17" spans="1:3" ht="15" x14ac:dyDescent="0.25">
      <c r="A17"/>
      <c r="B17"/>
      <c r="C17"/>
    </row>
    <row r="18" spans="1:3" ht="15" x14ac:dyDescent="0.25">
      <c r="A18"/>
      <c r="B18"/>
      <c r="C18"/>
    </row>
    <row r="19" spans="1:3" ht="15" x14ac:dyDescent="0.25">
      <c r="A19"/>
      <c r="B19"/>
      <c r="C19"/>
    </row>
    <row r="20" spans="1:3" ht="15" x14ac:dyDescent="0.25">
      <c r="A20"/>
      <c r="B20"/>
      <c r="C20"/>
    </row>
    <row r="21" spans="1:3" ht="15" x14ac:dyDescent="0.25">
      <c r="A21"/>
      <c r="B21"/>
      <c r="C21"/>
    </row>
    <row r="22" spans="1:3" ht="15" x14ac:dyDescent="0.25">
      <c r="A22"/>
      <c r="B22"/>
      <c r="C22"/>
    </row>
    <row r="23" spans="1:3" ht="15" x14ac:dyDescent="0.25">
      <c r="A23"/>
      <c r="B23"/>
      <c r="C23"/>
    </row>
    <row r="24" spans="1:3" ht="15" x14ac:dyDescent="0.25">
      <c r="A24"/>
      <c r="B24"/>
      <c r="C24"/>
    </row>
    <row r="25" spans="1:3" ht="15" x14ac:dyDescent="0.25">
      <c r="A25"/>
      <c r="B25"/>
      <c r="C25"/>
    </row>
    <row r="26" spans="1:3" ht="15" x14ac:dyDescent="0.25">
      <c r="A26"/>
      <c r="B26"/>
      <c r="C26"/>
    </row>
    <row r="27" spans="1:3" ht="15" x14ac:dyDescent="0.25">
      <c r="A27"/>
      <c r="B27"/>
      <c r="C27"/>
    </row>
    <row r="28" spans="1:3" ht="15" x14ac:dyDescent="0.25">
      <c r="A28"/>
      <c r="B28"/>
      <c r="C28"/>
    </row>
    <row r="29" spans="1:3" ht="15" x14ac:dyDescent="0.25">
      <c r="A29"/>
      <c r="B29"/>
      <c r="C29"/>
    </row>
    <row r="30" spans="1:3" ht="15" x14ac:dyDescent="0.25">
      <c r="A30"/>
      <c r="B30"/>
      <c r="C30"/>
    </row>
    <row r="31" spans="1:3" ht="15" x14ac:dyDescent="0.25">
      <c r="A31"/>
      <c r="B31"/>
      <c r="C31"/>
    </row>
    <row r="32" spans="1:3" ht="15" x14ac:dyDescent="0.25">
      <c r="A32"/>
      <c r="B32"/>
      <c r="C32"/>
    </row>
    <row r="33" spans="1:3" ht="15" x14ac:dyDescent="0.25">
      <c r="A33"/>
      <c r="B33"/>
      <c r="C33"/>
    </row>
    <row r="34" spans="1:3" ht="15" x14ac:dyDescent="0.25">
      <c r="A34"/>
      <c r="B34"/>
      <c r="C34"/>
    </row>
    <row r="35" spans="1:3" ht="15" x14ac:dyDescent="0.25">
      <c r="A35"/>
      <c r="B35"/>
      <c r="C35"/>
    </row>
    <row r="36" spans="1:3" ht="15" x14ac:dyDescent="0.25">
      <c r="A36"/>
      <c r="B36"/>
      <c r="C36"/>
    </row>
    <row r="37" spans="1:3" ht="15" x14ac:dyDescent="0.25">
      <c r="A37"/>
      <c r="B37"/>
      <c r="C37"/>
    </row>
    <row r="38" spans="1:3" ht="15" x14ac:dyDescent="0.25">
      <c r="A38"/>
      <c r="B38"/>
      <c r="C38"/>
    </row>
    <row r="39" spans="1:3" ht="15" x14ac:dyDescent="0.25">
      <c r="A39"/>
      <c r="B39"/>
      <c r="C39"/>
    </row>
    <row r="40" spans="1:3" ht="15" x14ac:dyDescent="0.25">
      <c r="A40"/>
      <c r="B40"/>
      <c r="C40"/>
    </row>
    <row r="41" spans="1:3" ht="15" x14ac:dyDescent="0.25">
      <c r="A41"/>
      <c r="B41"/>
      <c r="C41"/>
    </row>
    <row r="42" spans="1:3" ht="15" x14ac:dyDescent="0.25">
      <c r="A42"/>
      <c r="B42"/>
      <c r="C42"/>
    </row>
    <row r="43" spans="1:3" ht="15" x14ac:dyDescent="0.25">
      <c r="A43"/>
      <c r="B43"/>
      <c r="C43"/>
    </row>
    <row r="44" spans="1:3" ht="15" x14ac:dyDescent="0.25">
      <c r="A44"/>
      <c r="B44"/>
      <c r="C44"/>
    </row>
    <row r="45" spans="1:3" ht="15" x14ac:dyDescent="0.25">
      <c r="A45"/>
      <c r="B45"/>
      <c r="C45"/>
    </row>
    <row r="46" spans="1:3" ht="15" x14ac:dyDescent="0.25">
      <c r="A46"/>
      <c r="B46"/>
      <c r="C46"/>
    </row>
    <row r="47" spans="1:3" ht="15" x14ac:dyDescent="0.25">
      <c r="A47"/>
      <c r="B47"/>
      <c r="C47"/>
    </row>
    <row r="48" spans="1:3" ht="15" x14ac:dyDescent="0.25">
      <c r="A48"/>
      <c r="B48"/>
      <c r="C48"/>
    </row>
    <row r="49" spans="1:3" ht="15" x14ac:dyDescent="0.25">
      <c r="A49"/>
      <c r="B49"/>
      <c r="C49"/>
    </row>
    <row r="50" spans="1:3" ht="15" x14ac:dyDescent="0.25">
      <c r="A50"/>
      <c r="B50"/>
      <c r="C50"/>
    </row>
    <row r="51" spans="1:3" ht="15" x14ac:dyDescent="0.25">
      <c r="A51"/>
      <c r="B51"/>
      <c r="C51"/>
    </row>
    <row r="52" spans="1:3" ht="15" x14ac:dyDescent="0.25">
      <c r="A52"/>
      <c r="B52"/>
      <c r="C52"/>
    </row>
    <row r="53" spans="1:3" ht="15" x14ac:dyDescent="0.25">
      <c r="A53"/>
      <c r="B53"/>
      <c r="C53"/>
    </row>
    <row r="54" spans="1:3" ht="15" x14ac:dyDescent="0.25">
      <c r="A54"/>
      <c r="B54"/>
      <c r="C54"/>
    </row>
    <row r="55" spans="1:3" ht="15" x14ac:dyDescent="0.25">
      <c r="A55"/>
      <c r="B55"/>
      <c r="C55"/>
    </row>
    <row r="56" spans="1:3" ht="15" x14ac:dyDescent="0.25">
      <c r="A56"/>
      <c r="B56"/>
      <c r="C56"/>
    </row>
    <row r="57" spans="1:3" ht="15" x14ac:dyDescent="0.25">
      <c r="A57"/>
      <c r="B57"/>
      <c r="C57"/>
    </row>
    <row r="58" spans="1:3" ht="15" x14ac:dyDescent="0.25">
      <c r="A58"/>
      <c r="B58"/>
      <c r="C58"/>
    </row>
    <row r="59" spans="1:3" ht="15" x14ac:dyDescent="0.25">
      <c r="A59"/>
      <c r="B59"/>
      <c r="C59"/>
    </row>
    <row r="60" spans="1:3" ht="15" x14ac:dyDescent="0.25">
      <c r="A60"/>
      <c r="B60"/>
      <c r="C60"/>
    </row>
    <row r="61" spans="1:3" ht="15" x14ac:dyDescent="0.25">
      <c r="A61"/>
      <c r="B61"/>
      <c r="C61"/>
    </row>
    <row r="62" spans="1:3" ht="15" x14ac:dyDescent="0.25">
      <c r="A62"/>
      <c r="B62"/>
      <c r="C62"/>
    </row>
    <row r="63" spans="1:3" ht="15" x14ac:dyDescent="0.25">
      <c r="A63"/>
      <c r="B63"/>
      <c r="C63"/>
    </row>
    <row r="64" spans="1:3" ht="15" x14ac:dyDescent="0.25">
      <c r="A64"/>
      <c r="B64"/>
      <c r="C64"/>
    </row>
    <row r="65" spans="1:3" ht="15" x14ac:dyDescent="0.25">
      <c r="A65"/>
      <c r="B65"/>
      <c r="C65"/>
    </row>
    <row r="66" spans="1:3" ht="15" x14ac:dyDescent="0.25">
      <c r="A66"/>
      <c r="B66"/>
      <c r="C66"/>
    </row>
    <row r="67" spans="1:3" ht="15" x14ac:dyDescent="0.25">
      <c r="A67"/>
      <c r="B67"/>
      <c r="C67"/>
    </row>
    <row r="68" spans="1:3" ht="15" x14ac:dyDescent="0.25">
      <c r="A68"/>
      <c r="B68"/>
      <c r="C68"/>
    </row>
    <row r="69" spans="1:3" ht="15" x14ac:dyDescent="0.25">
      <c r="A69"/>
      <c r="B69"/>
      <c r="C69"/>
    </row>
    <row r="70" spans="1:3" ht="15" x14ac:dyDescent="0.25">
      <c r="A70"/>
      <c r="B70"/>
      <c r="C70"/>
    </row>
    <row r="71" spans="1:3" ht="15" x14ac:dyDescent="0.25">
      <c r="A71"/>
      <c r="B71"/>
      <c r="C71"/>
    </row>
    <row r="72" spans="1:3" ht="15" x14ac:dyDescent="0.25">
      <c r="A72"/>
      <c r="B72"/>
      <c r="C72"/>
    </row>
    <row r="73" spans="1:3" ht="15" x14ac:dyDescent="0.25">
      <c r="A73"/>
      <c r="B73"/>
      <c r="C73"/>
    </row>
    <row r="74" spans="1:3" ht="15" x14ac:dyDescent="0.25">
      <c r="A74"/>
      <c r="B74"/>
      <c r="C74"/>
    </row>
    <row r="75" spans="1:3" ht="15" x14ac:dyDescent="0.25">
      <c r="A75"/>
      <c r="B75"/>
      <c r="C75"/>
    </row>
    <row r="76" spans="1:3" ht="15" x14ac:dyDescent="0.25">
      <c r="A76"/>
      <c r="B76"/>
      <c r="C76"/>
    </row>
    <row r="77" spans="1:3" ht="15" x14ac:dyDescent="0.25">
      <c r="A77"/>
      <c r="B77"/>
      <c r="C77"/>
    </row>
    <row r="78" spans="1:3" ht="15" x14ac:dyDescent="0.25">
      <c r="A78"/>
      <c r="B78"/>
      <c r="C78"/>
    </row>
    <row r="79" spans="1:3" ht="15" x14ac:dyDescent="0.25">
      <c r="A79"/>
      <c r="B79"/>
      <c r="C79"/>
    </row>
    <row r="80" spans="1:3" ht="15" x14ac:dyDescent="0.25">
      <c r="A80"/>
      <c r="B80"/>
      <c r="C80"/>
    </row>
    <row r="81" spans="1:3" ht="15" x14ac:dyDescent="0.25">
      <c r="A81"/>
      <c r="B81"/>
      <c r="C81"/>
    </row>
    <row r="82" spans="1:3" ht="15" x14ac:dyDescent="0.25">
      <c r="A82"/>
      <c r="B82"/>
      <c r="C82"/>
    </row>
    <row r="83" spans="1:3" ht="15" x14ac:dyDescent="0.25">
      <c r="A83"/>
      <c r="B83"/>
      <c r="C83"/>
    </row>
    <row r="84" spans="1:3" ht="15" x14ac:dyDescent="0.25">
      <c r="A84"/>
      <c r="B84"/>
      <c r="C84"/>
    </row>
    <row r="85" spans="1:3" ht="15" x14ac:dyDescent="0.25">
      <c r="A85"/>
      <c r="B85"/>
      <c r="C85"/>
    </row>
    <row r="86" spans="1:3" ht="15" x14ac:dyDescent="0.25">
      <c r="A86"/>
      <c r="B86"/>
      <c r="C86"/>
    </row>
    <row r="87" spans="1:3" ht="15" x14ac:dyDescent="0.25">
      <c r="A87"/>
      <c r="B87"/>
      <c r="C87"/>
    </row>
    <row r="88" spans="1:3" ht="15" x14ac:dyDescent="0.25">
      <c r="A88"/>
      <c r="B88"/>
      <c r="C88"/>
    </row>
    <row r="89" spans="1:3" ht="15" x14ac:dyDescent="0.25">
      <c r="A89"/>
      <c r="B89"/>
      <c r="C89"/>
    </row>
    <row r="90" spans="1:3" ht="15" x14ac:dyDescent="0.25">
      <c r="A90"/>
      <c r="B90"/>
      <c r="C90"/>
    </row>
    <row r="91" spans="1:3" ht="15" x14ac:dyDescent="0.25">
      <c r="A91"/>
      <c r="B91"/>
      <c r="C91"/>
    </row>
    <row r="92" spans="1:3" ht="15" x14ac:dyDescent="0.25">
      <c r="A92"/>
      <c r="B92"/>
      <c r="C92"/>
    </row>
    <row r="93" spans="1:3" ht="15" x14ac:dyDescent="0.25">
      <c r="A93"/>
      <c r="B93"/>
      <c r="C93"/>
    </row>
    <row r="94" spans="1:3" ht="15" x14ac:dyDescent="0.25">
      <c r="A94"/>
      <c r="B94"/>
      <c r="C94"/>
    </row>
    <row r="95" spans="1:3" ht="15" x14ac:dyDescent="0.25">
      <c r="A95"/>
      <c r="B95"/>
      <c r="C95"/>
    </row>
    <row r="96" spans="1:3" ht="15" x14ac:dyDescent="0.25">
      <c r="A96"/>
      <c r="B96"/>
      <c r="C96"/>
    </row>
    <row r="97" spans="1:3" ht="15" x14ac:dyDescent="0.25">
      <c r="A97"/>
      <c r="B97"/>
      <c r="C97"/>
    </row>
    <row r="98" spans="1:3" ht="15" x14ac:dyDescent="0.25">
      <c r="A98"/>
      <c r="B98"/>
      <c r="C98"/>
    </row>
    <row r="99" spans="1:3" ht="15" x14ac:dyDescent="0.25">
      <c r="A99"/>
      <c r="B99"/>
      <c r="C99"/>
    </row>
    <row r="100" spans="1:3" ht="15" x14ac:dyDescent="0.25">
      <c r="A100"/>
      <c r="B100"/>
      <c r="C100"/>
    </row>
    <row r="101" spans="1:3" ht="15" x14ac:dyDescent="0.25">
      <c r="A101"/>
      <c r="B101"/>
      <c r="C101"/>
    </row>
    <row r="102" spans="1:3" ht="15" x14ac:dyDescent="0.25">
      <c r="A102"/>
      <c r="B102"/>
      <c r="C102"/>
    </row>
    <row r="103" spans="1:3" ht="15" x14ac:dyDescent="0.25">
      <c r="A103"/>
      <c r="B103"/>
      <c r="C103"/>
    </row>
    <row r="104" spans="1:3" ht="15" x14ac:dyDescent="0.25">
      <c r="A104"/>
      <c r="B104"/>
      <c r="C104"/>
    </row>
    <row r="105" spans="1:3" ht="15" x14ac:dyDescent="0.25">
      <c r="A105"/>
      <c r="B105"/>
      <c r="C105"/>
    </row>
    <row r="106" spans="1:3" ht="15" x14ac:dyDescent="0.25">
      <c r="A106"/>
      <c r="B106"/>
      <c r="C106"/>
    </row>
    <row r="107" spans="1:3" ht="15" x14ac:dyDescent="0.25">
      <c r="A107"/>
      <c r="B107"/>
      <c r="C107"/>
    </row>
    <row r="108" spans="1:3" ht="15" x14ac:dyDescent="0.25">
      <c r="A108"/>
      <c r="B108"/>
      <c r="C108"/>
    </row>
    <row r="109" spans="1:3" ht="15" x14ac:dyDescent="0.25">
      <c r="A109"/>
      <c r="B109"/>
      <c r="C109"/>
    </row>
    <row r="110" spans="1:3" ht="15" x14ac:dyDescent="0.25">
      <c r="A110"/>
      <c r="B110"/>
      <c r="C110"/>
    </row>
    <row r="111" spans="1:3" ht="15" x14ac:dyDescent="0.25">
      <c r="A111"/>
      <c r="B111"/>
      <c r="C111"/>
    </row>
    <row r="112" spans="1:3" ht="15" x14ac:dyDescent="0.25">
      <c r="A112"/>
      <c r="B112"/>
      <c r="C112"/>
    </row>
    <row r="113" spans="1:3" ht="15" x14ac:dyDescent="0.25">
      <c r="A113"/>
      <c r="B113"/>
      <c r="C113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>
      <selection activeCell="C12" sqref="C12"/>
    </sheetView>
  </sheetViews>
  <sheetFormatPr defaultRowHeight="13.5" x14ac:dyDescent="0.25"/>
  <cols>
    <col min="1" max="1" width="20.140625" style="2" customWidth="1"/>
    <col min="2" max="2" width="9.140625" style="2"/>
    <col min="3" max="3" width="9.140625" style="2" customWidth="1"/>
    <col min="4" max="5" width="9.140625" style="2"/>
    <col min="6" max="6" width="11" style="2" customWidth="1"/>
    <col min="7" max="11" width="9.140625" style="2"/>
    <col min="12" max="12" width="10.85546875" style="2" customWidth="1"/>
    <col min="13" max="16384" width="9.140625" style="2"/>
  </cols>
  <sheetData>
    <row r="1" spans="1:13" ht="15" x14ac:dyDescent="0.25">
      <c r="A1" s="1" t="s">
        <v>30</v>
      </c>
    </row>
    <row r="3" spans="1:13" x14ac:dyDescent="0.25">
      <c r="A3" s="3" t="s">
        <v>0</v>
      </c>
      <c r="F3" s="3"/>
      <c r="L3" s="3"/>
    </row>
    <row r="5" spans="1:13" x14ac:dyDescent="0.25">
      <c r="A5" s="3" t="s">
        <v>45</v>
      </c>
      <c r="B5" s="18">
        <v>0.01</v>
      </c>
    </row>
    <row r="6" spans="1:13" x14ac:dyDescent="0.25">
      <c r="B6" s="18"/>
    </row>
    <row r="7" spans="1:13" x14ac:dyDescent="0.25">
      <c r="A7" s="3" t="s">
        <v>44</v>
      </c>
      <c r="B7" s="51">
        <v>1.4999999999999999E-2</v>
      </c>
      <c r="G7" s="18"/>
      <c r="M7" s="18"/>
    </row>
    <row r="8" spans="1:13" x14ac:dyDescent="0.25">
      <c r="B8" s="17"/>
    </row>
    <row r="10" spans="1:13" x14ac:dyDescent="0.25">
      <c r="A10" s="3" t="s">
        <v>1</v>
      </c>
    </row>
    <row r="11" spans="1:13" x14ac:dyDescent="0.25">
      <c r="A11" s="2" t="s">
        <v>16</v>
      </c>
    </row>
    <row r="12" spans="1:13" x14ac:dyDescent="0.25">
      <c r="A12" s="2">
        <v>1</v>
      </c>
      <c r="B12" s="18">
        <v>0.2</v>
      </c>
    </row>
    <row r="13" spans="1:13" x14ac:dyDescent="0.25">
      <c r="A13" s="2">
        <f>1+A12</f>
        <v>2</v>
      </c>
      <c r="B13" s="18">
        <v>0.1</v>
      </c>
    </row>
    <row r="14" spans="1:13" x14ac:dyDescent="0.25">
      <c r="A14" s="2">
        <f t="shared" ref="A14:A21" si="0">1+A13</f>
        <v>3</v>
      </c>
      <c r="B14" s="18">
        <v>0.1</v>
      </c>
    </row>
    <row r="15" spans="1:13" x14ac:dyDescent="0.25">
      <c r="A15" s="2">
        <f t="shared" si="0"/>
        <v>4</v>
      </c>
      <c r="B15" s="18">
        <v>0.1</v>
      </c>
    </row>
    <row r="16" spans="1:13" x14ac:dyDescent="0.25">
      <c r="A16" s="2">
        <f t="shared" si="0"/>
        <v>5</v>
      </c>
      <c r="B16" s="18">
        <v>0.1</v>
      </c>
    </row>
    <row r="17" spans="1:3" x14ac:dyDescent="0.25">
      <c r="A17" s="2">
        <f t="shared" si="0"/>
        <v>6</v>
      </c>
      <c r="B17" s="18">
        <v>0.1</v>
      </c>
    </row>
    <row r="18" spans="1:3" x14ac:dyDescent="0.25">
      <c r="A18" s="2">
        <f t="shared" si="0"/>
        <v>7</v>
      </c>
      <c r="B18" s="18">
        <v>0.1</v>
      </c>
    </row>
    <row r="19" spans="1:3" x14ac:dyDescent="0.25">
      <c r="A19" s="2">
        <f t="shared" si="0"/>
        <v>8</v>
      </c>
      <c r="B19" s="18">
        <v>0.1</v>
      </c>
    </row>
    <row r="20" spans="1:3" x14ac:dyDescent="0.25">
      <c r="A20" s="2">
        <f t="shared" si="0"/>
        <v>9</v>
      </c>
      <c r="B20" s="18">
        <v>0.1</v>
      </c>
    </row>
    <row r="21" spans="1:3" x14ac:dyDescent="0.25">
      <c r="A21" s="2">
        <f t="shared" si="0"/>
        <v>10</v>
      </c>
      <c r="B21" s="18">
        <v>1</v>
      </c>
    </row>
    <row r="22" spans="1:3" x14ac:dyDescent="0.25">
      <c r="B22" s="17"/>
    </row>
    <row r="23" spans="1:3" x14ac:dyDescent="0.25">
      <c r="A23" s="3" t="s">
        <v>2</v>
      </c>
      <c r="B23" s="17"/>
    </row>
    <row r="24" spans="1:3" x14ac:dyDescent="0.25">
      <c r="A24" s="2" t="s">
        <v>3</v>
      </c>
      <c r="B24" s="19">
        <v>100</v>
      </c>
    </row>
    <row r="25" spans="1:3" x14ac:dyDescent="0.25">
      <c r="A25" s="2" t="s">
        <v>4</v>
      </c>
      <c r="B25" s="19">
        <v>50</v>
      </c>
      <c r="C25" s="2" t="s">
        <v>24</v>
      </c>
    </row>
    <row r="26" spans="1:3" x14ac:dyDescent="0.25">
      <c r="A26" s="2" t="s">
        <v>5</v>
      </c>
      <c r="B26" s="18">
        <v>0.02</v>
      </c>
    </row>
    <row r="27" spans="1:3" x14ac:dyDescent="0.25">
      <c r="B27" s="17"/>
    </row>
    <row r="28" spans="1:3" x14ac:dyDescent="0.25">
      <c r="A28" s="3" t="s">
        <v>6</v>
      </c>
      <c r="B28" s="17"/>
    </row>
    <row r="29" spans="1:3" x14ac:dyDescent="0.25">
      <c r="A29" s="2" t="s">
        <v>7</v>
      </c>
      <c r="B29" s="18">
        <v>0.03</v>
      </c>
      <c r="C29" s="2" t="s">
        <v>8</v>
      </c>
    </row>
    <row r="30" spans="1:3" x14ac:dyDescent="0.25">
      <c r="A30" s="2" t="s">
        <v>4</v>
      </c>
      <c r="B30" s="18">
        <v>0</v>
      </c>
      <c r="C30" s="2" t="s">
        <v>9</v>
      </c>
    </row>
    <row r="31" spans="1:3" x14ac:dyDescent="0.25">
      <c r="B31" s="17"/>
    </row>
    <row r="32" spans="1:3" x14ac:dyDescent="0.25">
      <c r="A32" s="3" t="s">
        <v>10</v>
      </c>
      <c r="B32" s="18">
        <v>0.06</v>
      </c>
    </row>
    <row r="33" spans="1:2" x14ac:dyDescent="0.25">
      <c r="B33" s="17"/>
    </row>
    <row r="34" spans="1:2" x14ac:dyDescent="0.25">
      <c r="A34" s="3" t="s">
        <v>11</v>
      </c>
      <c r="B34" s="18">
        <v>0.06</v>
      </c>
    </row>
    <row r="35" spans="1:2" x14ac:dyDescent="0.25">
      <c r="B35" s="17"/>
    </row>
    <row r="36" spans="1:2" x14ac:dyDescent="0.25">
      <c r="A36" s="3" t="s">
        <v>12</v>
      </c>
      <c r="B36" s="18">
        <v>0</v>
      </c>
    </row>
  </sheetData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C7" sqref="C7"/>
    </sheetView>
  </sheetViews>
  <sheetFormatPr defaultRowHeight="15" x14ac:dyDescent="0.25"/>
  <sheetData>
    <row r="1" spans="1:8" x14ac:dyDescent="0.25">
      <c r="A1" s="1" t="s">
        <v>17</v>
      </c>
      <c r="B1" s="1"/>
      <c r="C1" s="2"/>
      <c r="D1" s="2"/>
      <c r="E1" s="2"/>
      <c r="F1" s="2"/>
      <c r="G1" s="2"/>
    </row>
    <row r="2" spans="1:8" x14ac:dyDescent="0.25">
      <c r="A2" s="2"/>
      <c r="B2" s="2"/>
      <c r="C2" s="2"/>
      <c r="D2" s="2"/>
      <c r="E2" s="2"/>
      <c r="F2" s="2"/>
      <c r="G2" s="2"/>
    </row>
    <row r="3" spans="1:8" x14ac:dyDescent="0.25">
      <c r="A3" s="2"/>
      <c r="B3" s="2"/>
      <c r="C3" s="2"/>
      <c r="D3" s="2"/>
      <c r="E3" s="2"/>
      <c r="F3" s="2"/>
      <c r="G3" s="2"/>
    </row>
    <row r="4" spans="1:8" ht="15.75" x14ac:dyDescent="0.3">
      <c r="A4" s="4" t="s">
        <v>14</v>
      </c>
      <c r="B4" s="4" t="s">
        <v>18</v>
      </c>
      <c r="C4" s="4" t="s">
        <v>15</v>
      </c>
      <c r="D4" s="4" t="s">
        <v>19</v>
      </c>
      <c r="E4" s="4" t="s">
        <v>20</v>
      </c>
      <c r="F4" s="4" t="s">
        <v>21</v>
      </c>
      <c r="G4" s="4" t="s">
        <v>22</v>
      </c>
      <c r="H4" s="4" t="s">
        <v>23</v>
      </c>
    </row>
    <row r="5" spans="1:8" x14ac:dyDescent="0.25">
      <c r="A5" s="5">
        <v>1</v>
      </c>
      <c r="B5" s="5">
        <v>0</v>
      </c>
      <c r="C5" s="5">
        <f t="shared" ref="C5:C14" si="0">VLOOKUP(A5,lapse_rates,2)</f>
        <v>0.2</v>
      </c>
      <c r="D5" s="6">
        <v>1</v>
      </c>
      <c r="E5" s="6">
        <f>D5*B5</f>
        <v>0</v>
      </c>
      <c r="F5" s="6">
        <f>(D5-E5)*C5</f>
        <v>0.2</v>
      </c>
      <c r="G5" s="6">
        <f>D5-E5-F5</f>
        <v>0.8</v>
      </c>
      <c r="H5" s="6">
        <f>G5/D5</f>
        <v>0.8</v>
      </c>
    </row>
    <row r="6" spans="1:8" x14ac:dyDescent="0.25">
      <c r="A6" s="5">
        <f>1+A5</f>
        <v>2</v>
      </c>
      <c r="B6" s="5">
        <v>0</v>
      </c>
      <c r="C6" s="5">
        <f t="shared" si="0"/>
        <v>0.1</v>
      </c>
      <c r="D6" s="6">
        <f>G5</f>
        <v>0.8</v>
      </c>
      <c r="E6" s="6">
        <f>D6*B6</f>
        <v>0</v>
      </c>
      <c r="F6" s="6">
        <f>(D6-E6)*C6</f>
        <v>8.0000000000000016E-2</v>
      </c>
      <c r="G6" s="6">
        <f>D6-E6-F6</f>
        <v>0.72</v>
      </c>
      <c r="H6" s="6">
        <f t="shared" ref="H6:H14" si="1">G6/D6</f>
        <v>0.89999999999999991</v>
      </c>
    </row>
    <row r="7" spans="1:8" x14ac:dyDescent="0.25">
      <c r="A7" s="5">
        <f t="shared" ref="A7:A14" si="2">1+A6</f>
        <v>3</v>
      </c>
      <c r="B7" s="5">
        <v>0</v>
      </c>
      <c r="C7" s="5">
        <f t="shared" si="0"/>
        <v>0.1</v>
      </c>
      <c r="D7" s="6">
        <f t="shared" ref="D7:D14" si="3">G6</f>
        <v>0.72</v>
      </c>
      <c r="E7" s="6">
        <f t="shared" ref="E7:E14" si="4">D7*B7</f>
        <v>0</v>
      </c>
      <c r="F7" s="6">
        <f t="shared" ref="F7:F14" si="5">(D7-E7)*C7</f>
        <v>7.1999999999999995E-2</v>
      </c>
      <c r="G7" s="6">
        <f t="shared" ref="G7:G14" si="6">D7-E7-F7</f>
        <v>0.64800000000000002</v>
      </c>
      <c r="H7" s="6">
        <f t="shared" si="1"/>
        <v>0.9</v>
      </c>
    </row>
    <row r="8" spans="1:8" x14ac:dyDescent="0.25">
      <c r="A8" s="5">
        <f t="shared" si="2"/>
        <v>4</v>
      </c>
      <c r="B8" s="5">
        <v>0</v>
      </c>
      <c r="C8" s="5">
        <f t="shared" si="0"/>
        <v>0.1</v>
      </c>
      <c r="D8" s="6">
        <f t="shared" si="3"/>
        <v>0.64800000000000002</v>
      </c>
      <c r="E8" s="6">
        <f t="shared" si="4"/>
        <v>0</v>
      </c>
      <c r="F8" s="6">
        <f t="shared" si="5"/>
        <v>6.480000000000001E-2</v>
      </c>
      <c r="G8" s="6">
        <f t="shared" si="6"/>
        <v>0.58320000000000005</v>
      </c>
      <c r="H8" s="6">
        <f t="shared" si="1"/>
        <v>0.9</v>
      </c>
    </row>
    <row r="9" spans="1:8" x14ac:dyDescent="0.25">
      <c r="A9" s="5">
        <f t="shared" si="2"/>
        <v>5</v>
      </c>
      <c r="B9" s="5">
        <v>0</v>
      </c>
      <c r="C9" s="5">
        <f t="shared" si="0"/>
        <v>0.1</v>
      </c>
      <c r="D9" s="6">
        <f t="shared" si="3"/>
        <v>0.58320000000000005</v>
      </c>
      <c r="E9" s="6">
        <f t="shared" si="4"/>
        <v>0</v>
      </c>
      <c r="F9" s="6">
        <f t="shared" si="5"/>
        <v>5.8320000000000011E-2</v>
      </c>
      <c r="G9" s="6">
        <f t="shared" si="6"/>
        <v>0.52488000000000001</v>
      </c>
      <c r="H9" s="6">
        <f t="shared" si="1"/>
        <v>0.89999999999999991</v>
      </c>
    </row>
    <row r="10" spans="1:8" x14ac:dyDescent="0.25">
      <c r="A10" s="5">
        <f t="shared" si="2"/>
        <v>6</v>
      </c>
      <c r="B10" s="5">
        <v>0</v>
      </c>
      <c r="C10" s="5">
        <f t="shared" si="0"/>
        <v>0.1</v>
      </c>
      <c r="D10" s="6">
        <f t="shared" si="3"/>
        <v>0.52488000000000001</v>
      </c>
      <c r="E10" s="6">
        <f t="shared" si="4"/>
        <v>0</v>
      </c>
      <c r="F10" s="6">
        <f t="shared" si="5"/>
        <v>5.2488000000000007E-2</v>
      </c>
      <c r="G10" s="6">
        <f t="shared" si="6"/>
        <v>0.47239200000000003</v>
      </c>
      <c r="H10" s="6">
        <f t="shared" si="1"/>
        <v>0.9</v>
      </c>
    </row>
    <row r="11" spans="1:8" x14ac:dyDescent="0.25">
      <c r="A11" s="5">
        <f t="shared" si="2"/>
        <v>7</v>
      </c>
      <c r="B11" s="5">
        <v>0</v>
      </c>
      <c r="C11" s="5">
        <f t="shared" si="0"/>
        <v>0.1</v>
      </c>
      <c r="D11" s="6">
        <f t="shared" si="3"/>
        <v>0.47239200000000003</v>
      </c>
      <c r="E11" s="6">
        <f t="shared" si="4"/>
        <v>0</v>
      </c>
      <c r="F11" s="6">
        <f t="shared" si="5"/>
        <v>4.7239200000000009E-2</v>
      </c>
      <c r="G11" s="6">
        <f t="shared" si="6"/>
        <v>0.4251528</v>
      </c>
      <c r="H11" s="6">
        <f t="shared" si="1"/>
        <v>0.89999999999999991</v>
      </c>
    </row>
    <row r="12" spans="1:8" x14ac:dyDescent="0.25">
      <c r="A12" s="5">
        <f t="shared" si="2"/>
        <v>8</v>
      </c>
      <c r="B12" s="5">
        <v>0</v>
      </c>
      <c r="C12" s="5">
        <f t="shared" si="0"/>
        <v>0.1</v>
      </c>
      <c r="D12" s="6">
        <f t="shared" si="3"/>
        <v>0.4251528</v>
      </c>
      <c r="E12" s="6">
        <f t="shared" si="4"/>
        <v>0</v>
      </c>
      <c r="F12" s="6">
        <f t="shared" si="5"/>
        <v>4.2515280000000003E-2</v>
      </c>
      <c r="G12" s="6">
        <f t="shared" si="6"/>
        <v>0.38263752000000001</v>
      </c>
      <c r="H12" s="6">
        <f t="shared" si="1"/>
        <v>0.9</v>
      </c>
    </row>
    <row r="13" spans="1:8" x14ac:dyDescent="0.25">
      <c r="A13" s="5">
        <f t="shared" si="2"/>
        <v>9</v>
      </c>
      <c r="B13" s="5">
        <v>0</v>
      </c>
      <c r="C13" s="5">
        <f t="shared" si="0"/>
        <v>0.1</v>
      </c>
      <c r="D13" s="6">
        <f t="shared" si="3"/>
        <v>0.38263752000000001</v>
      </c>
      <c r="E13" s="6">
        <f t="shared" si="4"/>
        <v>0</v>
      </c>
      <c r="F13" s="6">
        <f t="shared" si="5"/>
        <v>3.8263752000000005E-2</v>
      </c>
      <c r="G13" s="6">
        <f t="shared" si="6"/>
        <v>0.34437376800000002</v>
      </c>
      <c r="H13" s="6">
        <f t="shared" si="1"/>
        <v>0.9</v>
      </c>
    </row>
    <row r="14" spans="1:8" x14ac:dyDescent="0.25">
      <c r="A14" s="5">
        <f t="shared" si="2"/>
        <v>10</v>
      </c>
      <c r="B14" s="5">
        <v>0</v>
      </c>
      <c r="C14" s="5">
        <f t="shared" si="0"/>
        <v>1</v>
      </c>
      <c r="D14" s="6">
        <f t="shared" si="3"/>
        <v>0.34437376800000002</v>
      </c>
      <c r="E14" s="6">
        <f t="shared" si="4"/>
        <v>0</v>
      </c>
      <c r="F14" s="6">
        <f t="shared" si="5"/>
        <v>0.34437376800000002</v>
      </c>
      <c r="G14" s="6">
        <f t="shared" si="6"/>
        <v>0</v>
      </c>
      <c r="H14" s="6">
        <f t="shared" si="1"/>
        <v>0</v>
      </c>
    </row>
    <row r="16" spans="1:8" x14ac:dyDescent="0.25">
      <c r="A16" s="2" t="s">
        <v>32</v>
      </c>
      <c r="B16" s="2"/>
      <c r="C16" s="2" t="s">
        <v>39</v>
      </c>
      <c r="D16" s="2"/>
      <c r="E16" s="2"/>
      <c r="F16" s="2"/>
    </row>
    <row r="17" spans="1:6" x14ac:dyDescent="0.25">
      <c r="A17" s="2"/>
      <c r="B17" s="2"/>
      <c r="C17" s="2" t="s">
        <v>106</v>
      </c>
      <c r="D17" s="2"/>
      <c r="E17" s="2"/>
      <c r="F17" s="2"/>
    </row>
  </sheetData>
  <pageMargins left="0.7" right="0.7" top="0.75" bottom="0.75" header="0.3" footer="0.3"/>
  <pageSetup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L49"/>
  <sheetViews>
    <sheetView tabSelected="1" workbookViewId="0">
      <pane xSplit="7" ySplit="5" topLeftCell="N12" activePane="bottomRight" state="frozen"/>
      <selection pane="topRight" activeCell="H1" sqref="H1"/>
      <selection pane="bottomLeft" activeCell="A6" sqref="A6"/>
      <selection pane="bottomRight" activeCell="U34" sqref="U34"/>
    </sheetView>
  </sheetViews>
  <sheetFormatPr defaultRowHeight="13.5" x14ac:dyDescent="0.25"/>
  <cols>
    <col min="1" max="1" width="0.85546875" style="2" customWidth="1"/>
    <col min="2" max="2" width="9.140625" style="2"/>
    <col min="3" max="3" width="11.140625" style="2" customWidth="1"/>
    <col min="4" max="4" width="12.42578125" style="2" customWidth="1"/>
    <col min="5" max="5" width="13.28515625" style="2" customWidth="1"/>
    <col min="6" max="6" width="11.85546875" style="2" customWidth="1"/>
    <col min="7" max="7" width="13.42578125" style="2" customWidth="1"/>
    <col min="8" max="8" width="2.140625" style="2" customWidth="1"/>
    <col min="9" max="9" width="11.140625" style="2" customWidth="1"/>
    <col min="10" max="10" width="10.85546875" style="2" customWidth="1"/>
    <col min="11" max="14" width="9.140625" style="2"/>
    <col min="15" max="15" width="2.7109375" style="2" customWidth="1"/>
    <col min="16" max="23" width="9.140625" style="2"/>
    <col min="24" max="24" width="2.140625" style="2" customWidth="1"/>
    <col min="25" max="29" width="9.140625" style="2"/>
    <col min="30" max="30" width="1.7109375" style="2" customWidth="1"/>
    <col min="31" max="33" width="9.140625" style="2"/>
    <col min="34" max="34" width="12.140625" style="2" customWidth="1"/>
    <col min="35" max="16384" width="9.140625" style="2"/>
  </cols>
  <sheetData>
    <row r="1" spans="1:38" ht="15" x14ac:dyDescent="0.25">
      <c r="A1" s="1" t="s">
        <v>40</v>
      </c>
    </row>
    <row r="2" spans="1:38" ht="15" x14ac:dyDescent="0.25">
      <c r="A2" s="1"/>
    </row>
    <row r="3" spans="1:38" ht="15" x14ac:dyDescent="0.25">
      <c r="A3" s="1"/>
    </row>
    <row r="4" spans="1:38" ht="15" x14ac:dyDescent="0.25">
      <c r="A4" s="1"/>
      <c r="B4" t="s">
        <v>111</v>
      </c>
    </row>
    <row r="5" spans="1:38" ht="15" x14ac:dyDescent="0.25">
      <c r="A5" s="1"/>
      <c r="B5" t="s">
        <v>112</v>
      </c>
    </row>
    <row r="6" spans="1:38" ht="15" x14ac:dyDescent="0.25">
      <c r="A6" s="1"/>
      <c r="I6" s="60" t="s">
        <v>115</v>
      </c>
      <c r="J6"/>
      <c r="K6"/>
      <c r="L6"/>
      <c r="M6"/>
      <c r="P6" s="3" t="s">
        <v>117</v>
      </c>
      <c r="Q6" s="3"/>
      <c r="R6" s="65">
        <f>N9/'Policyholder cash flows'!H6</f>
        <v>0.35829637242248791</v>
      </c>
      <c r="AE6" s="3" t="s">
        <v>118</v>
      </c>
      <c r="AF6" s="3"/>
      <c r="AG6" s="65">
        <f>AF9/'Policyholder cash flows'!H6</f>
        <v>0.25439561256186638</v>
      </c>
      <c r="AH6" s="67" t="s">
        <v>119</v>
      </c>
    </row>
    <row r="7" spans="1:38" ht="15" customHeight="1" x14ac:dyDescent="0.25">
      <c r="I7" s="74" t="s">
        <v>73</v>
      </c>
      <c r="J7" s="76" t="s">
        <v>26</v>
      </c>
      <c r="K7" s="77"/>
      <c r="L7" s="77"/>
      <c r="M7" s="77"/>
      <c r="N7" s="77"/>
      <c r="P7" s="76" t="s">
        <v>50</v>
      </c>
      <c r="Q7" s="77"/>
      <c r="R7" s="77"/>
      <c r="S7" s="77"/>
      <c r="T7" s="77"/>
      <c r="U7" s="77"/>
      <c r="V7" s="77"/>
      <c r="W7" s="77"/>
      <c r="Y7" s="76" t="s">
        <v>58</v>
      </c>
      <c r="Z7" s="77"/>
      <c r="AA7" s="77"/>
      <c r="AB7" s="77"/>
      <c r="AC7" s="77"/>
      <c r="AE7" s="69" t="s">
        <v>96</v>
      </c>
      <c r="AF7" s="70"/>
      <c r="AG7" s="70"/>
      <c r="AH7" s="70"/>
      <c r="AI7" s="70"/>
      <c r="AJ7" s="70"/>
      <c r="AK7" s="70"/>
      <c r="AL7" s="70"/>
    </row>
    <row r="8" spans="1:38" ht="54" x14ac:dyDescent="0.25">
      <c r="B8" s="71" t="s">
        <v>27</v>
      </c>
      <c r="C8" s="72"/>
      <c r="D8" s="72"/>
      <c r="E8" s="72"/>
      <c r="F8" s="72"/>
      <c r="G8" s="73"/>
      <c r="I8" s="75"/>
      <c r="J8" s="22" t="s">
        <v>33</v>
      </c>
      <c r="K8" s="22" t="s">
        <v>31</v>
      </c>
      <c r="L8" s="22" t="s">
        <v>34</v>
      </c>
      <c r="M8" s="22" t="s">
        <v>25</v>
      </c>
      <c r="N8" s="22" t="s">
        <v>116</v>
      </c>
      <c r="P8" s="22" t="s">
        <v>53</v>
      </c>
      <c r="Q8" s="22" t="s">
        <v>54</v>
      </c>
      <c r="R8" s="22" t="s">
        <v>55</v>
      </c>
      <c r="S8" s="22" t="s">
        <v>31</v>
      </c>
      <c r="T8" s="22" t="s">
        <v>34</v>
      </c>
      <c r="U8" s="22" t="s">
        <v>56</v>
      </c>
      <c r="V8" s="22" t="s">
        <v>57</v>
      </c>
      <c r="W8" s="22" t="s">
        <v>116</v>
      </c>
      <c r="Y8" s="22" t="s">
        <v>33</v>
      </c>
      <c r="Z8" s="22" t="s">
        <v>31</v>
      </c>
      <c r="AA8" s="22" t="s">
        <v>34</v>
      </c>
      <c r="AB8" s="22" t="s">
        <v>102</v>
      </c>
      <c r="AC8" s="22" t="s">
        <v>116</v>
      </c>
      <c r="AE8" s="53" t="s">
        <v>92</v>
      </c>
      <c r="AF8" s="53" t="s">
        <v>93</v>
      </c>
      <c r="AG8" s="53" t="s">
        <v>98</v>
      </c>
      <c r="AH8" s="53" t="s">
        <v>97</v>
      </c>
      <c r="AI8" s="53" t="s">
        <v>31</v>
      </c>
      <c r="AJ8" s="53" t="s">
        <v>34</v>
      </c>
      <c r="AK8" s="53" t="s">
        <v>102</v>
      </c>
      <c r="AL8" s="22" t="s">
        <v>116</v>
      </c>
    </row>
    <row r="9" spans="1:38" ht="39" customHeight="1" x14ac:dyDescent="0.25">
      <c r="B9" s="13" t="s">
        <v>14</v>
      </c>
      <c r="C9" s="13" t="s">
        <v>59</v>
      </c>
      <c r="D9" s="13" t="s">
        <v>60</v>
      </c>
      <c r="E9" s="13" t="s">
        <v>61</v>
      </c>
      <c r="F9" s="13" t="s">
        <v>62</v>
      </c>
      <c r="G9" s="25" t="s">
        <v>63</v>
      </c>
      <c r="H9"/>
      <c r="I9" s="5">
        <v>0</v>
      </c>
      <c r="J9" s="61">
        <f>NPV(Discount_rate,'Shareholder cash flows'!$D10:$D$21)*(1+Discount_rate)-D10
+NPV(Discount_rate,'Shareholder cash flows'!$E10:$E$21)*(1+Discount_rate)-E10
+NPV(Discount_rate,'Shareholder cash flows'!$F10:$F$21)
-NPV(Discount_rate,'Shareholder cash flows'!$C10:$C$21)*(1+Discount_rate)+C10</f>
        <v>9318.3156039411988</v>
      </c>
      <c r="K9" s="8"/>
      <c r="L9" s="8">
        <f>J9</f>
        <v>9318.3156039411988</v>
      </c>
      <c r="M9" s="61">
        <f>C10-D10-E10+K9-L9</f>
        <v>281.68439605880121</v>
      </c>
      <c r="N9" s="62">
        <f>NPV(Discount_rate,'Shareholder cash flows'!$M10:$M$21)+M9</f>
        <v>281.68439605879911</v>
      </c>
      <c r="P9" s="23">
        <f>J9</f>
        <v>9318.3156039411988</v>
      </c>
      <c r="Q9" s="23">
        <f>'Policyholder cash flows'!H6*$R$6</f>
        <v>281.68439605879911</v>
      </c>
      <c r="R9" s="24">
        <f t="shared" ref="R9:R19" si="0">P9+Q9</f>
        <v>9599.9999999999982</v>
      </c>
      <c r="S9" s="24"/>
      <c r="T9" s="24">
        <f>R9</f>
        <v>9599.9999999999982</v>
      </c>
      <c r="U9" s="61">
        <f>C10-D10-E10+S9-T9</f>
        <v>0</v>
      </c>
      <c r="V9" s="24">
        <v>0</v>
      </c>
      <c r="W9" s="62">
        <f>NPV(Discount_rate,'Shareholder cash flows'!$U10:$U$21)+U9</f>
        <v>281.68439605879502</v>
      </c>
      <c r="Y9" s="23">
        <f>'Policyholder cash flows'!D6</f>
        <v>9900</v>
      </c>
      <c r="Z9" s="23"/>
      <c r="AA9" s="24">
        <f>Y9</f>
        <v>9900</v>
      </c>
      <c r="AB9" s="63">
        <f>C10-D10-E10+Z9-AA9</f>
        <v>-300</v>
      </c>
      <c r="AC9" s="62">
        <f>NPV(Discount_rate,AB10:AB21)+AB9</f>
        <v>281.68439605879678</v>
      </c>
      <c r="AE9" s="23">
        <f>Y9</f>
        <v>9900</v>
      </c>
      <c r="AF9" s="64">
        <f>Single_premium*(Initial_comm_rate-Entry_fee)</f>
        <v>199.99999999999997</v>
      </c>
      <c r="AG9" s="24">
        <f>$AG$6*'Policyholder cash flows'!F6</f>
        <v>37.777748465437156</v>
      </c>
      <c r="AH9" s="24">
        <f>AE9-AF9</f>
        <v>9700</v>
      </c>
      <c r="AI9" s="62"/>
      <c r="AJ9" s="24">
        <f>AH9</f>
        <v>9700</v>
      </c>
      <c r="AK9" s="63">
        <f>C10-D10-E10+AI9-AJ9</f>
        <v>-100</v>
      </c>
      <c r="AL9" s="62">
        <f>NPV(Discount_rate,AK10:AK21)+AK9</f>
        <v>281.68439605879701</v>
      </c>
    </row>
    <row r="10" spans="1:38" ht="15" x14ac:dyDescent="0.25">
      <c r="B10" s="5">
        <v>1</v>
      </c>
      <c r="C10" s="8">
        <f>Single_premium</f>
        <v>10000</v>
      </c>
      <c r="D10" s="8">
        <f>Initial_comm_rate * Single_premium</f>
        <v>300</v>
      </c>
      <c r="E10" s="8">
        <f>Initial_expense</f>
        <v>100</v>
      </c>
      <c r="F10" s="8">
        <f>'Policyholder cash flows'!I6</f>
        <v>2069.0999999999995</v>
      </c>
      <c r="G10" s="8">
        <f>C10-D10-E10-F10</f>
        <v>7530.9000000000005</v>
      </c>
      <c r="H10" s="9"/>
      <c r="I10" s="5">
        <v>1</v>
      </c>
      <c r="J10" s="8">
        <f>NPV(Discount_rate,'Shareholder cash flows'!$D11:$D$21)*(1+Discount_rate)
+NPV(Discount_rate,'Shareholder cash flows'!$E11:$E$21)*(1+Discount_rate)
+NPV(Discount_rate,'Shareholder cash flows'!$F11:$F$21)
-NPV(Discount_rate,'Shareholder cash flows'!$C11:$C$21)*(1+Discount_rate)</f>
        <v>7808.3145401776728</v>
      </c>
      <c r="K10" s="61">
        <f>J9*Investment_rate</f>
        <v>559.0989362364719</v>
      </c>
      <c r="L10" s="8">
        <f>J10-J9</f>
        <v>-1510.001063763526</v>
      </c>
      <c r="M10" s="61">
        <f>-F10+K10-L10</f>
        <v>0</v>
      </c>
      <c r="N10" s="66">
        <f>M9*(1+Investment_rate)+M10</f>
        <v>298.58545982232931</v>
      </c>
      <c r="O10" s="7"/>
      <c r="P10" s="23">
        <f t="shared" ref="P10:P19" si="1">J10</f>
        <v>7808.3145401776728</v>
      </c>
      <c r="Q10" s="23">
        <f>'Policyholder cash flows'!H7*$R$6</f>
        <v>245.3784485175876</v>
      </c>
      <c r="R10" s="24">
        <f t="shared" si="0"/>
        <v>8053.6929886952603</v>
      </c>
      <c r="S10" s="63">
        <f>(R9)*Investment_rate</f>
        <v>575.99999999999989</v>
      </c>
      <c r="T10" s="24">
        <f>R10-R9</f>
        <v>-1546.3070113047379</v>
      </c>
      <c r="U10" s="61">
        <f>-F10+S10-T10</f>
        <v>53.207011304738444</v>
      </c>
      <c r="V10" s="24">
        <f>$R$6*'Policyholder cash flows'!F6</f>
        <v>53.207011304739453</v>
      </c>
      <c r="Y10" s="23">
        <f>'Policyholder cash flows'!D7</f>
        <v>8276.4000000000015</v>
      </c>
      <c r="Z10" s="61">
        <f>Y9*Investment_rate</f>
        <v>594</v>
      </c>
      <c r="AA10" s="24">
        <f t="shared" ref="AA10:AA19" si="2">Y10-Y9</f>
        <v>-1623.5999999999985</v>
      </c>
      <c r="AB10" s="63">
        <f>-F10+Z10-AA10</f>
        <v>148.49999999999909</v>
      </c>
      <c r="AC10" s="66">
        <f>AB9*(1+Investment_rate)+AB10</f>
        <v>-169.50000000000091</v>
      </c>
      <c r="AE10" s="23">
        <f t="shared" ref="AE10:AE18" si="3">Y10</f>
        <v>8276.4000000000015</v>
      </c>
      <c r="AF10" s="68">
        <f t="shared" ref="AF10:AF19" si="4">AF9*(1+Investment_rate)-AG9</f>
        <v>174.22225153456282</v>
      </c>
      <c r="AG10" s="24">
        <f>$AG$6*'Policyholder cash flows'!F7</f>
        <v>31.582197717105469</v>
      </c>
      <c r="AH10" s="24">
        <f t="shared" ref="AH10:AH19" si="5">AE10-AF10</f>
        <v>8102.1777484654385</v>
      </c>
      <c r="AI10" s="61">
        <f>(AH9)*Investment_rate</f>
        <v>582</v>
      </c>
      <c r="AJ10" s="24">
        <f t="shared" ref="AJ10:AJ19" si="6">AH10-AH9</f>
        <v>-1597.8222515345615</v>
      </c>
      <c r="AK10" s="63">
        <f>-F10+AI10-AJ10</f>
        <v>110.72225153456202</v>
      </c>
      <c r="AL10" s="66">
        <f>AK9*(1+Investment_rate)+AK10</f>
        <v>4.7222515345620195</v>
      </c>
    </row>
    <row r="11" spans="1:38" ht="15" x14ac:dyDescent="0.25">
      <c r="B11" s="5">
        <f>1+B10</f>
        <v>2</v>
      </c>
      <c r="C11" s="8">
        <v>0</v>
      </c>
      <c r="D11" s="8">
        <v>0</v>
      </c>
      <c r="E11" s="8">
        <f>Renewal_expense *(1+Inflation)^(B11-2)*Decrements!D6</f>
        <v>40</v>
      </c>
      <c r="F11" s="8">
        <f>'Policyholder cash flows'!I7</f>
        <v>864.88380000000097</v>
      </c>
      <c r="G11" s="8">
        <f t="shared" ref="G11:G19" si="7">C11-D11-E11-F11</f>
        <v>-904.88380000000097</v>
      </c>
      <c r="H11" s="9"/>
      <c r="I11" s="5">
        <f t="shared" ref="I11:I19" si="8">1+I10</f>
        <v>2</v>
      </c>
      <c r="J11" s="8">
        <f>NPV(Discount_rate,'Shareholder cash flows'!$D12:$D$21)*(1+Discount_rate)
+NPV(Discount_rate,'Shareholder cash flows'!$E12:$E$21)*(1+Discount_rate)
+NPV(Discount_rate,'Shareholder cash flows'!$F12:$F$21)
-NPV(Discount_rate,'Shareholder cash flows'!$C12:$C$21)*(1+Discount_rate)</f>
        <v>7369.5296125883324</v>
      </c>
      <c r="K11" s="8">
        <f t="shared" ref="K11:K19" si="9">(J10+C11-D11-E11)*Investment_rate</f>
        <v>466.09887241066036</v>
      </c>
      <c r="L11" s="8">
        <f t="shared" ref="L11:L19" si="10">J11-J10</f>
        <v>-438.78492758934044</v>
      </c>
      <c r="M11" s="8">
        <f>G11+K11-L11</f>
        <v>0</v>
      </c>
      <c r="P11" s="23">
        <f t="shared" si="1"/>
        <v>7369.5296125883324</v>
      </c>
      <c r="Q11" s="23">
        <f>'Policyholder cash flows'!H8*$R$6</f>
        <v>215.62009397788069</v>
      </c>
      <c r="R11" s="24">
        <f t="shared" si="0"/>
        <v>7585.1497065662134</v>
      </c>
      <c r="S11" s="24">
        <f t="shared" ref="S11:S19" si="11">(R10-E11-D11)*Investment_rate</f>
        <v>480.8215793217156</v>
      </c>
      <c r="T11" s="24">
        <f t="shared" ref="T11:T19" si="12">R11-R10</f>
        <v>-468.54328212904693</v>
      </c>
      <c r="U11" s="24">
        <f t="shared" ref="U11:U19" si="13">G11+S11-T11</f>
        <v>44.481061450761558</v>
      </c>
      <c r="V11" s="24">
        <f>$R$6*'Policyholder cash flows'!F7</f>
        <v>44.481061450762191</v>
      </c>
      <c r="Y11" s="23">
        <f>'Policyholder cash flows'!D8</f>
        <v>7783.9542000000001</v>
      </c>
      <c r="Z11" s="23">
        <f t="shared" ref="Z11:Z19" si="14">(Y10-D11-E11)*Investment_rate</f>
        <v>494.18400000000008</v>
      </c>
      <c r="AA11" s="24">
        <f t="shared" si="2"/>
        <v>-492.44580000000133</v>
      </c>
      <c r="AB11" s="24">
        <f t="shared" ref="AB11:AB19" si="15">G11+Z11-AA11</f>
        <v>81.746000000000436</v>
      </c>
      <c r="AC11"/>
      <c r="AE11" s="23">
        <f t="shared" si="3"/>
        <v>7783.9542000000001</v>
      </c>
      <c r="AF11" s="68">
        <f t="shared" si="4"/>
        <v>153.09338890953114</v>
      </c>
      <c r="AG11" s="24">
        <f>$AG$6*'Policyholder cash flows'!F8</f>
        <v>29.703056952937686</v>
      </c>
      <c r="AH11" s="24">
        <f t="shared" si="5"/>
        <v>7630.8608110904688</v>
      </c>
      <c r="AI11" s="24">
        <f t="shared" ref="AI11:AI19" si="16">(AH10+C11-D11-E11)*Investment_rate</f>
        <v>483.73066490792627</v>
      </c>
      <c r="AJ11" s="24">
        <f t="shared" si="6"/>
        <v>-471.31693737496971</v>
      </c>
      <c r="AK11" s="24">
        <f>G11+AI11-AJ11</f>
        <v>50.163802282895006</v>
      </c>
    </row>
    <row r="12" spans="1:38" ht="15" x14ac:dyDescent="0.25">
      <c r="B12" s="5">
        <f t="shared" ref="B12:B19" si="17">1+B11</f>
        <v>3</v>
      </c>
      <c r="C12" s="8">
        <v>0</v>
      </c>
      <c r="D12" s="8">
        <v>0</v>
      </c>
      <c r="E12" s="8">
        <f>Renewal_expense *(1+Inflation)^(B12-2)*Decrements!D7</f>
        <v>36.72</v>
      </c>
      <c r="F12" s="8">
        <f>'Policyholder cash flows'!I8</f>
        <v>813.42321389999984</v>
      </c>
      <c r="G12" s="8">
        <f t="shared" si="7"/>
        <v>-850.14321389999986</v>
      </c>
      <c r="H12"/>
      <c r="I12" s="5">
        <f t="shared" si="8"/>
        <v>3</v>
      </c>
      <c r="J12" s="8">
        <f>NPV(Discount_rate,'Shareholder cash flows'!$D13:$D$21)*(1+Discount_rate)
+NPV(Discount_rate,'Shareholder cash flows'!$E13:$E$21)*(1+Discount_rate)
+NPV(Discount_rate,'Shareholder cash flows'!$F13:$F$21)
-NPV(Discount_rate,'Shareholder cash flows'!$C13:$C$21)*(1+Discount_rate)</f>
        <v>6959.3549754436335</v>
      </c>
      <c r="K12" s="8">
        <f t="shared" si="9"/>
        <v>439.96857675529992</v>
      </c>
      <c r="L12" s="8">
        <f t="shared" si="10"/>
        <v>-410.17463714469886</v>
      </c>
      <c r="M12" s="8">
        <f t="shared" ref="M12:M19" si="18">G12+K12-L12</f>
        <v>-1.0800249583553523E-12</v>
      </c>
      <c r="P12" s="23">
        <f t="shared" si="1"/>
        <v>6959.3549754436335</v>
      </c>
      <c r="Q12" s="23">
        <f>'Policyholder cash flows'!H9*$R$6</f>
        <v>186.72286132211173</v>
      </c>
      <c r="R12" s="24">
        <f t="shared" si="0"/>
        <v>7146.0778367657449</v>
      </c>
      <c r="S12" s="24">
        <f t="shared" si="11"/>
        <v>452.90578239397274</v>
      </c>
      <c r="T12" s="24">
        <f t="shared" si="12"/>
        <v>-439.07186980046845</v>
      </c>
      <c r="U12" s="24">
        <f t="shared" si="13"/>
        <v>41.834438294441327</v>
      </c>
      <c r="V12" s="24">
        <f>$R$6*'Policyholder cash flows'!F8</f>
        <v>41.834438294441831</v>
      </c>
      <c r="Y12" s="23">
        <f>'Policyholder cash flows'!D9</f>
        <v>7320.808925100001</v>
      </c>
      <c r="Z12" s="23">
        <f t="shared" si="14"/>
        <v>464.83405199999999</v>
      </c>
      <c r="AA12" s="24">
        <f t="shared" si="2"/>
        <v>-463.14527489999909</v>
      </c>
      <c r="AB12" s="24">
        <f t="shared" si="15"/>
        <v>77.836112999999216</v>
      </c>
      <c r="AC12"/>
      <c r="AE12" s="23">
        <f t="shared" si="3"/>
        <v>7320.808925100001</v>
      </c>
      <c r="AF12" s="68">
        <f t="shared" si="4"/>
        <v>132.57593529116534</v>
      </c>
      <c r="AG12" s="24">
        <f>$AG$6*'Policyholder cash flows'!F9</f>
        <v>27.9357250642379</v>
      </c>
      <c r="AH12" s="24">
        <f t="shared" si="5"/>
        <v>7188.2329898088356</v>
      </c>
      <c r="AI12" s="24">
        <f t="shared" si="16"/>
        <v>455.64844866542808</v>
      </c>
      <c r="AJ12" s="24">
        <f t="shared" si="6"/>
        <v>-442.62782128163326</v>
      </c>
      <c r="AK12" s="24">
        <f t="shared" ref="AK12:AK19" si="19">G12+AI12-AJ12</f>
        <v>48.133056047061473</v>
      </c>
    </row>
    <row r="13" spans="1:38" ht="15" x14ac:dyDescent="0.25">
      <c r="B13" s="5">
        <f t="shared" si="17"/>
        <v>4</v>
      </c>
      <c r="C13" s="8">
        <v>0</v>
      </c>
      <c r="D13" s="8">
        <v>0</v>
      </c>
      <c r="E13" s="8">
        <f>Renewal_expense *(1+Inflation)^(B13-2)*Decrements!D8</f>
        <v>33.708959999999998</v>
      </c>
      <c r="F13" s="8">
        <f>'Policyholder cash flows'!I9</f>
        <v>765.02453267294993</v>
      </c>
      <c r="G13" s="8">
        <f t="shared" si="7"/>
        <v>-798.73349267294998</v>
      </c>
      <c r="H13"/>
      <c r="I13" s="5">
        <f t="shared" si="8"/>
        <v>4</v>
      </c>
      <c r="J13" s="8">
        <f>NPV(Discount_rate,'Shareholder cash flows'!$D14:$D$21)*(1+Discount_rate)
+NPV(Discount_rate,'Shareholder cash flows'!$E14:$E$21)*(1+Discount_rate)
+NPV(Discount_rate,'Shareholder cash flows'!$F14:$F$21)
-NPV(Discount_rate,'Shareholder cash flows'!$C14:$C$21)*(1+Discount_rate)</f>
        <v>6576.1602436973008</v>
      </c>
      <c r="K13" s="8">
        <f t="shared" si="9"/>
        <v>415.53876092661801</v>
      </c>
      <c r="L13" s="8">
        <f t="shared" si="10"/>
        <v>-383.19473174633276</v>
      </c>
      <c r="M13" s="8">
        <f t="shared" si="18"/>
        <v>7.9580786405131221E-13</v>
      </c>
      <c r="P13" s="23">
        <f t="shared" si="1"/>
        <v>6576.1602436973008</v>
      </c>
      <c r="Q13" s="23">
        <f>'Policyholder cash flows'!H10*$R$6</f>
        <v>158.58094378551587</v>
      </c>
      <c r="R13" s="24">
        <f t="shared" si="0"/>
        <v>6734.7411874828167</v>
      </c>
      <c r="S13" s="24">
        <f t="shared" si="11"/>
        <v>426.74213260594468</v>
      </c>
      <c r="T13" s="24">
        <f t="shared" si="12"/>
        <v>-411.33664928292819</v>
      </c>
      <c r="U13" s="24">
        <f t="shared" si="13"/>
        <v>39.34528921592289</v>
      </c>
      <c r="V13" s="24">
        <f>$R$6*'Policyholder cash flows'!F9</f>
        <v>39.345289215922548</v>
      </c>
      <c r="Y13" s="23">
        <f>'Policyholder cash flows'!D10</f>
        <v>6885.2207940565504</v>
      </c>
      <c r="Z13" s="23">
        <f t="shared" si="14"/>
        <v>437.22599790600003</v>
      </c>
      <c r="AA13" s="24">
        <f t="shared" si="2"/>
        <v>-435.58813104345063</v>
      </c>
      <c r="AB13" s="24">
        <f t="shared" si="15"/>
        <v>74.080636276500684</v>
      </c>
      <c r="AC13"/>
      <c r="AE13" s="23">
        <f t="shared" si="3"/>
        <v>6885.2207940565504</v>
      </c>
      <c r="AF13" s="68">
        <f t="shared" si="4"/>
        <v>112.59476634439737</v>
      </c>
      <c r="AG13" s="24">
        <f>$AG$6*'Policyholder cash flows'!F10</f>
        <v>26.273549422915739</v>
      </c>
      <c r="AH13" s="24">
        <f t="shared" si="5"/>
        <v>6772.6260277121528</v>
      </c>
      <c r="AI13" s="24">
        <f t="shared" si="16"/>
        <v>429.27144178853013</v>
      </c>
      <c r="AJ13" s="24">
        <f t="shared" si="6"/>
        <v>-415.60696209668276</v>
      </c>
      <c r="AK13" s="24">
        <f t="shared" si="19"/>
        <v>46.144911212262912</v>
      </c>
    </row>
    <row r="14" spans="1:38" ht="15" x14ac:dyDescent="0.25">
      <c r="B14" s="5">
        <f t="shared" si="17"/>
        <v>5</v>
      </c>
      <c r="C14" s="8">
        <v>0</v>
      </c>
      <c r="D14" s="8">
        <v>0</v>
      </c>
      <c r="E14" s="8">
        <f>Renewal_expense *(1+Inflation)^(B14-2)*Decrements!D9</f>
        <v>30.94482528</v>
      </c>
      <c r="F14" s="8">
        <f>'Policyholder cash flows'!I10</f>
        <v>719.50557297891021</v>
      </c>
      <c r="G14" s="8">
        <f t="shared" si="7"/>
        <v>-750.45039825891024</v>
      </c>
      <c r="H14"/>
      <c r="I14" s="5">
        <f t="shared" si="8"/>
        <v>5</v>
      </c>
      <c r="J14" s="8">
        <f>NPV(Discount_rate,'Shareholder cash flows'!$D15:$D$21)*(1+Discount_rate)
+NPV(Discount_rate,'Shareholder cash flows'!$E15:$E$21)*(1+Discount_rate)
+NPV(Discount_rate,'Shareholder cash flows'!$F15:$F$21)
-NPV(Discount_rate,'Shareholder cash flows'!$C15:$C$21)*(1+Discount_rate)</f>
        <v>6218.4227705434296</v>
      </c>
      <c r="K14" s="8">
        <f t="shared" si="9"/>
        <v>392.71292510503804</v>
      </c>
      <c r="L14" s="8">
        <f t="shared" si="10"/>
        <v>-357.73747315387118</v>
      </c>
      <c r="M14" s="8">
        <f t="shared" si="18"/>
        <v>-1.0231815394945443E-12</v>
      </c>
      <c r="P14" s="23">
        <f t="shared" si="1"/>
        <v>6218.4227705434296</v>
      </c>
      <c r="Q14" s="23">
        <f>'Policyholder cash flows'!H11*$R$6</f>
        <v>131.09155590507171</v>
      </c>
      <c r="R14" s="24">
        <f t="shared" si="0"/>
        <v>6349.5143264485014</v>
      </c>
      <c r="S14" s="24">
        <f t="shared" si="11"/>
        <v>402.22778173216898</v>
      </c>
      <c r="T14" s="24">
        <f t="shared" si="12"/>
        <v>-385.22686103431533</v>
      </c>
      <c r="U14" s="24">
        <f t="shared" si="13"/>
        <v>37.004244507574072</v>
      </c>
      <c r="V14" s="24">
        <f>$R$6*'Policyholder cash flows'!F10</f>
        <v>37.004244507575152</v>
      </c>
      <c r="Y14" s="23">
        <f>'Policyholder cash flows'!D11</f>
        <v>6475.5501568101854</v>
      </c>
      <c r="Z14" s="23">
        <f t="shared" si="14"/>
        <v>411.25655812659301</v>
      </c>
      <c r="AA14" s="24">
        <f t="shared" si="2"/>
        <v>-409.670637246365</v>
      </c>
      <c r="AB14" s="24">
        <f t="shared" si="15"/>
        <v>70.47679711404777</v>
      </c>
      <c r="AC14"/>
      <c r="AE14" s="23">
        <f t="shared" si="3"/>
        <v>6475.5501568101854</v>
      </c>
      <c r="AF14" s="68">
        <f t="shared" si="4"/>
        <v>93.076902902145477</v>
      </c>
      <c r="AG14" s="24">
        <f>$AG$6*'Policyholder cash flows'!F11</f>
        <v>24.710273232252256</v>
      </c>
      <c r="AH14" s="24">
        <f t="shared" si="5"/>
        <v>6382.4732539080396</v>
      </c>
      <c r="AI14" s="24">
        <f t="shared" si="16"/>
        <v>404.50087214592912</v>
      </c>
      <c r="AJ14" s="24">
        <f t="shared" si="6"/>
        <v>-390.15277380411317</v>
      </c>
      <c r="AK14" s="24">
        <f t="shared" si="19"/>
        <v>44.203247691132049</v>
      </c>
    </row>
    <row r="15" spans="1:38" ht="15" x14ac:dyDescent="0.25">
      <c r="B15" s="5">
        <f t="shared" si="17"/>
        <v>6</v>
      </c>
      <c r="C15" s="8">
        <v>0</v>
      </c>
      <c r="D15" s="8">
        <v>0</v>
      </c>
      <c r="E15" s="8">
        <f>Renewal_expense *(1+Inflation)^(B15-2)*Decrements!D10</f>
        <v>28.40734960704</v>
      </c>
      <c r="F15" s="8">
        <f>'Policyholder cash flows'!I11</f>
        <v>676.69499138666424</v>
      </c>
      <c r="G15" s="8">
        <f t="shared" si="7"/>
        <v>-705.10234099370427</v>
      </c>
      <c r="H15"/>
      <c r="I15" s="5">
        <f t="shared" si="8"/>
        <v>6</v>
      </c>
      <c r="J15" s="8">
        <f>NPV(Discount_rate,'Shareholder cash flows'!$D16:$D$21)*(1+Discount_rate)
+NPV(Discount_rate,'Shareholder cash flows'!$E16:$E$21)*(1+Discount_rate)
+NPV(Discount_rate,'Shareholder cash flows'!$F16:$F$21)
-NPV(Discount_rate,'Shareholder cash flows'!$C16:$C$21)*(1+Discount_rate)</f>
        <v>5884.721354805909</v>
      </c>
      <c r="K15" s="8">
        <f t="shared" si="9"/>
        <v>371.40092525618337</v>
      </c>
      <c r="L15" s="8">
        <f t="shared" si="10"/>
        <v>-333.70141573752062</v>
      </c>
      <c r="M15" s="8">
        <f t="shared" si="18"/>
        <v>0</v>
      </c>
      <c r="P15" s="23">
        <f t="shared" si="1"/>
        <v>5884.721354805909</v>
      </c>
      <c r="Q15" s="23">
        <f>'Policyholder cash flows'!H12*$R$6</f>
        <v>104.15455730000157</v>
      </c>
      <c r="R15" s="24">
        <f t="shared" si="0"/>
        <v>5988.8759121059102</v>
      </c>
      <c r="S15" s="24">
        <f t="shared" si="11"/>
        <v>379.26641861048768</v>
      </c>
      <c r="T15" s="24">
        <f t="shared" si="12"/>
        <v>-360.6384143425912</v>
      </c>
      <c r="U15" s="24">
        <f t="shared" si="13"/>
        <v>34.802491959374606</v>
      </c>
      <c r="V15" s="24">
        <f>$R$6*'Policyholder cash flows'!F11</f>
        <v>34.802491959374429</v>
      </c>
      <c r="Y15" s="23">
        <f>'Policyholder cash flows'!D12</f>
        <v>6090.2549224799805</v>
      </c>
      <c r="Z15" s="23">
        <f t="shared" si="14"/>
        <v>386.82856843218872</v>
      </c>
      <c r="AA15" s="24">
        <f t="shared" si="2"/>
        <v>-385.29523433020495</v>
      </c>
      <c r="AB15" s="24">
        <f t="shared" si="15"/>
        <v>67.021461768689392</v>
      </c>
      <c r="AC15"/>
      <c r="AE15" s="23">
        <f t="shared" si="3"/>
        <v>6090.2549224799805</v>
      </c>
      <c r="AF15" s="68">
        <f t="shared" si="4"/>
        <v>73.951243844021946</v>
      </c>
      <c r="AG15" s="24">
        <f>$AG$6*'Policyholder cash flows'!F12</f>
        <v>23.24001197493325</v>
      </c>
      <c r="AH15" s="24">
        <f t="shared" si="5"/>
        <v>6016.3036786359589</v>
      </c>
      <c r="AI15" s="24">
        <f t="shared" si="16"/>
        <v>381.24395425806</v>
      </c>
      <c r="AJ15" s="24">
        <f t="shared" si="6"/>
        <v>-366.16957527208069</v>
      </c>
      <c r="AK15" s="24">
        <f t="shared" si="19"/>
        <v>42.311188536436418</v>
      </c>
    </row>
    <row r="16" spans="1:38" ht="15" x14ac:dyDescent="0.25">
      <c r="B16" s="5">
        <f t="shared" si="17"/>
        <v>7</v>
      </c>
      <c r="C16" s="8">
        <v>0</v>
      </c>
      <c r="D16" s="8">
        <v>0</v>
      </c>
      <c r="E16" s="8">
        <f>Renewal_expense *(1+Inflation)^(B16-2)*Decrements!D11</f>
        <v>26.07794693926272</v>
      </c>
      <c r="F16" s="8">
        <f>'Policyholder cash flows'!I12</f>
        <v>636.4316393991586</v>
      </c>
      <c r="G16" s="8">
        <f t="shared" si="7"/>
        <v>-662.50958633842129</v>
      </c>
      <c r="H16"/>
      <c r="I16" s="5">
        <f t="shared" si="8"/>
        <v>7</v>
      </c>
      <c r="J16" s="8">
        <f>NPV(Discount_rate,'Shareholder cash flows'!$D17:$D$21)*(1+Discount_rate)
+NPV(Discount_rate,'Shareholder cash flows'!$E17:$E$21)*(1+Discount_rate)
+NPV(Discount_rate,'Shareholder cash flows'!$F17:$F$21)
-NPV(Discount_rate,'Shareholder cash flows'!$C17:$C$21)*(1+Discount_rate)</f>
        <v>5573.7303729394871</v>
      </c>
      <c r="K16" s="8">
        <f t="shared" si="9"/>
        <v>351.51860447199874</v>
      </c>
      <c r="L16" s="8">
        <f t="shared" si="10"/>
        <v>-310.99098186642186</v>
      </c>
      <c r="M16" s="8">
        <f t="shared" si="18"/>
        <v>-6.8212102632969618E-13</v>
      </c>
      <c r="P16" s="23">
        <f t="shared" si="1"/>
        <v>5573.7303729394871</v>
      </c>
      <c r="Q16" s="23">
        <f>'Policyholder cash flows'!H13*$R$6</f>
        <v>77.67208705021001</v>
      </c>
      <c r="R16" s="24">
        <f t="shared" si="0"/>
        <v>5651.4024599896975</v>
      </c>
      <c r="S16" s="24">
        <f t="shared" si="11"/>
        <v>357.76787790999884</v>
      </c>
      <c r="T16" s="24">
        <f t="shared" si="12"/>
        <v>-337.47345211621268</v>
      </c>
      <c r="U16" s="24">
        <f t="shared" si="13"/>
        <v>32.731743687790242</v>
      </c>
      <c r="V16" s="24">
        <f>$R$6*'Policyholder cash flows'!F12</f>
        <v>32.731743687791656</v>
      </c>
      <c r="Y16" s="23">
        <f>'Policyholder cash flows'!D13</f>
        <v>5727.8847545924218</v>
      </c>
      <c r="Z16" s="23">
        <f t="shared" si="14"/>
        <v>363.85061853244304</v>
      </c>
      <c r="AA16" s="24">
        <f t="shared" si="2"/>
        <v>-362.37016788755864</v>
      </c>
      <c r="AB16" s="24">
        <f t="shared" si="15"/>
        <v>63.711200081580387</v>
      </c>
      <c r="AC16"/>
      <c r="AE16" s="23">
        <f t="shared" si="3"/>
        <v>5727.8847545924218</v>
      </c>
      <c r="AF16" s="68">
        <f t="shared" si="4"/>
        <v>55.148306499730012</v>
      </c>
      <c r="AG16" s="24">
        <f>$AG$6*'Policyholder cash flows'!F13</f>
        <v>21.857231262424722</v>
      </c>
      <c r="AH16" s="24">
        <f t="shared" si="5"/>
        <v>5672.7364480926917</v>
      </c>
      <c r="AI16" s="24">
        <f t="shared" si="16"/>
        <v>359.41354390180175</v>
      </c>
      <c r="AJ16" s="24">
        <f t="shared" si="6"/>
        <v>-343.56723054326721</v>
      </c>
      <c r="AK16" s="24">
        <f t="shared" si="19"/>
        <v>40.471188106647674</v>
      </c>
    </row>
    <row r="17" spans="2:38" ht="15" x14ac:dyDescent="0.25">
      <c r="B17" s="5">
        <f t="shared" si="17"/>
        <v>8</v>
      </c>
      <c r="C17" s="8">
        <v>0</v>
      </c>
      <c r="D17" s="8">
        <v>0</v>
      </c>
      <c r="E17" s="8">
        <f>Renewal_expense *(1+Inflation)^(B17-2)*Decrements!D12</f>
        <v>23.939555290243177</v>
      </c>
      <c r="F17" s="8">
        <f>'Policyholder cash flows'!I13</f>
        <v>598.56395685490793</v>
      </c>
      <c r="G17" s="8">
        <f t="shared" si="7"/>
        <v>-622.50351214515115</v>
      </c>
      <c r="H17"/>
      <c r="I17" s="5">
        <f t="shared" si="8"/>
        <v>8</v>
      </c>
      <c r="J17" s="8">
        <f>NPV(Discount_rate,'Shareholder cash flows'!$D18:$D$21)*(1+Discount_rate)
+NPV(Discount_rate,'Shareholder cash flows'!$E18:$E$21)*(1+Discount_rate)
+NPV(Discount_rate,'Shareholder cash flows'!$F18:$F$21)
-NPV(Discount_rate,'Shareholder cash flows'!$C18:$C$21)*(1+Discount_rate)</f>
        <v>5284.2143098532915</v>
      </c>
      <c r="K17" s="8">
        <f t="shared" si="9"/>
        <v>332.98744905895461</v>
      </c>
      <c r="L17" s="8">
        <f t="shared" si="10"/>
        <v>-289.51606308619557</v>
      </c>
      <c r="M17" s="8">
        <f t="shared" si="18"/>
        <v>-9.6633812063373625E-13</v>
      </c>
      <c r="P17" s="23">
        <f t="shared" si="1"/>
        <v>5284.2143098532915</v>
      </c>
      <c r="Q17" s="23">
        <f>'Policyholder cash flows'!H14*$R$6</f>
        <v>51.54820733485456</v>
      </c>
      <c r="R17" s="24">
        <f t="shared" si="0"/>
        <v>5335.7625171881464</v>
      </c>
      <c r="S17" s="24">
        <f t="shared" si="11"/>
        <v>337.64777428196726</v>
      </c>
      <c r="T17" s="24">
        <f t="shared" si="12"/>
        <v>-315.63994280155111</v>
      </c>
      <c r="U17" s="24">
        <f t="shared" si="13"/>
        <v>30.784204938367225</v>
      </c>
      <c r="V17" s="24">
        <f>$R$6*'Policyholder cash flows'!F13</f>
        <v>30.784204938368056</v>
      </c>
      <c r="Y17" s="23">
        <f>'Policyholder cash flows'!D14</f>
        <v>5387.0756116941729</v>
      </c>
      <c r="Z17" s="23">
        <f t="shared" si="14"/>
        <v>342.23671195813068</v>
      </c>
      <c r="AA17" s="24">
        <f t="shared" si="2"/>
        <v>-340.80914289824887</v>
      </c>
      <c r="AB17" s="24">
        <f t="shared" si="15"/>
        <v>60.5423427112284</v>
      </c>
      <c r="AC17"/>
      <c r="AE17" s="23">
        <f t="shared" si="3"/>
        <v>5387.0756116941729</v>
      </c>
      <c r="AF17" s="68">
        <f t="shared" si="4"/>
        <v>36.599973627289089</v>
      </c>
      <c r="AG17" s="24">
        <f>$AG$6*'Policyholder cash flows'!F14</f>
        <v>20.556726002310452</v>
      </c>
      <c r="AH17" s="24">
        <f t="shared" si="5"/>
        <v>5350.4756380668841</v>
      </c>
      <c r="AI17" s="24">
        <f t="shared" si="16"/>
        <v>338.92781356814692</v>
      </c>
      <c r="AJ17" s="24">
        <f t="shared" si="6"/>
        <v>-322.26081002580759</v>
      </c>
      <c r="AK17" s="24">
        <f t="shared" si="19"/>
        <v>38.685111448803355</v>
      </c>
    </row>
    <row r="18" spans="2:38" ht="15" x14ac:dyDescent="0.25">
      <c r="B18" s="5">
        <f t="shared" si="17"/>
        <v>9</v>
      </c>
      <c r="C18" s="8">
        <v>0</v>
      </c>
      <c r="D18" s="8">
        <v>0</v>
      </c>
      <c r="E18" s="8">
        <f>Renewal_expense *(1+Inflation)^(B18-2)*Decrements!D13</f>
        <v>21.976511756443234</v>
      </c>
      <c r="F18" s="8">
        <f>'Policyholder cash flows'!I14</f>
        <v>562.94940142204098</v>
      </c>
      <c r="G18" s="8">
        <f t="shared" si="7"/>
        <v>-584.92591317848417</v>
      </c>
      <c r="H18"/>
      <c r="I18" s="5">
        <f t="shared" si="8"/>
        <v>9</v>
      </c>
      <c r="J18" s="8">
        <f>NPV(Discount_rate,'Shareholder cash flows'!$D19:$D$21)*(1+Discount_rate)
+NPV(Discount_rate,'Shareholder cash flows'!$E19:$E$21)*(1+Discount_rate)
+NPV(Discount_rate,'Shareholder cash flows'!$F19:$F$21)
-NPV(Discount_rate,'Shareholder cash flows'!$C19:$C$21)*(1+Discount_rate)</f>
        <v>5015.0226645606181</v>
      </c>
      <c r="K18" s="8">
        <f t="shared" si="9"/>
        <v>315.73426788581088</v>
      </c>
      <c r="L18" s="8">
        <f t="shared" si="10"/>
        <v>-269.19164529267346</v>
      </c>
      <c r="M18" s="8">
        <f t="shared" si="18"/>
        <v>0</v>
      </c>
      <c r="P18" s="23">
        <f t="shared" si="1"/>
        <v>5015.0226645606181</v>
      </c>
      <c r="Q18" s="23">
        <f>'Policyholder cash flows'!H15*$R$6</f>
        <v>25.688555030410672</v>
      </c>
      <c r="R18" s="24">
        <f t="shared" si="0"/>
        <v>5040.7112195910286</v>
      </c>
      <c r="S18" s="24">
        <f t="shared" si="11"/>
        <v>318.82716032590218</v>
      </c>
      <c r="T18" s="24">
        <f t="shared" si="12"/>
        <v>-295.05129759711781</v>
      </c>
      <c r="U18" s="24">
        <f t="shared" si="13"/>
        <v>28.952544744535828</v>
      </c>
      <c r="V18" s="24">
        <f>$R$6*'Policyholder cash flows'!F14</f>
        <v>28.95254474453516</v>
      </c>
      <c r="Y18" s="23">
        <f>'Policyholder cash flows'!D15</f>
        <v>5066.5446127983696</v>
      </c>
      <c r="Z18" s="23">
        <f t="shared" si="14"/>
        <v>321.90594599626377</v>
      </c>
      <c r="AA18" s="24">
        <f t="shared" si="2"/>
        <v>-320.53099889580335</v>
      </c>
      <c r="AB18" s="24">
        <f t="shared" si="15"/>
        <v>57.511031713582952</v>
      </c>
      <c r="AC18"/>
      <c r="AE18" s="23">
        <f t="shared" si="3"/>
        <v>5066.5446127983696</v>
      </c>
      <c r="AF18" s="68">
        <f t="shared" si="4"/>
        <v>18.239246042615985</v>
      </c>
      <c r="AG18" s="24">
        <f>$AG$6*'Policyholder cash flows'!F15</f>
        <v>19.333600805172978</v>
      </c>
      <c r="AH18" s="24">
        <f>AE18-AF18</f>
        <v>5048.3053667557533</v>
      </c>
      <c r="AI18" s="24">
        <f t="shared" si="16"/>
        <v>319.70994757862644</v>
      </c>
      <c r="AJ18" s="24">
        <f t="shared" si="6"/>
        <v>-302.17027131113082</v>
      </c>
      <c r="AK18" s="24">
        <f>G18+AI18-AJ18</f>
        <v>36.954305711273093</v>
      </c>
    </row>
    <row r="19" spans="2:38" ht="15" x14ac:dyDescent="0.25">
      <c r="B19" s="5">
        <f t="shared" si="17"/>
        <v>10</v>
      </c>
      <c r="C19" s="8">
        <v>0</v>
      </c>
      <c r="D19" s="8">
        <v>0</v>
      </c>
      <c r="E19" s="8">
        <f>Renewal_expense *(1+Inflation)^(B19-2)*Decrements!D14</f>
        <v>20.174437792414892</v>
      </c>
      <c r="F19" s="8">
        <f>'Policyholder cash flows'!I15</f>
        <v>5294.5391203742956</v>
      </c>
      <c r="G19" s="8">
        <f t="shared" si="7"/>
        <v>-5314.7135581667108</v>
      </c>
      <c r="H19"/>
      <c r="I19" s="5">
        <f t="shared" si="8"/>
        <v>10</v>
      </c>
      <c r="J19" s="8">
        <f>NPV(Discount_rate,'Shareholder cash flows'!$D21:$D$21)*(1+Discount_rate)
+NPV(Discount_rate,'Shareholder cash flows'!$E21:$E$21)*(1+Discount_rate)
+NPV(Discount_rate,'Shareholder cash flows'!$F21:$F$21)
-NPV(Discount_rate,'Shareholder cash flows'!$C21:$C$21)*(1+Discount_rate)</f>
        <v>0</v>
      </c>
      <c r="K19" s="8">
        <f t="shared" si="9"/>
        <v>299.69089360609217</v>
      </c>
      <c r="L19" s="8">
        <f t="shared" si="10"/>
        <v>-5015.0226645606181</v>
      </c>
      <c r="M19" s="8">
        <f t="shared" si="18"/>
        <v>0</v>
      </c>
      <c r="P19" s="23">
        <f t="shared" si="1"/>
        <v>0</v>
      </c>
      <c r="Q19" s="23">
        <f>'Policyholder cash flows'!H16*$R$6</f>
        <v>0</v>
      </c>
      <c r="R19" s="24">
        <f t="shared" si="0"/>
        <v>0</v>
      </c>
      <c r="S19" s="24">
        <f t="shared" si="11"/>
        <v>301.2322069079168</v>
      </c>
      <c r="T19" s="24">
        <f t="shared" si="12"/>
        <v>-5040.7112195910286</v>
      </c>
      <c r="U19" s="24">
        <f t="shared" si="13"/>
        <v>27.229868332234219</v>
      </c>
      <c r="V19" s="24">
        <f>$R$6*'Policyholder cash flows'!F15</f>
        <v>27.229868332235313</v>
      </c>
      <c r="Y19" s="23"/>
      <c r="Z19" s="23">
        <f t="shared" si="14"/>
        <v>302.78221050035728</v>
      </c>
      <c r="AA19" s="24">
        <f t="shared" si="2"/>
        <v>-5066.5446127983696</v>
      </c>
      <c r="AB19" s="24">
        <f t="shared" si="15"/>
        <v>54.61326513201584</v>
      </c>
      <c r="AC19"/>
      <c r="AE19" s="23"/>
      <c r="AF19" s="68">
        <f t="shared" si="4"/>
        <v>-3.1974423109204508E-14</v>
      </c>
      <c r="AG19" s="24">
        <f>$AG$6*'Policyholder cash flows'!F16</f>
        <v>0</v>
      </c>
      <c r="AH19" s="24">
        <f t="shared" si="5"/>
        <v>3.1974423109204508E-14</v>
      </c>
      <c r="AI19" s="24">
        <f t="shared" si="16"/>
        <v>301.68785573780031</v>
      </c>
      <c r="AJ19" s="24">
        <f t="shared" si="6"/>
        <v>-5048.3053667557533</v>
      </c>
      <c r="AK19" s="24">
        <f t="shared" si="19"/>
        <v>35.279664326842976</v>
      </c>
    </row>
    <row r="20" spans="2:38" ht="9" customHeight="1" x14ac:dyDescent="0.25">
      <c r="B20" s="98"/>
      <c r="C20" s="99"/>
      <c r="D20" s="99"/>
      <c r="E20" s="99"/>
      <c r="F20" s="99"/>
      <c r="G20" s="99"/>
      <c r="H20"/>
      <c r="I20" s="98"/>
      <c r="J20" s="99"/>
      <c r="K20" s="99"/>
      <c r="L20" s="99"/>
      <c r="M20" s="99"/>
      <c r="P20" s="99"/>
      <c r="Q20" s="99"/>
      <c r="R20" s="100"/>
      <c r="S20" s="100"/>
      <c r="T20" s="100"/>
      <c r="U20" s="100"/>
      <c r="V20" s="100"/>
      <c r="Y20" s="99"/>
      <c r="Z20" s="99"/>
      <c r="AA20" s="100"/>
      <c r="AB20" s="100"/>
      <c r="AC20"/>
      <c r="AE20" s="99"/>
      <c r="AF20" s="101"/>
      <c r="AG20" s="100"/>
      <c r="AH20" s="100"/>
      <c r="AI20" s="100"/>
      <c r="AJ20" s="100"/>
      <c r="AK20" s="100"/>
    </row>
    <row r="21" spans="2:38" ht="15" x14ac:dyDescent="0.25">
      <c r="B21"/>
      <c r="C21"/>
      <c r="D21"/>
      <c r="E21"/>
      <c r="F21"/>
      <c r="G21"/>
      <c r="H21"/>
      <c r="I21"/>
      <c r="P21" s="3" t="s">
        <v>117</v>
      </c>
      <c r="Q21" s="3"/>
      <c r="R21" s="65">
        <f>Q24/'Policyholder cash flows'!H6</f>
        <v>0.35829637242249063</v>
      </c>
      <c r="AE21" s="3" t="s">
        <v>118</v>
      </c>
      <c r="AF21" s="3"/>
      <c r="AG21" s="65">
        <f>AF24/'Policyholder cash flows'!H6</f>
        <v>0.25439561256186638</v>
      </c>
    </row>
    <row r="22" spans="2:38" ht="15" x14ac:dyDescent="0.25">
      <c r="B22"/>
      <c r="C22"/>
      <c r="D22"/>
      <c r="E22"/>
      <c r="F22"/>
      <c r="G22"/>
      <c r="H22"/>
      <c r="I22" s="93" t="s">
        <v>73</v>
      </c>
      <c r="J22" s="94" t="s">
        <v>120</v>
      </c>
      <c r="K22" s="94"/>
      <c r="L22" s="94"/>
      <c r="M22" s="94"/>
      <c r="N22" s="94"/>
      <c r="O22"/>
      <c r="P22" s="94" t="s">
        <v>121</v>
      </c>
      <c r="Q22" s="94"/>
      <c r="R22" s="94"/>
      <c r="S22" s="94"/>
      <c r="T22" s="94"/>
      <c r="U22" s="94"/>
      <c r="V22" s="94"/>
      <c r="W22" s="94"/>
      <c r="Y22" s="94" t="s">
        <v>122</v>
      </c>
      <c r="Z22" s="94"/>
      <c r="AA22" s="94"/>
      <c r="AB22" s="94"/>
      <c r="AC22" s="94"/>
      <c r="AE22" s="102" t="s">
        <v>122</v>
      </c>
      <c r="AF22" s="103"/>
      <c r="AG22" s="103"/>
      <c r="AH22" s="103"/>
      <c r="AI22" s="103"/>
      <c r="AJ22" s="103"/>
      <c r="AK22" s="103"/>
      <c r="AL22" s="103"/>
    </row>
    <row r="23" spans="2:38" ht="38.25" customHeight="1" x14ac:dyDescent="0.25">
      <c r="B23"/>
      <c r="C23"/>
      <c r="D23"/>
      <c r="E23"/>
      <c r="F23"/>
      <c r="G23" s="95" t="s">
        <v>123</v>
      </c>
      <c r="H23"/>
      <c r="I23" s="93"/>
      <c r="J23" s="96" t="s">
        <v>33</v>
      </c>
      <c r="K23" s="96" t="s">
        <v>31</v>
      </c>
      <c r="L23" s="96" t="s">
        <v>34</v>
      </c>
      <c r="M23" s="96" t="s">
        <v>25</v>
      </c>
      <c r="N23" s="96" t="s">
        <v>116</v>
      </c>
      <c r="O23"/>
      <c r="P23" s="96" t="s">
        <v>53</v>
      </c>
      <c r="Q23" s="96" t="s">
        <v>54</v>
      </c>
      <c r="R23" s="96" t="s">
        <v>55</v>
      </c>
      <c r="S23" s="96" t="s">
        <v>31</v>
      </c>
      <c r="T23" s="96" t="s">
        <v>34</v>
      </c>
      <c r="U23" s="96" t="s">
        <v>56</v>
      </c>
      <c r="V23" s="96" t="s">
        <v>57</v>
      </c>
      <c r="W23" s="96" t="s">
        <v>116</v>
      </c>
      <c r="Y23" s="96" t="s">
        <v>33</v>
      </c>
      <c r="Z23" s="96" t="s">
        <v>31</v>
      </c>
      <c r="AA23" s="96" t="s">
        <v>34</v>
      </c>
      <c r="AB23" s="96" t="s">
        <v>25</v>
      </c>
      <c r="AC23" s="96" t="s">
        <v>116</v>
      </c>
      <c r="AE23" s="96" t="s">
        <v>92</v>
      </c>
      <c r="AF23" s="96" t="s">
        <v>93</v>
      </c>
      <c r="AG23" s="96" t="s">
        <v>98</v>
      </c>
      <c r="AH23" s="96" t="s">
        <v>97</v>
      </c>
      <c r="AI23" s="96" t="s">
        <v>31</v>
      </c>
      <c r="AJ23" s="96" t="s">
        <v>34</v>
      </c>
      <c r="AK23" s="96" t="s">
        <v>25</v>
      </c>
      <c r="AL23" s="96" t="s">
        <v>116</v>
      </c>
    </row>
    <row r="24" spans="2:38" ht="40.5" customHeight="1" x14ac:dyDescent="0.25">
      <c r="B24" s="13" t="s">
        <v>14</v>
      </c>
      <c r="C24" s="13" t="s">
        <v>59</v>
      </c>
      <c r="D24" s="13" t="s">
        <v>60</v>
      </c>
      <c r="E24" s="13" t="s">
        <v>61</v>
      </c>
      <c r="F24" s="13" t="s">
        <v>62</v>
      </c>
      <c r="G24" s="25" t="s">
        <v>63</v>
      </c>
      <c r="H24"/>
      <c r="I24" s="5">
        <v>0</v>
      </c>
      <c r="J24" s="8">
        <f>NPV(Discount_rate,'Shareholder cash flows'!$D10:$D$21)*(1+Discount_rate)
+NPV(Discount_rate,'Shareholder cash flows'!$E10:$E$21)*(1+Discount_rate)
+NPV(Discount_rate,'Shareholder cash flows'!$F10:$F$21)
-NPV(Discount_rate,'Shareholder cash flows'!$C10:$C$21)*(1+Discount_rate)</f>
        <v>-281.68439605880121</v>
      </c>
      <c r="K24" s="8"/>
      <c r="L24" s="8">
        <f>J24</f>
        <v>-281.68439605880121</v>
      </c>
      <c r="M24" s="8">
        <f>-L24</f>
        <v>281.68439605880121</v>
      </c>
      <c r="N24" s="62">
        <f>NPV(Discount_rate,'Shareholder cash flows'!$M25:$M35)+M24</f>
        <v>281.68439605879911</v>
      </c>
      <c r="O24"/>
      <c r="P24" s="8">
        <f>J24</f>
        <v>-281.68439605880121</v>
      </c>
      <c r="Q24" s="8">
        <f>-P24</f>
        <v>281.68439605880121</v>
      </c>
      <c r="R24" s="8">
        <f>P24+Q24</f>
        <v>0</v>
      </c>
      <c r="S24" s="8"/>
      <c r="T24" s="8">
        <f>R24</f>
        <v>0</v>
      </c>
      <c r="U24" s="8"/>
      <c r="V24" s="8"/>
      <c r="W24" s="62">
        <f>NPV(Discount_rate,'Shareholder cash flows'!$V25:$V35)+V24</f>
        <v>281.68439605880121</v>
      </c>
      <c r="Y24" s="8">
        <f>'Policyholder cash flows'!D6</f>
        <v>9900</v>
      </c>
      <c r="Z24" s="8"/>
      <c r="AA24" s="8">
        <f>Y24</f>
        <v>9900</v>
      </c>
      <c r="AB24" s="8">
        <f>-AA24</f>
        <v>-9900</v>
      </c>
      <c r="AC24" s="62">
        <f>NPV(Discount_rate,'Shareholder cash flows'!$AB25:$AB35)+AB24</f>
        <v>281.68439605879576</v>
      </c>
      <c r="AE24" s="8">
        <f>Y24</f>
        <v>9900</v>
      </c>
      <c r="AF24" s="104">
        <f>Single_premium*(Initial_comm_rate-Entry_fee)</f>
        <v>199.99999999999997</v>
      </c>
      <c r="AG24" s="8"/>
      <c r="AH24" s="8">
        <f>AE24-AF24</f>
        <v>9700</v>
      </c>
      <c r="AI24" s="8"/>
      <c r="AJ24" s="8">
        <f>AH24</f>
        <v>9700</v>
      </c>
      <c r="AK24" s="8">
        <f>-AJ24</f>
        <v>-9700</v>
      </c>
      <c r="AL24" s="62">
        <f>NPV(Discount_rate,'Shareholder cash flows'!$AK25:$AK35)+AK24</f>
        <v>281.68439605879939</v>
      </c>
    </row>
    <row r="25" spans="2:38" ht="15" x14ac:dyDescent="0.25">
      <c r="B25" s="5">
        <v>1</v>
      </c>
      <c r="C25" s="8">
        <f>C10</f>
        <v>10000</v>
      </c>
      <c r="D25" s="8">
        <f>D10</f>
        <v>300</v>
      </c>
      <c r="E25" s="8">
        <f>E10</f>
        <v>100</v>
      </c>
      <c r="F25" s="8">
        <f>F10</f>
        <v>2069.0999999999995</v>
      </c>
      <c r="G25" s="8">
        <f>G10</f>
        <v>7530.9000000000005</v>
      </c>
      <c r="H25"/>
      <c r="I25" s="5">
        <v>1</v>
      </c>
      <c r="J25" s="8">
        <f>NPV(Discount_rate,'Shareholder cash flows'!$D11:$D$21)*(1+Discount_rate)
+NPV(Discount_rate,'Shareholder cash flows'!$E11:$E$21)*(1+Discount_rate)
+NPV(Discount_rate,'Shareholder cash flows'!$F11:$F$21)
-NPV(Discount_rate,'Shareholder cash flows'!$C11:$C$21)*(1+Discount_rate)</f>
        <v>7808.3145401776728</v>
      </c>
      <c r="K25" s="8">
        <f>(C25-D25-E25+J24)*Investment_rate</f>
        <v>559.0989362364719</v>
      </c>
      <c r="L25" s="8">
        <f>J25-J24</f>
        <v>8089.998936236474</v>
      </c>
      <c r="M25" s="8">
        <f>G25+K25-L25</f>
        <v>0</v>
      </c>
      <c r="N25" s="66"/>
      <c r="O25"/>
      <c r="P25" s="8">
        <f t="shared" ref="P25:P34" si="20">J25</f>
        <v>7808.3145401776728</v>
      </c>
      <c r="Q25" s="8">
        <f>$R$21*'Policyholder cash flows'!H7</f>
        <v>245.37844851758945</v>
      </c>
      <c r="R25" s="8">
        <f t="shared" ref="R25:R34" si="21">P25+Q25</f>
        <v>8053.6929886952621</v>
      </c>
      <c r="S25" s="8">
        <f>(C25-D25-E25+R24)*Investment_rate</f>
        <v>576</v>
      </c>
      <c r="T25" s="8">
        <f>R25-R24</f>
        <v>8053.6929886952621</v>
      </c>
      <c r="U25" s="105">
        <f>G25+S25-T25</f>
        <v>53.207011304738444</v>
      </c>
      <c r="V25" s="105">
        <f>$R$21*'Policyholder cash flows'!F6</f>
        <v>53.207011304739858</v>
      </c>
      <c r="W25" s="106">
        <f>Q24*(1+Investment_rate)-Q25</f>
        <v>53.207011304739865</v>
      </c>
      <c r="Y25" s="8">
        <f>'Policyholder cash flows'!D7</f>
        <v>8276.4000000000015</v>
      </c>
      <c r="Z25" s="8">
        <f>(C25-D25-E25+Y24)*Investment_rate</f>
        <v>1170</v>
      </c>
      <c r="AA25" s="8">
        <f>Y25-Y24</f>
        <v>-1623.5999999999985</v>
      </c>
      <c r="AB25" s="8">
        <f>G25+Z25-AA25</f>
        <v>10324.5</v>
      </c>
      <c r="AC25" s="66">
        <f>AB24*(1+Investment_rate)+AB25</f>
        <v>-169.5</v>
      </c>
      <c r="AE25" s="8">
        <f t="shared" ref="AE25:AE34" si="22">Y25</f>
        <v>8276.4000000000015</v>
      </c>
      <c r="AF25" s="8">
        <f>$AG$21*'Policyholder cash flows'!H7</f>
        <v>174.22225153456284</v>
      </c>
      <c r="AG25" s="97">
        <f>AF24*(1+Investment_rate)-AF25</f>
        <v>37.777748465437128</v>
      </c>
      <c r="AH25" s="8">
        <f t="shared" ref="AH25:AH34" si="23">AE25-AF25</f>
        <v>8102.1777484654385</v>
      </c>
      <c r="AI25" s="8">
        <f>(C25-D25-E25+AH24)*Investment_rate</f>
        <v>1158</v>
      </c>
      <c r="AJ25" s="8">
        <f>AH25-AH24</f>
        <v>-1597.8222515345615</v>
      </c>
      <c r="AK25" s="8">
        <f>G25+AI25-AJ25</f>
        <v>10286.722251534564</v>
      </c>
      <c r="AL25" s="66">
        <f>AK24*(1+Investment_rate)+AK25</f>
        <v>4.7222515345638385</v>
      </c>
    </row>
    <row r="26" spans="2:38" ht="15" x14ac:dyDescent="0.25">
      <c r="B26" s="5">
        <v>2</v>
      </c>
      <c r="C26" s="8">
        <f>C11</f>
        <v>0</v>
      </c>
      <c r="D26" s="8">
        <f>D11</f>
        <v>0</v>
      </c>
      <c r="E26" s="8">
        <f>E11</f>
        <v>40</v>
      </c>
      <c r="F26" s="8">
        <f>F11</f>
        <v>864.88380000000097</v>
      </c>
      <c r="G26" s="8">
        <f>G11</f>
        <v>-904.88380000000097</v>
      </c>
      <c r="H26"/>
      <c r="I26" s="5">
        <f t="shared" ref="I26:I34" si="24">1+I25</f>
        <v>2</v>
      </c>
      <c r="J26" s="8">
        <f>NPV(Discount_rate,'Shareholder cash flows'!$D12:$D$21)*(1+Discount_rate)
+NPV(Discount_rate,'Shareholder cash flows'!$E12:$E$21)*(1+Discount_rate)
+NPV(Discount_rate,'Shareholder cash flows'!$F12:$F$21)
-NPV(Discount_rate,'Shareholder cash flows'!$C12:$C$21)*(1+Discount_rate)</f>
        <v>7369.5296125883324</v>
      </c>
      <c r="K26" s="8">
        <f>(C26-D26-E26+J25)*Investment_rate</f>
        <v>466.09887241066036</v>
      </c>
      <c r="L26" s="8">
        <f t="shared" ref="L26:L34" si="25">J26-J25</f>
        <v>-438.78492758934044</v>
      </c>
      <c r="M26" s="8">
        <f t="shared" ref="M26:M34" si="26">G26+K26-L26</f>
        <v>0</v>
      </c>
      <c r="O26"/>
      <c r="P26" s="8">
        <f t="shared" si="20"/>
        <v>7369.5296125883324</v>
      </c>
      <c r="Q26" s="8">
        <f>$R$21*'Policyholder cash flows'!H8</f>
        <v>215.62009397788233</v>
      </c>
      <c r="R26" s="8">
        <f t="shared" si="21"/>
        <v>7585.1497065662152</v>
      </c>
      <c r="S26" s="8">
        <f>(C26-D26-E26+R25)*Investment_rate</f>
        <v>480.82157932171572</v>
      </c>
      <c r="T26" s="8">
        <f t="shared" ref="T26:T34" si="27">R26-R25</f>
        <v>-468.54328212904693</v>
      </c>
      <c r="U26" s="105">
        <f t="shared" ref="U26:U34" si="28">G26+S26-T26</f>
        <v>44.481061450761672</v>
      </c>
      <c r="V26" s="105">
        <f>$R$21*'Policyholder cash flows'!F7</f>
        <v>44.481061450762525</v>
      </c>
      <c r="W26" s="106">
        <f>Q25*(1+Investment_rate)-Q26</f>
        <v>44.481061450762468</v>
      </c>
      <c r="Y26" s="8">
        <f>'Policyholder cash flows'!D8</f>
        <v>7783.9542000000001</v>
      </c>
      <c r="Z26" s="8">
        <f>(C26-D26-E26+Y25)*Investment_rate</f>
        <v>494.18400000000008</v>
      </c>
      <c r="AA26" s="8">
        <f t="shared" ref="AA26:AA34" si="29">Y26-Y25</f>
        <v>-492.44580000000133</v>
      </c>
      <c r="AB26" s="8">
        <f t="shared" ref="AB26:AB34" si="30">G26+Z26-AA26</f>
        <v>81.746000000000436</v>
      </c>
      <c r="AE26" s="8">
        <f t="shared" si="22"/>
        <v>7783.9542000000001</v>
      </c>
      <c r="AF26" s="8">
        <f>$AG$21*'Policyholder cash flows'!H8</f>
        <v>153.09338890953114</v>
      </c>
      <c r="AG26" s="97">
        <f>AF25*(1+Investment_rate)-AF26</f>
        <v>31.582197717105487</v>
      </c>
      <c r="AH26" s="8">
        <f>AE26-AF26</f>
        <v>7630.8608110904688</v>
      </c>
      <c r="AI26" s="8">
        <f>(C26-D26-E26+AH25)*Investment_rate</f>
        <v>483.73066490792627</v>
      </c>
      <c r="AJ26" s="8">
        <f t="shared" ref="AJ26:AJ34" si="31">AH26-AH25</f>
        <v>-471.31693737496971</v>
      </c>
      <c r="AK26" s="8">
        <f t="shared" ref="AK26:AK34" si="32">G26+AI26-AJ26</f>
        <v>50.163802282895006</v>
      </c>
    </row>
    <row r="27" spans="2:38" ht="15" x14ac:dyDescent="0.25">
      <c r="B27" s="5">
        <v>3</v>
      </c>
      <c r="C27" s="8">
        <f>C12</f>
        <v>0</v>
      </c>
      <c r="D27" s="8">
        <f>D12</f>
        <v>0</v>
      </c>
      <c r="E27" s="8">
        <f>E12</f>
        <v>36.72</v>
      </c>
      <c r="F27" s="8">
        <f>F12</f>
        <v>813.42321389999984</v>
      </c>
      <c r="G27" s="8">
        <f>G12</f>
        <v>-850.14321389999986</v>
      </c>
      <c r="H27"/>
      <c r="I27" s="5">
        <f t="shared" si="24"/>
        <v>3</v>
      </c>
      <c r="J27" s="8">
        <f>NPV(Discount_rate,'Shareholder cash flows'!$D13:$D$21)*(1+Discount_rate)
+NPV(Discount_rate,'Shareholder cash flows'!$E13:$E$21)*(1+Discount_rate)
+NPV(Discount_rate,'Shareholder cash flows'!$F13:$F$21)
-NPV(Discount_rate,'Shareholder cash flows'!$C13:$C$21)*(1+Discount_rate)</f>
        <v>6959.3549754436335</v>
      </c>
      <c r="K27" s="8">
        <f>(C27-D27-E27+J26)*Investment_rate</f>
        <v>439.96857675529992</v>
      </c>
      <c r="L27" s="8">
        <f t="shared" si="25"/>
        <v>-410.17463714469886</v>
      </c>
      <c r="M27" s="8">
        <f t="shared" si="26"/>
        <v>-1.0800249583553523E-12</v>
      </c>
      <c r="O27"/>
      <c r="P27" s="8">
        <f t="shared" si="20"/>
        <v>6959.3549754436335</v>
      </c>
      <c r="Q27" s="8">
        <f>$R$21*'Policyholder cash flows'!H9</f>
        <v>186.72286132211315</v>
      </c>
      <c r="R27" s="8">
        <f t="shared" si="21"/>
        <v>7146.0778367657467</v>
      </c>
      <c r="S27" s="8">
        <f>(C27-D27-E27+R26)*Investment_rate</f>
        <v>452.90578239397286</v>
      </c>
      <c r="T27" s="8">
        <f t="shared" si="27"/>
        <v>-439.07186980046845</v>
      </c>
      <c r="U27" s="105">
        <f t="shared" si="28"/>
        <v>41.834438294441441</v>
      </c>
      <c r="V27" s="105">
        <f>$R$21*'Policyholder cash flows'!F8</f>
        <v>41.834438294442151</v>
      </c>
      <c r="W27" s="106">
        <f>Q26*(1+Investment_rate)-Q27</f>
        <v>41.834438294442151</v>
      </c>
      <c r="Y27" s="8">
        <f>'Policyholder cash flows'!D9</f>
        <v>7320.808925100001</v>
      </c>
      <c r="Z27" s="8">
        <f>(C27-D27-E27+Y26)*Investment_rate</f>
        <v>464.83405199999999</v>
      </c>
      <c r="AA27" s="8">
        <f t="shared" si="29"/>
        <v>-463.14527489999909</v>
      </c>
      <c r="AB27" s="8">
        <f t="shared" si="30"/>
        <v>77.836112999999216</v>
      </c>
      <c r="AE27" s="8">
        <f t="shared" si="22"/>
        <v>7320.808925100001</v>
      </c>
      <c r="AF27" s="8">
        <f>$AG$21*'Policyholder cash flows'!H9</f>
        <v>132.57593529116537</v>
      </c>
      <c r="AG27" s="97">
        <f>AF26*(1+Investment_rate)-AF27</f>
        <v>29.703056952937658</v>
      </c>
      <c r="AH27" s="8">
        <f t="shared" si="23"/>
        <v>7188.2329898088356</v>
      </c>
      <c r="AI27" s="8">
        <f>(C27-D27-E27+AH26)*Investment_rate</f>
        <v>455.64844866542808</v>
      </c>
      <c r="AJ27" s="8">
        <f t="shared" si="31"/>
        <v>-442.62782128163326</v>
      </c>
      <c r="AK27" s="8">
        <f t="shared" si="32"/>
        <v>48.133056047061473</v>
      </c>
    </row>
    <row r="28" spans="2:38" ht="15" x14ac:dyDescent="0.25">
      <c r="B28" s="5">
        <v>4</v>
      </c>
      <c r="C28" s="8">
        <f>C13</f>
        <v>0</v>
      </c>
      <c r="D28" s="8">
        <f>D13</f>
        <v>0</v>
      </c>
      <c r="E28" s="8">
        <f>E13</f>
        <v>33.708959999999998</v>
      </c>
      <c r="F28" s="8">
        <f>F13</f>
        <v>765.02453267294993</v>
      </c>
      <c r="G28" s="8">
        <f>G13</f>
        <v>-798.73349267294998</v>
      </c>
      <c r="H28"/>
      <c r="I28" s="5">
        <f t="shared" si="24"/>
        <v>4</v>
      </c>
      <c r="J28" s="8">
        <f>NPV(Discount_rate,'Shareholder cash flows'!$D14:$D$21)*(1+Discount_rate)
+NPV(Discount_rate,'Shareholder cash flows'!$E14:$E$21)*(1+Discount_rate)
+NPV(Discount_rate,'Shareholder cash flows'!$F14:$F$21)
-NPV(Discount_rate,'Shareholder cash flows'!$C14:$C$21)*(1+Discount_rate)</f>
        <v>6576.1602436973008</v>
      </c>
      <c r="K28" s="8">
        <f>(C28-D28-E28+J27)*Investment_rate</f>
        <v>415.53876092661801</v>
      </c>
      <c r="L28" s="8">
        <f t="shared" si="25"/>
        <v>-383.19473174633276</v>
      </c>
      <c r="M28" s="8">
        <f t="shared" si="26"/>
        <v>7.9580786405131221E-13</v>
      </c>
      <c r="O28"/>
      <c r="P28" s="8">
        <f t="shared" si="20"/>
        <v>6576.1602436973008</v>
      </c>
      <c r="Q28" s="8">
        <f>$R$21*'Policyholder cash flows'!H10</f>
        <v>158.58094378551709</v>
      </c>
      <c r="R28" s="8">
        <f t="shared" si="21"/>
        <v>6734.7411874828176</v>
      </c>
      <c r="S28" s="8">
        <f>(C28-D28-E28+R27)*Investment_rate</f>
        <v>426.74213260594479</v>
      </c>
      <c r="T28" s="8">
        <f t="shared" si="27"/>
        <v>-411.3366492829291</v>
      </c>
      <c r="U28" s="105">
        <f t="shared" si="28"/>
        <v>39.345289215923913</v>
      </c>
      <c r="V28" s="105">
        <f>$R$21*'Policyholder cash flows'!F9</f>
        <v>39.345289215922847</v>
      </c>
      <c r="W28" s="106">
        <f>Q27*(1+Investment_rate)-Q28</f>
        <v>39.345289215922861</v>
      </c>
      <c r="Y28" s="8">
        <f>'Policyholder cash flows'!D10</f>
        <v>6885.2207940565504</v>
      </c>
      <c r="Z28" s="8">
        <f>(C28-D28-E28+Y27)*Investment_rate</f>
        <v>437.22599790600003</v>
      </c>
      <c r="AA28" s="8">
        <f t="shared" si="29"/>
        <v>-435.58813104345063</v>
      </c>
      <c r="AB28" s="8">
        <f t="shared" si="30"/>
        <v>74.080636276500684</v>
      </c>
      <c r="AE28" s="8">
        <f t="shared" si="22"/>
        <v>6885.2207940565504</v>
      </c>
      <c r="AF28" s="8">
        <f>$AG$21*'Policyholder cash flows'!H10</f>
        <v>112.59476634439737</v>
      </c>
      <c r="AG28" s="97">
        <f>AF27*(1+Investment_rate)-AF28</f>
        <v>27.935725064237928</v>
      </c>
      <c r="AH28" s="8">
        <f t="shared" si="23"/>
        <v>6772.6260277121528</v>
      </c>
      <c r="AI28" s="8">
        <f>(C28-D28-E28+AH27)*Investment_rate</f>
        <v>429.27144178853013</v>
      </c>
      <c r="AJ28" s="8">
        <f t="shared" si="31"/>
        <v>-415.60696209668276</v>
      </c>
      <c r="AK28" s="8">
        <f t="shared" si="32"/>
        <v>46.144911212262912</v>
      </c>
    </row>
    <row r="29" spans="2:38" ht="15" x14ac:dyDescent="0.25">
      <c r="B29" s="5">
        <v>5</v>
      </c>
      <c r="C29" s="8">
        <f>C14</f>
        <v>0</v>
      </c>
      <c r="D29" s="8">
        <f>D14</f>
        <v>0</v>
      </c>
      <c r="E29" s="8">
        <f>E14</f>
        <v>30.94482528</v>
      </c>
      <c r="F29" s="8">
        <f>F14</f>
        <v>719.50557297891021</v>
      </c>
      <c r="G29" s="8">
        <f>G14</f>
        <v>-750.45039825891024</v>
      </c>
      <c r="H29"/>
      <c r="I29" s="5">
        <f t="shared" si="24"/>
        <v>5</v>
      </c>
      <c r="J29" s="8">
        <f>NPV(Discount_rate,'Shareholder cash flows'!$D15:$D$21)*(1+Discount_rate)
+NPV(Discount_rate,'Shareholder cash flows'!$E15:$E$21)*(1+Discount_rate)
+NPV(Discount_rate,'Shareholder cash flows'!$F15:$F$21)
-NPV(Discount_rate,'Shareholder cash flows'!$C15:$C$21)*(1+Discount_rate)</f>
        <v>6218.4227705434296</v>
      </c>
      <c r="K29" s="8">
        <f>(C29-D29-E29+J28)*Investment_rate</f>
        <v>392.71292510503804</v>
      </c>
      <c r="L29" s="8">
        <f t="shared" si="25"/>
        <v>-357.73747315387118</v>
      </c>
      <c r="M29" s="8">
        <f t="shared" si="26"/>
        <v>-1.0231815394945443E-12</v>
      </c>
      <c r="O29"/>
      <c r="P29" s="8">
        <f t="shared" si="20"/>
        <v>6218.4227705434296</v>
      </c>
      <c r="Q29" s="8">
        <f>$R$21*'Policyholder cash flows'!H11</f>
        <v>131.09155590507271</v>
      </c>
      <c r="R29" s="8">
        <f t="shared" si="21"/>
        <v>6349.5143264485023</v>
      </c>
      <c r="S29" s="8">
        <f>(C29-D29-E29+R28)*Investment_rate</f>
        <v>402.22778173216903</v>
      </c>
      <c r="T29" s="8">
        <f t="shared" si="27"/>
        <v>-385.22686103431533</v>
      </c>
      <c r="U29" s="105">
        <f t="shared" si="28"/>
        <v>37.004244507574128</v>
      </c>
      <c r="V29" s="105">
        <f>$R$21*'Policyholder cash flows'!F10</f>
        <v>37.004244507575436</v>
      </c>
      <c r="W29" s="106">
        <f>Q28*(1+Investment_rate)-Q29</f>
        <v>37.004244507575407</v>
      </c>
      <c r="Y29" s="8">
        <f>'Policyholder cash flows'!D11</f>
        <v>6475.5501568101854</v>
      </c>
      <c r="Z29" s="8">
        <f>(C29-D29-E29+Y28)*Investment_rate</f>
        <v>411.25655812659301</v>
      </c>
      <c r="AA29" s="8">
        <f t="shared" si="29"/>
        <v>-409.670637246365</v>
      </c>
      <c r="AB29" s="8">
        <f t="shared" si="30"/>
        <v>70.47679711404777</v>
      </c>
      <c r="AE29" s="8">
        <f t="shared" si="22"/>
        <v>6475.5501568101854</v>
      </c>
      <c r="AF29" s="8">
        <f>$AG$21*'Policyholder cash flows'!H11</f>
        <v>93.076902902145491</v>
      </c>
      <c r="AG29" s="97">
        <f>AF28*(1+Investment_rate)-AF29</f>
        <v>26.273549422915721</v>
      </c>
      <c r="AH29" s="8">
        <f>AE29-AF29</f>
        <v>6382.4732539080396</v>
      </c>
      <c r="AI29" s="8">
        <f>(C29-D29-E29+AH28)*Investment_rate</f>
        <v>404.50087214592912</v>
      </c>
      <c r="AJ29" s="8">
        <f t="shared" si="31"/>
        <v>-390.15277380411317</v>
      </c>
      <c r="AK29" s="8">
        <f t="shared" si="32"/>
        <v>44.203247691132049</v>
      </c>
    </row>
    <row r="30" spans="2:38" ht="15" x14ac:dyDescent="0.25">
      <c r="B30" s="5">
        <v>6</v>
      </c>
      <c r="C30" s="8">
        <f>C15</f>
        <v>0</v>
      </c>
      <c r="D30" s="8">
        <f>D15</f>
        <v>0</v>
      </c>
      <c r="E30" s="8">
        <f>E15</f>
        <v>28.40734960704</v>
      </c>
      <c r="F30" s="8">
        <f>F15</f>
        <v>676.69499138666424</v>
      </c>
      <c r="G30" s="8">
        <f>G15</f>
        <v>-705.10234099370427</v>
      </c>
      <c r="H30"/>
      <c r="I30" s="5">
        <f t="shared" si="24"/>
        <v>6</v>
      </c>
      <c r="J30" s="8">
        <f>NPV(Discount_rate,'Shareholder cash flows'!$D16:$D$21)*(1+Discount_rate)
+NPV(Discount_rate,'Shareholder cash flows'!$E16:$E$21)*(1+Discount_rate)
+NPV(Discount_rate,'Shareholder cash flows'!$F16:$F$21)
-NPV(Discount_rate,'Shareholder cash flows'!$C16:$C$21)*(1+Discount_rate)</f>
        <v>5884.721354805909</v>
      </c>
      <c r="K30" s="8">
        <f>(C30-D30-E30+J29)*Investment_rate</f>
        <v>371.40092525618337</v>
      </c>
      <c r="L30" s="8">
        <f t="shared" si="25"/>
        <v>-333.70141573752062</v>
      </c>
      <c r="M30" s="8">
        <f t="shared" si="26"/>
        <v>0</v>
      </c>
      <c r="O30"/>
      <c r="P30" s="8">
        <f t="shared" si="20"/>
        <v>5884.721354805909</v>
      </c>
      <c r="Q30" s="8">
        <f>$R$21*'Policyholder cash flows'!H12</f>
        <v>104.15455730000237</v>
      </c>
      <c r="R30" s="8">
        <f t="shared" si="21"/>
        <v>5988.8759121059111</v>
      </c>
      <c r="S30" s="8">
        <f>(C30-D30-E30+R29)*Investment_rate</f>
        <v>379.26641861048773</v>
      </c>
      <c r="T30" s="8">
        <f t="shared" si="27"/>
        <v>-360.6384143425912</v>
      </c>
      <c r="U30" s="105">
        <f t="shared" si="28"/>
        <v>34.802491959374663</v>
      </c>
      <c r="V30" s="105">
        <f>$R$21*'Policyholder cash flows'!F11</f>
        <v>34.802491959374699</v>
      </c>
      <c r="W30" s="106">
        <f>Q29*(1+Investment_rate)-Q30</f>
        <v>34.802491959374706</v>
      </c>
      <c r="Y30" s="8">
        <f>'Policyholder cash flows'!D12</f>
        <v>6090.2549224799805</v>
      </c>
      <c r="Z30" s="8">
        <f>(C30-D30-E30+Y29)*Investment_rate</f>
        <v>386.82856843218872</v>
      </c>
      <c r="AA30" s="8">
        <f t="shared" si="29"/>
        <v>-385.29523433020495</v>
      </c>
      <c r="AB30" s="8">
        <f t="shared" si="30"/>
        <v>67.021461768689392</v>
      </c>
      <c r="AE30" s="8">
        <f t="shared" si="22"/>
        <v>6090.2549224799805</v>
      </c>
      <c r="AF30" s="8">
        <f>$AG$21*'Policyholder cash flows'!H12</f>
        <v>73.951243844021974</v>
      </c>
      <c r="AG30" s="97">
        <f>AF29*(1+Investment_rate)-AF30</f>
        <v>24.710273232252248</v>
      </c>
      <c r="AH30" s="8">
        <f>AE30-AF30</f>
        <v>6016.3036786359589</v>
      </c>
      <c r="AI30" s="8">
        <f>(C30-D30-E30+AH29)*Investment_rate</f>
        <v>381.24395425806</v>
      </c>
      <c r="AJ30" s="8">
        <f t="shared" si="31"/>
        <v>-366.16957527208069</v>
      </c>
      <c r="AK30" s="8">
        <f t="shared" si="32"/>
        <v>42.311188536436418</v>
      </c>
    </row>
    <row r="31" spans="2:38" ht="15" x14ac:dyDescent="0.25">
      <c r="B31" s="5">
        <v>7</v>
      </c>
      <c r="C31" s="8">
        <f>C16</f>
        <v>0</v>
      </c>
      <c r="D31" s="8">
        <f>D16</f>
        <v>0</v>
      </c>
      <c r="E31" s="8">
        <f>E16</f>
        <v>26.07794693926272</v>
      </c>
      <c r="F31" s="8">
        <f>F16</f>
        <v>636.4316393991586</v>
      </c>
      <c r="G31" s="8">
        <f>G16</f>
        <v>-662.50958633842129</v>
      </c>
      <c r="H31"/>
      <c r="I31" s="5">
        <f t="shared" si="24"/>
        <v>7</v>
      </c>
      <c r="J31" s="8">
        <f>NPV(Discount_rate,'Shareholder cash flows'!$D17:$D$21)*(1+Discount_rate)
+NPV(Discount_rate,'Shareholder cash flows'!$E17:$E$21)*(1+Discount_rate)
+NPV(Discount_rate,'Shareholder cash flows'!$F17:$F$21)
-NPV(Discount_rate,'Shareholder cash flows'!$C17:$C$21)*(1+Discount_rate)</f>
        <v>5573.7303729394871</v>
      </c>
      <c r="K31" s="8">
        <f>(C31-D31-E31+J30)*Investment_rate</f>
        <v>351.51860447199874</v>
      </c>
      <c r="L31" s="8">
        <f t="shared" si="25"/>
        <v>-310.99098186642186</v>
      </c>
      <c r="M31" s="8">
        <f t="shared" si="26"/>
        <v>-6.8212102632969618E-13</v>
      </c>
      <c r="O31"/>
      <c r="P31" s="8">
        <f t="shared" si="20"/>
        <v>5573.7303729394871</v>
      </c>
      <c r="Q31" s="8">
        <f>$R$21*'Policyholder cash flows'!H13</f>
        <v>77.672087050210592</v>
      </c>
      <c r="R31" s="8">
        <f t="shared" si="21"/>
        <v>5651.4024599896975</v>
      </c>
      <c r="S31" s="8">
        <f>(C31-D31-E31+R30)*Investment_rate</f>
        <v>357.7678779099989</v>
      </c>
      <c r="T31" s="8">
        <f t="shared" si="27"/>
        <v>-337.47345211621359</v>
      </c>
      <c r="U31" s="105">
        <f t="shared" si="28"/>
        <v>32.731743687791209</v>
      </c>
      <c r="V31" s="105">
        <f>$R$21*'Policyholder cash flows'!F12</f>
        <v>32.731743687791905</v>
      </c>
      <c r="W31" s="106">
        <f>Q30*(1+Investment_rate)-Q31</f>
        <v>32.731743687791919</v>
      </c>
      <c r="Y31" s="8">
        <f>'Policyholder cash flows'!D13</f>
        <v>5727.8847545924218</v>
      </c>
      <c r="Z31" s="8">
        <f>(C31-D31-E31+Y30)*Investment_rate</f>
        <v>363.85061853244304</v>
      </c>
      <c r="AA31" s="8">
        <f t="shared" si="29"/>
        <v>-362.37016788755864</v>
      </c>
      <c r="AB31" s="8">
        <f t="shared" si="30"/>
        <v>63.711200081580387</v>
      </c>
      <c r="AE31" s="8">
        <f t="shared" si="22"/>
        <v>5727.8847545924218</v>
      </c>
      <c r="AF31" s="8">
        <f>$AG$21*'Policyholder cash flows'!H13</f>
        <v>55.148306499730033</v>
      </c>
      <c r="AG31" s="97">
        <f>AF30*(1+Investment_rate)-AF31</f>
        <v>23.24001197493326</v>
      </c>
      <c r="AH31" s="8">
        <f t="shared" si="23"/>
        <v>5672.7364480926917</v>
      </c>
      <c r="AI31" s="8">
        <f>(C31-D31-E31+AH30)*Investment_rate</f>
        <v>359.41354390180175</v>
      </c>
      <c r="AJ31" s="8">
        <f t="shared" si="31"/>
        <v>-343.56723054326721</v>
      </c>
      <c r="AK31" s="8">
        <f t="shared" si="32"/>
        <v>40.471188106647674</v>
      </c>
    </row>
    <row r="32" spans="2:38" ht="15" x14ac:dyDescent="0.25">
      <c r="B32" s="5">
        <v>8</v>
      </c>
      <c r="C32" s="8">
        <f>C17</f>
        <v>0</v>
      </c>
      <c r="D32" s="8">
        <f>D17</f>
        <v>0</v>
      </c>
      <c r="E32" s="8">
        <f>E17</f>
        <v>23.939555290243177</v>
      </c>
      <c r="F32" s="8">
        <f>F17</f>
        <v>598.56395685490793</v>
      </c>
      <c r="G32" s="8">
        <f>G17</f>
        <v>-622.50351214515115</v>
      </c>
      <c r="H32"/>
      <c r="I32" s="5">
        <f t="shared" si="24"/>
        <v>8</v>
      </c>
      <c r="J32" s="8">
        <f>NPV(Discount_rate,'Shareholder cash flows'!$D18:$D$21)*(1+Discount_rate)
+NPV(Discount_rate,'Shareholder cash flows'!$E18:$E$21)*(1+Discount_rate)
+NPV(Discount_rate,'Shareholder cash flows'!$F18:$F$21)
-NPV(Discount_rate,'Shareholder cash flows'!$C18:$C$21)*(1+Discount_rate)</f>
        <v>5284.2143098532915</v>
      </c>
      <c r="K32" s="8">
        <f>(C32-D32-E32+J31)*Investment_rate</f>
        <v>332.98744905895461</v>
      </c>
      <c r="L32" s="8">
        <f t="shared" si="25"/>
        <v>-289.51606308619557</v>
      </c>
      <c r="M32" s="8">
        <f t="shared" si="26"/>
        <v>-9.6633812063373625E-13</v>
      </c>
      <c r="O32"/>
      <c r="P32" s="8">
        <f t="shared" si="20"/>
        <v>5284.2143098532915</v>
      </c>
      <c r="Q32" s="8">
        <f>$R$21*'Policyholder cash flows'!H14</f>
        <v>51.548207334854951</v>
      </c>
      <c r="R32" s="8">
        <f t="shared" si="21"/>
        <v>5335.7625171881464</v>
      </c>
      <c r="S32" s="8">
        <f>(C32-D32-E32+R31)*Investment_rate</f>
        <v>337.64777428196726</v>
      </c>
      <c r="T32" s="8">
        <f t="shared" si="27"/>
        <v>-315.63994280155111</v>
      </c>
      <c r="U32" s="105">
        <f t="shared" si="28"/>
        <v>30.784204938367225</v>
      </c>
      <c r="V32" s="105">
        <f>$R$21*'Policyholder cash flows'!F13</f>
        <v>30.784204938368291</v>
      </c>
      <c r="W32" s="106">
        <f>Q31*(1+Investment_rate)-Q32</f>
        <v>30.784204938368276</v>
      </c>
      <c r="Y32" s="8">
        <f>'Policyholder cash flows'!D14</f>
        <v>5387.0756116941729</v>
      </c>
      <c r="Z32" s="8">
        <f>(C32-D32-E32+Y31)*Investment_rate</f>
        <v>342.23671195813068</v>
      </c>
      <c r="AA32" s="8">
        <f t="shared" si="29"/>
        <v>-340.80914289824887</v>
      </c>
      <c r="AB32" s="8">
        <f t="shared" si="30"/>
        <v>60.5423427112284</v>
      </c>
      <c r="AE32" s="8">
        <f t="shared" si="22"/>
        <v>5387.0756116941729</v>
      </c>
      <c r="AF32" s="8">
        <f>$AG$21*'Policyholder cash flows'!H14</f>
        <v>36.599973627289124</v>
      </c>
      <c r="AG32" s="97">
        <f>AF31*(1+Investment_rate)-AF32</f>
        <v>21.857231262424712</v>
      </c>
      <c r="AH32" s="8">
        <f t="shared" si="23"/>
        <v>5350.4756380668841</v>
      </c>
      <c r="AI32" s="8">
        <f>(C32-D32-E32+AH31)*Investment_rate</f>
        <v>338.92781356814692</v>
      </c>
      <c r="AJ32" s="8">
        <f t="shared" si="31"/>
        <v>-322.26081002580759</v>
      </c>
      <c r="AK32" s="8">
        <f t="shared" si="32"/>
        <v>38.685111448803355</v>
      </c>
    </row>
    <row r="33" spans="2:37" ht="15" x14ac:dyDescent="0.25">
      <c r="B33" s="5">
        <v>9</v>
      </c>
      <c r="C33" s="8">
        <f>C18</f>
        <v>0</v>
      </c>
      <c r="D33" s="8">
        <f>D18</f>
        <v>0</v>
      </c>
      <c r="E33" s="8">
        <f>E18</f>
        <v>21.976511756443234</v>
      </c>
      <c r="F33" s="8">
        <f>F18</f>
        <v>562.94940142204098</v>
      </c>
      <c r="G33" s="8">
        <f>G18</f>
        <v>-584.92591317848417</v>
      </c>
      <c r="H33"/>
      <c r="I33" s="5">
        <f t="shared" si="24"/>
        <v>9</v>
      </c>
      <c r="J33" s="8">
        <f>NPV(Discount_rate,'Shareholder cash flows'!$D19:$D$21)*(1+Discount_rate)
+NPV(Discount_rate,'Shareholder cash flows'!$E19:$E$21)*(1+Discount_rate)
+NPV(Discount_rate,'Shareholder cash flows'!$F19:$F$21)
-NPV(Discount_rate,'Shareholder cash flows'!$C19:$C$21)*(1+Discount_rate)</f>
        <v>5015.0226645606181</v>
      </c>
      <c r="K33" s="8">
        <f>(C33-D33-E33+J32)*Investment_rate</f>
        <v>315.73426788581088</v>
      </c>
      <c r="L33" s="8">
        <f t="shared" si="25"/>
        <v>-269.19164529267346</v>
      </c>
      <c r="M33" s="8">
        <f t="shared" si="26"/>
        <v>0</v>
      </c>
      <c r="O33"/>
      <c r="P33" s="8">
        <f t="shared" si="20"/>
        <v>5015.0226645606181</v>
      </c>
      <c r="Q33" s="8">
        <f>$R$21*'Policyholder cash flows'!H15</f>
        <v>25.688555030410868</v>
      </c>
      <c r="R33" s="8">
        <f t="shared" si="21"/>
        <v>5040.7112195910286</v>
      </c>
      <c r="S33" s="8">
        <f>(C33-D33-E33+R32)*Investment_rate</f>
        <v>318.82716032590218</v>
      </c>
      <c r="T33" s="8">
        <f t="shared" si="27"/>
        <v>-295.05129759711781</v>
      </c>
      <c r="U33" s="105">
        <f t="shared" si="28"/>
        <v>28.952544744535828</v>
      </c>
      <c r="V33" s="105">
        <f>$R$21*'Policyholder cash flows'!F14</f>
        <v>28.952544744535377</v>
      </c>
      <c r="W33" s="106">
        <f>Q32*(1+Investment_rate)-Q33</f>
        <v>28.952544744535381</v>
      </c>
      <c r="Y33" s="8">
        <f>'Policyholder cash flows'!D15</f>
        <v>5066.5446127983696</v>
      </c>
      <c r="Z33" s="8">
        <f>(C33-D33-E33+Y32)*Investment_rate</f>
        <v>321.90594599626377</v>
      </c>
      <c r="AA33" s="8">
        <f t="shared" si="29"/>
        <v>-320.53099889580335</v>
      </c>
      <c r="AB33" s="8">
        <f t="shared" si="30"/>
        <v>57.511031713582952</v>
      </c>
      <c r="AE33" s="8">
        <f t="shared" si="22"/>
        <v>5066.5446127983696</v>
      </c>
      <c r="AF33" s="8">
        <f>$AG$21*'Policyholder cash flows'!H15</f>
        <v>18.239246042616017</v>
      </c>
      <c r="AG33" s="97">
        <f>AF32*(1+Investment_rate)-AF33</f>
        <v>20.556726002310455</v>
      </c>
      <c r="AH33" s="8">
        <f t="shared" si="23"/>
        <v>5048.3053667557533</v>
      </c>
      <c r="AI33" s="8">
        <f>(C33-D33-E33+AH32)*Investment_rate</f>
        <v>319.70994757862644</v>
      </c>
      <c r="AJ33" s="8">
        <f t="shared" si="31"/>
        <v>-302.17027131113082</v>
      </c>
      <c r="AK33" s="8">
        <f t="shared" si="32"/>
        <v>36.954305711273093</v>
      </c>
    </row>
    <row r="34" spans="2:37" ht="15" x14ac:dyDescent="0.25">
      <c r="B34" s="5">
        <v>10</v>
      </c>
      <c r="C34" s="8">
        <f>C19</f>
        <v>0</v>
      </c>
      <c r="D34" s="8">
        <f>D19</f>
        <v>0</v>
      </c>
      <c r="E34" s="8">
        <f>E19</f>
        <v>20.174437792414892</v>
      </c>
      <c r="F34" s="8">
        <f>F19</f>
        <v>5294.5391203742956</v>
      </c>
      <c r="G34" s="8">
        <f>G19</f>
        <v>-5314.7135581667108</v>
      </c>
      <c r="H34"/>
      <c r="I34" s="5">
        <f t="shared" si="24"/>
        <v>10</v>
      </c>
      <c r="J34" s="8">
        <f>NPV(Discount_rate,'Shareholder cash flows'!$D21:$D$21)*(1+Discount_rate)
+NPV(Discount_rate,'Shareholder cash flows'!$E21:$E$21)*(1+Discount_rate)
+NPV(Discount_rate,'Shareholder cash flows'!$F21:$F$21)
-NPV(Discount_rate,'Shareholder cash flows'!$C21:$C$21)*(1+Discount_rate)</f>
        <v>0</v>
      </c>
      <c r="K34" s="8">
        <f>(C34-D34-E34+J33)*Investment_rate</f>
        <v>299.69089360609217</v>
      </c>
      <c r="L34" s="8">
        <f t="shared" si="25"/>
        <v>-5015.0226645606181</v>
      </c>
      <c r="M34" s="8">
        <f t="shared" si="26"/>
        <v>0</v>
      </c>
      <c r="O34"/>
      <c r="P34" s="8">
        <f t="shared" si="20"/>
        <v>0</v>
      </c>
      <c r="Q34" s="8">
        <f>$R$21*'Policyholder cash flows'!H16</f>
        <v>0</v>
      </c>
      <c r="R34" s="8">
        <f t="shared" si="21"/>
        <v>0</v>
      </c>
      <c r="S34" s="8">
        <f>(C34-D34-E34+R33)*Investment_rate</f>
        <v>301.2322069079168</v>
      </c>
      <c r="T34" s="8">
        <f t="shared" si="27"/>
        <v>-5040.7112195910286</v>
      </c>
      <c r="U34" s="105">
        <f t="shared" si="28"/>
        <v>27.229868332234219</v>
      </c>
      <c r="V34" s="105">
        <f>$R$21*'Policyholder cash flows'!F15</f>
        <v>27.229868332235519</v>
      </c>
      <c r="W34" s="106">
        <f>Q33*(1+Investment_rate)-Q34</f>
        <v>27.229868332235522</v>
      </c>
      <c r="Y34" s="8">
        <f>'Policyholder cash flows'!D16</f>
        <v>0</v>
      </c>
      <c r="Z34" s="8">
        <f>(C34-D34-E34+Y33)*Investment_rate</f>
        <v>302.78221050035728</v>
      </c>
      <c r="AA34" s="8">
        <f t="shared" si="29"/>
        <v>-5066.5446127983696</v>
      </c>
      <c r="AB34" s="8">
        <f t="shared" si="30"/>
        <v>54.61326513201584</v>
      </c>
      <c r="AE34" s="8">
        <f t="shared" si="22"/>
        <v>0</v>
      </c>
      <c r="AF34" s="8">
        <f>$AG$21*'Policyholder cash flows'!H16</f>
        <v>0</v>
      </c>
      <c r="AG34" s="97">
        <f>AF33*(1+Investment_rate)-AF34</f>
        <v>19.333600805172978</v>
      </c>
      <c r="AH34" s="8">
        <f t="shared" si="23"/>
        <v>0</v>
      </c>
      <c r="AI34" s="8">
        <f>(C34-D34-E34+AH33)*Investment_rate</f>
        <v>301.68785573780031</v>
      </c>
      <c r="AJ34" s="8">
        <f t="shared" si="31"/>
        <v>-5048.3053667557533</v>
      </c>
      <c r="AK34" s="8">
        <f t="shared" si="32"/>
        <v>35.279664326842976</v>
      </c>
    </row>
    <row r="35" spans="2:37" ht="15" x14ac:dyDescent="0.25">
      <c r="B35"/>
      <c r="C35"/>
      <c r="D35"/>
      <c r="E35"/>
      <c r="F35"/>
      <c r="G35"/>
      <c r="H35"/>
      <c r="I35"/>
      <c r="J35"/>
      <c r="K35"/>
      <c r="L35"/>
      <c r="M35"/>
      <c r="N35"/>
      <c r="O35"/>
      <c r="P35"/>
    </row>
    <row r="36" spans="2:37" ht="15" x14ac:dyDescent="0.25">
      <c r="B36"/>
      <c r="C36"/>
      <c r="D36"/>
      <c r="E36"/>
      <c r="F36"/>
      <c r="G36"/>
      <c r="H36"/>
      <c r="I36"/>
      <c r="J36"/>
      <c r="K36"/>
      <c r="L36"/>
      <c r="M36"/>
      <c r="N36"/>
      <c r="O36"/>
      <c r="P36"/>
    </row>
    <row r="37" spans="2:37" ht="15" x14ac:dyDescent="0.25">
      <c r="B37"/>
      <c r="C37"/>
      <c r="D37"/>
      <c r="E37"/>
      <c r="F37"/>
      <c r="G37"/>
      <c r="H37"/>
      <c r="I37"/>
      <c r="J37"/>
      <c r="K37"/>
      <c r="L37"/>
      <c r="M37"/>
      <c r="N37"/>
      <c r="O37"/>
      <c r="P37"/>
    </row>
    <row r="38" spans="2:37" ht="15" x14ac:dyDescent="0.25">
      <c r="B38"/>
      <c r="C38"/>
      <c r="D38"/>
      <c r="E38"/>
      <c r="F38"/>
      <c r="G38"/>
      <c r="H38"/>
      <c r="I38"/>
      <c r="J38"/>
      <c r="K38"/>
      <c r="L38"/>
      <c r="M38"/>
      <c r="N38"/>
      <c r="O38"/>
      <c r="P38"/>
    </row>
    <row r="39" spans="2:37" ht="15" x14ac:dyDescent="0.25">
      <c r="B39"/>
      <c r="C39"/>
      <c r="D39"/>
      <c r="E39"/>
      <c r="F39"/>
      <c r="G39"/>
      <c r="H39"/>
      <c r="I39"/>
      <c r="J39"/>
      <c r="K39"/>
      <c r="L39"/>
      <c r="M39"/>
      <c r="N39"/>
      <c r="O39"/>
      <c r="P39"/>
    </row>
    <row r="40" spans="2:37" ht="15" x14ac:dyDescent="0.25">
      <c r="B40"/>
      <c r="C40"/>
      <c r="D40"/>
      <c r="E40"/>
      <c r="F40"/>
      <c r="G40"/>
      <c r="H40"/>
      <c r="I40"/>
      <c r="J40"/>
      <c r="K40"/>
      <c r="L40"/>
      <c r="M40"/>
      <c r="N40"/>
      <c r="O40"/>
      <c r="P40"/>
    </row>
    <row r="41" spans="2:37" ht="15" x14ac:dyDescent="0.25">
      <c r="B41"/>
      <c r="C41"/>
      <c r="D41"/>
      <c r="E41"/>
      <c r="F41"/>
      <c r="G41"/>
      <c r="H41"/>
      <c r="I41"/>
      <c r="J41"/>
      <c r="K41"/>
      <c r="L41"/>
      <c r="M41"/>
      <c r="N41"/>
      <c r="O41"/>
      <c r="P41"/>
    </row>
    <row r="42" spans="2:37" ht="15" x14ac:dyDescent="0.25">
      <c r="B42"/>
      <c r="C42"/>
      <c r="D42"/>
      <c r="E42"/>
      <c r="F42"/>
      <c r="G42"/>
      <c r="H42"/>
      <c r="I42"/>
      <c r="J42"/>
      <c r="K42"/>
      <c r="L42"/>
      <c r="M42"/>
      <c r="N42"/>
      <c r="O42"/>
      <c r="P42"/>
    </row>
    <row r="43" spans="2:37" ht="15" x14ac:dyDescent="0.25">
      <c r="B43"/>
      <c r="C43"/>
      <c r="D43"/>
      <c r="E43"/>
      <c r="F43"/>
      <c r="G43"/>
      <c r="H43"/>
      <c r="I43"/>
      <c r="J43"/>
      <c r="K43"/>
      <c r="L43"/>
      <c r="M43"/>
      <c r="N43"/>
      <c r="O43"/>
      <c r="P43"/>
    </row>
    <row r="44" spans="2:37" ht="15" x14ac:dyDescent="0.25">
      <c r="B44"/>
      <c r="C44"/>
      <c r="D44"/>
      <c r="E44"/>
      <c r="F44"/>
      <c r="G44"/>
      <c r="H44"/>
      <c r="I44"/>
      <c r="J44"/>
      <c r="K44"/>
      <c r="L44"/>
      <c r="M44"/>
      <c r="N44"/>
      <c r="O44"/>
      <c r="P44"/>
    </row>
    <row r="45" spans="2:37" ht="15" x14ac:dyDescent="0.25">
      <c r="B45"/>
      <c r="C45"/>
      <c r="D45"/>
      <c r="E45"/>
      <c r="F45"/>
      <c r="G45"/>
      <c r="H45"/>
      <c r="I45"/>
      <c r="J45"/>
      <c r="K45"/>
      <c r="L45"/>
      <c r="M45"/>
      <c r="N45"/>
      <c r="O45"/>
      <c r="P45"/>
    </row>
    <row r="46" spans="2:37" ht="15" x14ac:dyDescent="0.25">
      <c r="B46"/>
      <c r="C46"/>
      <c r="D46"/>
      <c r="E46"/>
      <c r="F46"/>
      <c r="G46"/>
      <c r="H46"/>
      <c r="I46"/>
      <c r="J46"/>
      <c r="K46"/>
      <c r="L46" s="10"/>
      <c r="M46"/>
      <c r="N46"/>
      <c r="O46"/>
      <c r="P46"/>
    </row>
    <row r="47" spans="2:37" ht="15" x14ac:dyDescent="0.25">
      <c r="B47"/>
      <c r="C47"/>
      <c r="D47"/>
      <c r="E47"/>
      <c r="F47"/>
      <c r="G47"/>
      <c r="H47"/>
      <c r="I47"/>
      <c r="J47"/>
      <c r="K47"/>
      <c r="L47" s="10"/>
      <c r="M47" s="11"/>
      <c r="N47" s="11"/>
    </row>
    <row r="48" spans="2:37" ht="15" x14ac:dyDescent="0.25">
      <c r="B48"/>
      <c r="C48"/>
      <c r="D48"/>
      <c r="E48"/>
      <c r="F48"/>
      <c r="G48"/>
      <c r="H48"/>
      <c r="I48"/>
      <c r="J48"/>
      <c r="K48"/>
      <c r="L48" s="10"/>
      <c r="M48" s="11"/>
      <c r="N48" s="11"/>
    </row>
    <row r="49" spans="2:14" ht="15" x14ac:dyDescent="0.25">
      <c r="B49"/>
      <c r="C49"/>
      <c r="D49"/>
      <c r="E49"/>
      <c r="F49"/>
      <c r="G49"/>
      <c r="H49"/>
      <c r="I49"/>
      <c r="J49"/>
      <c r="K49"/>
      <c r="L49" s="10"/>
      <c r="M49" s="11"/>
      <c r="N49" s="11"/>
    </row>
  </sheetData>
  <mergeCells count="11">
    <mergeCell ref="I22:I23"/>
    <mergeCell ref="J22:N22"/>
    <mergeCell ref="P22:W22"/>
    <mergeCell ref="Y22:AC22"/>
    <mergeCell ref="AE22:AL22"/>
    <mergeCell ref="AE7:AL7"/>
    <mergeCell ref="B8:G8"/>
    <mergeCell ref="I7:I8"/>
    <mergeCell ref="J7:N7"/>
    <mergeCell ref="P7:W7"/>
    <mergeCell ref="Y7:AC7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9"/>
  <sheetViews>
    <sheetView workbookViewId="0">
      <selection activeCell="C6" sqref="C6:E6"/>
    </sheetView>
  </sheetViews>
  <sheetFormatPr defaultRowHeight="15" x14ac:dyDescent="0.25"/>
  <cols>
    <col min="3" max="3" width="10.7109375" customWidth="1"/>
    <col min="5" max="5" width="9.140625" customWidth="1"/>
    <col min="6" max="6" width="13.7109375" customWidth="1"/>
    <col min="9" max="9" width="11.140625" customWidth="1"/>
  </cols>
  <sheetData>
    <row r="1" spans="1:10" x14ac:dyDescent="0.25">
      <c r="A1" s="1" t="s">
        <v>41</v>
      </c>
    </row>
    <row r="4" spans="1:10" x14ac:dyDescent="0.25">
      <c r="B4" s="71" t="s">
        <v>27</v>
      </c>
      <c r="C4" s="72"/>
      <c r="D4" s="72"/>
      <c r="E4" s="72"/>
      <c r="F4" s="72"/>
      <c r="G4" s="72"/>
      <c r="H4" s="72"/>
      <c r="I4" s="72"/>
      <c r="J4" s="73"/>
    </row>
    <row r="5" spans="1:10" ht="40.5" x14ac:dyDescent="0.25">
      <c r="B5" s="57" t="s">
        <v>14</v>
      </c>
      <c r="C5" s="57" t="s">
        <v>67</v>
      </c>
      <c r="D5" s="57" t="s">
        <v>64</v>
      </c>
      <c r="E5" s="57" t="s">
        <v>31</v>
      </c>
      <c r="F5" s="57" t="s">
        <v>66</v>
      </c>
      <c r="G5" s="57" t="s">
        <v>65</v>
      </c>
      <c r="H5" s="57" t="s">
        <v>51</v>
      </c>
      <c r="I5" s="57" t="s">
        <v>90</v>
      </c>
      <c r="J5" s="57" t="s">
        <v>91</v>
      </c>
    </row>
    <row r="6" spans="1:10" x14ac:dyDescent="0.25">
      <c r="B6" s="5">
        <v>1</v>
      </c>
      <c r="C6" s="8">
        <f>Single_premium*(1-Entry_fee)</f>
        <v>9900</v>
      </c>
      <c r="D6" s="8">
        <f>C6</f>
        <v>9900</v>
      </c>
      <c r="E6" s="8">
        <f t="shared" ref="E6:E15" si="0">D6*Investment_rate</f>
        <v>594</v>
      </c>
      <c r="F6" s="8">
        <f t="shared" ref="F6:F15" si="1">D6*Investment_Fee</f>
        <v>148.5</v>
      </c>
      <c r="G6" s="8">
        <f>(D6+E6-F6)</f>
        <v>10345.5</v>
      </c>
      <c r="H6" s="8">
        <f>NPV(Discount_rate,F6:$F$15)</f>
        <v>786.17708059474512</v>
      </c>
      <c r="I6" s="58">
        <f>(1-Decrements!H5)*'Policyholder cash flows'!G6</f>
        <v>2069.0999999999995</v>
      </c>
      <c r="J6" s="58">
        <f>G6-I6</f>
        <v>8276.4000000000015</v>
      </c>
    </row>
    <row r="7" spans="1:10" x14ac:dyDescent="0.25">
      <c r="B7" s="5">
        <f>1+B6</f>
        <v>2</v>
      </c>
      <c r="C7" s="8" t="s">
        <v>42</v>
      </c>
      <c r="D7" s="8">
        <f>J6</f>
        <v>8276.4000000000015</v>
      </c>
      <c r="E7" s="8">
        <f t="shared" si="0"/>
        <v>496.58400000000006</v>
      </c>
      <c r="F7" s="8">
        <f t="shared" si="1"/>
        <v>124.14600000000002</v>
      </c>
      <c r="G7" s="8">
        <f t="shared" ref="G7:G15" si="2">(D7+E7-F7)</f>
        <v>8648.8380000000016</v>
      </c>
      <c r="H7" s="8">
        <f>NPV(Discount_rate,F7:$F$15)</f>
        <v>684.84770543042987</v>
      </c>
      <c r="I7" s="58">
        <f>(1-Decrements!H6)*'Policyholder cash flows'!G7</f>
        <v>864.88380000000097</v>
      </c>
      <c r="J7" s="58">
        <f t="shared" ref="J7:J15" si="3">G7-I7</f>
        <v>7783.9542000000001</v>
      </c>
    </row>
    <row r="8" spans="1:10" x14ac:dyDescent="0.25">
      <c r="B8" s="5">
        <f t="shared" ref="B8:B15" si="4">1+B7</f>
        <v>3</v>
      </c>
      <c r="C8" s="8" t="s">
        <v>43</v>
      </c>
      <c r="D8" s="8">
        <f t="shared" ref="D8:D15" si="5">J7</f>
        <v>7783.9542000000001</v>
      </c>
      <c r="E8" s="8">
        <f t="shared" si="0"/>
        <v>467.03725199999997</v>
      </c>
      <c r="F8" s="8">
        <f t="shared" si="1"/>
        <v>116.75931299999999</v>
      </c>
      <c r="G8" s="8">
        <f t="shared" si="2"/>
        <v>8134.2321390000006</v>
      </c>
      <c r="H8" s="8">
        <f>NPV(Discount_rate,F8:$F$15)</f>
        <v>601.79256775625572</v>
      </c>
      <c r="I8" s="58">
        <f>(1-Decrements!H7)*'Policyholder cash flows'!G8</f>
        <v>813.42321389999984</v>
      </c>
      <c r="J8" s="58">
        <f t="shared" si="3"/>
        <v>7320.808925100001</v>
      </c>
    </row>
    <row r="9" spans="1:10" x14ac:dyDescent="0.25">
      <c r="B9" s="5">
        <f t="shared" si="4"/>
        <v>4</v>
      </c>
      <c r="C9" s="8" t="s">
        <v>42</v>
      </c>
      <c r="D9" s="8">
        <f t="shared" si="5"/>
        <v>7320.808925100001</v>
      </c>
      <c r="E9" s="8">
        <f t="shared" si="0"/>
        <v>439.24853550600005</v>
      </c>
      <c r="F9" s="8">
        <f t="shared" si="1"/>
        <v>109.81213387650001</v>
      </c>
      <c r="G9" s="8">
        <f t="shared" si="2"/>
        <v>7650.2453267295004</v>
      </c>
      <c r="H9" s="8">
        <f>NPV(Discount_rate,F9:$F$15)</f>
        <v>521.14080882163114</v>
      </c>
      <c r="I9" s="58">
        <f>(1-Decrements!H8)*'Policyholder cash flows'!G9</f>
        <v>765.02453267294993</v>
      </c>
      <c r="J9" s="58">
        <f t="shared" si="3"/>
        <v>6885.2207940565504</v>
      </c>
    </row>
    <row r="10" spans="1:10" x14ac:dyDescent="0.25">
      <c r="B10" s="5">
        <f t="shared" si="4"/>
        <v>5</v>
      </c>
      <c r="C10" s="8" t="s">
        <v>42</v>
      </c>
      <c r="D10" s="8">
        <f t="shared" si="5"/>
        <v>6885.2207940565504</v>
      </c>
      <c r="E10" s="8">
        <f t="shared" si="0"/>
        <v>413.11324764339298</v>
      </c>
      <c r="F10" s="8">
        <f t="shared" si="1"/>
        <v>103.27831191084825</v>
      </c>
      <c r="G10" s="8">
        <f t="shared" si="2"/>
        <v>7195.0557297890955</v>
      </c>
      <c r="H10" s="8">
        <f>NPV(Discount_rate,F10:$F$15)</f>
        <v>442.597123474429</v>
      </c>
      <c r="I10" s="58">
        <f>(1-Decrements!H9)*'Policyholder cash flows'!G10</f>
        <v>719.50557297891021</v>
      </c>
      <c r="J10" s="58">
        <f t="shared" si="3"/>
        <v>6475.5501568101854</v>
      </c>
    </row>
    <row r="11" spans="1:10" x14ac:dyDescent="0.25">
      <c r="B11" s="5">
        <f t="shared" si="4"/>
        <v>6</v>
      </c>
      <c r="C11" s="8" t="s">
        <v>42</v>
      </c>
      <c r="D11" s="8">
        <f t="shared" si="5"/>
        <v>6475.5501568101854</v>
      </c>
      <c r="E11" s="8">
        <f t="shared" si="0"/>
        <v>388.53300940861112</v>
      </c>
      <c r="F11" s="8">
        <f t="shared" si="1"/>
        <v>97.13325235215278</v>
      </c>
      <c r="G11" s="8">
        <f t="shared" si="2"/>
        <v>6766.9499138666442</v>
      </c>
      <c r="H11" s="8">
        <f>NPV(Discount_rate,F11:$F$15)</f>
        <v>365.87463897204657</v>
      </c>
      <c r="I11" s="58">
        <f>(1-Decrements!H10)*'Policyholder cash flows'!G11</f>
        <v>676.69499138666424</v>
      </c>
      <c r="J11" s="58">
        <f t="shared" si="3"/>
        <v>6090.2549224799805</v>
      </c>
    </row>
    <row r="12" spans="1:10" x14ac:dyDescent="0.25">
      <c r="B12" s="5">
        <f t="shared" si="4"/>
        <v>7</v>
      </c>
      <c r="C12" s="8" t="s">
        <v>42</v>
      </c>
      <c r="D12" s="8">
        <f t="shared" si="5"/>
        <v>6090.2549224799805</v>
      </c>
      <c r="E12" s="8">
        <f t="shared" si="0"/>
        <v>365.41529534879879</v>
      </c>
      <c r="F12" s="8">
        <f t="shared" si="1"/>
        <v>91.353823837199698</v>
      </c>
      <c r="G12" s="8">
        <f t="shared" si="2"/>
        <v>6364.3163939915803</v>
      </c>
      <c r="H12" s="8">
        <f>NPV(Discount_rate,F12:$F$15)</f>
        <v>290.69386495821658</v>
      </c>
      <c r="I12" s="58">
        <f>(1-Decrements!H11)*'Policyholder cash flows'!G12</f>
        <v>636.4316393991586</v>
      </c>
      <c r="J12" s="58">
        <f t="shared" si="3"/>
        <v>5727.8847545924218</v>
      </c>
    </row>
    <row r="13" spans="1:10" x14ac:dyDescent="0.25">
      <c r="B13" s="5">
        <f t="shared" si="4"/>
        <v>8</v>
      </c>
      <c r="C13" s="8" t="s">
        <v>42</v>
      </c>
      <c r="D13" s="8">
        <f t="shared" si="5"/>
        <v>5727.8847545924218</v>
      </c>
      <c r="E13" s="8">
        <f t="shared" si="0"/>
        <v>343.6730852755453</v>
      </c>
      <c r="F13" s="8">
        <f t="shared" si="1"/>
        <v>85.918271318886326</v>
      </c>
      <c r="G13" s="8">
        <f t="shared" si="2"/>
        <v>5985.6395685490806</v>
      </c>
      <c r="H13" s="8">
        <f>NPV(Discount_rate,F13:$F$15)</f>
        <v>216.78167301850985</v>
      </c>
      <c r="I13" s="58">
        <f>(1-Decrements!H12)*'Policyholder cash flows'!G13</f>
        <v>598.56395685490793</v>
      </c>
      <c r="J13" s="58">
        <f t="shared" si="3"/>
        <v>5387.0756116941729</v>
      </c>
    </row>
    <row r="14" spans="1:10" x14ac:dyDescent="0.25">
      <c r="B14" s="5">
        <f t="shared" si="4"/>
        <v>9</v>
      </c>
      <c r="C14" s="8" t="s">
        <v>42</v>
      </c>
      <c r="D14" s="8">
        <f t="shared" si="5"/>
        <v>5387.0756116941729</v>
      </c>
      <c r="E14" s="8">
        <f t="shared" si="0"/>
        <v>323.22453670165038</v>
      </c>
      <c r="F14" s="8">
        <f t="shared" si="1"/>
        <v>80.806134175412595</v>
      </c>
      <c r="G14" s="8">
        <f t="shared" si="2"/>
        <v>5629.4940142204105</v>
      </c>
      <c r="H14" s="8">
        <f>NPV(Discount_rate,F14:$F$15)</f>
        <v>143.87030208073415</v>
      </c>
      <c r="I14" s="58">
        <f>(1-Decrements!H13)*'Policyholder cash flows'!G14</f>
        <v>562.94940142204098</v>
      </c>
      <c r="J14" s="58">
        <f t="shared" si="3"/>
        <v>5066.5446127983696</v>
      </c>
    </row>
    <row r="15" spans="1:10" x14ac:dyDescent="0.25">
      <c r="B15" s="5">
        <f t="shared" si="4"/>
        <v>10</v>
      </c>
      <c r="C15" s="8" t="s">
        <v>42</v>
      </c>
      <c r="D15" s="8">
        <f t="shared" si="5"/>
        <v>5066.5446127983696</v>
      </c>
      <c r="E15" s="8">
        <f t="shared" si="0"/>
        <v>303.99267676790214</v>
      </c>
      <c r="F15" s="8">
        <f t="shared" si="1"/>
        <v>75.998169191975535</v>
      </c>
      <c r="G15" s="8">
        <f t="shared" si="2"/>
        <v>5294.5391203742956</v>
      </c>
      <c r="H15" s="8">
        <f>NPV(Discount_rate,F15:$F$15)</f>
        <v>71.696386030165598</v>
      </c>
      <c r="I15" s="58">
        <f>(1-Decrements!H14)*'Policyholder cash flows'!G15</f>
        <v>5294.5391203742956</v>
      </c>
      <c r="J15" s="58">
        <f t="shared" si="3"/>
        <v>0</v>
      </c>
    </row>
    <row r="19" spans="2:2" x14ac:dyDescent="0.25">
      <c r="B19" t="s">
        <v>107</v>
      </c>
    </row>
  </sheetData>
  <mergeCells count="1">
    <mergeCell ref="B4:J4"/>
  </mergeCells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6"/>
  <sheetViews>
    <sheetView topLeftCell="A61" workbookViewId="0">
      <selection activeCell="H75" sqref="H75"/>
    </sheetView>
  </sheetViews>
  <sheetFormatPr defaultRowHeight="13.5" x14ac:dyDescent="0.25"/>
  <cols>
    <col min="1" max="1" width="9.140625" style="2"/>
    <col min="2" max="2" width="9.5703125" style="2" bestFit="1" customWidth="1"/>
    <col min="3" max="3" width="9.85546875" style="2" customWidth="1"/>
    <col min="4" max="4" width="12.85546875" style="2" bestFit="1" customWidth="1"/>
    <col min="5" max="5" width="13.42578125" style="2" customWidth="1"/>
    <col min="6" max="6" width="11.5703125" style="2" customWidth="1"/>
    <col min="7" max="7" width="12.140625" style="2" customWidth="1"/>
    <col min="8" max="8" width="9.140625" style="2"/>
    <col min="9" max="9" width="8.85546875" style="2" customWidth="1"/>
    <col min="10" max="16384" width="9.140625" style="2"/>
  </cols>
  <sheetData>
    <row r="1" spans="1:10" ht="15" x14ac:dyDescent="0.25">
      <c r="A1" s="1" t="s">
        <v>35</v>
      </c>
    </row>
    <row r="2" spans="1:10" x14ac:dyDescent="0.25">
      <c r="E2" s="20"/>
    </row>
    <row r="3" spans="1:10" ht="15" x14ac:dyDescent="0.25">
      <c r="A3" s="1" t="s">
        <v>26</v>
      </c>
      <c r="E3" s="20"/>
    </row>
    <row r="5" spans="1:10" ht="15" customHeight="1" x14ac:dyDescent="0.25">
      <c r="A5" s="78" t="s">
        <v>73</v>
      </c>
      <c r="B5" s="79" t="s">
        <v>26</v>
      </c>
      <c r="C5" s="80"/>
      <c r="D5" s="80"/>
      <c r="E5" s="81"/>
    </row>
    <row r="6" spans="1:10" ht="27" x14ac:dyDescent="0.25">
      <c r="A6" s="82"/>
      <c r="B6" s="22" t="s">
        <v>33</v>
      </c>
      <c r="C6" s="22" t="s">
        <v>31</v>
      </c>
      <c r="D6" s="22" t="s">
        <v>34</v>
      </c>
      <c r="E6" s="22" t="s">
        <v>25</v>
      </c>
    </row>
    <row r="7" spans="1:10" x14ac:dyDescent="0.25">
      <c r="A7" s="21">
        <v>0</v>
      </c>
      <c r="B7" s="23">
        <f>(B8+'Shareholder cash flows'!F10)/(1+Discount_rate)</f>
        <v>9318.3156039412006</v>
      </c>
      <c r="C7" s="23"/>
      <c r="D7" s="24">
        <f>B7</f>
        <v>9318.3156039412006</v>
      </c>
      <c r="E7" s="24">
        <f>C7-D7+'Shareholder cash flows'!C10-'Shareholder cash flows'!D10-'Shareholder cash flows'!E10</f>
        <v>281.68439605879939</v>
      </c>
      <c r="F7" s="7"/>
      <c r="G7" s="7" t="s">
        <v>42</v>
      </c>
      <c r="H7" s="2" t="s">
        <v>42</v>
      </c>
      <c r="I7" s="9" t="s">
        <v>42</v>
      </c>
      <c r="J7" s="9" t="s">
        <v>42</v>
      </c>
    </row>
    <row r="8" spans="1:10" x14ac:dyDescent="0.25">
      <c r="A8" s="21">
        <f>1+A7</f>
        <v>1</v>
      </c>
      <c r="B8" s="23">
        <f>(B9+'Shareholder cash flows'!F11)/(1+Discount_rate)+'Shareholder cash flows'!D11+'Shareholder cash flows'!E11</f>
        <v>7808.3145401776728</v>
      </c>
      <c r="C8" s="23">
        <f>(B7)*Investment_rate</f>
        <v>559.09893623647201</v>
      </c>
      <c r="D8" s="24">
        <f t="shared" ref="D8:D17" si="0">B8-B7</f>
        <v>-1510.0010637635278</v>
      </c>
      <c r="E8" s="24">
        <f>C8-D8-'Shareholder cash flows'!F10</f>
        <v>0</v>
      </c>
      <c r="F8" s="7"/>
      <c r="I8" s="9"/>
    </row>
    <row r="9" spans="1:10" x14ac:dyDescent="0.25">
      <c r="A9" s="21">
        <f t="shared" ref="A9:A17" si="1">1+A8</f>
        <v>2</v>
      </c>
      <c r="B9" s="23">
        <f>(B10+'Shareholder cash flows'!F12)/(1+Discount_rate)+'Shareholder cash flows'!D12+'Shareholder cash flows'!E12</f>
        <v>7369.5296125883324</v>
      </c>
      <c r="C9" s="23">
        <f>(B8-'Shareholder cash flows'!D11-'Shareholder cash flows'!E11)*Investment_rate</f>
        <v>466.09887241066036</v>
      </c>
      <c r="D9" s="24">
        <f t="shared" si="0"/>
        <v>-438.78492758934044</v>
      </c>
      <c r="E9" s="24">
        <f>'Shareholder cash flows'!G11 +C9-D9</f>
        <v>0</v>
      </c>
      <c r="I9" s="9"/>
    </row>
    <row r="10" spans="1:10" x14ac:dyDescent="0.25">
      <c r="A10" s="21">
        <f t="shared" si="1"/>
        <v>3</v>
      </c>
      <c r="B10" s="23">
        <f>(B11+'Shareholder cash flows'!F13)/(1+Discount_rate)+'Shareholder cash flows'!D13+'Shareholder cash flows'!E13</f>
        <v>6959.3549754436326</v>
      </c>
      <c r="C10" s="23">
        <f>(B9-'Shareholder cash flows'!D12-'Shareholder cash flows'!E12)*Investment_rate</f>
        <v>439.96857675529992</v>
      </c>
      <c r="D10" s="24">
        <f t="shared" si="0"/>
        <v>-410.17463714469977</v>
      </c>
      <c r="E10" s="24">
        <f>'Shareholder cash flows'!G12 +C10-D10</f>
        <v>0</v>
      </c>
      <c r="I10" s="9"/>
    </row>
    <row r="11" spans="1:10" x14ac:dyDescent="0.25">
      <c r="A11" s="21">
        <f t="shared" si="1"/>
        <v>4</v>
      </c>
      <c r="B11" s="23">
        <f>(B12+'Shareholder cash flows'!F14)/(1+Discount_rate)+'Shareholder cash flows'!D14+'Shareholder cash flows'!E14</f>
        <v>6576.1602436973008</v>
      </c>
      <c r="C11" s="23">
        <f>(B10-'Shareholder cash flows'!D13-'Shareholder cash flows'!E13)*Investment_rate</f>
        <v>415.53876092661795</v>
      </c>
      <c r="D11" s="24">
        <f t="shared" si="0"/>
        <v>-383.19473174633185</v>
      </c>
      <c r="E11" s="24">
        <f>'Shareholder cash flows'!G13 +C11-D11</f>
        <v>0</v>
      </c>
      <c r="I11" s="9"/>
    </row>
    <row r="12" spans="1:10" x14ac:dyDescent="0.25">
      <c r="A12" s="21">
        <f t="shared" si="1"/>
        <v>5</v>
      </c>
      <c r="B12" s="23">
        <f>(B13+'Shareholder cash flows'!F15)/(1+Discount_rate)+'Shareholder cash flows'!D15+'Shareholder cash flows'!E15</f>
        <v>6218.4227705434287</v>
      </c>
      <c r="C12" s="23">
        <f>(B11-'Shareholder cash flows'!D14-'Shareholder cash flows'!E14)*Investment_rate</f>
        <v>392.71292510503804</v>
      </c>
      <c r="D12" s="24">
        <f t="shared" si="0"/>
        <v>-357.73747315387209</v>
      </c>
      <c r="E12" s="24">
        <f>'Shareholder cash flows'!G14 +C12-D12</f>
        <v>0</v>
      </c>
      <c r="I12" s="9"/>
    </row>
    <row r="13" spans="1:10" x14ac:dyDescent="0.25">
      <c r="A13" s="21">
        <f t="shared" si="1"/>
        <v>6</v>
      </c>
      <c r="B13" s="23">
        <f>(B14+'Shareholder cash flows'!F16)/(1+Discount_rate)+'Shareholder cash flows'!D16+'Shareholder cash flows'!E16</f>
        <v>5884.721354805909</v>
      </c>
      <c r="C13" s="23">
        <f>(B12-'Shareholder cash flows'!D15-'Shareholder cash flows'!E15)*Investment_rate</f>
        <v>371.40092525618331</v>
      </c>
      <c r="D13" s="24">
        <f t="shared" si="0"/>
        <v>-333.70141573751971</v>
      </c>
      <c r="E13" s="24">
        <f>'Shareholder cash flows'!G15 +C13-D13</f>
        <v>-1.2505552149377763E-12</v>
      </c>
      <c r="I13" s="9"/>
    </row>
    <row r="14" spans="1:10" x14ac:dyDescent="0.25">
      <c r="A14" s="21">
        <f t="shared" si="1"/>
        <v>7</v>
      </c>
      <c r="B14" s="23">
        <f>(B15+'Shareholder cash flows'!F17)/(1+Discount_rate)+'Shareholder cash flows'!D17+'Shareholder cash flows'!E17</f>
        <v>5573.7303729394871</v>
      </c>
      <c r="C14" s="23">
        <f>(B13-'Shareholder cash flows'!D16-'Shareholder cash flows'!E16)*Investment_rate</f>
        <v>351.51860447199874</v>
      </c>
      <c r="D14" s="24">
        <f t="shared" si="0"/>
        <v>-310.99098186642186</v>
      </c>
      <c r="E14" s="24">
        <f>'Shareholder cash flows'!G16 +C14-D14</f>
        <v>-6.8212102632969618E-13</v>
      </c>
      <c r="I14" s="9"/>
    </row>
    <row r="15" spans="1:10" x14ac:dyDescent="0.25">
      <c r="A15" s="21">
        <f t="shared" si="1"/>
        <v>8</v>
      </c>
      <c r="B15" s="23">
        <f>(B16+'Shareholder cash flows'!F18)/(1+Discount_rate)+'Shareholder cash flows'!D18+'Shareholder cash flows'!E18</f>
        <v>5284.2143098532906</v>
      </c>
      <c r="C15" s="23">
        <f>(B14-'Shareholder cash flows'!D17-'Shareholder cash flows'!E17)*Investment_rate</f>
        <v>332.98744905895461</v>
      </c>
      <c r="D15" s="24">
        <f t="shared" si="0"/>
        <v>-289.51606308619648</v>
      </c>
      <c r="E15" s="24">
        <f>'Shareholder cash flows'!G17 +C15-D15</f>
        <v>0</v>
      </c>
      <c r="I15" s="9"/>
    </row>
    <row r="16" spans="1:10" x14ac:dyDescent="0.25">
      <c r="A16" s="21">
        <f t="shared" si="1"/>
        <v>9</v>
      </c>
      <c r="B16" s="23">
        <f>(B17+'Shareholder cash flows'!F19)/(1+Discount_rate)+'Shareholder cash flows'!D19+'Shareholder cash flows'!E19</f>
        <v>5015.0226645606181</v>
      </c>
      <c r="C16" s="23">
        <f>(B15-'Shareholder cash flows'!D18-'Shareholder cash flows'!E18)*Investment_rate</f>
        <v>315.73426788581082</v>
      </c>
      <c r="D16" s="24">
        <f t="shared" si="0"/>
        <v>-269.19164529267255</v>
      </c>
      <c r="E16" s="24">
        <f>'Shareholder cash flows'!G18 +C16-D16</f>
        <v>-7.9580786405131221E-13</v>
      </c>
      <c r="I16" s="9"/>
    </row>
    <row r="17" spans="1:11" x14ac:dyDescent="0.25">
      <c r="A17" s="21">
        <f t="shared" si="1"/>
        <v>10</v>
      </c>
      <c r="B17" s="23">
        <f>(B18+'Shareholder cash flows'!F21)/(1+Discount_rate)+'Shareholder cash flows'!D21+'Shareholder cash flows'!E21</f>
        <v>0</v>
      </c>
      <c r="C17" s="23">
        <f>(B16-'Shareholder cash flows'!D19-'Shareholder cash flows'!E19)*Investment_rate</f>
        <v>299.69089360609217</v>
      </c>
      <c r="D17" s="24">
        <f t="shared" si="0"/>
        <v>-5015.0226645606181</v>
      </c>
      <c r="E17" s="24">
        <f>'Shareholder cash flows'!G19 +C17-D17</f>
        <v>0</v>
      </c>
      <c r="I17" s="9"/>
    </row>
    <row r="21" spans="1:11" ht="15" x14ac:dyDescent="0.25">
      <c r="A21" s="1" t="s">
        <v>71</v>
      </c>
    </row>
    <row r="22" spans="1:11" x14ac:dyDescent="0.25">
      <c r="A22" s="2" t="s">
        <v>68</v>
      </c>
    </row>
    <row r="23" spans="1:11" x14ac:dyDescent="0.25">
      <c r="A23" s="2" t="s">
        <v>69</v>
      </c>
    </row>
    <row r="24" spans="1:11" x14ac:dyDescent="0.25">
      <c r="A24" s="2" t="s">
        <v>70</v>
      </c>
      <c r="I24" s="20">
        <f>E7/'Policyholder cash flows'!H6</f>
        <v>0.3582963724224883</v>
      </c>
    </row>
    <row r="25" spans="1:11" x14ac:dyDescent="0.25">
      <c r="A25" s="2" t="s">
        <v>52</v>
      </c>
    </row>
    <row r="27" spans="1:11" ht="15" x14ac:dyDescent="0.25">
      <c r="A27" s="78" t="s">
        <v>73</v>
      </c>
      <c r="B27" s="76" t="s">
        <v>50</v>
      </c>
      <c r="C27" s="77"/>
      <c r="D27" s="77"/>
      <c r="E27" s="77"/>
      <c r="F27" s="77"/>
      <c r="G27" s="77"/>
      <c r="H27" s="77"/>
      <c r="I27"/>
    </row>
    <row r="28" spans="1:11" ht="40.5" x14ac:dyDescent="0.25">
      <c r="A28" s="82"/>
      <c r="B28" s="22" t="s">
        <v>53</v>
      </c>
      <c r="C28" s="22" t="s">
        <v>54</v>
      </c>
      <c r="D28" s="22" t="s">
        <v>55</v>
      </c>
      <c r="E28" s="22" t="s">
        <v>31</v>
      </c>
      <c r="F28" s="22" t="s">
        <v>34</v>
      </c>
      <c r="G28" s="22" t="s">
        <v>56</v>
      </c>
      <c r="H28" s="22" t="s">
        <v>57</v>
      </c>
    </row>
    <row r="29" spans="1:11" x14ac:dyDescent="0.25">
      <c r="A29" s="21">
        <v>0</v>
      </c>
      <c r="B29" s="23">
        <f t="shared" ref="B29:B39" si="2">B7</f>
        <v>9318.3156039412006</v>
      </c>
      <c r="C29" s="23">
        <f>Profit_margin*'Policyholder cash flows'!H6</f>
        <v>281.68439605879939</v>
      </c>
      <c r="D29" s="24">
        <f t="shared" ref="D29:D39" si="3">B29+C29</f>
        <v>9600</v>
      </c>
      <c r="E29" s="24"/>
      <c r="F29" s="24">
        <f>D29</f>
        <v>9600</v>
      </c>
      <c r="G29" s="24">
        <f>'Shareholder cash flows'!C10-'Shareholder cash flows'!D10-'Shareholder cash flows'!E10+E29-F29</f>
        <v>0</v>
      </c>
      <c r="H29" s="24">
        <v>0</v>
      </c>
      <c r="K29" s="7"/>
    </row>
    <row r="30" spans="1:11" x14ac:dyDescent="0.25">
      <c r="A30" s="21">
        <f>1+A29</f>
        <v>1</v>
      </c>
      <c r="B30" s="23">
        <f t="shared" si="2"/>
        <v>7808.3145401776728</v>
      </c>
      <c r="C30" s="23">
        <f>Profit_margin*'Policyholder cash flows'!H7</f>
        <v>245.37844851758786</v>
      </c>
      <c r="D30" s="24">
        <f t="shared" si="3"/>
        <v>8053.6929886952603</v>
      </c>
      <c r="E30" s="24">
        <f>Investment_rate*D29</f>
        <v>576</v>
      </c>
      <c r="F30" s="24">
        <f t="shared" ref="F30:F39" si="4">D30-D29</f>
        <v>-1546.3070113047397</v>
      </c>
      <c r="G30" s="24">
        <f>'Liability and profit'!E30-'Liability and profit'!F30-'Shareholder cash flows'!F10</f>
        <v>53.207011304740263</v>
      </c>
      <c r="H30" s="24">
        <f>Profit_margin*'Policyholder cash flows'!F6</f>
        <v>53.20701130473951</v>
      </c>
      <c r="J30" s="7"/>
    </row>
    <row r="31" spans="1:11" x14ac:dyDescent="0.25">
      <c r="A31" s="21">
        <f t="shared" ref="A31:A39" si="5">1+A30</f>
        <v>2</v>
      </c>
      <c r="B31" s="23">
        <f t="shared" si="2"/>
        <v>7369.5296125883324</v>
      </c>
      <c r="C31" s="23">
        <f>Profit_margin*'Policyholder cash flows'!H8</f>
        <v>215.62009397788091</v>
      </c>
      <c r="D31" s="24">
        <f t="shared" si="3"/>
        <v>7585.1497065662134</v>
      </c>
      <c r="E31" s="24">
        <f>(D30 - 'Shareholder cash flows'!E11)*Investment_rate</f>
        <v>480.8215793217156</v>
      </c>
      <c r="F31" s="24">
        <f t="shared" si="4"/>
        <v>-468.54328212904693</v>
      </c>
      <c r="G31" s="24">
        <f>'Shareholder cash flows'!G11 +E31-F31</f>
        <v>44.481061450761558</v>
      </c>
      <c r="H31" s="24">
        <f>Profit_margin*'Policyholder cash flows'!F7</f>
        <v>44.48106145076224</v>
      </c>
      <c r="J31" s="7"/>
    </row>
    <row r="32" spans="1:11" x14ac:dyDescent="0.25">
      <c r="A32" s="21">
        <f t="shared" si="5"/>
        <v>3</v>
      </c>
      <c r="B32" s="23">
        <f t="shared" si="2"/>
        <v>6959.3549754436326</v>
      </c>
      <c r="C32" s="23">
        <f>Profit_margin*'Policyholder cash flows'!H9</f>
        <v>186.72286132211192</v>
      </c>
      <c r="D32" s="24">
        <f t="shared" si="3"/>
        <v>7146.0778367657449</v>
      </c>
      <c r="E32" s="24">
        <f>(D31 - 'Shareholder cash flows'!E12)*Investment_rate</f>
        <v>452.90578239397274</v>
      </c>
      <c r="F32" s="24">
        <f t="shared" si="4"/>
        <v>-439.07186980046845</v>
      </c>
      <c r="G32" s="24">
        <f>'Shareholder cash flows'!G12 +E32-F32</f>
        <v>41.834438294441327</v>
      </c>
      <c r="H32" s="24">
        <f>Profit_margin*'Policyholder cash flows'!F8</f>
        <v>41.834438294441874</v>
      </c>
      <c r="J32" s="7"/>
    </row>
    <row r="33" spans="1:10" x14ac:dyDescent="0.25">
      <c r="A33" s="21">
        <f t="shared" si="5"/>
        <v>4</v>
      </c>
      <c r="B33" s="23">
        <f t="shared" si="2"/>
        <v>6576.1602436973008</v>
      </c>
      <c r="C33" s="23">
        <f>Profit_margin*'Policyholder cash flows'!H10</f>
        <v>158.58094378551604</v>
      </c>
      <c r="D33" s="24">
        <f t="shared" si="3"/>
        <v>6734.7411874828167</v>
      </c>
      <c r="E33" s="24">
        <f>(D32 - 'Shareholder cash flows'!E13)*Investment_rate</f>
        <v>426.74213260594468</v>
      </c>
      <c r="F33" s="24">
        <f t="shared" si="4"/>
        <v>-411.33664928292819</v>
      </c>
      <c r="G33" s="24">
        <f>'Shareholder cash flows'!G13 +E33-F33</f>
        <v>39.34528921592289</v>
      </c>
      <c r="H33" s="24">
        <f>Profit_margin*'Policyholder cash flows'!F9</f>
        <v>39.345289215922591</v>
      </c>
      <c r="J33" s="7"/>
    </row>
    <row r="34" spans="1:10" x14ac:dyDescent="0.25">
      <c r="A34" s="21">
        <f t="shared" si="5"/>
        <v>5</v>
      </c>
      <c r="B34" s="23">
        <f t="shared" si="2"/>
        <v>6218.4227705434287</v>
      </c>
      <c r="C34" s="23">
        <f>Profit_margin*'Policyholder cash flows'!H11</f>
        <v>131.09155590507186</v>
      </c>
      <c r="D34" s="24">
        <f t="shared" si="3"/>
        <v>6349.5143264485005</v>
      </c>
      <c r="E34" s="24">
        <f>(D33 - 'Shareholder cash flows'!E14)*Investment_rate</f>
        <v>402.22778173216898</v>
      </c>
      <c r="F34" s="24">
        <f t="shared" si="4"/>
        <v>-385.22686103431624</v>
      </c>
      <c r="G34" s="24">
        <f>'Shareholder cash flows'!G14 +E34-F34</f>
        <v>37.004244507574981</v>
      </c>
      <c r="H34" s="24">
        <f>Profit_margin*'Policyholder cash flows'!F10</f>
        <v>37.004244507575194</v>
      </c>
      <c r="J34" s="7"/>
    </row>
    <row r="35" spans="1:10" x14ac:dyDescent="0.25">
      <c r="A35" s="21">
        <f t="shared" si="5"/>
        <v>6</v>
      </c>
      <c r="B35" s="23">
        <f t="shared" si="2"/>
        <v>5884.721354805909</v>
      </c>
      <c r="C35" s="23">
        <f>Profit_margin*'Policyholder cash flows'!H12</f>
        <v>104.15455730000168</v>
      </c>
      <c r="D35" s="24">
        <f t="shared" si="3"/>
        <v>5988.8759121059111</v>
      </c>
      <c r="E35" s="24">
        <f>(D34 - 'Shareholder cash flows'!E15)*Investment_rate</f>
        <v>379.26641861048762</v>
      </c>
      <c r="F35" s="24">
        <f t="shared" si="4"/>
        <v>-360.63841434258939</v>
      </c>
      <c r="G35" s="24">
        <f>'Shareholder cash flows'!G15 +E35-F35</f>
        <v>34.80249195937273</v>
      </c>
      <c r="H35" s="24">
        <f>Profit_margin*'Policyholder cash flows'!F11</f>
        <v>34.802491959374471</v>
      </c>
      <c r="J35" s="7"/>
    </row>
    <row r="36" spans="1:10" x14ac:dyDescent="0.25">
      <c r="A36" s="21">
        <f t="shared" si="5"/>
        <v>7</v>
      </c>
      <c r="B36" s="23">
        <f t="shared" si="2"/>
        <v>5573.7303729394871</v>
      </c>
      <c r="C36" s="23">
        <f>Profit_margin*'Policyholder cash flows'!H13</f>
        <v>77.672087050210081</v>
      </c>
      <c r="D36" s="24">
        <f t="shared" si="3"/>
        <v>5651.4024599896975</v>
      </c>
      <c r="E36" s="24">
        <f>(D35 - 'Shareholder cash flows'!E16)*Investment_rate</f>
        <v>357.7678779099989</v>
      </c>
      <c r="F36" s="24">
        <f t="shared" si="4"/>
        <v>-337.47345211621359</v>
      </c>
      <c r="G36" s="24">
        <f>'Shareholder cash flows'!G16 +E36-F36</f>
        <v>32.731743687791209</v>
      </c>
      <c r="H36" s="24">
        <f>Profit_margin*'Policyholder cash flows'!F12</f>
        <v>32.731743687791692</v>
      </c>
      <c r="J36" s="7"/>
    </row>
    <row r="37" spans="1:10" x14ac:dyDescent="0.25">
      <c r="A37" s="21">
        <f t="shared" si="5"/>
        <v>8</v>
      </c>
      <c r="B37" s="23">
        <f t="shared" si="2"/>
        <v>5284.2143098532906</v>
      </c>
      <c r="C37" s="23">
        <f>Profit_margin*'Policyholder cash flows'!H14</f>
        <v>51.548207334854617</v>
      </c>
      <c r="D37" s="24">
        <f t="shared" si="3"/>
        <v>5335.7625171881455</v>
      </c>
      <c r="E37" s="24">
        <f>(D36 - 'Shareholder cash flows'!E17)*Investment_rate</f>
        <v>337.64777428196726</v>
      </c>
      <c r="F37" s="24">
        <f t="shared" si="4"/>
        <v>-315.63994280155202</v>
      </c>
      <c r="G37" s="24">
        <f>'Shareholder cash flows'!G17 +E37-F37</f>
        <v>30.784204938368134</v>
      </c>
      <c r="H37" s="24">
        <f>Profit_margin*'Policyholder cash flows'!F13</f>
        <v>30.784204938368088</v>
      </c>
      <c r="J37" s="7"/>
    </row>
    <row r="38" spans="1:10" x14ac:dyDescent="0.25">
      <c r="A38" s="21">
        <f t="shared" si="5"/>
        <v>9</v>
      </c>
      <c r="B38" s="23">
        <f t="shared" si="2"/>
        <v>5015.0226645606181</v>
      </c>
      <c r="C38" s="23">
        <f>Profit_margin*'Policyholder cash flows'!H15</f>
        <v>25.688555030410701</v>
      </c>
      <c r="D38" s="24">
        <f t="shared" si="3"/>
        <v>5040.7112195910286</v>
      </c>
      <c r="E38" s="24">
        <f>(D37 - 'Shareholder cash flows'!E18)*Investment_rate</f>
        <v>318.82716032590213</v>
      </c>
      <c r="F38" s="24">
        <f t="shared" si="4"/>
        <v>-295.0512975971169</v>
      </c>
      <c r="G38" s="24">
        <f>'Shareholder cash flows'!G18 +E38-F38</f>
        <v>28.952544744534862</v>
      </c>
      <c r="H38" s="24">
        <f>Profit_margin*'Policyholder cash flows'!F14</f>
        <v>28.952544744535189</v>
      </c>
      <c r="J38" s="7"/>
    </row>
    <row r="39" spans="1:10" x14ac:dyDescent="0.25">
      <c r="A39" s="21">
        <f t="shared" si="5"/>
        <v>10</v>
      </c>
      <c r="B39" s="23">
        <f t="shared" si="2"/>
        <v>0</v>
      </c>
      <c r="C39" s="23"/>
      <c r="D39" s="24">
        <f t="shared" si="3"/>
        <v>0</v>
      </c>
      <c r="E39" s="24">
        <f>(D38 - 'Shareholder cash flows'!E19)*Investment_rate</f>
        <v>301.2322069079168</v>
      </c>
      <c r="F39" s="24">
        <f t="shared" si="4"/>
        <v>-5040.7112195910286</v>
      </c>
      <c r="G39" s="24">
        <f>'Shareholder cash flows'!G19 +E39-F39</f>
        <v>27.229868332234219</v>
      </c>
      <c r="H39" s="24">
        <f>Profit_margin*'Policyholder cash flows'!F15</f>
        <v>27.229868332235341</v>
      </c>
      <c r="J39" s="7"/>
    </row>
    <row r="41" spans="1:10" x14ac:dyDescent="0.25">
      <c r="A41" s="2" t="s">
        <v>74</v>
      </c>
    </row>
    <row r="42" spans="1:10" x14ac:dyDescent="0.25">
      <c r="A42" s="2" t="s">
        <v>75</v>
      </c>
    </row>
    <row r="43" spans="1:10" x14ac:dyDescent="0.25">
      <c r="A43" s="2" t="s">
        <v>76</v>
      </c>
    </row>
    <row r="44" spans="1:10" x14ac:dyDescent="0.25">
      <c r="A44" s="2" t="s">
        <v>77</v>
      </c>
    </row>
    <row r="46" spans="1:10" x14ac:dyDescent="0.25">
      <c r="A46" s="2" t="s">
        <v>101</v>
      </c>
    </row>
    <row r="47" spans="1:10" x14ac:dyDescent="0.25">
      <c r="A47" s="2" t="s">
        <v>72</v>
      </c>
    </row>
    <row r="50" spans="1:8" ht="15" x14ac:dyDescent="0.25">
      <c r="A50" s="1" t="s">
        <v>78</v>
      </c>
    </row>
    <row r="51" spans="1:8" x14ac:dyDescent="0.25">
      <c r="A51" s="2" t="s">
        <v>79</v>
      </c>
    </row>
    <row r="52" spans="1:8" ht="15" x14ac:dyDescent="0.25">
      <c r="A52"/>
      <c r="B52"/>
      <c r="C52"/>
      <c r="D52"/>
      <c r="E52"/>
      <c r="F52"/>
      <c r="G52"/>
      <c r="H52"/>
    </row>
    <row r="53" spans="1:8" ht="15" x14ac:dyDescent="0.25">
      <c r="A53" s="78" t="s">
        <v>73</v>
      </c>
      <c r="B53" s="79" t="s">
        <v>58</v>
      </c>
      <c r="C53" s="80"/>
      <c r="D53" s="80"/>
      <c r="E53" s="81"/>
      <c r="F53"/>
      <c r="G53"/>
      <c r="H53"/>
    </row>
    <row r="54" spans="1:8" ht="27" x14ac:dyDescent="0.25">
      <c r="A54" s="82"/>
      <c r="B54" s="22" t="s">
        <v>33</v>
      </c>
      <c r="C54" s="22" t="s">
        <v>31</v>
      </c>
      <c r="D54" s="22" t="s">
        <v>34</v>
      </c>
      <c r="E54" s="22" t="s">
        <v>102</v>
      </c>
      <c r="F54"/>
      <c r="G54"/>
      <c r="H54"/>
    </row>
    <row r="55" spans="1:8" ht="15" x14ac:dyDescent="0.25">
      <c r="A55" s="21">
        <v>0</v>
      </c>
      <c r="B55" s="23">
        <f>'Policyholder cash flows'!D6</f>
        <v>9900</v>
      </c>
      <c r="C55" s="23"/>
      <c r="D55" s="24">
        <f>B55</f>
        <v>9900</v>
      </c>
      <c r="E55" s="24">
        <f>C55-D55+'Shareholder cash flows'!C10-'Shareholder cash flows'!D10-'Shareholder cash flows'!E10</f>
        <v>-300</v>
      </c>
      <c r="F55"/>
      <c r="G55"/>
      <c r="H55"/>
    </row>
    <row r="56" spans="1:8" ht="15" x14ac:dyDescent="0.25">
      <c r="A56" s="21">
        <f>1+A55</f>
        <v>1</v>
      </c>
      <c r="B56" s="23">
        <f>'Policyholder cash flows'!D7</f>
        <v>8276.4000000000015</v>
      </c>
      <c r="C56" s="23">
        <f>D55*Investment_rate</f>
        <v>594</v>
      </c>
      <c r="D56" s="24">
        <f>B56-B55</f>
        <v>-1623.5999999999985</v>
      </c>
      <c r="E56" s="24">
        <f>C56-D56-'Shareholder cash flows'!F10</f>
        <v>148.49999999999909</v>
      </c>
      <c r="F56" s="26"/>
      <c r="G56" s="26"/>
      <c r="H56" s="26"/>
    </row>
    <row r="57" spans="1:8" ht="15" x14ac:dyDescent="0.25">
      <c r="A57" s="21">
        <f t="shared" ref="A57:A65" si="6">1+A56</f>
        <v>2</v>
      </c>
      <c r="B57" s="23">
        <f>'Policyholder cash flows'!D8</f>
        <v>7783.9542000000001</v>
      </c>
      <c r="C57" s="23">
        <f>(B56-'Shareholder cash flows'!D11-'Shareholder cash flows'!E11)*Investment_rate</f>
        <v>494.18400000000008</v>
      </c>
      <c r="D57" s="24">
        <f t="shared" ref="D57:D65" si="7">B57-B56</f>
        <v>-492.44580000000133</v>
      </c>
      <c r="E57" s="24">
        <f>'Shareholder cash flows'!G11 + C57-D57</f>
        <v>81.746000000000436</v>
      </c>
      <c r="F57"/>
      <c r="G57"/>
      <c r="H57"/>
    </row>
    <row r="58" spans="1:8" ht="15" x14ac:dyDescent="0.25">
      <c r="A58" s="21">
        <f t="shared" si="6"/>
        <v>3</v>
      </c>
      <c r="B58" s="23">
        <f>'Policyholder cash flows'!D9</f>
        <v>7320.808925100001</v>
      </c>
      <c r="C58" s="23">
        <f>(B57-'Shareholder cash flows'!D12-'Shareholder cash flows'!E12)*Investment_rate</f>
        <v>464.83405199999999</v>
      </c>
      <c r="D58" s="24">
        <f t="shared" si="7"/>
        <v>-463.14527489999909</v>
      </c>
      <c r="E58" s="24">
        <f>'Shareholder cash flows'!G12 + C58-D58</f>
        <v>77.836112999999216</v>
      </c>
      <c r="F58"/>
      <c r="G58"/>
      <c r="H58"/>
    </row>
    <row r="59" spans="1:8" ht="15" x14ac:dyDescent="0.25">
      <c r="A59" s="21">
        <f t="shared" si="6"/>
        <v>4</v>
      </c>
      <c r="B59" s="23">
        <f>'Policyholder cash flows'!D10</f>
        <v>6885.2207940565504</v>
      </c>
      <c r="C59" s="23">
        <f>(B58-'Shareholder cash flows'!D13-'Shareholder cash flows'!E13)*Investment_rate</f>
        <v>437.22599790600003</v>
      </c>
      <c r="D59" s="24">
        <f t="shared" si="7"/>
        <v>-435.58813104345063</v>
      </c>
      <c r="E59" s="24">
        <f>'Shareholder cash flows'!G13 + C59-D59</f>
        <v>74.080636276500684</v>
      </c>
      <c r="F59"/>
      <c r="G59"/>
      <c r="H59"/>
    </row>
    <row r="60" spans="1:8" ht="15" x14ac:dyDescent="0.25">
      <c r="A60" s="21">
        <f t="shared" si="6"/>
        <v>5</v>
      </c>
      <c r="B60" s="23">
        <f>'Policyholder cash flows'!D11</f>
        <v>6475.5501568101854</v>
      </c>
      <c r="C60" s="23">
        <f>(B59-'Shareholder cash flows'!D14-'Shareholder cash flows'!E14)*Investment_rate</f>
        <v>411.25655812659301</v>
      </c>
      <c r="D60" s="24">
        <f t="shared" si="7"/>
        <v>-409.670637246365</v>
      </c>
      <c r="E60" s="24">
        <f>'Shareholder cash flows'!G14 + C60-D60</f>
        <v>70.47679711404777</v>
      </c>
      <c r="F60"/>
      <c r="G60"/>
      <c r="H60"/>
    </row>
    <row r="61" spans="1:8" ht="15" x14ac:dyDescent="0.25">
      <c r="A61" s="21">
        <f t="shared" si="6"/>
        <v>6</v>
      </c>
      <c r="B61" s="23">
        <f>'Policyholder cash flows'!D12</f>
        <v>6090.2549224799805</v>
      </c>
      <c r="C61" s="23">
        <f>(B60-'Shareholder cash flows'!D15-'Shareholder cash flows'!E15)*Investment_rate</f>
        <v>386.82856843218872</v>
      </c>
      <c r="D61" s="24">
        <f t="shared" si="7"/>
        <v>-385.29523433020495</v>
      </c>
      <c r="E61" s="24">
        <f>'Shareholder cash flows'!G15 + C61-D61</f>
        <v>67.021461768689392</v>
      </c>
      <c r="F61"/>
      <c r="G61"/>
      <c r="H61"/>
    </row>
    <row r="62" spans="1:8" ht="15" x14ac:dyDescent="0.25">
      <c r="A62" s="21">
        <f t="shared" si="6"/>
        <v>7</v>
      </c>
      <c r="B62" s="23">
        <f>'Policyholder cash flows'!D13</f>
        <v>5727.8847545924218</v>
      </c>
      <c r="C62" s="23">
        <f>(B61-'Shareholder cash flows'!D16-'Shareholder cash flows'!E16)*Investment_rate</f>
        <v>363.85061853244304</v>
      </c>
      <c r="D62" s="24">
        <f t="shared" si="7"/>
        <v>-362.37016788755864</v>
      </c>
      <c r="E62" s="24">
        <f>'Shareholder cash flows'!G16 + C62-D62</f>
        <v>63.711200081580387</v>
      </c>
      <c r="F62"/>
      <c r="G62"/>
      <c r="H62"/>
    </row>
    <row r="63" spans="1:8" ht="15" x14ac:dyDescent="0.25">
      <c r="A63" s="21">
        <f t="shared" si="6"/>
        <v>8</v>
      </c>
      <c r="B63" s="23">
        <f>'Policyholder cash flows'!D14</f>
        <v>5387.0756116941729</v>
      </c>
      <c r="C63" s="23">
        <f>(B62-'Shareholder cash flows'!D17-'Shareholder cash flows'!E17)*Investment_rate</f>
        <v>342.23671195813068</v>
      </c>
      <c r="D63" s="24">
        <f t="shared" si="7"/>
        <v>-340.80914289824887</v>
      </c>
      <c r="E63" s="24">
        <f>'Shareholder cash flows'!G17 + C63-D63</f>
        <v>60.5423427112284</v>
      </c>
      <c r="F63"/>
      <c r="G63"/>
      <c r="H63"/>
    </row>
    <row r="64" spans="1:8" ht="15" x14ac:dyDescent="0.25">
      <c r="A64" s="21">
        <f t="shared" si="6"/>
        <v>9</v>
      </c>
      <c r="B64" s="23">
        <f>'Policyholder cash flows'!D15</f>
        <v>5066.5446127983696</v>
      </c>
      <c r="C64" s="23">
        <f>(B63-'Shareholder cash flows'!D18-'Shareholder cash flows'!E18)*Investment_rate</f>
        <v>321.90594599626377</v>
      </c>
      <c r="D64" s="24">
        <f t="shared" si="7"/>
        <v>-320.53099889580335</v>
      </c>
      <c r="E64" s="24">
        <f>'Shareholder cash flows'!G18 + C64-D64</f>
        <v>57.511031713582952</v>
      </c>
      <c r="F64"/>
      <c r="G64"/>
      <c r="H64"/>
    </row>
    <row r="65" spans="1:9" ht="15" x14ac:dyDescent="0.25">
      <c r="A65" s="21">
        <f t="shared" si="6"/>
        <v>10</v>
      </c>
      <c r="B65" s="23"/>
      <c r="C65" s="23">
        <f>(B64-'Shareholder cash flows'!D19-'Shareholder cash flows'!E19)*Investment_rate</f>
        <v>302.78221050035728</v>
      </c>
      <c r="D65" s="24">
        <f t="shared" si="7"/>
        <v>-5066.5446127983696</v>
      </c>
      <c r="E65" s="24">
        <f>'Shareholder cash flows'!G19 + C65-D65</f>
        <v>54.61326513201584</v>
      </c>
      <c r="F65"/>
      <c r="G65"/>
      <c r="H65"/>
    </row>
    <row r="66" spans="1:9" ht="15" x14ac:dyDescent="0.25">
      <c r="A66"/>
      <c r="B66"/>
      <c r="C66"/>
      <c r="D66"/>
      <c r="E66" t="s">
        <v>113</v>
      </c>
      <c r="F66"/>
      <c r="G66"/>
      <c r="H66"/>
    </row>
    <row r="67" spans="1:9" ht="15" x14ac:dyDescent="0.25">
      <c r="A67" t="s">
        <v>80</v>
      </c>
      <c r="B67"/>
      <c r="C67"/>
      <c r="D67"/>
      <c r="E67"/>
      <c r="F67"/>
      <c r="G67"/>
      <c r="H67"/>
    </row>
    <row r="68" spans="1:9" ht="15" x14ac:dyDescent="0.25">
      <c r="A68" t="s">
        <v>114</v>
      </c>
      <c r="B68"/>
      <c r="C68"/>
      <c r="D68"/>
      <c r="E68"/>
      <c r="F68"/>
      <c r="G68"/>
      <c r="H68"/>
    </row>
    <row r="69" spans="1:9" ht="15" x14ac:dyDescent="0.25">
      <c r="A69"/>
      <c r="B69"/>
      <c r="C69"/>
      <c r="D69"/>
      <c r="E69"/>
      <c r="F69"/>
      <c r="G69"/>
      <c r="H69"/>
    </row>
    <row r="70" spans="1:9" ht="15" x14ac:dyDescent="0.25">
      <c r="A70" s="1" t="s">
        <v>94</v>
      </c>
      <c r="B70"/>
      <c r="C70"/>
      <c r="D70"/>
      <c r="E70"/>
      <c r="F70"/>
      <c r="G70"/>
      <c r="H70"/>
    </row>
    <row r="71" spans="1:9" ht="15" x14ac:dyDescent="0.25">
      <c r="A71" t="s">
        <v>95</v>
      </c>
      <c r="B71"/>
      <c r="C71"/>
      <c r="D71"/>
      <c r="E71"/>
      <c r="F71"/>
      <c r="G71" s="52">
        <f>200/'Policyholder cash flows'!H6</f>
        <v>0.25439561256186638</v>
      </c>
      <c r="H71"/>
    </row>
    <row r="72" spans="1:9" ht="15" x14ac:dyDescent="0.25">
      <c r="A72"/>
      <c r="B72"/>
      <c r="C72"/>
      <c r="D72"/>
      <c r="E72"/>
      <c r="F72"/>
      <c r="G72"/>
      <c r="H72"/>
    </row>
    <row r="73" spans="1:9" ht="15" x14ac:dyDescent="0.25">
      <c r="A73" s="78" t="s">
        <v>73</v>
      </c>
      <c r="B73" s="79" t="s">
        <v>96</v>
      </c>
      <c r="C73" s="80"/>
      <c r="D73" s="80"/>
      <c r="E73" s="81"/>
      <c r="F73"/>
      <c r="G73"/>
      <c r="H73"/>
    </row>
    <row r="74" spans="1:9" ht="54" x14ac:dyDescent="0.25">
      <c r="A74" s="78"/>
      <c r="B74" s="53" t="s">
        <v>92</v>
      </c>
      <c r="C74" s="53" t="s">
        <v>93</v>
      </c>
      <c r="D74" s="53" t="s">
        <v>98</v>
      </c>
      <c r="E74" s="53" t="s">
        <v>97</v>
      </c>
      <c r="F74" s="53" t="s">
        <v>31</v>
      </c>
      <c r="G74" s="53" t="s">
        <v>34</v>
      </c>
      <c r="H74" s="53" t="s">
        <v>102</v>
      </c>
    </row>
    <row r="75" spans="1:9" x14ac:dyDescent="0.25">
      <c r="A75" s="54">
        <v>0</v>
      </c>
      <c r="B75" s="8">
        <f>B55</f>
        <v>9900</v>
      </c>
      <c r="C75" s="55">
        <f>200</f>
        <v>200</v>
      </c>
      <c r="D75" s="55">
        <f>DAC_margin*'Policyholder cash flows'!F6</f>
        <v>37.777748465437156</v>
      </c>
      <c r="E75" s="55">
        <f>B75-C75</f>
        <v>9700</v>
      </c>
      <c r="F75" s="8"/>
      <c r="G75" s="56">
        <f>E75</f>
        <v>9700</v>
      </c>
      <c r="H75" s="56">
        <f>F75-G75+'Shareholder cash flows'!C10-'Shareholder cash flows'!D10-'Shareholder cash flows'!E10</f>
        <v>-100</v>
      </c>
    </row>
    <row r="76" spans="1:9" x14ac:dyDescent="0.25">
      <c r="A76" s="54">
        <f>1+A75</f>
        <v>1</v>
      </c>
      <c r="B76" s="8">
        <f t="shared" ref="B76:B85" si="8">B56</f>
        <v>8276.4000000000015</v>
      </c>
      <c r="C76" s="55">
        <f t="shared" ref="C76:C85" si="9">(C75)*(1+Investment_rate)-D75</f>
        <v>174.22225153456284</v>
      </c>
      <c r="D76" s="55">
        <f>DAC_margin*'Policyholder cash flows'!F7</f>
        <v>31.582197717105469</v>
      </c>
      <c r="E76" s="55">
        <f t="shared" ref="E76:E85" si="10">B76-C76</f>
        <v>8102.1777484654385</v>
      </c>
      <c r="F76" s="8">
        <f>E75*Investment_rate</f>
        <v>582</v>
      </c>
      <c r="G76" s="56">
        <f>E76-E75</f>
        <v>-1597.8222515345615</v>
      </c>
      <c r="H76" s="56">
        <f>'Shareholder cash flows'!G10+F76-E76</f>
        <v>10.72225153456202</v>
      </c>
      <c r="I76" s="7"/>
    </row>
    <row r="77" spans="1:9" x14ac:dyDescent="0.25">
      <c r="A77" s="54">
        <f t="shared" ref="A77:A85" si="11">1+A76</f>
        <v>2</v>
      </c>
      <c r="B77" s="8">
        <f t="shared" si="8"/>
        <v>7783.9542000000001</v>
      </c>
      <c r="C77" s="55">
        <f t="shared" si="9"/>
        <v>153.09338890953117</v>
      </c>
      <c r="D77" s="55">
        <f>DAC_margin*'Policyholder cash flows'!F8</f>
        <v>29.703056952937686</v>
      </c>
      <c r="E77" s="55">
        <f t="shared" si="10"/>
        <v>7630.8608110904688</v>
      </c>
      <c r="F77" s="8">
        <f>(E76-'Shareholder cash flows'!D11-'Shareholder cash flows'!E11)*Investment_rate</f>
        <v>483.73066490792627</v>
      </c>
      <c r="G77" s="56">
        <f>E77-E76</f>
        <v>-471.31693737496971</v>
      </c>
      <c r="H77" s="56">
        <f>F77-G77+'Shareholder cash flows'!G11</f>
        <v>50.163802282894949</v>
      </c>
    </row>
    <row r="78" spans="1:9" x14ac:dyDescent="0.25">
      <c r="A78" s="54">
        <f t="shared" si="11"/>
        <v>3</v>
      </c>
      <c r="B78" s="8">
        <f t="shared" si="8"/>
        <v>7320.808925100001</v>
      </c>
      <c r="C78" s="55">
        <f t="shared" si="9"/>
        <v>132.57593529116537</v>
      </c>
      <c r="D78" s="55">
        <f>DAC_margin*'Policyholder cash flows'!F9</f>
        <v>27.9357250642379</v>
      </c>
      <c r="E78" s="55">
        <f t="shared" si="10"/>
        <v>7188.2329898088356</v>
      </c>
      <c r="F78" s="8">
        <f>(E77-'Shareholder cash flows'!D12-'Shareholder cash flows'!E12)*Investment_rate</f>
        <v>455.64844866542808</v>
      </c>
      <c r="G78" s="56">
        <f t="shared" ref="G78:G85" si="12">E78-E77</f>
        <v>-442.62782128163326</v>
      </c>
      <c r="H78" s="56">
        <f>F78-G78+'Shareholder cash flows'!G12</f>
        <v>48.133056047061473</v>
      </c>
    </row>
    <row r="79" spans="1:9" x14ac:dyDescent="0.25">
      <c r="A79" s="54">
        <f t="shared" si="11"/>
        <v>4</v>
      </c>
      <c r="B79" s="8">
        <f t="shared" si="8"/>
        <v>6885.2207940565504</v>
      </c>
      <c r="C79" s="55">
        <f t="shared" si="9"/>
        <v>112.5947663443974</v>
      </c>
      <c r="D79" s="55">
        <f>DAC_margin*'Policyholder cash flows'!F10</f>
        <v>26.273549422915739</v>
      </c>
      <c r="E79" s="55">
        <f t="shared" si="10"/>
        <v>6772.6260277121528</v>
      </c>
      <c r="F79" s="8">
        <f>(E78-'Shareholder cash flows'!D13-'Shareholder cash flows'!E13)*Investment_rate</f>
        <v>429.27144178853013</v>
      </c>
      <c r="G79" s="56">
        <f t="shared" si="12"/>
        <v>-415.60696209668276</v>
      </c>
      <c r="H79" s="56">
        <f>F79-G79+'Shareholder cash flows'!G13</f>
        <v>46.144911212262969</v>
      </c>
    </row>
    <row r="80" spans="1:9" x14ac:dyDescent="0.25">
      <c r="A80" s="54">
        <f t="shared" si="11"/>
        <v>5</v>
      </c>
      <c r="B80" s="8">
        <f t="shared" si="8"/>
        <v>6475.5501568101854</v>
      </c>
      <c r="C80" s="55">
        <f t="shared" si="9"/>
        <v>93.07690290214552</v>
      </c>
      <c r="D80" s="55">
        <f>DAC_margin*'Policyholder cash flows'!F11</f>
        <v>24.710273232252256</v>
      </c>
      <c r="E80" s="55">
        <f t="shared" si="10"/>
        <v>6382.4732539080396</v>
      </c>
      <c r="F80" s="8">
        <f>(E79-'Shareholder cash flows'!D14-'Shareholder cash flows'!E14)*Investment_rate</f>
        <v>404.50087214592912</v>
      </c>
      <c r="G80" s="56">
        <f t="shared" si="12"/>
        <v>-390.15277380411317</v>
      </c>
      <c r="H80" s="56">
        <f>F80-G80+'Shareholder cash flows'!G14</f>
        <v>44.203247691132106</v>
      </c>
    </row>
    <row r="81" spans="1:8" x14ac:dyDescent="0.25">
      <c r="A81" s="54">
        <f t="shared" si="11"/>
        <v>6</v>
      </c>
      <c r="B81" s="8">
        <f t="shared" si="8"/>
        <v>6090.2549224799805</v>
      </c>
      <c r="C81" s="55">
        <f t="shared" si="9"/>
        <v>73.951243844022002</v>
      </c>
      <c r="D81" s="55">
        <f>DAC_margin*'Policyholder cash flows'!F12</f>
        <v>23.24001197493325</v>
      </c>
      <c r="E81" s="55">
        <f t="shared" si="10"/>
        <v>6016.303678635958</v>
      </c>
      <c r="F81" s="8">
        <f>(E80-'Shareholder cash flows'!D15-'Shareholder cash flows'!E15)*Investment_rate</f>
        <v>381.24395425806</v>
      </c>
      <c r="G81" s="56">
        <f t="shared" si="12"/>
        <v>-366.1695752720816</v>
      </c>
      <c r="H81" s="56">
        <f>F81-G81+'Shareholder cash flows'!G15</f>
        <v>42.311188536437385</v>
      </c>
    </row>
    <row r="82" spans="1:8" x14ac:dyDescent="0.25">
      <c r="A82" s="54">
        <f t="shared" si="11"/>
        <v>7</v>
      </c>
      <c r="B82" s="8">
        <f t="shared" si="8"/>
        <v>5727.8847545924218</v>
      </c>
      <c r="C82" s="55">
        <f t="shared" si="9"/>
        <v>55.148306499730069</v>
      </c>
      <c r="D82" s="55">
        <f>DAC_margin*'Policyholder cash flows'!F13</f>
        <v>21.857231262424722</v>
      </c>
      <c r="E82" s="55">
        <f t="shared" si="10"/>
        <v>5672.7364480926917</v>
      </c>
      <c r="F82" s="8">
        <f>(E81-'Shareholder cash flows'!D16-'Shareholder cash flows'!E16)*Investment_rate</f>
        <v>359.41354390180169</v>
      </c>
      <c r="G82" s="56">
        <f t="shared" si="12"/>
        <v>-343.56723054326631</v>
      </c>
      <c r="H82" s="56">
        <f>F82-G82+'Shareholder cash flows'!G16</f>
        <v>40.47118810664665</v>
      </c>
    </row>
    <row r="83" spans="1:8" x14ac:dyDescent="0.25">
      <c r="A83" s="54">
        <f t="shared" si="11"/>
        <v>8</v>
      </c>
      <c r="B83" s="8">
        <f t="shared" si="8"/>
        <v>5387.0756116941729</v>
      </c>
      <c r="C83" s="55">
        <f t="shared" si="9"/>
        <v>36.59997362728916</v>
      </c>
      <c r="D83" s="55">
        <f>DAC_margin*'Policyholder cash flows'!F14</f>
        <v>20.556726002310452</v>
      </c>
      <c r="E83" s="55">
        <f t="shared" si="10"/>
        <v>5350.4756380668841</v>
      </c>
      <c r="F83" s="8">
        <f>(E82-'Shareholder cash flows'!D17-'Shareholder cash flows'!E17)*Investment_rate</f>
        <v>338.92781356814692</v>
      </c>
      <c r="G83" s="56">
        <f t="shared" si="12"/>
        <v>-322.26081002580759</v>
      </c>
      <c r="H83" s="56">
        <f>F83-G83+'Shareholder cash flows'!G17</f>
        <v>38.685111448803355</v>
      </c>
    </row>
    <row r="84" spans="1:8" x14ac:dyDescent="0.25">
      <c r="A84" s="54">
        <f t="shared" si="11"/>
        <v>9</v>
      </c>
      <c r="B84" s="8">
        <f t="shared" si="8"/>
        <v>5066.5446127983696</v>
      </c>
      <c r="C84" s="55">
        <f t="shared" si="9"/>
        <v>18.239246042616056</v>
      </c>
      <c r="D84" s="55">
        <f>DAC_margin*'Policyholder cash flows'!F15</f>
        <v>19.333600805172978</v>
      </c>
      <c r="E84" s="55">
        <f t="shared" si="10"/>
        <v>5048.3053667557533</v>
      </c>
      <c r="F84" s="8">
        <f>(E83-'Shareholder cash flows'!D18-'Shareholder cash flows'!E18)*Investment_rate</f>
        <v>319.70994757862644</v>
      </c>
      <c r="G84" s="56">
        <f t="shared" si="12"/>
        <v>-302.17027131113082</v>
      </c>
      <c r="H84" s="56">
        <f>F84-G84+'Shareholder cash flows'!G18</f>
        <v>36.95430571127315</v>
      </c>
    </row>
    <row r="85" spans="1:8" x14ac:dyDescent="0.25">
      <c r="A85" s="54">
        <f t="shared" si="11"/>
        <v>10</v>
      </c>
      <c r="B85" s="8">
        <f t="shared" si="8"/>
        <v>0</v>
      </c>
      <c r="C85" s="55">
        <f t="shared" si="9"/>
        <v>4.2632564145606011E-14</v>
      </c>
      <c r="D85" s="55">
        <v>0</v>
      </c>
      <c r="E85" s="55">
        <f t="shared" si="10"/>
        <v>-4.2632564145606011E-14</v>
      </c>
      <c r="F85" s="8">
        <f>(E84-'Shareholder cash flows'!D19-'Shareholder cash flows'!E19)*Investment_rate</f>
        <v>301.68785573780031</v>
      </c>
      <c r="G85" s="56">
        <f t="shared" si="12"/>
        <v>-5048.3053667557533</v>
      </c>
      <c r="H85" s="56">
        <f>F85-G85+'Shareholder cash flows'!G19</f>
        <v>35.279664326842976</v>
      </c>
    </row>
    <row r="86" spans="1:8" ht="15" x14ac:dyDescent="0.25">
      <c r="H86" t="s">
        <v>113</v>
      </c>
    </row>
  </sheetData>
  <mergeCells count="8">
    <mergeCell ref="A73:A74"/>
    <mergeCell ref="B73:E73"/>
    <mergeCell ref="A5:A6"/>
    <mergeCell ref="B5:E5"/>
    <mergeCell ref="A27:A28"/>
    <mergeCell ref="A53:A54"/>
    <mergeCell ref="B53:E53"/>
    <mergeCell ref="B27:H27"/>
  </mergeCells>
  <pageMargins left="0.7" right="0.7" top="0.75" bottom="0.75" header="0.3" footer="0.3"/>
  <pageSetup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2"/>
  <sheetViews>
    <sheetView workbookViewId="0"/>
  </sheetViews>
  <sheetFormatPr defaultRowHeight="15" x14ac:dyDescent="0.25"/>
  <cols>
    <col min="1" max="11" width="13.7109375" customWidth="1"/>
  </cols>
  <sheetData>
    <row r="2" spans="1:7" x14ac:dyDescent="0.25">
      <c r="A2" s="12" t="s">
        <v>89</v>
      </c>
      <c r="B2" s="12"/>
    </row>
    <row r="3" spans="1:7" ht="15" customHeight="1" x14ac:dyDescent="0.25">
      <c r="A3" s="91" t="s">
        <v>14</v>
      </c>
      <c r="B3" s="91" t="s">
        <v>85</v>
      </c>
      <c r="C3" s="85" t="s">
        <v>81</v>
      </c>
      <c r="D3" s="83" t="s">
        <v>82</v>
      </c>
      <c r="E3" s="83" t="s">
        <v>2</v>
      </c>
      <c r="F3" s="89" t="s">
        <v>83</v>
      </c>
      <c r="G3" s="85" t="s">
        <v>84</v>
      </c>
    </row>
    <row r="4" spans="1:7" ht="38.25" customHeight="1" x14ac:dyDescent="0.25">
      <c r="A4" s="92"/>
      <c r="B4" s="92"/>
      <c r="C4" s="86"/>
      <c r="D4" s="84"/>
      <c r="E4" s="84"/>
      <c r="F4" s="90"/>
      <c r="G4" s="86"/>
    </row>
    <row r="5" spans="1:7" x14ac:dyDescent="0.25">
      <c r="A5" s="30">
        <v>1</v>
      </c>
      <c r="B5" s="35">
        <f>'Policyholder cash flows'!J6</f>
        <v>8276.4000000000015</v>
      </c>
      <c r="C5" s="35">
        <f>'Shareholder cash flows'!C10</f>
        <v>10000</v>
      </c>
      <c r="D5" s="36">
        <f>-'Shareholder cash flows'!D10</f>
        <v>-300</v>
      </c>
      <c r="E5" s="36">
        <f>-'Shareholder cash flows'!E10</f>
        <v>-100</v>
      </c>
      <c r="F5" s="36">
        <f>-'Shareholder cash flows'!F10</f>
        <v>-2069.0999999999995</v>
      </c>
      <c r="G5" s="34">
        <f>C5+D5+E5+F5</f>
        <v>7530.9000000000005</v>
      </c>
    </row>
    <row r="6" spans="1:7" x14ac:dyDescent="0.25">
      <c r="A6" s="27">
        <f>1+A5</f>
        <v>2</v>
      </c>
      <c r="B6" s="39">
        <f>'Policyholder cash flows'!J7</f>
        <v>7783.9542000000001</v>
      </c>
      <c r="C6" s="39">
        <f>'Shareholder cash flows'!C11</f>
        <v>0</v>
      </c>
      <c r="D6" s="40">
        <f>-'Shareholder cash flows'!D11</f>
        <v>0</v>
      </c>
      <c r="E6" s="40">
        <f>-'Shareholder cash flows'!E11</f>
        <v>-40</v>
      </c>
      <c r="F6" s="40">
        <f>-'Shareholder cash flows'!F11</f>
        <v>-864.88380000000097</v>
      </c>
      <c r="G6" s="38">
        <f t="shared" ref="G6:G14" si="0">C6+D6+E6+F6</f>
        <v>-904.88380000000097</v>
      </c>
    </row>
    <row r="7" spans="1:7" x14ac:dyDescent="0.25">
      <c r="A7" s="28">
        <f t="shared" ref="A7:A14" si="1">1+A6</f>
        <v>3</v>
      </c>
      <c r="B7" s="43">
        <f>'Policyholder cash flows'!J8</f>
        <v>7320.808925100001</v>
      </c>
      <c r="C7" s="43">
        <f>'Shareholder cash flows'!C12</f>
        <v>0</v>
      </c>
      <c r="D7" s="44">
        <f>-'Shareholder cash flows'!D12</f>
        <v>0</v>
      </c>
      <c r="E7" s="44">
        <f>-'Shareholder cash flows'!E12</f>
        <v>-36.72</v>
      </c>
      <c r="F7" s="44">
        <f>-'Shareholder cash flows'!F12</f>
        <v>-813.42321389999984</v>
      </c>
      <c r="G7" s="42">
        <f t="shared" si="0"/>
        <v>-850.14321389999986</v>
      </c>
    </row>
    <row r="8" spans="1:7" x14ac:dyDescent="0.25">
      <c r="A8" s="27">
        <f t="shared" si="1"/>
        <v>4</v>
      </c>
      <c r="B8" s="39">
        <f>'Policyholder cash flows'!J9</f>
        <v>6885.2207940565504</v>
      </c>
      <c r="C8" s="39">
        <f>'Shareholder cash flows'!C13</f>
        <v>0</v>
      </c>
      <c r="D8" s="40">
        <f>-'Shareholder cash flows'!D13</f>
        <v>0</v>
      </c>
      <c r="E8" s="40">
        <f>-'Shareholder cash flows'!E13</f>
        <v>-33.708959999999998</v>
      </c>
      <c r="F8" s="40">
        <f>-'Shareholder cash flows'!F13</f>
        <v>-765.02453267294993</v>
      </c>
      <c r="G8" s="38">
        <f t="shared" si="0"/>
        <v>-798.73349267294998</v>
      </c>
    </row>
    <row r="9" spans="1:7" x14ac:dyDescent="0.25">
      <c r="A9" s="28">
        <f t="shared" si="1"/>
        <v>5</v>
      </c>
      <c r="B9" s="43">
        <f>'Policyholder cash flows'!J10</f>
        <v>6475.5501568101854</v>
      </c>
      <c r="C9" s="43">
        <f>'Shareholder cash flows'!C14</f>
        <v>0</v>
      </c>
      <c r="D9" s="44">
        <f>-'Shareholder cash flows'!D14</f>
        <v>0</v>
      </c>
      <c r="E9" s="44">
        <f>-'Shareholder cash flows'!E14</f>
        <v>-30.94482528</v>
      </c>
      <c r="F9" s="44">
        <f>-'Shareholder cash flows'!F14</f>
        <v>-719.50557297891021</v>
      </c>
      <c r="G9" s="42">
        <f t="shared" si="0"/>
        <v>-750.45039825891024</v>
      </c>
    </row>
    <row r="10" spans="1:7" x14ac:dyDescent="0.25">
      <c r="A10" s="27">
        <f t="shared" si="1"/>
        <v>6</v>
      </c>
      <c r="B10" s="39">
        <f>'Policyholder cash flows'!J11</f>
        <v>6090.2549224799805</v>
      </c>
      <c r="C10" s="39">
        <f>'Shareholder cash flows'!C15</f>
        <v>0</v>
      </c>
      <c r="D10" s="40">
        <f>-'Shareholder cash flows'!D15</f>
        <v>0</v>
      </c>
      <c r="E10" s="40">
        <f>-'Shareholder cash flows'!E15</f>
        <v>-28.40734960704</v>
      </c>
      <c r="F10" s="40">
        <f>-'Shareholder cash flows'!F15</f>
        <v>-676.69499138666424</v>
      </c>
      <c r="G10" s="38">
        <f t="shared" si="0"/>
        <v>-705.10234099370427</v>
      </c>
    </row>
    <row r="11" spans="1:7" x14ac:dyDescent="0.25">
      <c r="A11" s="28">
        <f t="shared" si="1"/>
        <v>7</v>
      </c>
      <c r="B11" s="43">
        <f>'Policyholder cash flows'!J12</f>
        <v>5727.8847545924218</v>
      </c>
      <c r="C11" s="43">
        <f>'Shareholder cash flows'!C16</f>
        <v>0</v>
      </c>
      <c r="D11" s="44">
        <f>-'Shareholder cash flows'!D16</f>
        <v>0</v>
      </c>
      <c r="E11" s="44">
        <f>-'Shareholder cash flows'!E16</f>
        <v>-26.07794693926272</v>
      </c>
      <c r="F11" s="44">
        <f>-'Shareholder cash flows'!F16</f>
        <v>-636.4316393991586</v>
      </c>
      <c r="G11" s="42">
        <f t="shared" si="0"/>
        <v>-662.50958633842129</v>
      </c>
    </row>
    <row r="12" spans="1:7" x14ac:dyDescent="0.25">
      <c r="A12" s="27">
        <f t="shared" si="1"/>
        <v>8</v>
      </c>
      <c r="B12" s="39">
        <f>'Policyholder cash flows'!J13</f>
        <v>5387.0756116941729</v>
      </c>
      <c r="C12" s="39">
        <f>'Shareholder cash flows'!C17</f>
        <v>0</v>
      </c>
      <c r="D12" s="40">
        <f>-'Shareholder cash flows'!D17</f>
        <v>0</v>
      </c>
      <c r="E12" s="40">
        <f>-'Shareholder cash flows'!E17</f>
        <v>-23.939555290243177</v>
      </c>
      <c r="F12" s="40">
        <f>-'Shareholder cash flows'!F17</f>
        <v>-598.56395685490793</v>
      </c>
      <c r="G12" s="38">
        <f t="shared" si="0"/>
        <v>-622.50351214515115</v>
      </c>
    </row>
    <row r="13" spans="1:7" x14ac:dyDescent="0.25">
      <c r="A13" s="28">
        <f t="shared" si="1"/>
        <v>9</v>
      </c>
      <c r="B13" s="43">
        <f>'Policyholder cash flows'!J14</f>
        <v>5066.5446127983696</v>
      </c>
      <c r="C13" s="43">
        <f>'Shareholder cash flows'!C18</f>
        <v>0</v>
      </c>
      <c r="D13" s="44">
        <f>-'Shareholder cash flows'!D18</f>
        <v>0</v>
      </c>
      <c r="E13" s="44">
        <f>-'Shareholder cash flows'!E18</f>
        <v>-21.976511756443234</v>
      </c>
      <c r="F13" s="44">
        <f>-'Shareholder cash flows'!F18</f>
        <v>-562.94940142204098</v>
      </c>
      <c r="G13" s="42">
        <f t="shared" si="0"/>
        <v>-584.92591317848417</v>
      </c>
    </row>
    <row r="14" spans="1:7" x14ac:dyDescent="0.25">
      <c r="A14" s="29">
        <f t="shared" si="1"/>
        <v>10</v>
      </c>
      <c r="B14" s="47">
        <f>'Policyholder cash flows'!J15</f>
        <v>0</v>
      </c>
      <c r="C14" s="47">
        <f>'Shareholder cash flows'!C19</f>
        <v>0</v>
      </c>
      <c r="D14" s="48">
        <f>-'Shareholder cash flows'!D19</f>
        <v>0</v>
      </c>
      <c r="E14" s="48">
        <f>-'Shareholder cash flows'!E19</f>
        <v>-20.174437792414892</v>
      </c>
      <c r="F14" s="48">
        <f>-'Shareholder cash flows'!F19</f>
        <v>-5294.5391203742956</v>
      </c>
      <c r="G14" s="46">
        <f t="shared" si="0"/>
        <v>-5314.7135581667108</v>
      </c>
    </row>
    <row r="20" spans="1:13" x14ac:dyDescent="0.25">
      <c r="A20" s="12" t="s">
        <v>99</v>
      </c>
      <c r="B20" s="12"/>
    </row>
    <row r="21" spans="1:13" ht="15" customHeight="1" x14ac:dyDescent="0.25"/>
    <row r="22" spans="1:13" x14ac:dyDescent="0.25">
      <c r="A22" s="12" t="s">
        <v>86</v>
      </c>
      <c r="H22" s="12" t="s">
        <v>87</v>
      </c>
    </row>
    <row r="24" spans="1:13" x14ac:dyDescent="0.25">
      <c r="A24" s="85" t="s">
        <v>14</v>
      </c>
      <c r="B24" s="87" t="s">
        <v>33</v>
      </c>
      <c r="C24" s="83" t="s">
        <v>31</v>
      </c>
      <c r="D24" s="83" t="s">
        <v>34</v>
      </c>
      <c r="E24" s="83" t="s">
        <v>25</v>
      </c>
      <c r="H24" s="85" t="s">
        <v>14</v>
      </c>
      <c r="I24" s="87" t="s">
        <v>33</v>
      </c>
      <c r="J24" s="83" t="s">
        <v>31</v>
      </c>
      <c r="K24" s="83" t="s">
        <v>34</v>
      </c>
      <c r="L24" s="83" t="s">
        <v>25</v>
      </c>
    </row>
    <row r="25" spans="1:13" x14ac:dyDescent="0.25">
      <c r="A25" s="86"/>
      <c r="B25" s="88"/>
      <c r="C25" s="84"/>
      <c r="D25" s="84"/>
      <c r="E25" s="84" t="s">
        <v>25</v>
      </c>
      <c r="H25" s="86"/>
      <c r="I25" s="88"/>
      <c r="J25" s="84"/>
      <c r="K25" s="84"/>
      <c r="L25" s="84" t="s">
        <v>25</v>
      </c>
    </row>
    <row r="26" spans="1:13" x14ac:dyDescent="0.25">
      <c r="A26" s="50">
        <v>1</v>
      </c>
      <c r="B26" s="35">
        <f>'Liability and profit'!B8</f>
        <v>7808.3145401776728</v>
      </c>
      <c r="C26" s="35">
        <f>'Liability and profit'!C8+ Investment_rate*'Liability and profit'!E7</f>
        <v>576</v>
      </c>
      <c r="D26" s="36">
        <f>B26</f>
        <v>7808.3145401776728</v>
      </c>
      <c r="E26" s="37">
        <f>'Shareholder cash flows'!G10+C26-D26</f>
        <v>298.58545982232772</v>
      </c>
      <c r="H26" s="50">
        <v>1</v>
      </c>
      <c r="I26" s="35">
        <f>'Liability and profit'!D30</f>
        <v>8053.6929886952603</v>
      </c>
      <c r="J26" s="36">
        <f>'Liability and profit'!E30</f>
        <v>576</v>
      </c>
      <c r="K26" s="36">
        <f>I26</f>
        <v>8053.6929886952603</v>
      </c>
      <c r="L26" s="37">
        <f>'Shareholder cash flows'!G10+J26-K26</f>
        <v>53.207011304740263</v>
      </c>
      <c r="M26" s="26"/>
    </row>
    <row r="27" spans="1:13" x14ac:dyDescent="0.25">
      <c r="A27" s="31">
        <f>1+A26</f>
        <v>2</v>
      </c>
      <c r="B27" s="39">
        <f>'Liability and profit'!B9</f>
        <v>7369.5296125883324</v>
      </c>
      <c r="C27" s="39">
        <f>'Liability and profit'!C9</f>
        <v>466.09887241066036</v>
      </c>
      <c r="D27" s="40">
        <f>B27-B26</f>
        <v>-438.78492758934044</v>
      </c>
      <c r="E27" s="41">
        <f>'Shareholder cash flows'!G11+C27-D27</f>
        <v>0</v>
      </c>
      <c r="H27" s="31">
        <f>1+H26</f>
        <v>2</v>
      </c>
      <c r="I27" s="39">
        <f>'Liability and profit'!D31</f>
        <v>7585.1497065662134</v>
      </c>
      <c r="J27" s="40">
        <f>'Liability and profit'!E31</f>
        <v>480.8215793217156</v>
      </c>
      <c r="K27" s="40">
        <f>I27-I26</f>
        <v>-468.54328212904693</v>
      </c>
      <c r="L27" s="41">
        <f>'Shareholder cash flows'!G11+J27-K27</f>
        <v>44.481061450761558</v>
      </c>
      <c r="M27" s="26" t="s">
        <v>42</v>
      </c>
    </row>
    <row r="28" spans="1:13" x14ac:dyDescent="0.25">
      <c r="A28" s="32">
        <f t="shared" ref="A28:A35" si="2">1+A27</f>
        <v>3</v>
      </c>
      <c r="B28" s="43">
        <f>'Liability and profit'!B10</f>
        <v>6959.3549754436326</v>
      </c>
      <c r="C28" s="43">
        <f>'Liability and profit'!C10</f>
        <v>439.96857675529992</v>
      </c>
      <c r="D28" s="44">
        <f t="shared" ref="D28:D35" si="3">B28-B27</f>
        <v>-410.17463714469977</v>
      </c>
      <c r="E28" s="45">
        <f>'Shareholder cash flows'!G12+C28-D28</f>
        <v>0</v>
      </c>
      <c r="H28" s="32">
        <f t="shared" ref="H28:H35" si="4">1+H27</f>
        <v>3</v>
      </c>
      <c r="I28" s="43">
        <f>'Liability and profit'!D32</f>
        <v>7146.0778367657449</v>
      </c>
      <c r="J28" s="44">
        <f>'Liability and profit'!E32</f>
        <v>452.90578239397274</v>
      </c>
      <c r="K28" s="44">
        <f t="shared" ref="K28:K35" si="5">I28-I27</f>
        <v>-439.07186980046845</v>
      </c>
      <c r="L28" s="45">
        <f>'Shareholder cash flows'!G12+J28-K28</f>
        <v>41.834438294441327</v>
      </c>
      <c r="M28" s="26" t="s">
        <v>42</v>
      </c>
    </row>
    <row r="29" spans="1:13" x14ac:dyDescent="0.25">
      <c r="A29" s="31">
        <f t="shared" si="2"/>
        <v>4</v>
      </c>
      <c r="B29" s="39">
        <f>'Liability and profit'!B11</f>
        <v>6576.1602436973008</v>
      </c>
      <c r="C29" s="39">
        <f>'Liability and profit'!C11</f>
        <v>415.53876092661795</v>
      </c>
      <c r="D29" s="40">
        <f t="shared" si="3"/>
        <v>-383.19473174633185</v>
      </c>
      <c r="E29" s="41">
        <f>'Shareholder cash flows'!G13+C29-D29</f>
        <v>0</v>
      </c>
      <c r="H29" s="31">
        <f t="shared" si="4"/>
        <v>4</v>
      </c>
      <c r="I29" s="39">
        <f>'Liability and profit'!D33</f>
        <v>6734.7411874828167</v>
      </c>
      <c r="J29" s="40">
        <f>'Liability and profit'!E33</f>
        <v>426.74213260594468</v>
      </c>
      <c r="K29" s="40">
        <f t="shared" si="5"/>
        <v>-411.33664928292819</v>
      </c>
      <c r="L29" s="41">
        <f>'Shareholder cash flows'!G13+J29-K29</f>
        <v>39.34528921592289</v>
      </c>
      <c r="M29" s="26" t="s">
        <v>42</v>
      </c>
    </row>
    <row r="30" spans="1:13" x14ac:dyDescent="0.25">
      <c r="A30" s="32">
        <f t="shared" si="2"/>
        <v>5</v>
      </c>
      <c r="B30" s="43">
        <f>'Liability and profit'!B12</f>
        <v>6218.4227705434287</v>
      </c>
      <c r="C30" s="43">
        <f>'Liability and profit'!C12</f>
        <v>392.71292510503804</v>
      </c>
      <c r="D30" s="44">
        <f t="shared" si="3"/>
        <v>-357.73747315387209</v>
      </c>
      <c r="E30" s="45">
        <f>'Shareholder cash flows'!G14+C30-D30</f>
        <v>0</v>
      </c>
      <c r="H30" s="32">
        <f t="shared" si="4"/>
        <v>5</v>
      </c>
      <c r="I30" s="43">
        <f>'Liability and profit'!D34</f>
        <v>6349.5143264485005</v>
      </c>
      <c r="J30" s="44">
        <f>'Liability and profit'!E34</f>
        <v>402.22778173216898</v>
      </c>
      <c r="K30" s="44">
        <f t="shared" si="5"/>
        <v>-385.22686103431624</v>
      </c>
      <c r="L30" s="45">
        <f>'Shareholder cash flows'!G14+J30-K30</f>
        <v>37.004244507574981</v>
      </c>
      <c r="M30" s="26" t="s">
        <v>42</v>
      </c>
    </row>
    <row r="31" spans="1:13" x14ac:dyDescent="0.25">
      <c r="A31" s="31">
        <f t="shared" si="2"/>
        <v>6</v>
      </c>
      <c r="B31" s="39">
        <f>'Liability and profit'!B13</f>
        <v>5884.721354805909</v>
      </c>
      <c r="C31" s="39">
        <f>'Liability and profit'!C13</f>
        <v>371.40092525618331</v>
      </c>
      <c r="D31" s="40">
        <f t="shared" si="3"/>
        <v>-333.70141573751971</v>
      </c>
      <c r="E31" s="41">
        <f>'Shareholder cash flows'!G15+C31-D31</f>
        <v>-1.2505552149377763E-12</v>
      </c>
      <c r="H31" s="31">
        <f t="shared" si="4"/>
        <v>6</v>
      </c>
      <c r="I31" s="39">
        <f>'Liability and profit'!D35</f>
        <v>5988.8759121059111</v>
      </c>
      <c r="J31" s="40">
        <f>'Liability and profit'!E35</f>
        <v>379.26641861048762</v>
      </c>
      <c r="K31" s="40">
        <f t="shared" si="5"/>
        <v>-360.63841434258939</v>
      </c>
      <c r="L31" s="41">
        <f>'Shareholder cash flows'!G15+J31-K31</f>
        <v>34.80249195937273</v>
      </c>
      <c r="M31" s="26" t="s">
        <v>42</v>
      </c>
    </row>
    <row r="32" spans="1:13" x14ac:dyDescent="0.25">
      <c r="A32" s="32">
        <f t="shared" si="2"/>
        <v>7</v>
      </c>
      <c r="B32" s="43">
        <f>'Liability and profit'!B14</f>
        <v>5573.7303729394871</v>
      </c>
      <c r="C32" s="43">
        <f>'Liability and profit'!C14</f>
        <v>351.51860447199874</v>
      </c>
      <c r="D32" s="44">
        <f t="shared" si="3"/>
        <v>-310.99098186642186</v>
      </c>
      <c r="E32" s="45">
        <f>'Shareholder cash flows'!G16+C32-D32</f>
        <v>-6.8212102632969618E-13</v>
      </c>
      <c r="H32" s="32">
        <f t="shared" si="4"/>
        <v>7</v>
      </c>
      <c r="I32" s="43">
        <f>'Liability and profit'!D36</f>
        <v>5651.4024599896975</v>
      </c>
      <c r="J32" s="44">
        <f>'Liability and profit'!E36</f>
        <v>357.7678779099989</v>
      </c>
      <c r="K32" s="44">
        <f t="shared" si="5"/>
        <v>-337.47345211621359</v>
      </c>
      <c r="L32" s="45">
        <f>'Shareholder cash flows'!G16+J32-K32</f>
        <v>32.731743687791209</v>
      </c>
      <c r="M32" s="26" t="s">
        <v>42</v>
      </c>
    </row>
    <row r="33" spans="1:13" x14ac:dyDescent="0.25">
      <c r="A33" s="31">
        <f t="shared" si="2"/>
        <v>8</v>
      </c>
      <c r="B33" s="39">
        <f>'Liability and profit'!B15</f>
        <v>5284.2143098532906</v>
      </c>
      <c r="C33" s="39">
        <f>'Liability and profit'!C15</f>
        <v>332.98744905895461</v>
      </c>
      <c r="D33" s="40">
        <f t="shared" si="3"/>
        <v>-289.51606308619648</v>
      </c>
      <c r="E33" s="41">
        <f>'Shareholder cash flows'!G17+C33-D33</f>
        <v>0</v>
      </c>
      <c r="H33" s="31">
        <f t="shared" si="4"/>
        <v>8</v>
      </c>
      <c r="I33" s="39">
        <f>'Liability and profit'!D37</f>
        <v>5335.7625171881455</v>
      </c>
      <c r="J33" s="40">
        <f>'Liability and profit'!E37</f>
        <v>337.64777428196726</v>
      </c>
      <c r="K33" s="40">
        <f t="shared" si="5"/>
        <v>-315.63994280155202</v>
      </c>
      <c r="L33" s="41">
        <f>'Shareholder cash flows'!G17+J33-K33</f>
        <v>30.784204938368134</v>
      </c>
      <c r="M33" s="26" t="s">
        <v>42</v>
      </c>
    </row>
    <row r="34" spans="1:13" x14ac:dyDescent="0.25">
      <c r="A34" s="32">
        <f t="shared" si="2"/>
        <v>9</v>
      </c>
      <c r="B34" s="43">
        <f>'Liability and profit'!B16</f>
        <v>5015.0226645606181</v>
      </c>
      <c r="C34" s="43">
        <f>'Liability and profit'!C16</f>
        <v>315.73426788581082</v>
      </c>
      <c r="D34" s="44">
        <f t="shared" si="3"/>
        <v>-269.19164529267255</v>
      </c>
      <c r="E34" s="45">
        <f>'Shareholder cash flows'!G18+C34-D34</f>
        <v>-7.9580786405131221E-13</v>
      </c>
      <c r="H34" s="32">
        <f t="shared" si="4"/>
        <v>9</v>
      </c>
      <c r="I34" s="43">
        <f>'Liability and profit'!D38</f>
        <v>5040.7112195910286</v>
      </c>
      <c r="J34" s="44">
        <f>'Liability and profit'!E38</f>
        <v>318.82716032590213</v>
      </c>
      <c r="K34" s="44">
        <f t="shared" si="5"/>
        <v>-295.0512975971169</v>
      </c>
      <c r="L34" s="45">
        <f>'Shareholder cash flows'!G18+J34-K34</f>
        <v>28.952544744534862</v>
      </c>
      <c r="M34" s="26" t="s">
        <v>42</v>
      </c>
    </row>
    <row r="35" spans="1:13" x14ac:dyDescent="0.25">
      <c r="A35" s="33">
        <f t="shared" si="2"/>
        <v>10</v>
      </c>
      <c r="B35" s="47">
        <f>'Liability and profit'!B17</f>
        <v>0</v>
      </c>
      <c r="C35" s="47">
        <f>'Liability and profit'!C17</f>
        <v>299.69089360609217</v>
      </c>
      <c r="D35" s="48">
        <f t="shared" si="3"/>
        <v>-5015.0226645606181</v>
      </c>
      <c r="E35" s="49">
        <f>'Shareholder cash flows'!G19+C35-D35</f>
        <v>0</v>
      </c>
      <c r="H35" s="33">
        <f t="shared" si="4"/>
        <v>10</v>
      </c>
      <c r="I35" s="47">
        <f>'Liability and profit'!D39</f>
        <v>0</v>
      </c>
      <c r="J35" s="48">
        <f>'Liability and profit'!E39</f>
        <v>301.2322069079168</v>
      </c>
      <c r="K35" s="48">
        <f t="shared" si="5"/>
        <v>-5040.7112195910286</v>
      </c>
      <c r="L35" s="49">
        <f>'Shareholder cash flows'!G19+J35-K35</f>
        <v>27.229868332234219</v>
      </c>
      <c r="M35" s="26" t="s">
        <v>42</v>
      </c>
    </row>
    <row r="36" spans="1:13" x14ac:dyDescent="0.25">
      <c r="E36" s="59" t="s">
        <v>42</v>
      </c>
      <c r="L36" s="59" t="s">
        <v>42</v>
      </c>
      <c r="M36" s="26" t="s">
        <v>42</v>
      </c>
    </row>
    <row r="38" spans="1:13" x14ac:dyDescent="0.25">
      <c r="A38" s="12" t="s">
        <v>88</v>
      </c>
      <c r="H38" s="12" t="s">
        <v>100</v>
      </c>
    </row>
    <row r="40" spans="1:13" x14ac:dyDescent="0.25">
      <c r="A40" s="85" t="s">
        <v>14</v>
      </c>
      <c r="B40" s="87" t="s">
        <v>33</v>
      </c>
      <c r="C40" s="83" t="s">
        <v>31</v>
      </c>
      <c r="D40" s="83" t="s">
        <v>34</v>
      </c>
      <c r="E40" s="83" t="s">
        <v>25</v>
      </c>
      <c r="H40" s="85" t="s">
        <v>14</v>
      </c>
      <c r="I40" s="87" t="s">
        <v>33</v>
      </c>
      <c r="J40" s="83" t="s">
        <v>31</v>
      </c>
      <c r="K40" s="83" t="s">
        <v>34</v>
      </c>
      <c r="L40" s="83" t="s">
        <v>25</v>
      </c>
    </row>
    <row r="41" spans="1:13" x14ac:dyDescent="0.25">
      <c r="A41" s="86"/>
      <c r="B41" s="88"/>
      <c r="C41" s="84"/>
      <c r="D41" s="84"/>
      <c r="E41" s="84" t="s">
        <v>25</v>
      </c>
      <c r="H41" s="86"/>
      <c r="I41" s="88"/>
      <c r="J41" s="84"/>
      <c r="K41" s="84"/>
      <c r="L41" s="84" t="s">
        <v>25</v>
      </c>
    </row>
    <row r="42" spans="1:13" x14ac:dyDescent="0.25">
      <c r="A42" s="50">
        <v>1</v>
      </c>
      <c r="B42" s="35">
        <f>'Liability and profit'!B56</f>
        <v>8276.4000000000015</v>
      </c>
      <c r="C42" s="36">
        <f>'Liability and profit'!C56 +'Liability and profit'!E55*Investment_rate</f>
        <v>576</v>
      </c>
      <c r="D42" s="36">
        <f>B42</f>
        <v>8276.4000000000015</v>
      </c>
      <c r="E42" s="37">
        <f>'Shareholder cash flows'!G10+C42-D42</f>
        <v>-169.50000000000091</v>
      </c>
      <c r="F42" s="26" t="s">
        <v>42</v>
      </c>
      <c r="H42" s="50">
        <v>1</v>
      </c>
      <c r="I42" s="36">
        <f>'Liability and profit'!E76</f>
        <v>8102.1777484654385</v>
      </c>
      <c r="J42" s="36">
        <f>'Liability and profit'!F76+'Liability and profit'!H75*Investment_rate</f>
        <v>576</v>
      </c>
      <c r="K42" s="36">
        <f>I42</f>
        <v>8102.1777484654385</v>
      </c>
      <c r="L42" s="37">
        <f>'Shareholder cash flows'!G10+Tables!J42-K42</f>
        <v>4.7222515345620195</v>
      </c>
    </row>
    <row r="43" spans="1:13" x14ac:dyDescent="0.25">
      <c r="A43" s="31">
        <f>1+A42</f>
        <v>2</v>
      </c>
      <c r="B43" s="39">
        <f>'Liability and profit'!B57</f>
        <v>7783.9542000000001</v>
      </c>
      <c r="C43" s="40">
        <f>'Liability and profit'!C57</f>
        <v>494.18400000000008</v>
      </c>
      <c r="D43" s="40">
        <f>B43-B42</f>
        <v>-492.44580000000133</v>
      </c>
      <c r="E43" s="41">
        <f>'Shareholder cash flows'!G11+C43-D43</f>
        <v>81.746000000000436</v>
      </c>
      <c r="F43" s="26" t="s">
        <v>42</v>
      </c>
      <c r="H43" s="31">
        <f>1+H42</f>
        <v>2</v>
      </c>
      <c r="I43" s="40">
        <f>'Liability and profit'!E77</f>
        <v>7630.8608110904688</v>
      </c>
      <c r="J43" s="40">
        <f>'Liability and profit'!F77</f>
        <v>483.73066490792627</v>
      </c>
      <c r="K43" s="40">
        <f>I43-I42</f>
        <v>-471.31693737496971</v>
      </c>
      <c r="L43" s="41">
        <f>'Shareholder cash flows'!G11+Tables!J43-K43</f>
        <v>50.163802282895006</v>
      </c>
    </row>
    <row r="44" spans="1:13" x14ac:dyDescent="0.25">
      <c r="A44" s="32">
        <f t="shared" ref="A44:A51" si="6">1+A43</f>
        <v>3</v>
      </c>
      <c r="B44" s="43">
        <f>'Liability and profit'!B58</f>
        <v>7320.808925100001</v>
      </c>
      <c r="C44" s="44">
        <f>'Liability and profit'!C58</f>
        <v>464.83405199999999</v>
      </c>
      <c r="D44" s="44">
        <f t="shared" ref="D44:D51" si="7">B44-B43</f>
        <v>-463.14527489999909</v>
      </c>
      <c r="E44" s="45">
        <f>'Shareholder cash flows'!G12+C44-D44</f>
        <v>77.836112999999216</v>
      </c>
      <c r="F44" s="26" t="s">
        <v>42</v>
      </c>
      <c r="H44" s="32">
        <f t="shared" ref="H44:H51" si="8">1+H43</f>
        <v>3</v>
      </c>
      <c r="I44" s="44">
        <f>'Liability and profit'!E78</f>
        <v>7188.2329898088356</v>
      </c>
      <c r="J44" s="44">
        <f>'Liability and profit'!F78</f>
        <v>455.64844866542808</v>
      </c>
      <c r="K44" s="44">
        <f t="shared" ref="K44:K51" si="9">I44-I43</f>
        <v>-442.62782128163326</v>
      </c>
      <c r="L44" s="45">
        <f>'Shareholder cash flows'!G12+Tables!J44-K44</f>
        <v>48.133056047061473</v>
      </c>
    </row>
    <row r="45" spans="1:13" x14ac:dyDescent="0.25">
      <c r="A45" s="31">
        <f t="shared" si="6"/>
        <v>4</v>
      </c>
      <c r="B45" s="39">
        <f>'Liability and profit'!B59</f>
        <v>6885.2207940565504</v>
      </c>
      <c r="C45" s="40">
        <f>'Liability and profit'!C59</f>
        <v>437.22599790600003</v>
      </c>
      <c r="D45" s="40">
        <f t="shared" si="7"/>
        <v>-435.58813104345063</v>
      </c>
      <c r="E45" s="41">
        <f>'Shareholder cash flows'!G13+C45-D45</f>
        <v>74.080636276500684</v>
      </c>
      <c r="F45" s="26" t="s">
        <v>42</v>
      </c>
      <c r="H45" s="31">
        <f t="shared" si="8"/>
        <v>4</v>
      </c>
      <c r="I45" s="40">
        <f>'Liability and profit'!E79</f>
        <v>6772.6260277121528</v>
      </c>
      <c r="J45" s="40">
        <f>'Liability and profit'!F79</f>
        <v>429.27144178853013</v>
      </c>
      <c r="K45" s="40">
        <f t="shared" si="9"/>
        <v>-415.60696209668276</v>
      </c>
      <c r="L45" s="41">
        <f>'Shareholder cash flows'!G13+Tables!J45-K45</f>
        <v>46.144911212262912</v>
      </c>
    </row>
    <row r="46" spans="1:13" x14ac:dyDescent="0.25">
      <c r="A46" s="32">
        <f t="shared" si="6"/>
        <v>5</v>
      </c>
      <c r="B46" s="43">
        <f>'Liability and profit'!B60</f>
        <v>6475.5501568101854</v>
      </c>
      <c r="C46" s="44">
        <f>'Liability and profit'!C60</f>
        <v>411.25655812659301</v>
      </c>
      <c r="D46" s="44">
        <f t="shared" si="7"/>
        <v>-409.670637246365</v>
      </c>
      <c r="E46" s="45">
        <f>'Shareholder cash flows'!G14+C46-D46</f>
        <v>70.47679711404777</v>
      </c>
      <c r="F46" s="26" t="s">
        <v>42</v>
      </c>
      <c r="H46" s="32">
        <f t="shared" si="8"/>
        <v>5</v>
      </c>
      <c r="I46" s="44">
        <f>'Liability and profit'!E80</f>
        <v>6382.4732539080396</v>
      </c>
      <c r="J46" s="44">
        <f>'Liability and profit'!F80</f>
        <v>404.50087214592912</v>
      </c>
      <c r="K46" s="44">
        <f t="shared" si="9"/>
        <v>-390.15277380411317</v>
      </c>
      <c r="L46" s="45">
        <f>'Shareholder cash flows'!G14+Tables!J46-K46</f>
        <v>44.203247691132049</v>
      </c>
    </row>
    <row r="47" spans="1:13" x14ac:dyDescent="0.25">
      <c r="A47" s="31">
        <f t="shared" si="6"/>
        <v>6</v>
      </c>
      <c r="B47" s="39">
        <f>'Liability and profit'!B61</f>
        <v>6090.2549224799805</v>
      </c>
      <c r="C47" s="40">
        <f>'Liability and profit'!C61</f>
        <v>386.82856843218872</v>
      </c>
      <c r="D47" s="40">
        <f t="shared" si="7"/>
        <v>-385.29523433020495</v>
      </c>
      <c r="E47" s="41">
        <f>'Shareholder cash flows'!G15+C47-D47</f>
        <v>67.021461768689392</v>
      </c>
      <c r="F47" s="26" t="s">
        <v>42</v>
      </c>
      <c r="H47" s="31">
        <f t="shared" si="8"/>
        <v>6</v>
      </c>
      <c r="I47" s="40">
        <f>'Liability and profit'!E81</f>
        <v>6016.303678635958</v>
      </c>
      <c r="J47" s="40">
        <f>'Liability and profit'!F81</f>
        <v>381.24395425806</v>
      </c>
      <c r="K47" s="40">
        <f t="shared" si="9"/>
        <v>-366.1695752720816</v>
      </c>
      <c r="L47" s="41">
        <f>'Shareholder cash flows'!G15+Tables!J47-K47</f>
        <v>42.311188536437328</v>
      </c>
    </row>
    <row r="48" spans="1:13" x14ac:dyDescent="0.25">
      <c r="A48" s="32">
        <f t="shared" si="6"/>
        <v>7</v>
      </c>
      <c r="B48" s="43">
        <f>'Liability and profit'!B62</f>
        <v>5727.8847545924218</v>
      </c>
      <c r="C48" s="44">
        <f>'Liability and profit'!C62</f>
        <v>363.85061853244304</v>
      </c>
      <c r="D48" s="44">
        <f t="shared" si="7"/>
        <v>-362.37016788755864</v>
      </c>
      <c r="E48" s="45">
        <f>'Shareholder cash flows'!G16+C48-D48</f>
        <v>63.711200081580387</v>
      </c>
      <c r="F48" s="26" t="s">
        <v>42</v>
      </c>
      <c r="H48" s="32">
        <f t="shared" si="8"/>
        <v>7</v>
      </c>
      <c r="I48" s="44">
        <f>'Liability and profit'!E82</f>
        <v>5672.7364480926917</v>
      </c>
      <c r="J48" s="44">
        <f>'Liability and profit'!F82</f>
        <v>359.41354390180169</v>
      </c>
      <c r="K48" s="44">
        <f t="shared" si="9"/>
        <v>-343.56723054326631</v>
      </c>
      <c r="L48" s="45">
        <f>'Shareholder cash flows'!G16+Tables!J48-K48</f>
        <v>40.471188106646707</v>
      </c>
    </row>
    <row r="49" spans="1:12" x14ac:dyDescent="0.25">
      <c r="A49" s="31">
        <f t="shared" si="6"/>
        <v>8</v>
      </c>
      <c r="B49" s="39">
        <f>'Liability and profit'!B63</f>
        <v>5387.0756116941729</v>
      </c>
      <c r="C49" s="40">
        <f>'Liability and profit'!C63</f>
        <v>342.23671195813068</v>
      </c>
      <c r="D49" s="40">
        <f t="shared" si="7"/>
        <v>-340.80914289824887</v>
      </c>
      <c r="E49" s="41">
        <f>'Shareholder cash flows'!G17+C49-D49</f>
        <v>60.5423427112284</v>
      </c>
      <c r="F49" s="26" t="s">
        <v>43</v>
      </c>
      <c r="H49" s="31">
        <f t="shared" si="8"/>
        <v>8</v>
      </c>
      <c r="I49" s="40">
        <f>'Liability and profit'!E83</f>
        <v>5350.4756380668841</v>
      </c>
      <c r="J49" s="40">
        <f>'Liability and profit'!F83</f>
        <v>338.92781356814692</v>
      </c>
      <c r="K49" s="40">
        <f t="shared" si="9"/>
        <v>-322.26081002580759</v>
      </c>
      <c r="L49" s="41">
        <f>'Shareholder cash flows'!G17+Tables!J49-K49</f>
        <v>38.685111448803355</v>
      </c>
    </row>
    <row r="50" spans="1:12" x14ac:dyDescent="0.25">
      <c r="A50" s="32">
        <f t="shared" si="6"/>
        <v>9</v>
      </c>
      <c r="B50" s="43">
        <f>'Liability and profit'!B64</f>
        <v>5066.5446127983696</v>
      </c>
      <c r="C50" s="44">
        <f>'Liability and profit'!C64</f>
        <v>321.90594599626377</v>
      </c>
      <c r="D50" s="44">
        <f t="shared" si="7"/>
        <v>-320.53099889580335</v>
      </c>
      <c r="E50" s="45">
        <f>'Shareholder cash flows'!G18+C50-D50</f>
        <v>57.511031713582952</v>
      </c>
      <c r="F50" s="26" t="s">
        <v>42</v>
      </c>
      <c r="H50" s="32">
        <f t="shared" si="8"/>
        <v>9</v>
      </c>
      <c r="I50" s="44">
        <f>'Liability and profit'!E84</f>
        <v>5048.3053667557533</v>
      </c>
      <c r="J50" s="44">
        <f>'Liability and profit'!F84</f>
        <v>319.70994757862644</v>
      </c>
      <c r="K50" s="44">
        <f t="shared" si="9"/>
        <v>-302.17027131113082</v>
      </c>
      <c r="L50" s="45">
        <f>'Shareholder cash flows'!G18+Tables!J50-K50</f>
        <v>36.954305711273093</v>
      </c>
    </row>
    <row r="51" spans="1:12" x14ac:dyDescent="0.25">
      <c r="A51" s="33">
        <f t="shared" si="6"/>
        <v>10</v>
      </c>
      <c r="B51" s="47">
        <f>'Liability and profit'!B65</f>
        <v>0</v>
      </c>
      <c r="C51" s="48">
        <f>'Liability and profit'!C65</f>
        <v>302.78221050035728</v>
      </c>
      <c r="D51" s="48">
        <f t="shared" si="7"/>
        <v>-5066.5446127983696</v>
      </c>
      <c r="E51" s="49">
        <f>'Shareholder cash flows'!G19+C51-D51</f>
        <v>54.61326513201584</v>
      </c>
      <c r="F51" s="26" t="s">
        <v>42</v>
      </c>
      <c r="H51" s="33">
        <f t="shared" si="8"/>
        <v>10</v>
      </c>
      <c r="I51" s="48">
        <f>'Liability and profit'!E85</f>
        <v>-4.2632564145606011E-14</v>
      </c>
      <c r="J51" s="48">
        <f>'Liability and profit'!F85</f>
        <v>301.68785573780031</v>
      </c>
      <c r="K51" s="48">
        <f t="shared" si="9"/>
        <v>-5048.3053667557533</v>
      </c>
      <c r="L51" s="49">
        <f>'Shareholder cash flows'!G19+Tables!J51-K51</f>
        <v>35.279664326842976</v>
      </c>
    </row>
    <row r="52" spans="1:12" x14ac:dyDescent="0.25">
      <c r="E52" s="59" t="s">
        <v>42</v>
      </c>
      <c r="F52" s="26" t="s">
        <v>42</v>
      </c>
      <c r="L52" s="59" t="s">
        <v>42</v>
      </c>
    </row>
  </sheetData>
  <mergeCells count="27">
    <mergeCell ref="F3:F4"/>
    <mergeCell ref="G3:G4"/>
    <mergeCell ref="A24:A25"/>
    <mergeCell ref="B24:B25"/>
    <mergeCell ref="C24:C25"/>
    <mergeCell ref="D24:D25"/>
    <mergeCell ref="A3:A4"/>
    <mergeCell ref="B3:B4"/>
    <mergeCell ref="C3:C4"/>
    <mergeCell ref="D3:D4"/>
    <mergeCell ref="E3:E4"/>
    <mergeCell ref="L24:L25"/>
    <mergeCell ref="A40:A41"/>
    <mergeCell ref="B40:B41"/>
    <mergeCell ref="C40:C41"/>
    <mergeCell ref="D40:D41"/>
    <mergeCell ref="E40:E41"/>
    <mergeCell ref="H40:H41"/>
    <mergeCell ref="I40:I41"/>
    <mergeCell ref="J40:J41"/>
    <mergeCell ref="K40:K41"/>
    <mergeCell ref="L40:L41"/>
    <mergeCell ref="E24:E25"/>
    <mergeCell ref="H24:H25"/>
    <mergeCell ref="I24:I25"/>
    <mergeCell ref="J24:J25"/>
    <mergeCell ref="K24:K2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23</vt:i4>
      </vt:variant>
    </vt:vector>
  </HeadingPairs>
  <TitlesOfParts>
    <vt:vector size="31" baseType="lpstr">
      <vt:lpstr>Notes</vt:lpstr>
      <vt:lpstr>Data</vt:lpstr>
      <vt:lpstr>Assumptions</vt:lpstr>
      <vt:lpstr>Decrements</vt:lpstr>
      <vt:lpstr>Shareholder cash flows</vt:lpstr>
      <vt:lpstr>Policyholder cash flows</vt:lpstr>
      <vt:lpstr>Liability and profit</vt:lpstr>
      <vt:lpstr>Tables</vt:lpstr>
      <vt:lpstr>Age</vt:lpstr>
      <vt:lpstr>Annual_premium</vt:lpstr>
      <vt:lpstr>CB1_factor</vt:lpstr>
      <vt:lpstr>CB2_factor</vt:lpstr>
      <vt:lpstr>DAC_margin</vt:lpstr>
      <vt:lpstr>Decrement</vt:lpstr>
      <vt:lpstr>Discount_rate</vt:lpstr>
      <vt:lpstr>Entry_fee</vt:lpstr>
      <vt:lpstr>IA95_97UltM</vt:lpstr>
      <vt:lpstr>IC_rate</vt:lpstr>
      <vt:lpstr>Inflation</vt:lpstr>
      <vt:lpstr>Initial_comm_rate</vt:lpstr>
      <vt:lpstr>Initial_expense</vt:lpstr>
      <vt:lpstr>Invesment_Fee</vt:lpstr>
      <vt:lpstr>Investment_Fee</vt:lpstr>
      <vt:lpstr>Investment_rate</vt:lpstr>
      <vt:lpstr>lapse_rates</vt:lpstr>
      <vt:lpstr>Profit_margin</vt:lpstr>
      <vt:lpstr>RC_rate</vt:lpstr>
      <vt:lpstr>Renewal_comm_rate</vt:lpstr>
      <vt:lpstr>Renewal_expense</vt:lpstr>
      <vt:lpstr>Single_premium</vt:lpstr>
      <vt:lpstr>Sum_Insured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Vincent Zhu</cp:lastModifiedBy>
  <dcterms:created xsi:type="dcterms:W3CDTF">2018-12-13T02:59:47Z</dcterms:created>
  <dcterms:modified xsi:type="dcterms:W3CDTF">2020-08-13T12:42:36Z</dcterms:modified>
</cp:coreProperties>
</file>