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DUCATION\2019\Part III\Semester 2\Exams\Exam Questions and Solutions\C2B\4. FINAL\Marking Guide\"/>
    </mc:Choice>
  </mc:AlternateContent>
  <xr:revisionPtr revIDLastSave="0" documentId="13_ncr:8001_{1EECFB0D-5531-4097-96C6-66172D33C9BE}" xr6:coauthVersionLast="45" xr6:coauthVersionMax="45" xr10:uidLastSave="{00000000-0000-0000-0000-000000000000}"/>
  <bookViews>
    <workbookView xWindow="28680" yWindow="-120" windowWidth="29040" windowHeight="15840" tabRatio="800" xr2:uid="{00000000-000D-0000-FFFF-FFFF00000000}"/>
  </bookViews>
  <sheets>
    <sheet name="Key Information" sheetId="2" r:id="rId1"/>
    <sheet name="Embedded Value 31 Dec 2019" sheetId="1" r:id="rId2"/>
    <sheet name="Analysis of Movement 2020" sheetId="7" r:id="rId3"/>
    <sheet name="Event 1" sheetId="12" r:id="rId4"/>
    <sheet name="Event 1&amp;2" sheetId="9" r:id="rId5"/>
    <sheet name="Event 1&amp;2&amp;3" sheetId="10" r:id="rId6"/>
  </sheets>
  <definedNames>
    <definedName name="OLE_LINK1" localSheetId="0">'Key Information'!$B$15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C29" i="2"/>
  <c r="C30" i="2"/>
  <c r="C36" i="2"/>
  <c r="C38" i="2"/>
  <c r="I17" i="10" l="1"/>
  <c r="I17" i="12" l="1"/>
  <c r="I17" i="9"/>
  <c r="J17" i="12"/>
  <c r="J17" i="10"/>
  <c r="I17" i="1"/>
  <c r="J17" i="1"/>
  <c r="G18" i="1" l="1"/>
  <c r="G18" i="12"/>
  <c r="G18" i="10"/>
  <c r="G18" i="9"/>
  <c r="K17" i="1"/>
  <c r="D18" i="1"/>
  <c r="D18" i="9"/>
  <c r="E18" i="9" s="1"/>
  <c r="K17" i="9"/>
  <c r="J17" i="9"/>
  <c r="D18" i="12"/>
  <c r="E18" i="12" s="1"/>
  <c r="D18" i="10"/>
  <c r="E18" i="10" s="1"/>
  <c r="K17" i="12"/>
  <c r="C8" i="12" s="1"/>
  <c r="K17" i="10"/>
  <c r="F18" i="10" l="1"/>
  <c r="F18" i="9"/>
  <c r="I18" i="9" s="1"/>
  <c r="F18" i="12"/>
  <c r="I18" i="12" s="1"/>
  <c r="E18" i="1"/>
  <c r="I18" i="10"/>
  <c r="K18" i="10" s="1"/>
  <c r="M18" i="10" s="1"/>
  <c r="H18" i="12"/>
  <c r="L18" i="12" s="1"/>
  <c r="H18" i="9"/>
  <c r="L18" i="9" s="1"/>
  <c r="H18" i="10"/>
  <c r="L18" i="10" s="1"/>
  <c r="H18" i="1"/>
  <c r="C8" i="10"/>
  <c r="C8" i="1"/>
  <c r="C8" i="9"/>
  <c r="C10" i="7" l="1"/>
  <c r="F18" i="1"/>
  <c r="I18" i="1" s="1"/>
  <c r="K18" i="1" s="1"/>
  <c r="L18" i="1"/>
  <c r="N18" i="1" s="1"/>
  <c r="G19" i="10"/>
  <c r="G19" i="1"/>
  <c r="K18" i="9"/>
  <c r="H19" i="9" s="1"/>
  <c r="G19" i="9"/>
  <c r="D19" i="12"/>
  <c r="E19" i="12" s="1"/>
  <c r="G19" i="12"/>
  <c r="K18" i="12"/>
  <c r="M18" i="12" s="1"/>
  <c r="J18" i="12"/>
  <c r="D19" i="9"/>
  <c r="E19" i="9" s="1"/>
  <c r="J18" i="9"/>
  <c r="J18" i="10"/>
  <c r="D19" i="10"/>
  <c r="N18" i="9"/>
  <c r="N18" i="12"/>
  <c r="F10" i="7"/>
  <c r="C6" i="7"/>
  <c r="C24" i="7"/>
  <c r="D19" i="1"/>
  <c r="E19" i="1" s="1"/>
  <c r="N18" i="10"/>
  <c r="P18" i="10" s="1"/>
  <c r="D8" i="10" s="1"/>
  <c r="H19" i="10"/>
  <c r="J18" i="1" l="1"/>
  <c r="L19" i="9"/>
  <c r="F19" i="9"/>
  <c r="I19" i="9" s="1"/>
  <c r="E19" i="10"/>
  <c r="F19" i="12"/>
  <c r="I19" i="12" s="1"/>
  <c r="K19" i="12" s="1"/>
  <c r="M19" i="12" s="1"/>
  <c r="M18" i="9"/>
  <c r="P18" i="9" s="1"/>
  <c r="D8" i="9" s="1"/>
  <c r="H19" i="12"/>
  <c r="L19" i="12" s="1"/>
  <c r="F19" i="1"/>
  <c r="I19" i="1" s="1"/>
  <c r="P18" i="12"/>
  <c r="D8" i="12" s="1"/>
  <c r="N19" i="9"/>
  <c r="H19" i="1"/>
  <c r="L19" i="1" s="1"/>
  <c r="M18" i="1"/>
  <c r="P18" i="1" s="1"/>
  <c r="D8" i="1" s="1"/>
  <c r="E11" i="7"/>
  <c r="N19" i="12" l="1"/>
  <c r="F19" i="10"/>
  <c r="L19" i="10"/>
  <c r="N19" i="10" s="1"/>
  <c r="I19" i="10"/>
  <c r="J19" i="10" s="1"/>
  <c r="K19" i="9"/>
  <c r="H20" i="9" s="1"/>
  <c r="D20" i="12"/>
  <c r="E20" i="12" s="1"/>
  <c r="J19" i="12"/>
  <c r="G20" i="12"/>
  <c r="N19" i="1"/>
  <c r="D20" i="9"/>
  <c r="E20" i="9" s="1"/>
  <c r="G20" i="9"/>
  <c r="D20" i="1"/>
  <c r="E20" i="1" s="1"/>
  <c r="G20" i="1"/>
  <c r="J19" i="1"/>
  <c r="J19" i="9"/>
  <c r="P19" i="12"/>
  <c r="H20" i="12"/>
  <c r="K19" i="1"/>
  <c r="M19" i="1" s="1"/>
  <c r="C11" i="7"/>
  <c r="D11" i="7"/>
  <c r="C29" i="7"/>
  <c r="C28" i="7"/>
  <c r="C27" i="7"/>
  <c r="M19" i="9" l="1"/>
  <c r="P19" i="9" s="1"/>
  <c r="L20" i="9"/>
  <c r="N20" i="9" s="1"/>
  <c r="F20" i="12"/>
  <c r="I20" i="12" s="1"/>
  <c r="L20" i="12"/>
  <c r="N20" i="12" s="1"/>
  <c r="D20" i="10"/>
  <c r="E20" i="10" s="1"/>
  <c r="K19" i="10"/>
  <c r="G20" i="10"/>
  <c r="F20" i="9"/>
  <c r="I20" i="9" s="1"/>
  <c r="F20" i="1"/>
  <c r="I20" i="1"/>
  <c r="D21" i="1" s="1"/>
  <c r="H20" i="1"/>
  <c r="L20" i="1" s="1"/>
  <c r="P19" i="1"/>
  <c r="C15" i="7"/>
  <c r="C25" i="7"/>
  <c r="C26" i="7" s="1"/>
  <c r="C16" i="7"/>
  <c r="F11" i="7"/>
  <c r="K20" i="12" l="1"/>
  <c r="M20" i="12" s="1"/>
  <c r="P20" i="12" s="1"/>
  <c r="D21" i="12"/>
  <c r="E21" i="12" s="1"/>
  <c r="J20" i="12"/>
  <c r="G21" i="12"/>
  <c r="F20" i="10"/>
  <c r="M19" i="10"/>
  <c r="P19" i="10" s="1"/>
  <c r="H20" i="10"/>
  <c r="L20" i="10" s="1"/>
  <c r="J20" i="9"/>
  <c r="G21" i="9"/>
  <c r="D21" i="9"/>
  <c r="E21" i="9" s="1"/>
  <c r="K20" i="9"/>
  <c r="M20" i="9" s="1"/>
  <c r="P20" i="9" s="1"/>
  <c r="N20" i="1"/>
  <c r="G21" i="1"/>
  <c r="E21" i="1"/>
  <c r="K20" i="1"/>
  <c r="M20" i="1" s="1"/>
  <c r="J20" i="1"/>
  <c r="C14" i="7"/>
  <c r="H21" i="12" l="1"/>
  <c r="C19" i="7"/>
  <c r="C30" i="7" s="1"/>
  <c r="F21" i="12"/>
  <c r="I21" i="12" s="1"/>
  <c r="L21" i="12"/>
  <c r="F21" i="1"/>
  <c r="I21" i="1" s="1"/>
  <c r="P20" i="1"/>
  <c r="N20" i="10"/>
  <c r="I20" i="10"/>
  <c r="F21" i="9"/>
  <c r="I21" i="9" s="1"/>
  <c r="G22" i="9" s="1"/>
  <c r="H21" i="9"/>
  <c r="L21" i="9" s="1"/>
  <c r="G22" i="12"/>
  <c r="H21" i="1"/>
  <c r="D22" i="12"/>
  <c r="J21" i="12"/>
  <c r="K21" i="12"/>
  <c r="M21" i="12" s="1"/>
  <c r="N21" i="12"/>
  <c r="K21" i="1" l="1"/>
  <c r="M21" i="1" s="1"/>
  <c r="D22" i="1"/>
  <c r="E22" i="1" s="1"/>
  <c r="G22" i="1"/>
  <c r="J21" i="9"/>
  <c r="N21" i="9"/>
  <c r="L21" i="1"/>
  <c r="N21" i="1" s="1"/>
  <c r="D21" i="10"/>
  <c r="G21" i="10"/>
  <c r="K20" i="10"/>
  <c r="J20" i="10"/>
  <c r="D22" i="9"/>
  <c r="K21" i="9"/>
  <c r="E22" i="12"/>
  <c r="J21" i="1"/>
  <c r="H22" i="12"/>
  <c r="P21" i="12"/>
  <c r="H22" i="1" l="1"/>
  <c r="P21" i="1"/>
  <c r="F22" i="1"/>
  <c r="F22" i="12"/>
  <c r="I22" i="12" s="1"/>
  <c r="L22" i="12"/>
  <c r="N22" i="12" s="1"/>
  <c r="E22" i="9"/>
  <c r="L22" i="1"/>
  <c r="N22" i="1" s="1"/>
  <c r="E21" i="10"/>
  <c r="H21" i="10"/>
  <c r="M20" i="10"/>
  <c r="P20" i="10" s="1"/>
  <c r="M21" i="9"/>
  <c r="P21" i="9" s="1"/>
  <c r="H22" i="9"/>
  <c r="I22" i="1"/>
  <c r="K22" i="1" s="1"/>
  <c r="L21" i="10" l="1"/>
  <c r="L22" i="9"/>
  <c r="N22" i="9" s="1"/>
  <c r="F22" i="9"/>
  <c r="I22" i="9" s="1"/>
  <c r="F21" i="10"/>
  <c r="I21" i="10" s="1"/>
  <c r="G23" i="12"/>
  <c r="K22" i="12"/>
  <c r="D23" i="12"/>
  <c r="E23" i="12" s="1"/>
  <c r="J22" i="12"/>
  <c r="J22" i="1"/>
  <c r="G23" i="1"/>
  <c r="H23" i="1"/>
  <c r="M22" i="1"/>
  <c r="P22" i="1" s="1"/>
  <c r="D23" i="1"/>
  <c r="E23" i="1" s="1"/>
  <c r="F23" i="12" l="1"/>
  <c r="I23" i="12" s="1"/>
  <c r="K22" i="9"/>
  <c r="D23" i="9"/>
  <c r="E23" i="9" s="1"/>
  <c r="G23" i="9"/>
  <c r="J22" i="9"/>
  <c r="L23" i="1"/>
  <c r="G22" i="10"/>
  <c r="D22" i="10"/>
  <c r="J21" i="10"/>
  <c r="K21" i="10"/>
  <c r="N21" i="10"/>
  <c r="M22" i="12"/>
  <c r="P22" i="12" s="1"/>
  <c r="H23" i="12"/>
  <c r="L23" i="12" s="1"/>
  <c r="N23" i="12" s="1"/>
  <c r="F23" i="1"/>
  <c r="F23" i="9" l="1"/>
  <c r="I23" i="9" s="1"/>
  <c r="M22" i="9"/>
  <c r="P22" i="9" s="1"/>
  <c r="H23" i="9"/>
  <c r="L23" i="9" s="1"/>
  <c r="N23" i="9" s="1"/>
  <c r="E22" i="10"/>
  <c r="M21" i="10"/>
  <c r="P21" i="10" s="1"/>
  <c r="H22" i="10"/>
  <c r="G24" i="12"/>
  <c r="K23" i="12"/>
  <c r="D24" i="12"/>
  <c r="E24" i="12" s="1"/>
  <c r="J23" i="12"/>
  <c r="N23" i="1"/>
  <c r="I23" i="1"/>
  <c r="D24" i="9" l="1"/>
  <c r="K23" i="9"/>
  <c r="J23" i="9"/>
  <c r="G24" i="9"/>
  <c r="E24" i="9"/>
  <c r="F22" i="10"/>
  <c r="I22" i="10" s="1"/>
  <c r="L22" i="10"/>
  <c r="N22" i="10" s="1"/>
  <c r="M23" i="12"/>
  <c r="P23" i="12" s="1"/>
  <c r="H24" i="12"/>
  <c r="L24" i="12" s="1"/>
  <c r="F24" i="12"/>
  <c r="I24" i="12" s="1"/>
  <c r="D24" i="1"/>
  <c r="E24" i="1" s="1"/>
  <c r="J23" i="1"/>
  <c r="K23" i="1"/>
  <c r="G24" i="1"/>
  <c r="M23" i="9" l="1"/>
  <c r="P23" i="9" s="1"/>
  <c r="H24" i="9"/>
  <c r="L24" i="9" s="1"/>
  <c r="N24" i="9" s="1"/>
  <c r="F24" i="9"/>
  <c r="I24" i="9" s="1"/>
  <c r="G23" i="10"/>
  <c r="J22" i="10"/>
  <c r="K22" i="10"/>
  <c r="D23" i="10"/>
  <c r="G25" i="12"/>
  <c r="D25" i="12"/>
  <c r="K24" i="12"/>
  <c r="J24" i="12"/>
  <c r="N24" i="12"/>
  <c r="F24" i="1"/>
  <c r="I24" i="1" s="1"/>
  <c r="H24" i="1"/>
  <c r="L24" i="1" s="1"/>
  <c r="M23" i="1"/>
  <c r="P23" i="1" s="1"/>
  <c r="D25" i="9" l="1"/>
  <c r="E25" i="9" s="1"/>
  <c r="J24" i="9"/>
  <c r="K24" i="9"/>
  <c r="G25" i="9"/>
  <c r="F25" i="9"/>
  <c r="E23" i="10"/>
  <c r="M22" i="10"/>
  <c r="P22" i="10" s="1"/>
  <c r="H23" i="10"/>
  <c r="E25" i="12"/>
  <c r="H25" i="12"/>
  <c r="M24" i="12"/>
  <c r="P24" i="12" s="1"/>
  <c r="N24" i="1"/>
  <c r="K24" i="1"/>
  <c r="D25" i="1"/>
  <c r="G25" i="1"/>
  <c r="J24" i="1"/>
  <c r="L23" i="10" l="1"/>
  <c r="I25" i="9"/>
  <c r="K25" i="9" s="1"/>
  <c r="F25" i="12"/>
  <c r="I25" i="12" s="1"/>
  <c r="L25" i="12"/>
  <c r="N25" i="12" s="1"/>
  <c r="H25" i="9"/>
  <c r="M24" i="9"/>
  <c r="P24" i="9" s="1"/>
  <c r="D26" i="9"/>
  <c r="J25" i="9"/>
  <c r="L25" i="9"/>
  <c r="F23" i="10"/>
  <c r="I23" i="10" s="1"/>
  <c r="E25" i="1"/>
  <c r="M24" i="1"/>
  <c r="P24" i="1" s="1"/>
  <c r="H25" i="1"/>
  <c r="G26" i="9" l="1"/>
  <c r="L25" i="1"/>
  <c r="M25" i="9"/>
  <c r="H26" i="9"/>
  <c r="N25" i="9"/>
  <c r="F25" i="1"/>
  <c r="N25" i="1" s="1"/>
  <c r="E26" i="9"/>
  <c r="F26" i="9"/>
  <c r="I26" i="9" s="1"/>
  <c r="D24" i="10"/>
  <c r="K23" i="10"/>
  <c r="G24" i="10"/>
  <c r="J23" i="10"/>
  <c r="N23" i="10"/>
  <c r="K25" i="12"/>
  <c r="J25" i="12"/>
  <c r="G26" i="12"/>
  <c r="D26" i="12"/>
  <c r="I25" i="1"/>
  <c r="K25" i="1" s="1"/>
  <c r="M25" i="1" s="1"/>
  <c r="P25" i="1" s="1"/>
  <c r="G26" i="1" l="1"/>
  <c r="D26" i="1"/>
  <c r="K26" i="9"/>
  <c r="G27" i="9"/>
  <c r="J26" i="9"/>
  <c r="D27" i="9"/>
  <c r="L26" i="9"/>
  <c r="N26" i="9" s="1"/>
  <c r="P25" i="9"/>
  <c r="M23" i="10"/>
  <c r="P23" i="10" s="1"/>
  <c r="H24" i="10"/>
  <c r="E24" i="10"/>
  <c r="H26" i="12"/>
  <c r="M25" i="12"/>
  <c r="P25" i="12" s="1"/>
  <c r="E26" i="12"/>
  <c r="J25" i="1"/>
  <c r="H26" i="1"/>
  <c r="E26" i="1"/>
  <c r="L26" i="1" l="1"/>
  <c r="L24" i="10"/>
  <c r="L26" i="12"/>
  <c r="H27" i="9"/>
  <c r="M26" i="9"/>
  <c r="P26" i="9" s="1"/>
  <c r="E27" i="9"/>
  <c r="F24" i="10"/>
  <c r="I24" i="10" s="1"/>
  <c r="F26" i="12"/>
  <c r="F26" i="1"/>
  <c r="L27" i="9" l="1"/>
  <c r="N27" i="9" s="1"/>
  <c r="F27" i="9"/>
  <c r="I27" i="9"/>
  <c r="K24" i="10"/>
  <c r="J24" i="10"/>
  <c r="D25" i="10"/>
  <c r="E25" i="10" s="1"/>
  <c r="G25" i="10"/>
  <c r="N26" i="12"/>
  <c r="I26" i="12"/>
  <c r="N26" i="1"/>
  <c r="I26" i="1"/>
  <c r="D28" i="9" l="1"/>
  <c r="E28" i="9" s="1"/>
  <c r="K27" i="9"/>
  <c r="G28" i="9"/>
  <c r="J27" i="9"/>
  <c r="F28" i="9"/>
  <c r="I28" i="9" s="1"/>
  <c r="F25" i="10"/>
  <c r="N24" i="10"/>
  <c r="M24" i="10"/>
  <c r="P24" i="10" s="1"/>
  <c r="H25" i="10"/>
  <c r="L25" i="10" s="1"/>
  <c r="G27" i="12"/>
  <c r="J26" i="12"/>
  <c r="D27" i="12"/>
  <c r="K26" i="12"/>
  <c r="K26" i="1"/>
  <c r="D27" i="1"/>
  <c r="E27" i="1" s="1"/>
  <c r="G27" i="1"/>
  <c r="J26" i="1"/>
  <c r="K28" i="9" l="1"/>
  <c r="D29" i="9"/>
  <c r="E29" i="9" s="1"/>
  <c r="G29" i="9"/>
  <c r="J28" i="9"/>
  <c r="H28" i="9"/>
  <c r="L28" i="9" s="1"/>
  <c r="N28" i="9" s="1"/>
  <c r="M27" i="9"/>
  <c r="P27" i="9" s="1"/>
  <c r="N25" i="10"/>
  <c r="I25" i="10"/>
  <c r="E27" i="12"/>
  <c r="H27" i="12"/>
  <c r="M26" i="12"/>
  <c r="P26" i="12" s="1"/>
  <c r="F27" i="1"/>
  <c r="H27" i="1"/>
  <c r="L27" i="1" s="1"/>
  <c r="M26" i="1"/>
  <c r="P26" i="1" s="1"/>
  <c r="F29" i="9" l="1"/>
  <c r="I29" i="9" s="1"/>
  <c r="J29" i="9" s="1"/>
  <c r="D30" i="9"/>
  <c r="E30" i="9" s="1"/>
  <c r="G30" i="9"/>
  <c r="M28" i="9"/>
  <c r="P28" i="9" s="1"/>
  <c r="H29" i="9"/>
  <c r="L29" i="9" s="1"/>
  <c r="F27" i="12"/>
  <c r="I27" i="12" s="1"/>
  <c r="L27" i="12"/>
  <c r="D26" i="10"/>
  <c r="E26" i="10" s="1"/>
  <c r="G26" i="10"/>
  <c r="K25" i="10"/>
  <c r="J25" i="10"/>
  <c r="F30" i="9"/>
  <c r="I30" i="9" s="1"/>
  <c r="K30" i="9" s="1"/>
  <c r="N27" i="1"/>
  <c r="I27" i="1"/>
  <c r="K29" i="9" l="1"/>
  <c r="N27" i="12"/>
  <c r="J30" i="9"/>
  <c r="N29" i="9"/>
  <c r="G31" i="9"/>
  <c r="F26" i="10"/>
  <c r="I26" i="10" s="1"/>
  <c r="M25" i="10"/>
  <c r="P25" i="10" s="1"/>
  <c r="H26" i="10"/>
  <c r="H31" i="9"/>
  <c r="D31" i="9"/>
  <c r="G28" i="12"/>
  <c r="K27" i="12"/>
  <c r="D28" i="12"/>
  <c r="E28" i="12" s="1"/>
  <c r="J27" i="12"/>
  <c r="D28" i="1"/>
  <c r="E28" i="1" s="1"/>
  <c r="J27" i="1"/>
  <c r="G28" i="1"/>
  <c r="K27" i="1"/>
  <c r="M29" i="9" l="1"/>
  <c r="H30" i="9"/>
  <c r="L30" i="9" s="1"/>
  <c r="N30" i="9" s="1"/>
  <c r="P29" i="9"/>
  <c r="M30" i="9"/>
  <c r="F28" i="1"/>
  <c r="F28" i="12"/>
  <c r="I28" i="12" s="1"/>
  <c r="L26" i="10"/>
  <c r="N26" i="10" s="1"/>
  <c r="D27" i="10"/>
  <c r="E27" i="10" s="1"/>
  <c r="G27" i="10"/>
  <c r="J26" i="10"/>
  <c r="K26" i="10"/>
  <c r="E31" i="9"/>
  <c r="L31" i="9" s="1"/>
  <c r="H28" i="12"/>
  <c r="L28" i="12" s="1"/>
  <c r="M27" i="12"/>
  <c r="P27" i="12" s="1"/>
  <c r="I28" i="1"/>
  <c r="G29" i="1" s="1"/>
  <c r="H28" i="1"/>
  <c r="M27" i="1"/>
  <c r="P27" i="1" s="1"/>
  <c r="P30" i="9" l="1"/>
  <c r="J28" i="1"/>
  <c r="N28" i="12"/>
  <c r="L28" i="1"/>
  <c r="N28" i="1" s="1"/>
  <c r="H27" i="10"/>
  <c r="L27" i="10" s="1"/>
  <c r="M26" i="10"/>
  <c r="P26" i="10" s="1"/>
  <c r="F27" i="10"/>
  <c r="F31" i="9"/>
  <c r="N31" i="9" s="1"/>
  <c r="G29" i="12"/>
  <c r="J28" i="12"/>
  <c r="K28" i="12"/>
  <c r="D29" i="12"/>
  <c r="E29" i="12" s="1"/>
  <c r="K28" i="1"/>
  <c r="M28" i="1" s="1"/>
  <c r="D29" i="1"/>
  <c r="E29" i="1" s="1"/>
  <c r="P28" i="1" l="1"/>
  <c r="F29" i="1"/>
  <c r="I29" i="1" s="1"/>
  <c r="N27" i="10"/>
  <c r="I27" i="10"/>
  <c r="I31" i="9"/>
  <c r="F29" i="12"/>
  <c r="H29" i="12"/>
  <c r="L29" i="12" s="1"/>
  <c r="M28" i="12"/>
  <c r="P28" i="12" s="1"/>
  <c r="H29" i="1"/>
  <c r="L29" i="1" s="1"/>
  <c r="G30" i="1" l="1"/>
  <c r="D30" i="1"/>
  <c r="E30" i="1" s="1"/>
  <c r="N29" i="1"/>
  <c r="G28" i="10"/>
  <c r="J27" i="10"/>
  <c r="K27" i="10"/>
  <c r="D28" i="10"/>
  <c r="E28" i="10" s="1"/>
  <c r="J31" i="9"/>
  <c r="D32" i="9"/>
  <c r="E32" i="9" s="1"/>
  <c r="K31" i="9"/>
  <c r="G32" i="9"/>
  <c r="N29" i="12"/>
  <c r="I29" i="12"/>
  <c r="K29" i="1"/>
  <c r="H30" i="1" s="1"/>
  <c r="J29" i="1"/>
  <c r="M29" i="1" l="1"/>
  <c r="P29" i="1" s="1"/>
  <c r="F30" i="1"/>
  <c r="I30" i="1" s="1"/>
  <c r="D31" i="1" s="1"/>
  <c r="L30" i="1"/>
  <c r="N30" i="1" s="1"/>
  <c r="F28" i="10"/>
  <c r="I28" i="10" s="1"/>
  <c r="M27" i="10"/>
  <c r="P27" i="10" s="1"/>
  <c r="H28" i="10"/>
  <c r="L28" i="10" s="1"/>
  <c r="M31" i="9"/>
  <c r="P31" i="9" s="1"/>
  <c r="H32" i="9"/>
  <c r="L32" i="9" s="1"/>
  <c r="F32" i="9"/>
  <c r="I32" i="9" s="1"/>
  <c r="D30" i="12"/>
  <c r="E30" i="12" s="1"/>
  <c r="J29" i="12"/>
  <c r="G30" i="12"/>
  <c r="K29" i="12"/>
  <c r="K30" i="1"/>
  <c r="J30" i="1" l="1"/>
  <c r="G31" i="1"/>
  <c r="K28" i="10"/>
  <c r="H29" i="10" s="1"/>
  <c r="D29" i="10"/>
  <c r="E29" i="10" s="1"/>
  <c r="G29" i="10"/>
  <c r="J28" i="10"/>
  <c r="F30" i="12"/>
  <c r="I30" i="12" s="1"/>
  <c r="N28" i="10"/>
  <c r="K32" i="9"/>
  <c r="J32" i="9"/>
  <c r="D33" i="9"/>
  <c r="G33" i="9"/>
  <c r="H30" i="12"/>
  <c r="L30" i="12" s="1"/>
  <c r="N30" i="12" s="1"/>
  <c r="M29" i="12"/>
  <c r="P29" i="12" s="1"/>
  <c r="H31" i="1"/>
  <c r="M30" i="1"/>
  <c r="P30" i="1" s="1"/>
  <c r="E31" i="1"/>
  <c r="M28" i="10" l="1"/>
  <c r="P28" i="10"/>
  <c r="F31" i="1"/>
  <c r="L31" i="1"/>
  <c r="F29" i="10"/>
  <c r="I29" i="10" s="1"/>
  <c r="G30" i="10" s="1"/>
  <c r="L29" i="10"/>
  <c r="N29" i="10" s="1"/>
  <c r="N32" i="9"/>
  <c r="E33" i="9"/>
  <c r="M32" i="9"/>
  <c r="H33" i="9"/>
  <c r="D31" i="12"/>
  <c r="E31" i="12" s="1"/>
  <c r="J30" i="12"/>
  <c r="K30" i="12"/>
  <c r="G31" i="12"/>
  <c r="I31" i="1"/>
  <c r="K29" i="10" l="1"/>
  <c r="M29" i="10" s="1"/>
  <c r="P29" i="10" s="1"/>
  <c r="N31" i="1"/>
  <c r="D30" i="10"/>
  <c r="L33" i="9"/>
  <c r="F31" i="12"/>
  <c r="I31" i="12" s="1"/>
  <c r="P32" i="9"/>
  <c r="J29" i="10"/>
  <c r="E30" i="10"/>
  <c r="F33" i="9"/>
  <c r="M30" i="12"/>
  <c r="P30" i="12" s="1"/>
  <c r="H31" i="12"/>
  <c r="L31" i="12" s="1"/>
  <c r="D32" i="1"/>
  <c r="E32" i="1" s="1"/>
  <c r="G32" i="1"/>
  <c r="K31" i="1"/>
  <c r="J31" i="1"/>
  <c r="N33" i="9" l="1"/>
  <c r="H30" i="10"/>
  <c r="K31" i="12"/>
  <c r="M31" i="12" s="1"/>
  <c r="G32" i="12"/>
  <c r="D32" i="12"/>
  <c r="E32" i="12" s="1"/>
  <c r="J31" i="12"/>
  <c r="F30" i="10"/>
  <c r="I30" i="10" s="1"/>
  <c r="L30" i="10"/>
  <c r="I33" i="9"/>
  <c r="N31" i="12"/>
  <c r="F32" i="1"/>
  <c r="I32" i="1" s="1"/>
  <c r="D33" i="1" s="1"/>
  <c r="H32" i="1"/>
  <c r="L32" i="1" s="1"/>
  <c r="M31" i="1"/>
  <c r="P31" i="1" s="1"/>
  <c r="H32" i="12" l="1"/>
  <c r="P31" i="12"/>
  <c r="J32" i="1"/>
  <c r="L32" i="12"/>
  <c r="N32" i="12" s="1"/>
  <c r="F32" i="12"/>
  <c r="I32" i="12" s="1"/>
  <c r="J30" i="10"/>
  <c r="K30" i="10"/>
  <c r="G31" i="10"/>
  <c r="D31" i="10"/>
  <c r="N30" i="10"/>
  <c r="D34" i="9"/>
  <c r="G34" i="9"/>
  <c r="K33" i="9"/>
  <c r="J33" i="9"/>
  <c r="K32" i="1"/>
  <c r="M32" i="1" s="1"/>
  <c r="G33" i="1"/>
  <c r="N32" i="1"/>
  <c r="E33" i="1"/>
  <c r="K32" i="12" l="1"/>
  <c r="J32" i="12"/>
  <c r="D33" i="12"/>
  <c r="E33" i="12" s="1"/>
  <c r="G33" i="12"/>
  <c r="F33" i="1"/>
  <c r="P32" i="1"/>
  <c r="M30" i="10"/>
  <c r="P30" i="10" s="1"/>
  <c r="H31" i="10"/>
  <c r="E31" i="10"/>
  <c r="H34" i="9"/>
  <c r="M33" i="9"/>
  <c r="P33" i="9" s="1"/>
  <c r="E34" i="9"/>
  <c r="H33" i="12"/>
  <c r="M32" i="12"/>
  <c r="P32" i="12" s="1"/>
  <c r="H33" i="1"/>
  <c r="L33" i="1" s="1"/>
  <c r="N33" i="1" s="1"/>
  <c r="I33" i="1"/>
  <c r="F33" i="12" l="1"/>
  <c r="L31" i="10"/>
  <c r="I33" i="12"/>
  <c r="K33" i="12" s="1"/>
  <c r="L33" i="12"/>
  <c r="N33" i="12" s="1"/>
  <c r="L34" i="9"/>
  <c r="F31" i="10"/>
  <c r="N31" i="10" s="1"/>
  <c r="F34" i="9"/>
  <c r="G34" i="12"/>
  <c r="D34" i="1"/>
  <c r="E34" i="1" s="1"/>
  <c r="G34" i="1"/>
  <c r="K33" i="1"/>
  <c r="J33" i="1"/>
  <c r="J33" i="12" l="1"/>
  <c r="D34" i="12"/>
  <c r="E34" i="12" s="1"/>
  <c r="N34" i="9"/>
  <c r="I31" i="10"/>
  <c r="I34" i="9"/>
  <c r="H34" i="12"/>
  <c r="M33" i="12"/>
  <c r="P33" i="12" s="1"/>
  <c r="M33" i="1"/>
  <c r="P33" i="1" s="1"/>
  <c r="H34" i="1"/>
  <c r="L34" i="1" s="1"/>
  <c r="F34" i="1"/>
  <c r="I34" i="1" s="1"/>
  <c r="F34" i="12" l="1"/>
  <c r="L34" i="12"/>
  <c r="J31" i="10"/>
  <c r="G32" i="10"/>
  <c r="K31" i="10"/>
  <c r="D32" i="10"/>
  <c r="G35" i="9"/>
  <c r="K34" i="9"/>
  <c r="D35" i="9"/>
  <c r="E35" i="9" s="1"/>
  <c r="J34" i="9"/>
  <c r="I34" i="12"/>
  <c r="J34" i="1"/>
  <c r="D35" i="1"/>
  <c r="E35" i="1" s="1"/>
  <c r="G35" i="1"/>
  <c r="K34" i="1"/>
  <c r="N34" i="1"/>
  <c r="N34" i="12" l="1"/>
  <c r="E32" i="10"/>
  <c r="H32" i="10"/>
  <c r="M31" i="10"/>
  <c r="P31" i="10" s="1"/>
  <c r="H35" i="9"/>
  <c r="L35" i="9" s="1"/>
  <c r="M34" i="9"/>
  <c r="P34" i="9" s="1"/>
  <c r="F35" i="9"/>
  <c r="G35" i="12"/>
  <c r="K34" i="12"/>
  <c r="D35" i="12"/>
  <c r="E35" i="12" s="1"/>
  <c r="J34" i="12"/>
  <c r="H35" i="1"/>
  <c r="L35" i="1" s="1"/>
  <c r="M34" i="1"/>
  <c r="P34" i="1" s="1"/>
  <c r="F35" i="1"/>
  <c r="N35" i="9" l="1"/>
  <c r="F35" i="12"/>
  <c r="I35" i="12" s="1"/>
  <c r="I35" i="9"/>
  <c r="D36" i="9" s="1"/>
  <c r="L32" i="10"/>
  <c r="F32" i="10"/>
  <c r="H35" i="12"/>
  <c r="M34" i="12"/>
  <c r="P34" i="12" s="1"/>
  <c r="I35" i="1"/>
  <c r="N35" i="1"/>
  <c r="J35" i="9" l="1"/>
  <c r="K35" i="9"/>
  <c r="H36" i="9" s="1"/>
  <c r="G36" i="9"/>
  <c r="E36" i="9"/>
  <c r="F36" i="9" s="1"/>
  <c r="N32" i="10"/>
  <c r="G36" i="12"/>
  <c r="D36" i="12"/>
  <c r="E36" i="12" s="1"/>
  <c r="K35" i="12"/>
  <c r="M35" i="12" s="1"/>
  <c r="J35" i="12"/>
  <c r="L35" i="12"/>
  <c r="I32" i="10"/>
  <c r="M35" i="9"/>
  <c r="P35" i="9" s="1"/>
  <c r="G36" i="1"/>
  <c r="K35" i="1"/>
  <c r="J35" i="1"/>
  <c r="D36" i="1"/>
  <c r="E36" i="1" s="1"/>
  <c r="I36" i="9" l="1"/>
  <c r="K36" i="9" s="1"/>
  <c r="N35" i="12"/>
  <c r="P35" i="12" s="1"/>
  <c r="F36" i="12"/>
  <c r="I36" i="12" s="1"/>
  <c r="G37" i="12" s="1"/>
  <c r="H36" i="12"/>
  <c r="L36" i="12" s="1"/>
  <c r="N36" i="12" s="1"/>
  <c r="L36" i="9"/>
  <c r="N36" i="9" s="1"/>
  <c r="G33" i="10"/>
  <c r="K32" i="10"/>
  <c r="J32" i="10"/>
  <c r="D33" i="10"/>
  <c r="J36" i="12"/>
  <c r="M35" i="1"/>
  <c r="P35" i="1" s="1"/>
  <c r="H36" i="1"/>
  <c r="L36" i="1" s="1"/>
  <c r="F36" i="1"/>
  <c r="I36" i="1" s="1"/>
  <c r="G37" i="9" l="1"/>
  <c r="J36" i="9"/>
  <c r="D37" i="9"/>
  <c r="E37" i="9" s="1"/>
  <c r="K36" i="12"/>
  <c r="D37" i="12"/>
  <c r="E37" i="12" s="1"/>
  <c r="H33" i="10"/>
  <c r="M32" i="10"/>
  <c r="P32" i="10" s="1"/>
  <c r="E33" i="10"/>
  <c r="H37" i="9"/>
  <c r="M36" i="9"/>
  <c r="P36" i="9" s="1"/>
  <c r="F37" i="9"/>
  <c r="I37" i="9" s="1"/>
  <c r="H37" i="12"/>
  <c r="M36" i="12"/>
  <c r="P36" i="12" s="1"/>
  <c r="F37" i="12"/>
  <c r="I37" i="12" s="1"/>
  <c r="K36" i="1"/>
  <c r="J36" i="1"/>
  <c r="D37" i="1"/>
  <c r="E37" i="1" s="1"/>
  <c r="G37" i="1"/>
  <c r="N36" i="1"/>
  <c r="L37" i="9" l="1"/>
  <c r="L37" i="12"/>
  <c r="F37" i="1"/>
  <c r="I37" i="1" s="1"/>
  <c r="L33" i="10"/>
  <c r="F33" i="10"/>
  <c r="N33" i="10" s="1"/>
  <c r="J37" i="9"/>
  <c r="K37" i="9"/>
  <c r="M37" i="9" s="1"/>
  <c r="N37" i="9"/>
  <c r="K37" i="12"/>
  <c r="M37" i="12" s="1"/>
  <c r="J37" i="12"/>
  <c r="N37" i="12"/>
  <c r="H37" i="1"/>
  <c r="L37" i="1" s="1"/>
  <c r="M36" i="1"/>
  <c r="P36" i="1" s="1"/>
  <c r="N37" i="1" l="1"/>
  <c r="I33" i="10"/>
  <c r="D34" i="10" s="1"/>
  <c r="O36" i="9"/>
  <c r="O35" i="9"/>
  <c r="O26" i="9"/>
  <c r="O22" i="9"/>
  <c r="O31" i="9"/>
  <c r="O17" i="9"/>
  <c r="C10" i="9" s="1"/>
  <c r="O19" i="9"/>
  <c r="O23" i="9"/>
  <c r="O32" i="9"/>
  <c r="O25" i="9"/>
  <c r="O24" i="9"/>
  <c r="O33" i="9"/>
  <c r="O20" i="9"/>
  <c r="O30" i="9"/>
  <c r="O21" i="9"/>
  <c r="O27" i="9"/>
  <c r="O34" i="9"/>
  <c r="O18" i="9"/>
  <c r="D10" i="9" s="1"/>
  <c r="E28" i="7" s="1"/>
  <c r="O29" i="9"/>
  <c r="O28" i="9"/>
  <c r="P37" i="9"/>
  <c r="P37" i="12"/>
  <c r="O36" i="12"/>
  <c r="O23" i="12"/>
  <c r="O21" i="12"/>
  <c r="O30" i="12"/>
  <c r="O27" i="12"/>
  <c r="O26" i="12"/>
  <c r="O18" i="12"/>
  <c r="D10" i="12" s="1"/>
  <c r="E27" i="7" s="1"/>
  <c r="O35" i="12"/>
  <c r="O31" i="12"/>
  <c r="O19" i="12"/>
  <c r="O20" i="12"/>
  <c r="O33" i="12"/>
  <c r="O17" i="12"/>
  <c r="C10" i="12" s="1"/>
  <c r="O32" i="12"/>
  <c r="O34" i="12"/>
  <c r="O28" i="12"/>
  <c r="O25" i="12"/>
  <c r="O24" i="12"/>
  <c r="O29" i="12"/>
  <c r="O22" i="12"/>
  <c r="O21" i="1"/>
  <c r="O27" i="1"/>
  <c r="O33" i="1"/>
  <c r="O24" i="1"/>
  <c r="O31" i="1"/>
  <c r="O20" i="1"/>
  <c r="O19" i="1"/>
  <c r="O26" i="1"/>
  <c r="O36" i="1"/>
  <c r="O25" i="1"/>
  <c r="O34" i="1"/>
  <c r="O28" i="1"/>
  <c r="O35" i="1"/>
  <c r="O29" i="1"/>
  <c r="O32" i="1"/>
  <c r="O18" i="1"/>
  <c r="D10" i="1" s="1"/>
  <c r="E25" i="7" s="1"/>
  <c r="O30" i="1"/>
  <c r="O23" i="1"/>
  <c r="O22" i="1"/>
  <c r="O17" i="1"/>
  <c r="C10" i="1" s="1"/>
  <c r="J37" i="1"/>
  <c r="K37" i="1"/>
  <c r="M37" i="1" s="1"/>
  <c r="P37" i="1" s="1"/>
  <c r="Q36" i="1" s="1"/>
  <c r="K33" i="10" l="1"/>
  <c r="G34" i="10"/>
  <c r="J33" i="10"/>
  <c r="Q18" i="1"/>
  <c r="D9" i="1" s="1"/>
  <c r="D25" i="7" s="1"/>
  <c r="E34" i="10"/>
  <c r="H34" i="10"/>
  <c r="M33" i="10"/>
  <c r="P33" i="10" s="1"/>
  <c r="E15" i="7"/>
  <c r="Q36" i="9"/>
  <c r="Q28" i="9"/>
  <c r="Q19" i="9"/>
  <c r="Q20" i="9"/>
  <c r="Q23" i="9"/>
  <c r="Q33" i="9"/>
  <c r="Q17" i="9"/>
  <c r="C9" i="9" s="1"/>
  <c r="C11" i="9" s="1"/>
  <c r="Q34" i="9"/>
  <c r="Q27" i="9"/>
  <c r="Q32" i="9"/>
  <c r="Q29" i="9"/>
  <c r="Q21" i="9"/>
  <c r="Q25" i="9"/>
  <c r="Q35" i="9"/>
  <c r="Q26" i="9"/>
  <c r="Q30" i="9"/>
  <c r="Q22" i="9"/>
  <c r="Q31" i="9"/>
  <c r="Q18" i="9"/>
  <c r="D9" i="9" s="1"/>
  <c r="Q24" i="9"/>
  <c r="E14" i="7"/>
  <c r="Q36" i="12"/>
  <c r="Q27" i="12"/>
  <c r="Q20" i="12"/>
  <c r="Q19" i="12"/>
  <c r="Q23" i="12"/>
  <c r="Q21" i="12"/>
  <c r="Q28" i="12"/>
  <c r="Q17" i="12"/>
  <c r="C9" i="12" s="1"/>
  <c r="C11" i="12" s="1"/>
  <c r="Q29" i="12"/>
  <c r="Q26" i="12"/>
  <c r="Q24" i="12"/>
  <c r="Q34" i="12"/>
  <c r="Q32" i="12"/>
  <c r="Q18" i="12"/>
  <c r="D9" i="12" s="1"/>
  <c r="Q33" i="12"/>
  <c r="Q22" i="12"/>
  <c r="Q31" i="12"/>
  <c r="Q30" i="12"/>
  <c r="Q35" i="12"/>
  <c r="Q25" i="12"/>
  <c r="Q29" i="1"/>
  <c r="Q20" i="1"/>
  <c r="Q34" i="1"/>
  <c r="Q33" i="1"/>
  <c r="Q25" i="1"/>
  <c r="Q24" i="1"/>
  <c r="Q19" i="1"/>
  <c r="Q32" i="1"/>
  <c r="Q30" i="1"/>
  <c r="Q35" i="1"/>
  <c r="Q28" i="1"/>
  <c r="Q27" i="1"/>
  <c r="Q21" i="1"/>
  <c r="E24" i="7"/>
  <c r="E9" i="7"/>
  <c r="E6" i="7"/>
  <c r="Q22" i="1"/>
  <c r="Q26" i="1"/>
  <c r="Q17" i="1"/>
  <c r="C9" i="1" s="1"/>
  <c r="Q31" i="1"/>
  <c r="Q23" i="1"/>
  <c r="D11" i="1" l="1"/>
  <c r="F25" i="7" s="1"/>
  <c r="F34" i="10"/>
  <c r="L34" i="10"/>
  <c r="D28" i="7"/>
  <c r="D11" i="9"/>
  <c r="F28" i="7" s="1"/>
  <c r="D27" i="7"/>
  <c r="D14" i="7" s="1"/>
  <c r="F14" i="7" s="1"/>
  <c r="D11" i="12"/>
  <c r="F27" i="7" s="1"/>
  <c r="C11" i="1"/>
  <c r="D24" i="7"/>
  <c r="D9" i="7"/>
  <c r="F9" i="7" s="1"/>
  <c r="D6" i="7"/>
  <c r="E26" i="7"/>
  <c r="N34" i="10" l="1"/>
  <c r="I34" i="10"/>
  <c r="J34" i="10" s="1"/>
  <c r="D15" i="7"/>
  <c r="F15" i="7" s="1"/>
  <c r="G35" i="10"/>
  <c r="D26" i="7"/>
  <c r="F6" i="7"/>
  <c r="F24" i="7"/>
  <c r="K34" i="10" l="1"/>
  <c r="H35" i="10" s="1"/>
  <c r="D35" i="10"/>
  <c r="E35" i="10"/>
  <c r="F26" i="7"/>
  <c r="M34" i="10" l="1"/>
  <c r="P34" i="10" s="1"/>
  <c r="L35" i="10"/>
  <c r="F35" i="10"/>
  <c r="N35" i="10" s="1"/>
  <c r="I35" i="10" l="1"/>
  <c r="G36" i="10" l="1"/>
  <c r="K35" i="10"/>
  <c r="D36" i="10"/>
  <c r="J35" i="10"/>
  <c r="E36" i="10" l="1"/>
  <c r="M35" i="10"/>
  <c r="P35" i="10" s="1"/>
  <c r="H36" i="10"/>
  <c r="L36" i="10" l="1"/>
  <c r="N36" i="10" s="1"/>
  <c r="F36" i="10"/>
  <c r="I36" i="10" s="1"/>
  <c r="G37" i="10" l="1"/>
  <c r="J36" i="10"/>
  <c r="D37" i="10"/>
  <c r="K36" i="10"/>
  <c r="E37" i="10" l="1"/>
  <c r="H37" i="10"/>
  <c r="M36" i="10"/>
  <c r="P36" i="10" s="1"/>
  <c r="L37" i="10" l="1"/>
  <c r="N37" i="10" s="1"/>
  <c r="O23" i="10"/>
  <c r="O18" i="10"/>
  <c r="D10" i="10" s="1"/>
  <c r="E29" i="7" s="1"/>
  <c r="F37" i="10"/>
  <c r="I37" i="10" s="1"/>
  <c r="O24" i="10" l="1"/>
  <c r="O21" i="10"/>
  <c r="O22" i="10"/>
  <c r="O32" i="10"/>
  <c r="O31" i="10"/>
  <c r="O17" i="10"/>
  <c r="C10" i="10" s="1"/>
  <c r="O27" i="10"/>
  <c r="O25" i="10"/>
  <c r="O33" i="10"/>
  <c r="O26" i="10"/>
  <c r="O30" i="10"/>
  <c r="O35" i="10"/>
  <c r="O29" i="10"/>
  <c r="O19" i="10"/>
  <c r="O36" i="10"/>
  <c r="O20" i="10"/>
  <c r="O34" i="10"/>
  <c r="O28" i="10"/>
  <c r="J37" i="10"/>
  <c r="K37" i="10"/>
  <c r="M37" i="10" s="1"/>
  <c r="P37" i="10" s="1"/>
  <c r="E16" i="7"/>
  <c r="E19" i="7" l="1"/>
  <c r="E30" i="7" s="1"/>
  <c r="Q36" i="10"/>
  <c r="Q29" i="10"/>
  <c r="Q28" i="10"/>
  <c r="Q27" i="10"/>
  <c r="Q32" i="10"/>
  <c r="Q31" i="10"/>
  <c r="Q22" i="10"/>
  <c r="Q23" i="10"/>
  <c r="Q21" i="10"/>
  <c r="Q20" i="10"/>
  <c r="Q26" i="10"/>
  <c r="Q33" i="10"/>
  <c r="Q25" i="10"/>
  <c r="Q35" i="10"/>
  <c r="Q34" i="10"/>
  <c r="Q17" i="10"/>
  <c r="C9" i="10" s="1"/>
  <c r="C11" i="10" s="1"/>
  <c r="Q30" i="10"/>
  <c r="Q19" i="10"/>
  <c r="Q24" i="10"/>
  <c r="Q18" i="10"/>
  <c r="D9" i="10" s="1"/>
  <c r="D11" i="10" l="1"/>
  <c r="F29" i="7" s="1"/>
  <c r="D29" i="7"/>
  <c r="D16" i="7" l="1"/>
  <c r="D19" i="7" s="1"/>
  <c r="D30" i="7" s="1"/>
  <c r="F16" i="7" l="1"/>
  <c r="F19" i="7" l="1"/>
  <c r="F30" i="7" s="1"/>
</calcChain>
</file>

<file path=xl/sharedStrings.xml><?xml version="1.0" encoding="utf-8"?>
<sst xmlns="http://schemas.openxmlformats.org/spreadsheetml/2006/main" count="238" uniqueCount="82">
  <si>
    <t>EOY</t>
  </si>
  <si>
    <t>Projection Year</t>
  </si>
  <si>
    <t>Year Ending 31 December</t>
  </si>
  <si>
    <t>Investment Return on FUM</t>
  </si>
  <si>
    <t>FUM Withdrawals</t>
  </si>
  <si>
    <t>Management Fees</t>
  </si>
  <si>
    <t>Management Expense</t>
  </si>
  <si>
    <t>Policy Liability</t>
  </si>
  <si>
    <t>Reported Profit</t>
  </si>
  <si>
    <t>Capital Release</t>
  </si>
  <si>
    <t>Capital Requirement</t>
  </si>
  <si>
    <t>Projection to determine Value of In-Force Business</t>
  </si>
  <si>
    <t>Embedded Value Components</t>
  </si>
  <si>
    <t>- Assume no adjustments are required to be made to FUM to determine the policy liability</t>
  </si>
  <si>
    <t>- Assume no regulatory adjustments are required to be made to Net Assets to determine the Capital Base</t>
  </si>
  <si>
    <t>Investment Return on Capital Requirements</t>
  </si>
  <si>
    <t>p.a., as % of FUM at start of year</t>
  </si>
  <si>
    <t>as % of FUM</t>
  </si>
  <si>
    <t>Capital Requirement (Regulatory Capital Requirement + Target Surplus)</t>
  </si>
  <si>
    <t>As at 31 December 2019</t>
  </si>
  <si>
    <t>FUM (after cash flows for the year)</t>
  </si>
  <si>
    <t>Expected Movement</t>
  </si>
  <si>
    <t>Value of In-Force Business (VIF)</t>
  </si>
  <si>
    <t>Adjusted Net Worth (ANW)</t>
  </si>
  <si>
    <t>Embedded Value (EV)</t>
  </si>
  <si>
    <t>Actual Value as at 31 December 2019</t>
  </si>
  <si>
    <t>Event 1: Dividend Payment of $10 million</t>
  </si>
  <si>
    <t>Event 2: Impact of Fraud Event</t>
  </si>
  <si>
    <t>Event 3: Impact of Stock Market Crash</t>
  </si>
  <si>
    <t>- For Event 3, assume:</t>
  </si>
  <si>
    <t>- Investment Return on FUM for 2020</t>
  </si>
  <si>
    <t>as % of FUM at start of year</t>
  </si>
  <si>
    <t>Question parts (a) &amp; (b): Embedded Value Valuation Assumptions</t>
  </si>
  <si>
    <t>Question part (b): Further Information and Assumptions on EV Movement over Calendar Year 2020</t>
  </si>
  <si>
    <t>Actual Value as at 31 December 2020</t>
  </si>
  <si>
    <t>p.a., as % of Net Assets at start of year</t>
  </si>
  <si>
    <t>Investment Return on Net Assets (i.e. Capital Requirements &amp; Adjusted Net Worth)</t>
  </si>
  <si>
    <t>Unwinding of Discount Rate</t>
  </si>
  <si>
    <t>Check</t>
  </si>
  <si>
    <t>Experience Movement (in the order of Event 1, Event 2, Event 3, then Event 4)</t>
  </si>
  <si>
    <t>- Assets</t>
  </si>
  <si>
    <t>- Liabilities (other than Policy Liabilities)</t>
  </si>
  <si>
    <t>FUM Withdrawal (for projection year 1 to 19)</t>
  </si>
  <si>
    <t>FUM Withdrawal (for projection year 20)</t>
  </si>
  <si>
    <t>As at 31 December 2020</t>
  </si>
  <si>
    <t>31 Dec 2019 - Actual</t>
  </si>
  <si>
    <t>31 Dec 2020 - Expected</t>
  </si>
  <si>
    <t>31 Dec 2020 - Expected + Event 1</t>
  </si>
  <si>
    <t>31 Dec 2020 - Expected + Event 1 &amp; 2</t>
  </si>
  <si>
    <t>31 Dec 2020 - Actual</t>
  </si>
  <si>
    <t>Tax on Reported Profit</t>
  </si>
  <si>
    <t>PV of Tax on Reported Profit</t>
  </si>
  <si>
    <t>Value of Imputation Credits (VIC)</t>
  </si>
  <si>
    <t>Transfer between VIF, VIC and ANW</t>
  </si>
  <si>
    <t>Distributable Profit (Net of Tax)</t>
  </si>
  <si>
    <t>PV of Distributable Profits (Net of Tax)</t>
  </si>
  <si>
    <t>- Balance Sheet information as at 31 December 2019:</t>
  </si>
  <si>
    <t>- Investment Return on FUM for 2021 to 2022</t>
  </si>
  <si>
    <t>- Investment Return on FUM for 2023 onwards</t>
  </si>
  <si>
    <t>p.a.</t>
  </si>
  <si>
    <t>Management Expense (Variable)</t>
  </si>
  <si>
    <t>Projection to determine VIF and VIC</t>
  </si>
  <si>
    <t>Risk Discount Rate (p.a.)</t>
  </si>
  <si>
    <t>Key:</t>
  </si>
  <si>
    <t>Provided data</t>
  </si>
  <si>
    <t>Students' own workings</t>
  </si>
  <si>
    <t>To be completed by candidates</t>
  </si>
  <si>
    <t>Imputation credits as a % of future tax payable</t>
  </si>
  <si>
    <t>Question parts (a) &amp; (b): Further Information and Assumptions</t>
  </si>
  <si>
    <t xml:space="preserve">    - Assume no change to the withdrawal rate assumption for future years.</t>
  </si>
  <si>
    <t>- For Event 2, FUM withdrawal above expected (one-off) for year ending 31 December 2020</t>
  </si>
  <si>
    <t>Changes to calculations for event</t>
  </si>
  <si>
    <t>Management Expense (Fixed) for year ending 31 December 2020</t>
  </si>
  <si>
    <t>Management Expense (Fixed) inflation</t>
  </si>
  <si>
    <t>Tax Rate on shareholder profit</t>
  </si>
  <si>
    <t>- Assume no tax on policyholder investment returns</t>
  </si>
  <si>
    <t>- Assume there are no unused franking credits as at 31 December 2018</t>
  </si>
  <si>
    <t>p.a., as % of FUM after investment return credited and management fees deducted</t>
  </si>
  <si>
    <t>p.a., as % of FUM at end of year after investment return credited</t>
  </si>
  <si>
    <t>- For the purposes of the analysis of movement, assume that the Events 1 to 3 occurred at the end of calendar year 2020.</t>
  </si>
  <si>
    <t>- For Event 1 -  Dividend Payment at 31 December 2020 (this being an unfranked distribution)</t>
  </si>
  <si>
    <t>Investment Return on ANW after allowing for tax and imputation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</si>
</sst>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 ;[Red]\(#,##0\);&quot;-&quot;_ "/>
    <numFmt numFmtId="165" formatCode="0.0%"/>
    <numFmt numFmtId="166" formatCode="#,##0.000_ ;[Red]\(#,##0.000\);&quot;-&quot;_ "/>
    <numFmt numFmtId="167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entury Gothic"/>
      <family val="2"/>
    </font>
    <font>
      <u/>
      <sz val="11"/>
      <color indexed="8"/>
      <name val="Century Gothic"/>
      <family val="2"/>
    </font>
    <font>
      <b/>
      <sz val="11"/>
      <color indexed="8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sz val="11"/>
      <color indexed="40"/>
      <name val="Century Gothic"/>
      <family val="2"/>
    </font>
    <font>
      <sz val="8"/>
      <name val="Calibri"/>
      <family val="2"/>
    </font>
    <font>
      <sz val="10"/>
      <color theme="1"/>
      <name val="Times New Roman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u/>
      <sz val="11"/>
      <color theme="1"/>
      <name val="Century Gothic"/>
      <family val="2"/>
    </font>
    <font>
      <sz val="11"/>
      <color rgb="FFFF0000"/>
      <name val="Century Gothic"/>
      <family val="2"/>
    </font>
    <font>
      <sz val="11"/>
      <color rgb="FF00B0F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4" applyNumberFormat="1" applyFont="1" applyBorder="1"/>
    <xf numFmtId="0" fontId="3" fillId="0" borderId="0" xfId="0" applyFont="1"/>
    <xf numFmtId="165" fontId="2" fillId="0" borderId="0" xfId="4" applyNumberFormat="1" applyFont="1"/>
    <xf numFmtId="164" fontId="2" fillId="0" borderId="0" xfId="0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Border="1"/>
    <xf numFmtId="166" fontId="2" fillId="0" borderId="0" xfId="0" applyNumberFormat="1" applyFont="1" applyBorder="1"/>
    <xf numFmtId="164" fontId="2" fillId="0" borderId="8" xfId="0" applyNumberFormat="1" applyFont="1" applyBorder="1"/>
    <xf numFmtId="164" fontId="2" fillId="0" borderId="0" xfId="0" applyNumberFormat="1" applyFont="1" applyFill="1" applyBorder="1"/>
    <xf numFmtId="164" fontId="2" fillId="0" borderId="8" xfId="0" applyNumberFormat="1" applyFont="1" applyFill="1" applyBorder="1"/>
    <xf numFmtId="164" fontId="2" fillId="0" borderId="7" xfId="0" applyNumberFormat="1" applyFont="1" applyFill="1" applyBorder="1"/>
    <xf numFmtId="9" fontId="2" fillId="0" borderId="0" xfId="4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2" xfId="2" applyFont="1" applyBorder="1" applyAlignment="1">
      <alignment horizontal="left" vertical="center"/>
    </xf>
    <xf numFmtId="0" fontId="2" fillId="0" borderId="7" xfId="0" applyFont="1" applyBorder="1"/>
    <xf numFmtId="167" fontId="2" fillId="0" borderId="0" xfId="1" applyNumberFormat="1" applyFont="1" applyBorder="1"/>
    <xf numFmtId="167" fontId="2" fillId="0" borderId="0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8" xfId="0" applyFont="1" applyBorder="1"/>
    <xf numFmtId="0" fontId="3" fillId="0" borderId="7" xfId="0" applyFont="1" applyBorder="1"/>
    <xf numFmtId="0" fontId="2" fillId="0" borderId="6" xfId="0" applyFont="1" applyBorder="1"/>
    <xf numFmtId="0" fontId="3" fillId="0" borderId="2" xfId="0" applyFont="1" applyBorder="1"/>
    <xf numFmtId="165" fontId="2" fillId="0" borderId="3" xfId="4" applyNumberFormat="1" applyFont="1" applyBorder="1"/>
    <xf numFmtId="165" fontId="2" fillId="0" borderId="8" xfId="4" applyNumberFormat="1" applyFont="1" applyBorder="1"/>
    <xf numFmtId="0" fontId="2" fillId="0" borderId="7" xfId="0" quotePrefix="1" applyFont="1" applyBorder="1"/>
    <xf numFmtId="0" fontId="2" fillId="0" borderId="7" xfId="0" quotePrefix="1" applyFont="1" applyBorder="1" applyAlignment="1">
      <alignment horizontal="left" indent="2"/>
    </xf>
    <xf numFmtId="167" fontId="2" fillId="0" borderId="6" xfId="1" applyNumberFormat="1" applyFont="1" applyBorder="1"/>
    <xf numFmtId="165" fontId="2" fillId="0" borderId="5" xfId="4" applyNumberFormat="1" applyFont="1" applyBorder="1"/>
    <xf numFmtId="165" fontId="4" fillId="0" borderId="7" xfId="4" quotePrefix="1" applyNumberFormat="1" applyFont="1" applyBorder="1"/>
    <xf numFmtId="164" fontId="2" fillId="2" borderId="0" xfId="0" applyNumberFormat="1" applyFont="1" applyFill="1" applyBorder="1"/>
    <xf numFmtId="164" fontId="2" fillId="2" borderId="6" xfId="0" applyNumberFormat="1" applyFont="1" applyFill="1" applyBorder="1"/>
    <xf numFmtId="164" fontId="2" fillId="2" borderId="8" xfId="0" applyNumberFormat="1" applyFont="1" applyFill="1" applyBorder="1"/>
    <xf numFmtId="164" fontId="2" fillId="2" borderId="7" xfId="0" applyNumberFormat="1" applyFont="1" applyFill="1" applyBorder="1"/>
    <xf numFmtId="164" fontId="2" fillId="2" borderId="5" xfId="0" applyNumberFormat="1" applyFont="1" applyFill="1" applyBorder="1"/>
    <xf numFmtId="164" fontId="2" fillId="2" borderId="4" xfId="0" applyNumberFormat="1" applyFont="1" applyFill="1" applyBorder="1"/>
    <xf numFmtId="164" fontId="7" fillId="2" borderId="5" xfId="0" applyNumberFormat="1" applyFont="1" applyFill="1" applyBorder="1"/>
    <xf numFmtId="164" fontId="7" fillId="2" borderId="6" xfId="0" applyNumberFormat="1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10" fillId="3" borderId="3" xfId="2" applyFont="1" applyFill="1" applyBorder="1" applyAlignment="1">
      <alignment horizontal="left" vertical="center"/>
    </xf>
    <xf numFmtId="164" fontId="10" fillId="3" borderId="0" xfId="0" applyNumberFormat="1" applyFont="1" applyFill="1"/>
    <xf numFmtId="0" fontId="10" fillId="4" borderId="3" xfId="2" applyFont="1" applyFill="1" applyBorder="1" applyAlignment="1">
      <alignment horizontal="left" vertical="center"/>
    </xf>
    <xf numFmtId="0" fontId="10" fillId="3" borderId="8" xfId="0" applyFont="1" applyFill="1" applyBorder="1"/>
    <xf numFmtId="0" fontId="10" fillId="5" borderId="5" xfId="0" applyFont="1" applyFill="1" applyBorder="1"/>
    <xf numFmtId="0" fontId="11" fillId="0" borderId="2" xfId="2" applyFont="1" applyBorder="1" applyAlignment="1">
      <alignment horizontal="left" vertical="center"/>
    </xf>
    <xf numFmtId="0" fontId="10" fillId="0" borderId="0" xfId="0" applyFont="1"/>
    <xf numFmtId="0" fontId="10" fillId="0" borderId="7" xfId="0" applyFont="1" applyBorder="1"/>
    <xf numFmtId="0" fontId="10" fillId="0" borderId="4" xfId="0" applyFont="1" applyBorder="1"/>
    <xf numFmtId="0" fontId="10" fillId="0" borderId="2" xfId="0" applyFont="1" applyBorder="1"/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3" borderId="8" xfId="0" applyNumberFormat="1" applyFont="1" applyFill="1" applyBorder="1"/>
    <xf numFmtId="0" fontId="10" fillId="0" borderId="8" xfId="0" applyFont="1" applyBorder="1"/>
    <xf numFmtId="0" fontId="12" fillId="0" borderId="7" xfId="0" applyFont="1" applyBorder="1"/>
    <xf numFmtId="164" fontId="10" fillId="0" borderId="0" xfId="0" applyNumberFormat="1" applyFont="1"/>
    <xf numFmtId="164" fontId="10" fillId="4" borderId="0" xfId="0" applyNumberFormat="1" applyFont="1" applyFill="1"/>
    <xf numFmtId="164" fontId="10" fillId="4" borderId="8" xfId="0" applyNumberFormat="1" applyFont="1" applyFill="1" applyBorder="1"/>
    <xf numFmtId="0" fontId="10" fillId="0" borderId="6" xfId="0" applyFont="1" applyBorder="1"/>
    <xf numFmtId="0" fontId="10" fillId="0" borderId="5" xfId="0" applyFont="1" applyBorder="1"/>
    <xf numFmtId="15" fontId="10" fillId="5" borderId="0" xfId="0" applyNumberFormat="1" applyFont="1" applyFill="1"/>
    <xf numFmtId="164" fontId="5" fillId="5" borderId="0" xfId="0" applyNumberFormat="1" applyFont="1" applyFill="1"/>
    <xf numFmtId="0" fontId="13" fillId="5" borderId="0" xfId="0" applyFont="1" applyFill="1"/>
    <xf numFmtId="164" fontId="13" fillId="5" borderId="0" xfId="0" applyNumberFormat="1" applyFont="1" applyFill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6" fontId="10" fillId="0" borderId="0" xfId="0" applyNumberFormat="1" applyFont="1"/>
    <xf numFmtId="164" fontId="10" fillId="0" borderId="8" xfId="0" applyNumberFormat="1" applyFont="1" applyBorder="1"/>
    <xf numFmtId="164" fontId="10" fillId="5" borderId="0" xfId="0" applyNumberFormat="1" applyFont="1" applyFill="1"/>
    <xf numFmtId="164" fontId="10" fillId="5" borderId="8" xfId="0" applyNumberFormat="1" applyFont="1" applyFill="1" applyBorder="1"/>
    <xf numFmtId="164" fontId="10" fillId="0" borderId="7" xfId="0" applyNumberFormat="1" applyFont="1" applyBorder="1"/>
    <xf numFmtId="164" fontId="10" fillId="5" borderId="7" xfId="0" applyNumberFormat="1" applyFont="1" applyFill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10" fillId="5" borderId="6" xfId="0" applyNumberFormat="1" applyFont="1" applyFill="1" applyBorder="1"/>
    <xf numFmtId="164" fontId="14" fillId="5" borderId="6" xfId="0" applyNumberFormat="1" applyFont="1" applyFill="1" applyBorder="1"/>
    <xf numFmtId="164" fontId="10" fillId="5" borderId="5" xfId="0" applyNumberFormat="1" applyFont="1" applyFill="1" applyBorder="1"/>
    <xf numFmtId="164" fontId="10" fillId="5" borderId="4" xfId="0" applyNumberFormat="1" applyFont="1" applyFill="1" applyBorder="1"/>
    <xf numFmtId="0" fontId="10" fillId="5" borderId="8" xfId="0" applyFont="1" applyFill="1" applyBorder="1"/>
    <xf numFmtId="0" fontId="10" fillId="0" borderId="3" xfId="0" applyFont="1" applyFill="1" applyBorder="1" applyAlignment="1">
      <alignment horizontal="center" vertical="center" wrapText="1"/>
    </xf>
    <xf numFmtId="0" fontId="10" fillId="6" borderId="5" xfId="0" applyFont="1" applyFill="1" applyBorder="1"/>
    <xf numFmtId="164" fontId="10" fillId="6" borderId="8" xfId="0" applyNumberFormat="1" applyFont="1" applyFill="1" applyBorder="1"/>
    <xf numFmtId="164" fontId="10" fillId="6" borderId="0" xfId="0" applyNumberFormat="1" applyFont="1" applyFill="1"/>
    <xf numFmtId="164" fontId="10" fillId="6" borderId="6" xfId="0" applyNumberFormat="1" applyFont="1" applyFill="1" applyBorder="1"/>
    <xf numFmtId="165" fontId="2" fillId="0" borderId="0" xfId="4" applyNumberFormat="1" applyFont="1" applyFill="1" applyBorder="1" applyAlignment="1">
      <alignment horizontal="center"/>
    </xf>
    <xf numFmtId="165" fontId="10" fillId="3" borderId="0" xfId="4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165" fontId="2" fillId="0" borderId="8" xfId="4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165" fontId="10" fillId="3" borderId="0" xfId="4" applyNumberFormat="1" applyFont="1" applyFill="1" applyAlignment="1">
      <alignment horizontal="center" vertical="center"/>
    </xf>
    <xf numFmtId="0" fontId="10" fillId="0" borderId="7" xfId="0" applyFont="1" applyBorder="1" applyAlignment="1">
      <alignment wrapText="1"/>
    </xf>
    <xf numFmtId="164" fontId="10" fillId="4" borderId="0" xfId="0" applyNumberFormat="1" applyFont="1" applyFill="1" applyAlignment="1">
      <alignment vertical="center"/>
    </xf>
    <xf numFmtId="164" fontId="10" fillId="0" borderId="0" xfId="0" applyNumberFormat="1" applyFont="1" applyAlignment="1">
      <alignment vertical="center"/>
    </xf>
    <xf numFmtId="164" fontId="10" fillId="4" borderId="8" xfId="0" applyNumberFormat="1" applyFont="1" applyFill="1" applyBorder="1" applyAlignment="1">
      <alignment vertical="center"/>
    </xf>
  </cellXfs>
  <cellStyles count="5">
    <cellStyle name="Comma" xfId="1" builtinId="3"/>
    <cellStyle name="Normal" xfId="0" builtinId="0"/>
    <cellStyle name="Normal 3" xfId="2" xr:uid="{00000000-0005-0000-0000-000002000000}"/>
    <cellStyle name="Normal 4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"/>
  <sheetViews>
    <sheetView tabSelected="1" zoomScale="80" zoomScaleNormal="80" workbookViewId="0"/>
  </sheetViews>
  <sheetFormatPr defaultColWidth="9.140625" defaultRowHeight="16.5" x14ac:dyDescent="0.3"/>
  <cols>
    <col min="1" max="1" width="6.85546875" style="1" bestFit="1" customWidth="1"/>
    <col min="2" max="2" width="95.5703125" style="1" customWidth="1"/>
    <col min="3" max="3" width="25.85546875" style="1" bestFit="1" customWidth="1"/>
    <col min="4" max="4" width="55.85546875" style="1" customWidth="1"/>
    <col min="5" max="16384" width="9.140625" style="1"/>
  </cols>
  <sheetData>
    <row r="1" spans="1:4" x14ac:dyDescent="0.3">
      <c r="A1" s="59" t="s">
        <v>63</v>
      </c>
      <c r="B1" s="56" t="s">
        <v>66</v>
      </c>
    </row>
    <row r="2" spans="1:4" s="2" customFormat="1" x14ac:dyDescent="0.3">
      <c r="A2" s="61"/>
      <c r="B2" s="57" t="s">
        <v>64</v>
      </c>
      <c r="D2" s="3"/>
    </row>
    <row r="3" spans="1:4" s="2" customFormat="1" x14ac:dyDescent="0.3">
      <c r="A3" s="62"/>
      <c r="B3" s="58" t="s">
        <v>65</v>
      </c>
      <c r="D3" s="3"/>
    </row>
    <row r="4" spans="1:4" s="2" customFormat="1" x14ac:dyDescent="0.3">
      <c r="D4" s="3"/>
    </row>
    <row r="6" spans="1:4" x14ac:dyDescent="0.3">
      <c r="B6" s="36" t="s">
        <v>32</v>
      </c>
      <c r="C6" s="32"/>
      <c r="D6" s="37"/>
    </row>
    <row r="7" spans="1:4" x14ac:dyDescent="0.3">
      <c r="B7" s="39" t="s">
        <v>13</v>
      </c>
      <c r="C7" s="2"/>
      <c r="D7" s="38"/>
    </row>
    <row r="8" spans="1:4" x14ac:dyDescent="0.3">
      <c r="B8" s="39" t="s">
        <v>14</v>
      </c>
      <c r="C8" s="2"/>
      <c r="D8" s="38"/>
    </row>
    <row r="9" spans="1:4" x14ac:dyDescent="0.3">
      <c r="B9" s="39" t="s">
        <v>75</v>
      </c>
      <c r="C9" s="2"/>
      <c r="D9" s="33"/>
    </row>
    <row r="10" spans="1:4" x14ac:dyDescent="0.3">
      <c r="B10" s="39" t="s">
        <v>76</v>
      </c>
      <c r="C10" s="2"/>
      <c r="D10" s="33"/>
    </row>
    <row r="11" spans="1:4" x14ac:dyDescent="0.3">
      <c r="B11" s="39"/>
      <c r="C11" s="2"/>
      <c r="D11" s="33"/>
    </row>
    <row r="12" spans="1:4" x14ac:dyDescent="0.3">
      <c r="B12" s="28"/>
      <c r="C12" s="2"/>
      <c r="D12" s="38"/>
    </row>
    <row r="13" spans="1:4" x14ac:dyDescent="0.3">
      <c r="B13" s="28" t="s">
        <v>62</v>
      </c>
      <c r="C13" s="106">
        <v>7.0000000000000007E-2</v>
      </c>
      <c r="D13" s="33"/>
    </row>
    <row r="14" spans="1:4" x14ac:dyDescent="0.3">
      <c r="B14" s="28" t="s">
        <v>18</v>
      </c>
      <c r="C14" s="106">
        <v>0.08</v>
      </c>
      <c r="D14" s="38" t="s">
        <v>17</v>
      </c>
    </row>
    <row r="15" spans="1:4" x14ac:dyDescent="0.3">
      <c r="B15" s="28" t="s">
        <v>3</v>
      </c>
      <c r="C15" s="106">
        <v>0.08</v>
      </c>
      <c r="D15" s="38" t="s">
        <v>16</v>
      </c>
    </row>
    <row r="16" spans="1:4" ht="33" x14ac:dyDescent="0.3">
      <c r="B16" s="109" t="s">
        <v>5</v>
      </c>
      <c r="C16" s="110">
        <v>0.01</v>
      </c>
      <c r="D16" s="108" t="s">
        <v>78</v>
      </c>
    </row>
    <row r="17" spans="2:4" ht="33" x14ac:dyDescent="0.3">
      <c r="B17" s="109" t="s">
        <v>42</v>
      </c>
      <c r="C17" s="110">
        <v>0.1</v>
      </c>
      <c r="D17" s="108" t="s">
        <v>77</v>
      </c>
    </row>
    <row r="18" spans="2:4" ht="33" x14ac:dyDescent="0.3">
      <c r="B18" s="109" t="s">
        <v>43</v>
      </c>
      <c r="C18" s="110">
        <v>1</v>
      </c>
      <c r="D18" s="108" t="s">
        <v>77</v>
      </c>
    </row>
    <row r="19" spans="2:4" x14ac:dyDescent="0.3">
      <c r="B19" s="28" t="s">
        <v>72</v>
      </c>
      <c r="C19" s="107">
        <f>1*10^6</f>
        <v>1000000</v>
      </c>
      <c r="D19" s="38"/>
    </row>
    <row r="20" spans="2:4" x14ac:dyDescent="0.3">
      <c r="B20" s="28" t="s">
        <v>73</v>
      </c>
      <c r="C20" s="106">
        <v>0.03</v>
      </c>
      <c r="D20" s="38" t="s">
        <v>59</v>
      </c>
    </row>
    <row r="21" spans="2:4" x14ac:dyDescent="0.3">
      <c r="B21" s="28" t="s">
        <v>60</v>
      </c>
      <c r="C21" s="106">
        <v>5.0000000000000001E-3</v>
      </c>
      <c r="D21" s="38" t="s">
        <v>16</v>
      </c>
    </row>
    <row r="22" spans="2:4" x14ac:dyDescent="0.3">
      <c r="B22" s="28" t="s">
        <v>36</v>
      </c>
      <c r="C22" s="106">
        <v>0.03</v>
      </c>
      <c r="D22" s="38" t="s">
        <v>35</v>
      </c>
    </row>
    <row r="23" spans="2:4" x14ac:dyDescent="0.3">
      <c r="B23" s="28" t="s">
        <v>74</v>
      </c>
      <c r="C23" s="106">
        <v>0.3</v>
      </c>
      <c r="D23" s="33"/>
    </row>
    <row r="24" spans="2:4" x14ac:dyDescent="0.3">
      <c r="B24" s="28" t="s">
        <v>67</v>
      </c>
      <c r="C24" s="106">
        <v>0.7</v>
      </c>
      <c r="D24" s="33"/>
    </row>
    <row r="25" spans="2:4" x14ac:dyDescent="0.3">
      <c r="B25" s="11"/>
      <c r="C25" s="35"/>
      <c r="D25" s="12"/>
    </row>
    <row r="26" spans="2:4" x14ac:dyDescent="0.3">
      <c r="B26" s="53" t="s">
        <v>68</v>
      </c>
      <c r="C26" s="2"/>
      <c r="D26" s="38"/>
    </row>
    <row r="27" spans="2:4" x14ac:dyDescent="0.3">
      <c r="B27" s="28"/>
      <c r="C27" s="2"/>
      <c r="D27" s="38"/>
    </row>
    <row r="28" spans="2:4" x14ac:dyDescent="0.3">
      <c r="B28" s="39" t="s">
        <v>56</v>
      </c>
      <c r="C28" s="2"/>
      <c r="D28" s="33"/>
    </row>
    <row r="29" spans="2:4" x14ac:dyDescent="0.3">
      <c r="B29" s="40" t="s">
        <v>40</v>
      </c>
      <c r="C29" s="107">
        <f>1*10^9</f>
        <v>1000000000</v>
      </c>
      <c r="D29" s="38"/>
    </row>
    <row r="30" spans="2:4" x14ac:dyDescent="0.3">
      <c r="B30" s="40" t="s">
        <v>41</v>
      </c>
      <c r="C30" s="107">
        <f>1*10^8</f>
        <v>100000000</v>
      </c>
      <c r="D30" s="38"/>
    </row>
    <row r="31" spans="2:4" x14ac:dyDescent="0.3">
      <c r="B31" s="11"/>
      <c r="C31" s="41"/>
      <c r="D31" s="42"/>
    </row>
    <row r="32" spans="2:4" x14ac:dyDescent="0.3">
      <c r="B32" s="34" t="s">
        <v>33</v>
      </c>
      <c r="C32" s="29"/>
      <c r="D32" s="38"/>
    </row>
    <row r="33" spans="2:4" x14ac:dyDescent="0.3">
      <c r="B33" s="28"/>
      <c r="C33" s="30"/>
      <c r="D33" s="33"/>
    </row>
    <row r="34" spans="2:4" x14ac:dyDescent="0.3">
      <c r="B34" s="43" t="s">
        <v>79</v>
      </c>
      <c r="C34" s="30"/>
      <c r="D34" s="38"/>
    </row>
    <row r="35" spans="2:4" x14ac:dyDescent="0.3">
      <c r="B35" s="28"/>
      <c r="C35" s="30"/>
      <c r="D35" s="38"/>
    </row>
    <row r="36" spans="2:4" x14ac:dyDescent="0.3">
      <c r="B36" s="39" t="s">
        <v>80</v>
      </c>
      <c r="C36" s="107">
        <f>10*10^6</f>
        <v>10000000</v>
      </c>
      <c r="D36" s="38"/>
    </row>
    <row r="37" spans="2:4" x14ac:dyDescent="0.3">
      <c r="B37" s="28"/>
      <c r="C37" s="30"/>
      <c r="D37" s="38"/>
    </row>
    <row r="38" spans="2:4" x14ac:dyDescent="0.3">
      <c r="B38" s="39" t="s">
        <v>70</v>
      </c>
      <c r="C38" s="107">
        <f>100*10^6</f>
        <v>100000000</v>
      </c>
      <c r="D38" s="38"/>
    </row>
    <row r="39" spans="2:4" x14ac:dyDescent="0.3">
      <c r="B39" s="39" t="s">
        <v>69</v>
      </c>
      <c r="C39" s="2"/>
      <c r="D39" s="38"/>
    </row>
    <row r="40" spans="2:4" x14ac:dyDescent="0.3">
      <c r="B40" s="39"/>
      <c r="C40" s="2"/>
      <c r="D40" s="38"/>
    </row>
    <row r="41" spans="2:4" x14ac:dyDescent="0.3">
      <c r="B41" s="39" t="s">
        <v>29</v>
      </c>
      <c r="C41" s="2"/>
      <c r="D41" s="38"/>
    </row>
    <row r="42" spans="2:4" x14ac:dyDescent="0.3">
      <c r="B42" s="40" t="s">
        <v>30</v>
      </c>
      <c r="C42" s="106">
        <v>-0.1</v>
      </c>
      <c r="D42" s="38" t="s">
        <v>31</v>
      </c>
    </row>
    <row r="43" spans="2:4" x14ac:dyDescent="0.3">
      <c r="B43" s="40" t="s">
        <v>57</v>
      </c>
      <c r="C43" s="106">
        <v>0.03</v>
      </c>
      <c r="D43" s="38" t="s">
        <v>16</v>
      </c>
    </row>
    <row r="44" spans="2:4" x14ac:dyDescent="0.3">
      <c r="B44" s="40" t="s">
        <v>58</v>
      </c>
      <c r="C44" s="106">
        <v>0.08</v>
      </c>
      <c r="D44" s="38" t="s">
        <v>16</v>
      </c>
    </row>
    <row r="45" spans="2:4" x14ac:dyDescent="0.3">
      <c r="B45" s="40"/>
      <c r="C45" s="105"/>
      <c r="D45" s="38"/>
    </row>
    <row r="46" spans="2:4" x14ac:dyDescent="0.3">
      <c r="B46" s="11"/>
      <c r="C46" s="35"/>
      <c r="D46" s="42"/>
    </row>
    <row r="49" spans="2:4" x14ac:dyDescent="0.3">
      <c r="D49" s="5"/>
    </row>
    <row r="50" spans="2:4" x14ac:dyDescent="0.3">
      <c r="B50" s="6"/>
      <c r="D50" s="6"/>
    </row>
    <row r="51" spans="2:4" x14ac:dyDescent="0.3">
      <c r="B51" s="6"/>
      <c r="D51" s="6"/>
    </row>
    <row r="53" spans="2:4" x14ac:dyDescent="0.3">
      <c r="B53" s="6"/>
      <c r="D53" s="6"/>
    </row>
    <row r="54" spans="2:4" x14ac:dyDescent="0.3">
      <c r="B54" s="6"/>
      <c r="D54" s="6"/>
    </row>
    <row r="55" spans="2:4" x14ac:dyDescent="0.3">
      <c r="B55" s="6"/>
      <c r="D55" s="6"/>
    </row>
    <row r="57" spans="2:4" x14ac:dyDescent="0.3">
      <c r="B57" s="6"/>
      <c r="D57" s="6"/>
    </row>
    <row r="58" spans="2:4" x14ac:dyDescent="0.3">
      <c r="B58" s="6"/>
      <c r="D58" s="6"/>
    </row>
    <row r="59" spans="2:4" x14ac:dyDescent="0.3">
      <c r="B59" s="6"/>
      <c r="D59" s="6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zoomScale="60" zoomScaleNormal="60" workbookViewId="0"/>
  </sheetViews>
  <sheetFormatPr defaultColWidth="9.140625" defaultRowHeight="16.5" x14ac:dyDescent="0.3"/>
  <cols>
    <col min="1" max="1" width="6.85546875" style="1" bestFit="1" customWidth="1"/>
    <col min="2" max="2" width="38.5703125" style="1" bestFit="1" customWidth="1"/>
    <col min="3" max="8" width="18.5703125" style="1" customWidth="1"/>
    <col min="9" max="10" width="18.5703125" style="2" customWidth="1"/>
    <col min="11" max="17" width="18.5703125" style="1" customWidth="1"/>
    <col min="18" max="16384" width="9.140625" style="1"/>
  </cols>
  <sheetData>
    <row r="1" spans="1:17" x14ac:dyDescent="0.3">
      <c r="A1" s="27" t="s">
        <v>63</v>
      </c>
      <c r="B1" s="56" t="s">
        <v>66</v>
      </c>
    </row>
    <row r="2" spans="1:17" x14ac:dyDescent="0.3">
      <c r="A2" s="28"/>
      <c r="B2" s="57" t="s">
        <v>64</v>
      </c>
    </row>
    <row r="3" spans="1:17" x14ac:dyDescent="0.3">
      <c r="A3" s="11"/>
      <c r="B3" s="58" t="s">
        <v>65</v>
      </c>
    </row>
    <row r="5" spans="1:17" x14ac:dyDescent="0.3">
      <c r="B5" s="4" t="s">
        <v>12</v>
      </c>
    </row>
    <row r="7" spans="1:17" ht="33" x14ac:dyDescent="0.3">
      <c r="B7" s="31"/>
      <c r="C7" s="52" t="s">
        <v>19</v>
      </c>
      <c r="D7" s="52" t="s">
        <v>44</v>
      </c>
    </row>
    <row r="8" spans="1:17" x14ac:dyDescent="0.3">
      <c r="B8" s="28" t="s">
        <v>23</v>
      </c>
      <c r="C8" s="46">
        <f>'Key Information'!C29-'Key Information'!C30-'Embedded Value 31 Dec 2019'!J17-$K$17</f>
        <v>36000000</v>
      </c>
      <c r="D8" s="46">
        <f>C8*(1+'Key Information'!$C$22)- C8*'Key Information'!$C$22*'Key Information'!$C$23*(1-'Key Information'!$C$24)+P18+N18*'Key Information'!$C$24</f>
        <v>44456480</v>
      </c>
    </row>
    <row r="9" spans="1:17" x14ac:dyDescent="0.3">
      <c r="B9" s="28" t="s">
        <v>22</v>
      </c>
      <c r="C9" s="46">
        <f>Q17</f>
        <v>55583037.883884162</v>
      </c>
      <c r="D9" s="46">
        <f>Q18</f>
        <v>53167770.535756059</v>
      </c>
    </row>
    <row r="10" spans="1:17" x14ac:dyDescent="0.3">
      <c r="B10" s="28" t="s">
        <v>52</v>
      </c>
      <c r="C10" s="46">
        <f>O17*'Key Information'!$C$24</f>
        <v>8457338.4825944789</v>
      </c>
      <c r="D10" s="46">
        <f>O18*'Key Information'!$C$24</f>
        <v>7881752.176376095</v>
      </c>
    </row>
    <row r="11" spans="1:17" x14ac:dyDescent="0.3">
      <c r="B11" s="11" t="s">
        <v>24</v>
      </c>
      <c r="C11" s="48">
        <f>SUM(C8:C10)</f>
        <v>100040376.36647864</v>
      </c>
      <c r="D11" s="48">
        <f>SUM(D8:D10)</f>
        <v>105506002.71213214</v>
      </c>
    </row>
    <row r="13" spans="1:17" x14ac:dyDescent="0.3">
      <c r="B13" s="4" t="s">
        <v>61</v>
      </c>
      <c r="C13" s="4"/>
    </row>
    <row r="15" spans="1:17" ht="57.6" customHeight="1" x14ac:dyDescent="0.3">
      <c r="B15" s="7" t="s">
        <v>2</v>
      </c>
      <c r="C15" s="8" t="s">
        <v>1</v>
      </c>
      <c r="D15" s="9" t="s">
        <v>3</v>
      </c>
      <c r="E15" s="9" t="s">
        <v>5</v>
      </c>
      <c r="F15" s="9" t="s">
        <v>4</v>
      </c>
      <c r="G15" s="9" t="s">
        <v>6</v>
      </c>
      <c r="H15" s="10" t="s">
        <v>15</v>
      </c>
      <c r="I15" s="9" t="s">
        <v>20</v>
      </c>
      <c r="J15" s="9" t="s">
        <v>7</v>
      </c>
      <c r="K15" s="10" t="s">
        <v>10</v>
      </c>
      <c r="L15" s="9" t="s">
        <v>8</v>
      </c>
      <c r="M15" s="10" t="s">
        <v>9</v>
      </c>
      <c r="N15" s="7" t="s">
        <v>50</v>
      </c>
      <c r="O15" s="10" t="s">
        <v>51</v>
      </c>
      <c r="P15" s="7" t="s">
        <v>54</v>
      </c>
      <c r="Q15" s="10" t="s">
        <v>55</v>
      </c>
    </row>
    <row r="16" spans="1:17" x14ac:dyDescent="0.3">
      <c r="B16" s="11"/>
      <c r="C16" s="12"/>
      <c r="D16" s="13" t="s">
        <v>0</v>
      </c>
      <c r="E16" s="13" t="s">
        <v>0</v>
      </c>
      <c r="F16" s="13" t="s">
        <v>0</v>
      </c>
      <c r="G16" s="13" t="s">
        <v>0</v>
      </c>
      <c r="H16" s="14" t="s">
        <v>0</v>
      </c>
      <c r="I16" s="13" t="s">
        <v>0</v>
      </c>
      <c r="J16" s="13" t="s">
        <v>0</v>
      </c>
      <c r="K16" s="14" t="s">
        <v>0</v>
      </c>
      <c r="L16" s="13" t="s">
        <v>0</v>
      </c>
      <c r="M16" s="14" t="s">
        <v>0</v>
      </c>
      <c r="N16" s="15" t="s">
        <v>0</v>
      </c>
      <c r="O16" s="14" t="s">
        <v>0</v>
      </c>
      <c r="P16" s="15" t="s">
        <v>0</v>
      </c>
      <c r="Q16" s="14" t="s">
        <v>0</v>
      </c>
    </row>
    <row r="17" spans="1:17" x14ac:dyDescent="0.3">
      <c r="B17" s="16">
        <v>2019</v>
      </c>
      <c r="C17" s="17">
        <v>0</v>
      </c>
      <c r="D17" s="18"/>
      <c r="E17" s="18"/>
      <c r="F17" s="19"/>
      <c r="G17" s="18"/>
      <c r="H17" s="20"/>
      <c r="I17" s="55">
        <f>800*10^6</f>
        <v>800000000</v>
      </c>
      <c r="J17" s="44">
        <f>I17</f>
        <v>800000000</v>
      </c>
      <c r="K17" s="46">
        <f>I17*'Key Information'!$C$14</f>
        <v>64000000</v>
      </c>
      <c r="L17" s="21"/>
      <c r="M17" s="22"/>
      <c r="N17" s="23"/>
      <c r="O17" s="46">
        <f>NPV('Key Information'!$C$13,'Embedded Value 31 Dec 2019'!$N18:$N$37)</f>
        <v>12081912.117992112</v>
      </c>
      <c r="P17" s="23"/>
      <c r="Q17" s="46">
        <f>NPV('Key Information'!$C$13,'Embedded Value 31 Dec 2019'!$P18:$P$37)</f>
        <v>55583037.883884162</v>
      </c>
    </row>
    <row r="18" spans="1:17" x14ac:dyDescent="0.3">
      <c r="A18" s="24"/>
      <c r="B18" s="16">
        <v>2020</v>
      </c>
      <c r="C18" s="17">
        <v>1</v>
      </c>
      <c r="D18" s="44">
        <f>$I17*'Key Information'!$C$15</f>
        <v>64000000</v>
      </c>
      <c r="E18" s="44">
        <f>($I17+$D18)*'Key Information'!$C$16</f>
        <v>8640000</v>
      </c>
      <c r="F18" s="44">
        <f>($I17+$D18-$E18)*'Key Information'!$C$17</f>
        <v>85536000</v>
      </c>
      <c r="G18" s="44">
        <f>$I17*'Key Information'!$C$21+'Key Information'!$C$19*(1+'Key Information'!$C$20)^($C18-1)</f>
        <v>5000000</v>
      </c>
      <c r="H18" s="46">
        <f>$K17*'Key Information'!$C$22</f>
        <v>1920000</v>
      </c>
      <c r="I18" s="44">
        <f>I17+D18-E18-F18</f>
        <v>769824000</v>
      </c>
      <c r="J18" s="44">
        <f>I18</f>
        <v>769824000</v>
      </c>
      <c r="K18" s="46">
        <f>I18*'Key Information'!$C$14</f>
        <v>61585920</v>
      </c>
      <c r="L18" s="44">
        <f>E18-G18+H18</f>
        <v>5560000</v>
      </c>
      <c r="M18" s="46">
        <f>K17-K18</f>
        <v>2414080</v>
      </c>
      <c r="N18" s="47">
        <f>L18*'Key Information'!$C$23</f>
        <v>1668000</v>
      </c>
      <c r="O18" s="46">
        <f>NPV('Key Information'!$C$13,'Embedded Value 31 Dec 2019'!$N19:$N$37)</f>
        <v>11259645.966251565</v>
      </c>
      <c r="P18" s="47">
        <f>L18+M18-N18</f>
        <v>6306080</v>
      </c>
      <c r="Q18" s="46">
        <f>NPV('Key Information'!$C$13,'Embedded Value 31 Dec 2019'!$P19:$P$37)</f>
        <v>53167770.535756059</v>
      </c>
    </row>
    <row r="19" spans="1:17" x14ac:dyDescent="0.3">
      <c r="A19" s="24"/>
      <c r="B19" s="16">
        <v>2021</v>
      </c>
      <c r="C19" s="17">
        <v>2</v>
      </c>
      <c r="D19" s="44">
        <f>$I18*'Key Information'!$C$15</f>
        <v>61585920</v>
      </c>
      <c r="E19" s="44">
        <f>($I18+$D19)*'Key Information'!$C$16</f>
        <v>8314099.2000000002</v>
      </c>
      <c r="F19" s="44">
        <f>($I18+$D19-$E19)*'Key Information'!$C$17</f>
        <v>82309582.079999998</v>
      </c>
      <c r="G19" s="44">
        <f>$I18*'Key Information'!$C$21+'Key Information'!$C$19*(1+'Key Information'!$C$20)^($C19-1)</f>
        <v>4879120</v>
      </c>
      <c r="H19" s="46">
        <f>$K18*'Key Information'!$C$22</f>
        <v>1847577.5999999999</v>
      </c>
      <c r="I19" s="44">
        <f t="shared" ref="I19:I37" si="0">I18+D19-E19-F19</f>
        <v>740786238.71999991</v>
      </c>
      <c r="J19" s="44">
        <f t="shared" ref="J19:J37" si="1">I19</f>
        <v>740786238.71999991</v>
      </c>
      <c r="K19" s="46">
        <f>I19*'Key Information'!$C$14</f>
        <v>59262899.097599991</v>
      </c>
      <c r="L19" s="44">
        <f t="shared" ref="L19:L37" si="2">E19-G19+H19</f>
        <v>5282556.8</v>
      </c>
      <c r="M19" s="46">
        <f t="shared" ref="M19:M37" si="3">K18-K19</f>
        <v>2323020.9024000093</v>
      </c>
      <c r="N19" s="47">
        <f>L19*'Key Information'!$C$23</f>
        <v>1584767.0399999998</v>
      </c>
      <c r="O19" s="46">
        <f>NPV('Key Information'!$C$13,'Embedded Value 31 Dec 2019'!$N20:$N$37)</f>
        <v>10463054.143889176</v>
      </c>
      <c r="P19" s="47">
        <f t="shared" ref="P19:P37" si="4">L19+M19-N19</f>
        <v>6020810.6624000091</v>
      </c>
      <c r="Q19" s="46">
        <f>NPV('Key Information'!$C$13,'Embedded Value 31 Dec 2019'!$P20:$P$37)</f>
        <v>50868703.810858957</v>
      </c>
    </row>
    <row r="20" spans="1:17" x14ac:dyDescent="0.3">
      <c r="A20" s="24"/>
      <c r="B20" s="16">
        <v>2022</v>
      </c>
      <c r="C20" s="17">
        <v>3</v>
      </c>
      <c r="D20" s="44">
        <f>$I19*'Key Information'!$C$15</f>
        <v>59262899.097599991</v>
      </c>
      <c r="E20" s="44">
        <f>($I19+$D20)*'Key Information'!$C$16</f>
        <v>8000491.378175999</v>
      </c>
      <c r="F20" s="44">
        <f>($I19+$D20-$E20)*'Key Information'!$C$17</f>
        <v>79204864.643942401</v>
      </c>
      <c r="G20" s="44">
        <f>$I19*'Key Information'!$C$21+'Key Information'!$C$19*(1+'Key Information'!$C$20)^($C20-1)</f>
        <v>4764831.193599999</v>
      </c>
      <c r="H20" s="46">
        <f>$K19*'Key Information'!$C$22</f>
        <v>1777886.9729279997</v>
      </c>
      <c r="I20" s="44">
        <f t="shared" si="0"/>
        <v>712843781.79548156</v>
      </c>
      <c r="J20" s="44">
        <f t="shared" si="1"/>
        <v>712843781.79548156</v>
      </c>
      <c r="K20" s="46">
        <f>I20*'Key Information'!$C$14</f>
        <v>57027502.543638527</v>
      </c>
      <c r="L20" s="44">
        <f t="shared" si="2"/>
        <v>5013547.1575039998</v>
      </c>
      <c r="M20" s="46">
        <f t="shared" si="3"/>
        <v>2235396.5539614633</v>
      </c>
      <c r="N20" s="47">
        <f>L20*'Key Information'!$C$23</f>
        <v>1504064.1472511999</v>
      </c>
      <c r="O20" s="46">
        <f>NPV('Key Information'!$C$13,'Embedded Value 31 Dec 2019'!$N21:$N$37)</f>
        <v>9691403.7867102176</v>
      </c>
      <c r="P20" s="47">
        <f t="shared" si="4"/>
        <v>5744879.5642142631</v>
      </c>
      <c r="Q20" s="46">
        <f>NPV('Key Information'!$C$13,'Embedded Value 31 Dec 2019'!$P21:$P$37)</f>
        <v>48684633.513404839</v>
      </c>
    </row>
    <row r="21" spans="1:17" x14ac:dyDescent="0.3">
      <c r="A21" s="24"/>
      <c r="B21" s="16">
        <v>2023</v>
      </c>
      <c r="C21" s="17">
        <v>4</v>
      </c>
      <c r="D21" s="44">
        <f>$I20*'Key Information'!$C$15</f>
        <v>57027502.543638527</v>
      </c>
      <c r="E21" s="44">
        <f>($I20+$D21)*'Key Information'!$C$16</f>
        <v>7698712.8433912015</v>
      </c>
      <c r="F21" s="44">
        <f>($I20+$D21-$E21)*'Key Information'!$C$17</f>
        <v>76217257.149572894</v>
      </c>
      <c r="G21" s="44">
        <f>$I20*'Key Information'!$C$21+'Key Information'!$C$19*(1+'Key Information'!$C$20)^($C21-1)</f>
        <v>4656945.908977408</v>
      </c>
      <c r="H21" s="46">
        <f>$K20*'Key Information'!$C$22</f>
        <v>1710825.0763091557</v>
      </c>
      <c r="I21" s="44">
        <f t="shared" si="0"/>
        <v>685955314.34615612</v>
      </c>
      <c r="J21" s="44">
        <f t="shared" si="1"/>
        <v>685955314.34615612</v>
      </c>
      <c r="K21" s="46">
        <f>I21*'Key Information'!$C$14</f>
        <v>54876425.147692494</v>
      </c>
      <c r="L21" s="44">
        <f t="shared" si="2"/>
        <v>4752592.0107229492</v>
      </c>
      <c r="M21" s="46">
        <f t="shared" si="3"/>
        <v>2151077.3959460333</v>
      </c>
      <c r="N21" s="47">
        <f>L21*'Key Information'!$C$23</f>
        <v>1425777.6032168847</v>
      </c>
      <c r="O21" s="46">
        <f>NPV('Key Information'!$C$13,'Embedded Value 31 Dec 2019'!$N22:$N$37)</f>
        <v>8944024.4485630486</v>
      </c>
      <c r="P21" s="47">
        <f t="shared" si="4"/>
        <v>5477891.8034520978</v>
      </c>
      <c r="Q21" s="46">
        <f>NPV('Key Information'!$C$13,'Embedded Value 31 Dec 2019'!$P22:$P$37)</f>
        <v>46614666.055891067</v>
      </c>
    </row>
    <row r="22" spans="1:17" x14ac:dyDescent="0.3">
      <c r="A22" s="24"/>
      <c r="B22" s="16">
        <v>2024</v>
      </c>
      <c r="C22" s="17">
        <v>5</v>
      </c>
      <c r="D22" s="44">
        <f>$I21*'Key Information'!$C$15</f>
        <v>54876425.147692494</v>
      </c>
      <c r="E22" s="44">
        <f>($I21+$D22)*'Key Information'!$C$16</f>
        <v>7408317.3949384857</v>
      </c>
      <c r="F22" s="44">
        <f>($I21+$D22-$E22)*'Key Information'!$C$17</f>
        <v>73342342.209891006</v>
      </c>
      <c r="G22" s="44">
        <f>$I21*'Key Information'!$C$21+'Key Information'!$C$19*(1+'Key Information'!$C$20)^($C22-1)</f>
        <v>4555285.3817307809</v>
      </c>
      <c r="H22" s="46">
        <f>$K21*'Key Information'!$C$22</f>
        <v>1646292.7544307748</v>
      </c>
      <c r="I22" s="44">
        <f t="shared" si="0"/>
        <v>660081079.88901913</v>
      </c>
      <c r="J22" s="44">
        <f t="shared" si="1"/>
        <v>660081079.88901913</v>
      </c>
      <c r="K22" s="46">
        <f>I22*'Key Information'!$C$14</f>
        <v>52806486.391121529</v>
      </c>
      <c r="L22" s="44">
        <f t="shared" si="2"/>
        <v>4499324.7676384794</v>
      </c>
      <c r="M22" s="46">
        <f t="shared" si="3"/>
        <v>2069938.7565709651</v>
      </c>
      <c r="N22" s="47">
        <f>L22*'Key Information'!$C$23</f>
        <v>1349797.4302915437</v>
      </c>
      <c r="O22" s="46">
        <f>NPV('Key Information'!$C$13,'Embedded Value 31 Dec 2019'!$N23:$N$37)</f>
        <v>8220308.7296709167</v>
      </c>
      <c r="P22" s="47">
        <f t="shared" si="4"/>
        <v>5219466.0939179007</v>
      </c>
      <c r="Q22" s="46">
        <f>NPV('Key Information'!$C$13,'Embedded Value 31 Dec 2019'!$P23:$P$37)</f>
        <v>44658226.585885555</v>
      </c>
    </row>
    <row r="23" spans="1:17" x14ac:dyDescent="0.3">
      <c r="A23" s="24"/>
      <c r="B23" s="16">
        <v>2025</v>
      </c>
      <c r="C23" s="17">
        <v>6</v>
      </c>
      <c r="D23" s="44">
        <f>$I22*'Key Information'!$C$15</f>
        <v>52806486.391121529</v>
      </c>
      <c r="E23" s="44">
        <f>($I22+$D23)*'Key Information'!$C$16</f>
        <v>7128875.6628014063</v>
      </c>
      <c r="F23" s="44">
        <f>($I22+$D23-$E23)*'Key Information'!$C$17</f>
        <v>70575869.061733931</v>
      </c>
      <c r="G23" s="44">
        <f>$I22*'Key Information'!$C$21+'Key Information'!$C$19*(1+'Key Information'!$C$20)^($C23-1)</f>
        <v>4459679.4737450955</v>
      </c>
      <c r="H23" s="46">
        <f>$K22*'Key Information'!$C$22</f>
        <v>1584194.5917336459</v>
      </c>
      <c r="I23" s="44">
        <f t="shared" si="0"/>
        <v>635182821.55560529</v>
      </c>
      <c r="J23" s="44">
        <f t="shared" si="1"/>
        <v>635182821.55560529</v>
      </c>
      <c r="K23" s="46">
        <f>I23*'Key Information'!$C$14</f>
        <v>50814625.724448428</v>
      </c>
      <c r="L23" s="44">
        <f t="shared" si="2"/>
        <v>4253390.7807899565</v>
      </c>
      <c r="M23" s="46">
        <f t="shared" si="3"/>
        <v>1991860.6666731015</v>
      </c>
      <c r="N23" s="47">
        <f>L23*'Key Information'!$C$23</f>
        <v>1276017.2342369868</v>
      </c>
      <c r="O23" s="46">
        <f>NPV('Key Information'!$C$13,'Embedded Value 31 Dec 2019'!$N24:$N$37)</f>
        <v>7519713.1065108972</v>
      </c>
      <c r="P23" s="47">
        <f t="shared" si="4"/>
        <v>4969234.2132260706</v>
      </c>
      <c r="Q23" s="46">
        <f>NPV('Key Information'!$C$13,'Embedded Value 31 Dec 2019'!$P24:$P$37)</f>
        <v>42815068.233671479</v>
      </c>
    </row>
    <row r="24" spans="1:17" x14ac:dyDescent="0.3">
      <c r="A24" s="24"/>
      <c r="B24" s="16">
        <v>2026</v>
      </c>
      <c r="C24" s="17">
        <v>7</v>
      </c>
      <c r="D24" s="44">
        <f>$I23*'Key Information'!$C$15</f>
        <v>50814625.724448428</v>
      </c>
      <c r="E24" s="44">
        <f>($I23+$D24)*'Key Information'!$C$16</f>
        <v>6859974.4728005379</v>
      </c>
      <c r="F24" s="44">
        <f>($I23+$D24-$E24)*'Key Information'!$C$17</f>
        <v>67913747.28072533</v>
      </c>
      <c r="G24" s="44">
        <f>$I23*'Key Information'!$C$21+'Key Information'!$C$19*(1+'Key Information'!$C$20)^($C24-1)</f>
        <v>4369966.4043070264</v>
      </c>
      <c r="H24" s="46">
        <f>$K23*'Key Information'!$C$22</f>
        <v>1524438.7717334528</v>
      </c>
      <c r="I24" s="44">
        <f t="shared" si="0"/>
        <v>611223725.52652788</v>
      </c>
      <c r="J24" s="44">
        <f t="shared" si="1"/>
        <v>611223725.52652788</v>
      </c>
      <c r="K24" s="46">
        <f>I24*'Key Information'!$C$14</f>
        <v>48897898.04212223</v>
      </c>
      <c r="L24" s="44">
        <f t="shared" si="2"/>
        <v>4014446.8402269641</v>
      </c>
      <c r="M24" s="46">
        <f t="shared" si="3"/>
        <v>1916727.6823261976</v>
      </c>
      <c r="N24" s="47">
        <f>L24*'Key Information'!$C$23</f>
        <v>1204334.0520680891</v>
      </c>
      <c r="O24" s="46">
        <f>NPV('Key Information'!$C$13,'Embedded Value 31 Dec 2019'!$N25:$N$37)</f>
        <v>6841758.9718985716</v>
      </c>
      <c r="P24" s="47">
        <f t="shared" si="4"/>
        <v>4726840.4704850726</v>
      </c>
      <c r="Q24" s="46">
        <f>NPV('Key Information'!$C$13,'Embedded Value 31 Dec 2019'!$P25:$P$37)</f>
        <v>41085282.53954342</v>
      </c>
    </row>
    <row r="25" spans="1:17" x14ac:dyDescent="0.3">
      <c r="A25" s="24"/>
      <c r="B25" s="16">
        <v>2027</v>
      </c>
      <c r="C25" s="17">
        <v>8</v>
      </c>
      <c r="D25" s="44">
        <f>$I24*'Key Information'!$C$15</f>
        <v>48897898.04212223</v>
      </c>
      <c r="E25" s="44">
        <f>($I24+$D25)*'Key Information'!$C$16</f>
        <v>6601216.2356865015</v>
      </c>
      <c r="F25" s="44">
        <f>($I24+$D25-$E25)*'Key Information'!$C$17</f>
        <v>65352040.733296365</v>
      </c>
      <c r="G25" s="44">
        <f>$I24*'Key Information'!$C$21+'Key Information'!$C$19*(1+'Key Information'!$C$20)^($C25-1)</f>
        <v>4285992.4930575099</v>
      </c>
      <c r="H25" s="46">
        <f>$K24*'Key Information'!$C$22</f>
        <v>1466936.9412636668</v>
      </c>
      <c r="I25" s="44">
        <f t="shared" si="0"/>
        <v>588168366.59966719</v>
      </c>
      <c r="J25" s="44">
        <f t="shared" si="1"/>
        <v>588168366.59966719</v>
      </c>
      <c r="K25" s="46">
        <f>I25*'Key Information'!$C$14</f>
        <v>47053469.327973373</v>
      </c>
      <c r="L25" s="44">
        <f t="shared" si="2"/>
        <v>3782160.6838926584</v>
      </c>
      <c r="M25" s="46">
        <f t="shared" si="3"/>
        <v>1844428.7141488567</v>
      </c>
      <c r="N25" s="47">
        <f>L25*'Key Information'!$C$23</f>
        <v>1134648.2051677974</v>
      </c>
      <c r="O25" s="46">
        <f>NPV('Key Information'!$C$13,'Embedded Value 31 Dec 2019'!$N26:$N$37)</f>
        <v>6186033.8947636737</v>
      </c>
      <c r="P25" s="47">
        <f t="shared" si="4"/>
        <v>4491941.1928737173</v>
      </c>
      <c r="Q25" s="46">
        <f>NPV('Key Information'!$C$13,'Embedded Value 31 Dec 2019'!$P26:$P$37)</f>
        <v>39469311.124437742</v>
      </c>
    </row>
    <row r="26" spans="1:17" x14ac:dyDescent="0.3">
      <c r="A26" s="24"/>
      <c r="B26" s="16">
        <v>2028</v>
      </c>
      <c r="C26" s="17">
        <v>9</v>
      </c>
      <c r="D26" s="44">
        <f>$I25*'Key Information'!$C$15</f>
        <v>47053469.327973373</v>
      </c>
      <c r="E26" s="44">
        <f>($I25+$D26)*'Key Information'!$C$16</f>
        <v>6352218.3592764055</v>
      </c>
      <c r="F26" s="44">
        <f>($I25+$D26-$E26)*'Key Information'!$C$17</f>
        <v>62886961.756836414</v>
      </c>
      <c r="G26" s="44">
        <f>$I25*'Key Information'!$C$21+'Key Information'!$C$19*(1+'Key Information'!$C$20)^($C26-1)</f>
        <v>4207611.9143859521</v>
      </c>
      <c r="H26" s="46">
        <f>$K25*'Key Information'!$C$22</f>
        <v>1411604.0798392012</v>
      </c>
      <c r="I26" s="44">
        <f t="shared" si="0"/>
        <v>565982655.81152773</v>
      </c>
      <c r="J26" s="44">
        <f t="shared" si="1"/>
        <v>565982655.81152773</v>
      </c>
      <c r="K26" s="46">
        <f>I26*'Key Information'!$C$14</f>
        <v>45278612.46492222</v>
      </c>
      <c r="L26" s="44">
        <f t="shared" si="2"/>
        <v>3556210.5247296547</v>
      </c>
      <c r="M26" s="46">
        <f t="shared" si="3"/>
        <v>1774856.8630511537</v>
      </c>
      <c r="N26" s="47">
        <f>L26*'Key Information'!$C$23</f>
        <v>1066863.1574188964</v>
      </c>
      <c r="O26" s="46">
        <f>NPV('Key Information'!$C$13,'Embedded Value 31 Dec 2019'!$N27:$N$37)</f>
        <v>5552193.1099782335</v>
      </c>
      <c r="P26" s="47">
        <f t="shared" si="4"/>
        <v>4264204.2303619115</v>
      </c>
      <c r="Q26" s="46">
        <f>NPV('Key Information'!$C$13,'Embedded Value 31 Dec 2019'!$P27:$P$37)</f>
        <v>37967958.672786467</v>
      </c>
    </row>
    <row r="27" spans="1:17" x14ac:dyDescent="0.3">
      <c r="A27" s="24"/>
      <c r="B27" s="16">
        <v>2029</v>
      </c>
      <c r="C27" s="17">
        <v>10</v>
      </c>
      <c r="D27" s="44">
        <f>$I26*'Key Information'!$C$15</f>
        <v>45278612.46492222</v>
      </c>
      <c r="E27" s="44">
        <f>($I26+$D27)*'Key Information'!$C$16</f>
        <v>6112612.6827644994</v>
      </c>
      <c r="F27" s="44">
        <f>($I26+$D27-$E27)*'Key Information'!$C$17</f>
        <v>60514865.559368543</v>
      </c>
      <c r="G27" s="44">
        <f>$I26*'Key Information'!$C$21+'Key Information'!$C$19*(1+'Key Information'!$C$20)^($C27-1)</f>
        <v>4134686.4628868829</v>
      </c>
      <c r="H27" s="46">
        <f>$K26*'Key Information'!$C$22</f>
        <v>1358358.3739476665</v>
      </c>
      <c r="I27" s="44">
        <f t="shared" si="0"/>
        <v>544633790.0343169</v>
      </c>
      <c r="J27" s="44">
        <f t="shared" si="1"/>
        <v>544633790.0343169</v>
      </c>
      <c r="K27" s="46">
        <f>I27*'Key Information'!$C$14</f>
        <v>43570703.202745356</v>
      </c>
      <c r="L27" s="44">
        <f t="shared" si="2"/>
        <v>3336284.593825283</v>
      </c>
      <c r="M27" s="46">
        <f t="shared" si="3"/>
        <v>1707909.2621768638</v>
      </c>
      <c r="N27" s="47">
        <f>L27*'Key Information'!$C$23</f>
        <v>1000885.3781475849</v>
      </c>
      <c r="O27" s="46">
        <f>NPV('Key Information'!$C$13,'Embedded Value 31 Dec 2019'!$N28:$N$37)</f>
        <v>4939961.2495291261</v>
      </c>
      <c r="P27" s="47">
        <f t="shared" si="4"/>
        <v>4043308.4778545615</v>
      </c>
      <c r="Q27" s="46">
        <f>NPV('Key Information'!$C$13,'Embedded Value 31 Dec 2019'!$P28:$P$37)</f>
        <v>36582407.302026965</v>
      </c>
    </row>
    <row r="28" spans="1:17" x14ac:dyDescent="0.3">
      <c r="A28" s="24"/>
      <c r="B28" s="16">
        <v>2030</v>
      </c>
      <c r="C28" s="17">
        <v>11</v>
      </c>
      <c r="D28" s="44">
        <f>$I27*'Key Information'!$C$15</f>
        <v>43570703.202745356</v>
      </c>
      <c r="E28" s="44">
        <f>($I27+$D28)*'Key Information'!$C$16</f>
        <v>5882044.9323706226</v>
      </c>
      <c r="F28" s="44">
        <f>($I27+$D28-$E28)*'Key Information'!$C$17</f>
        <v>58232244.830469161</v>
      </c>
      <c r="G28" s="44">
        <f>$I27*'Key Information'!$C$21+'Key Information'!$C$19*(1+'Key Information'!$C$20)^($C28-1)</f>
        <v>4067085.3295157067</v>
      </c>
      <c r="H28" s="46">
        <f>$K27*'Key Information'!$C$22</f>
        <v>1307121.0960823607</v>
      </c>
      <c r="I28" s="44">
        <f t="shared" si="0"/>
        <v>524090203.47422242</v>
      </c>
      <c r="J28" s="44">
        <f t="shared" si="1"/>
        <v>524090203.47422242</v>
      </c>
      <c r="K28" s="46">
        <f>I28*'Key Information'!$C$14</f>
        <v>41927216.277937792</v>
      </c>
      <c r="L28" s="44">
        <f t="shared" si="2"/>
        <v>3122080.6989372764</v>
      </c>
      <c r="M28" s="46">
        <f t="shared" si="3"/>
        <v>1643486.9248075634</v>
      </c>
      <c r="N28" s="47">
        <f>L28*'Key Information'!$C$23</f>
        <v>936624.20968118287</v>
      </c>
      <c r="O28" s="46">
        <f>NPV('Key Information'!$C$13,'Embedded Value 31 Dec 2019'!$N29:$N$37)</f>
        <v>4349134.3273149831</v>
      </c>
      <c r="P28" s="47">
        <f t="shared" si="4"/>
        <v>3828943.4140636567</v>
      </c>
      <c r="Q28" s="46">
        <f>NPV('Key Information'!$C$13,'Embedded Value 31 Dec 2019'!$P29:$P$37)</f>
        <v>35314232.399105199</v>
      </c>
    </row>
    <row r="29" spans="1:17" x14ac:dyDescent="0.3">
      <c r="A29" s="24"/>
      <c r="B29" s="16">
        <v>2031</v>
      </c>
      <c r="C29" s="17">
        <v>12</v>
      </c>
      <c r="D29" s="44">
        <f>$I28*'Key Information'!$C$15</f>
        <v>41927216.277937792</v>
      </c>
      <c r="E29" s="44">
        <f>($I28+$D29)*'Key Information'!$C$16</f>
        <v>5660174.1975216018</v>
      </c>
      <c r="F29" s="44">
        <f>($I28+$D29-$E29)*'Key Information'!$C$17</f>
        <v>56035724.555463865</v>
      </c>
      <c r="G29" s="44">
        <f>$I28*'Key Information'!$C$21+'Key Information'!$C$19*(1+'Key Information'!$C$20)^($C29-1)</f>
        <v>4004684.8880955577</v>
      </c>
      <c r="H29" s="46">
        <f>$K28*'Key Information'!$C$22</f>
        <v>1257816.4883381338</v>
      </c>
      <c r="I29" s="44">
        <f t="shared" si="0"/>
        <v>504321520.99917477</v>
      </c>
      <c r="J29" s="44">
        <f t="shared" si="1"/>
        <v>504321520.99917477</v>
      </c>
      <c r="K29" s="46">
        <f>I29*'Key Information'!$C$14</f>
        <v>40345721.67993398</v>
      </c>
      <c r="L29" s="44">
        <f t="shared" si="2"/>
        <v>2913305.7977641779</v>
      </c>
      <c r="M29" s="46">
        <f t="shared" si="3"/>
        <v>1581494.5980038121</v>
      </c>
      <c r="N29" s="47">
        <f>L29*'Key Information'!$C$23</f>
        <v>873991.73932925332</v>
      </c>
      <c r="O29" s="46">
        <f>NPV('Key Information'!$C$13,'Embedded Value 31 Dec 2019'!$N30:$N$37)</f>
        <v>3779581.990897778</v>
      </c>
      <c r="P29" s="47">
        <f t="shared" si="4"/>
        <v>3620808.6564387372</v>
      </c>
      <c r="Q29" s="46">
        <f>NPV('Key Information'!$C$13,'Embedded Value 31 Dec 2019'!$P30:$P$37)</f>
        <v>34165420.010603823</v>
      </c>
    </row>
    <row r="30" spans="1:17" x14ac:dyDescent="0.3">
      <c r="A30" s="24"/>
      <c r="B30" s="16">
        <v>2032</v>
      </c>
      <c r="C30" s="17">
        <v>13</v>
      </c>
      <c r="D30" s="44">
        <f>$I29*'Key Information'!$C$15</f>
        <v>40345721.67993398</v>
      </c>
      <c r="E30" s="44">
        <f>($I29+$D30)*'Key Information'!$C$16</f>
        <v>5446672.4267910877</v>
      </c>
      <c r="F30" s="44">
        <f>($I29+$D30-$E30)*'Key Information'!$C$17</f>
        <v>53922057.025231771</v>
      </c>
      <c r="G30" s="44">
        <f>$I29*'Key Information'!$C$21+'Key Information'!$C$19*(1+'Key Information'!$C$20)^($C30-1)</f>
        <v>3947368.4918420524</v>
      </c>
      <c r="H30" s="46">
        <f>$K29*'Key Information'!$C$22</f>
        <v>1210371.6503980195</v>
      </c>
      <c r="I30" s="44">
        <f t="shared" si="0"/>
        <v>485298513.22708589</v>
      </c>
      <c r="J30" s="44">
        <f t="shared" si="1"/>
        <v>485298513.22708589</v>
      </c>
      <c r="K30" s="46">
        <f>I30*'Key Information'!$C$14</f>
        <v>38823881.058166869</v>
      </c>
      <c r="L30" s="44">
        <f t="shared" si="2"/>
        <v>2709675.5853470545</v>
      </c>
      <c r="M30" s="46">
        <f t="shared" si="3"/>
        <v>1521840.6217671111</v>
      </c>
      <c r="N30" s="47">
        <f>L30*'Key Information'!$C$23</f>
        <v>812902.67560411629</v>
      </c>
      <c r="O30" s="46">
        <f>NPV('Key Information'!$C$13,'Embedded Value 31 Dec 2019'!$N31:$N$37)</f>
        <v>3231250.0546565065</v>
      </c>
      <c r="P30" s="47">
        <f t="shared" si="4"/>
        <v>3418613.5315100495</v>
      </c>
      <c r="Q30" s="46">
        <f>NPV('Key Information'!$C$13,'Embedded Value 31 Dec 2019'!$P31:$P$37)</f>
        <v>33138385.879836041</v>
      </c>
    </row>
    <row r="31" spans="1:17" x14ac:dyDescent="0.3">
      <c r="A31" s="24"/>
      <c r="B31" s="16">
        <v>2033</v>
      </c>
      <c r="C31" s="17">
        <v>14</v>
      </c>
      <c r="D31" s="44">
        <f>$I30*'Key Information'!$C$15</f>
        <v>38823881.058166869</v>
      </c>
      <c r="E31" s="44">
        <f>($I30+$D31)*'Key Information'!$C$16</f>
        <v>5241223.9428525278</v>
      </c>
      <c r="F31" s="44">
        <f>($I30+$D31-$E31)*'Key Information'!$C$17</f>
        <v>51888117.034240022</v>
      </c>
      <c r="G31" s="44">
        <f>$I30*'Key Information'!$C$21+'Key Information'!$C$19*(1+'Key Information'!$C$20)^($C31-1)</f>
        <v>3895026.2795869932</v>
      </c>
      <c r="H31" s="46">
        <f>$K30*'Key Information'!$C$22</f>
        <v>1164716.431745006</v>
      </c>
      <c r="I31" s="44">
        <f t="shared" si="0"/>
        <v>466993053.30816019</v>
      </c>
      <c r="J31" s="44">
        <f t="shared" si="1"/>
        <v>466993053.30816019</v>
      </c>
      <c r="K31" s="46">
        <f>I31*'Key Information'!$C$14</f>
        <v>37359444.264652818</v>
      </c>
      <c r="L31" s="44">
        <f t="shared" si="2"/>
        <v>2510914.0950105404</v>
      </c>
      <c r="M31" s="46">
        <f t="shared" si="3"/>
        <v>1464436.7935140505</v>
      </c>
      <c r="N31" s="47">
        <f>L31*'Key Information'!$C$23</f>
        <v>753274.22850316216</v>
      </c>
      <c r="O31" s="46">
        <f>NPV('Key Information'!$C$13,'Embedded Value 31 Dec 2019'!$N32:$N$37)</f>
        <v>2704163.3299793</v>
      </c>
      <c r="P31" s="47">
        <f t="shared" si="4"/>
        <v>3222076.660021429</v>
      </c>
      <c r="Q31" s="46">
        <f>NPV('Key Information'!$C$13,'Embedded Value 31 Dec 2019'!$P32:$P$37)</f>
        <v>32235996.231403146</v>
      </c>
    </row>
    <row r="32" spans="1:17" x14ac:dyDescent="0.3">
      <c r="A32" s="24"/>
      <c r="B32" s="16">
        <v>2034</v>
      </c>
      <c r="C32" s="17">
        <v>15</v>
      </c>
      <c r="D32" s="44">
        <f>$I31*'Key Information'!$C$15</f>
        <v>37359444.264652818</v>
      </c>
      <c r="E32" s="44">
        <f>($I31+$D32)*'Key Information'!$C$16</f>
        <v>5043524.9757281309</v>
      </c>
      <c r="F32" s="44">
        <f>($I31+$D32-$E32)*'Key Information'!$C$17</f>
        <v>49930897.259708494</v>
      </c>
      <c r="G32" s="44">
        <f>$I31*'Key Information'!$C$21+'Key Information'!$C$19*(1+'Key Information'!$C$20)^($C32-1)</f>
        <v>3847554.9913959121</v>
      </c>
      <c r="H32" s="46">
        <f>$K31*'Key Information'!$C$22</f>
        <v>1120783.3279395846</v>
      </c>
      <c r="I32" s="44">
        <f t="shared" si="0"/>
        <v>449378075.33737636</v>
      </c>
      <c r="J32" s="44">
        <f t="shared" si="1"/>
        <v>449378075.33737636</v>
      </c>
      <c r="K32" s="46">
        <f>I32*'Key Information'!$C$14</f>
        <v>35950246.026990108</v>
      </c>
      <c r="L32" s="44">
        <f t="shared" si="2"/>
        <v>2316753.3122718036</v>
      </c>
      <c r="M32" s="46">
        <f t="shared" si="3"/>
        <v>1409198.2376627102</v>
      </c>
      <c r="N32" s="47">
        <f>L32*'Key Information'!$C$23</f>
        <v>695025.99368154106</v>
      </c>
      <c r="O32" s="46">
        <f>NPV('Key Information'!$C$13,'Embedded Value 31 Dec 2019'!$N33:$N$37)</f>
        <v>2198428.7693963102</v>
      </c>
      <c r="P32" s="47">
        <f t="shared" si="4"/>
        <v>3030925.5562529727</v>
      </c>
      <c r="Q32" s="46">
        <f>NPV('Key Information'!$C$13,'Embedded Value 31 Dec 2019'!$P33:$P$37)</f>
        <v>31461590.411348388</v>
      </c>
    </row>
    <row r="33" spans="1:17" x14ac:dyDescent="0.3">
      <c r="A33" s="24"/>
      <c r="B33" s="16">
        <v>2035</v>
      </c>
      <c r="C33" s="17">
        <v>16</v>
      </c>
      <c r="D33" s="44">
        <f>$I32*'Key Information'!$C$15</f>
        <v>35950246.026990108</v>
      </c>
      <c r="E33" s="44">
        <f>($I32+$D33)*'Key Information'!$C$16</f>
        <v>4853283.2136436645</v>
      </c>
      <c r="F33" s="44">
        <f>($I32+$D33-$E33)*'Key Information'!$C$17</f>
        <v>48047503.815072283</v>
      </c>
      <c r="G33" s="44">
        <f>$I32*'Key Information'!$C$21+'Key Information'!$C$19*(1+'Key Information'!$C$20)^($C33-1)</f>
        <v>3804857.793287646</v>
      </c>
      <c r="H33" s="46">
        <f>$K32*'Key Information'!$C$22</f>
        <v>1078507.3808097031</v>
      </c>
      <c r="I33" s="44">
        <f t="shared" si="0"/>
        <v>432427534.3356505</v>
      </c>
      <c r="J33" s="44">
        <f t="shared" si="1"/>
        <v>432427534.3356505</v>
      </c>
      <c r="K33" s="46">
        <f>I33*'Key Information'!$C$14</f>
        <v>34594202.74685204</v>
      </c>
      <c r="L33" s="44">
        <f t="shared" si="2"/>
        <v>2126932.8011657214</v>
      </c>
      <c r="M33" s="46">
        <f t="shared" si="3"/>
        <v>1356043.2801380679</v>
      </c>
      <c r="N33" s="47">
        <f>L33*'Key Information'!$C$23</f>
        <v>638079.84034971637</v>
      </c>
      <c r="O33" s="46">
        <f>NPV('Key Information'!$C$13,'Embedded Value 31 Dec 2019'!$N34:$N$37)</f>
        <v>1714238.9429043354</v>
      </c>
      <c r="P33" s="47">
        <f t="shared" si="4"/>
        <v>2844896.2409540731</v>
      </c>
      <c r="Q33" s="46">
        <f>NPV('Key Information'!$C$13,'Embedded Value 31 Dec 2019'!$P34:$P$37)</f>
        <v>30819005.499188706</v>
      </c>
    </row>
    <row r="34" spans="1:17" x14ac:dyDescent="0.3">
      <c r="A34" s="24"/>
      <c r="B34" s="16">
        <v>2036</v>
      </c>
      <c r="C34" s="17">
        <v>17</v>
      </c>
      <c r="D34" s="44">
        <f>$I33*'Key Information'!$C$15</f>
        <v>34594202.74685204</v>
      </c>
      <c r="E34" s="44">
        <f>($I33+$D34)*'Key Information'!$C$16</f>
        <v>4670217.3708250253</v>
      </c>
      <c r="F34" s="44">
        <f>($I33+$D34-$E34)*'Key Information'!$C$17</f>
        <v>46235151.971167751</v>
      </c>
      <c r="G34" s="44">
        <f>$I33*'Key Information'!$C$21+'Key Information'!$C$19*(1+'Key Information'!$C$20)^($C34-1)</f>
        <v>3766844.1107770395</v>
      </c>
      <c r="H34" s="46">
        <f>$K33*'Key Information'!$C$22</f>
        <v>1037826.0824055611</v>
      </c>
      <c r="I34" s="44">
        <f t="shared" si="0"/>
        <v>416116367.74050975</v>
      </c>
      <c r="J34" s="44">
        <f t="shared" si="1"/>
        <v>416116367.74050975</v>
      </c>
      <c r="K34" s="46">
        <f>I34*'Key Information'!$C$14</f>
        <v>33289309.41924078</v>
      </c>
      <c r="L34" s="44">
        <f t="shared" si="2"/>
        <v>1941199.3424535468</v>
      </c>
      <c r="M34" s="46">
        <f t="shared" si="3"/>
        <v>1304893.3276112601</v>
      </c>
      <c r="N34" s="47">
        <f>L34*'Key Information'!$C$23</f>
        <v>582359.80273606407</v>
      </c>
      <c r="O34" s="46">
        <f>NPV('Key Information'!$C$13,'Embedded Value 31 Dec 2019'!$N35:$N$37)</f>
        <v>1251875.8661715749</v>
      </c>
      <c r="P34" s="47">
        <f t="shared" si="4"/>
        <v>2663732.867328743</v>
      </c>
      <c r="Q34" s="46">
        <f>NPV('Key Information'!$C$13,'Embedded Value 31 Dec 2019'!$P35:$P$37)</f>
        <v>30312603.016803179</v>
      </c>
    </row>
    <row r="35" spans="1:17" x14ac:dyDescent="0.3">
      <c r="A35" s="24"/>
      <c r="B35" s="16">
        <v>2037</v>
      </c>
      <c r="C35" s="17">
        <v>18</v>
      </c>
      <c r="D35" s="44">
        <f>$I34*'Key Information'!$C$15</f>
        <v>33289309.41924078</v>
      </c>
      <c r="E35" s="44">
        <f>($I34+$D35)*'Key Information'!$C$16</f>
        <v>4494056.7715975055</v>
      </c>
      <c r="F35" s="44">
        <f>($I34+$D35-$E35)*'Key Information'!$C$17</f>
        <v>44491162.038815305</v>
      </c>
      <c r="G35" s="44">
        <f>$I34*'Key Information'!$C$21+'Key Information'!$C$19*(1+'Key Information'!$C$20)^($C35-1)</f>
        <v>3733429.4709742991</v>
      </c>
      <c r="H35" s="46">
        <f>$K34*'Key Information'!$C$22</f>
        <v>998679.28257722338</v>
      </c>
      <c r="I35" s="44">
        <f t="shared" si="0"/>
        <v>400420458.3493377</v>
      </c>
      <c r="J35" s="44">
        <f t="shared" si="1"/>
        <v>400420458.3493377</v>
      </c>
      <c r="K35" s="46">
        <f>I35*'Key Information'!$C$14</f>
        <v>32033636.667947017</v>
      </c>
      <c r="L35" s="44">
        <f t="shared" si="2"/>
        <v>1759306.5832004298</v>
      </c>
      <c r="M35" s="46">
        <f t="shared" si="3"/>
        <v>1255672.7512937635</v>
      </c>
      <c r="N35" s="47">
        <f>L35*'Key Information'!$C$23</f>
        <v>527791.97496012889</v>
      </c>
      <c r="O35" s="46">
        <f>NPV('Key Information'!$C$13,'Embedded Value 31 Dec 2019'!$N36:$N$37)</f>
        <v>811715.20184345637</v>
      </c>
      <c r="P35" s="47">
        <f t="shared" si="4"/>
        <v>2487187.3595340643</v>
      </c>
      <c r="Q35" s="46">
        <f>NPV('Key Information'!$C$13,'Embedded Value 31 Dec 2019'!$P36:$P$37)</f>
        <v>29947297.868445337</v>
      </c>
    </row>
    <row r="36" spans="1:17" x14ac:dyDescent="0.3">
      <c r="A36" s="24"/>
      <c r="B36" s="16">
        <v>2038</v>
      </c>
      <c r="C36" s="17">
        <v>19</v>
      </c>
      <c r="D36" s="44">
        <f>$I35*'Key Information'!$C$15</f>
        <v>32033636.667947017</v>
      </c>
      <c r="E36" s="44">
        <f>($I35+$D36)*'Key Information'!$C$16</f>
        <v>4324540.9501728471</v>
      </c>
      <c r="F36" s="44">
        <f>($I35+$D36-$E36)*'Key Information'!$C$17</f>
        <v>42812955.406711191</v>
      </c>
      <c r="G36" s="44">
        <f>$I35*'Key Information'!$C$21+'Key Information'!$C$19*(1+'Key Information'!$C$20)^($C36-1)</f>
        <v>3704535.3529865919</v>
      </c>
      <c r="H36" s="46">
        <f>$K35*'Key Information'!$C$22</f>
        <v>961009.10003841051</v>
      </c>
      <c r="I36" s="44">
        <f t="shared" si="0"/>
        <v>385316598.66040063</v>
      </c>
      <c r="J36" s="44">
        <f t="shared" si="1"/>
        <v>385316598.66040063</v>
      </c>
      <c r="K36" s="46">
        <f>I36*'Key Information'!$C$14</f>
        <v>30825327.892832052</v>
      </c>
      <c r="L36" s="44">
        <f t="shared" si="2"/>
        <v>1581014.6972246659</v>
      </c>
      <c r="M36" s="46">
        <f t="shared" si="3"/>
        <v>1208308.7751149647</v>
      </c>
      <c r="N36" s="47">
        <f>L36*'Key Information'!$C$23</f>
        <v>474304.40916739975</v>
      </c>
      <c r="O36" s="46">
        <f>NPV('Key Information'!$C$13,'Embedded Value 31 Dec 2019'!$N37:$N$37)</f>
        <v>394230.85680509859</v>
      </c>
      <c r="P36" s="47">
        <f t="shared" si="4"/>
        <v>2315019.063172231</v>
      </c>
      <c r="Q36" s="46">
        <f>NPV('Key Information'!$C$13,'Embedded Value 31 Dec 2019'!$P37:$P$37)</f>
        <v>29728589.656064279</v>
      </c>
    </row>
    <row r="37" spans="1:17" x14ac:dyDescent="0.3">
      <c r="A37" s="24"/>
      <c r="B37" s="25">
        <v>2039</v>
      </c>
      <c r="C37" s="26">
        <v>20</v>
      </c>
      <c r="D37" s="45">
        <f>$I36*'Key Information'!$C$15</f>
        <v>30825327.892832052</v>
      </c>
      <c r="E37" s="45">
        <f>($I36+$D37)*'Key Information'!$C$16</f>
        <v>4161419.2655323269</v>
      </c>
      <c r="F37" s="51">
        <f>($I36+$D37-$E37)*'Key Information'!$C$18</f>
        <v>411980507.28770036</v>
      </c>
      <c r="G37" s="45">
        <f>$I36*'Key Information'!$C$21+'Key Information'!$C$19*(1+'Key Information'!$C$20)^($C37-1)</f>
        <v>3680089.0463791033</v>
      </c>
      <c r="H37" s="48">
        <f>$K36*'Key Information'!$C$22</f>
        <v>924759.83678496152</v>
      </c>
      <c r="I37" s="45">
        <f t="shared" si="0"/>
        <v>0</v>
      </c>
      <c r="J37" s="45">
        <f t="shared" si="1"/>
        <v>0</v>
      </c>
      <c r="K37" s="48">
        <f>I37*'Key Information'!$C$14</f>
        <v>0</v>
      </c>
      <c r="L37" s="45">
        <f t="shared" si="2"/>
        <v>1406090.0559381852</v>
      </c>
      <c r="M37" s="48">
        <f t="shared" si="3"/>
        <v>30825327.892832052</v>
      </c>
      <c r="N37" s="49">
        <f>L37*'Key Information'!$C$23</f>
        <v>421827.01678145555</v>
      </c>
      <c r="O37" s="50">
        <v>0</v>
      </c>
      <c r="P37" s="49">
        <f t="shared" si="4"/>
        <v>31809590.931988779</v>
      </c>
      <c r="Q37" s="50">
        <v>0</v>
      </c>
    </row>
    <row r="41" spans="1:17" x14ac:dyDescent="0.3">
      <c r="E41" s="24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zoomScale="70" zoomScaleNormal="70" workbookViewId="0">
      <selection activeCell="D10" sqref="D10"/>
    </sheetView>
  </sheetViews>
  <sheetFormatPr defaultColWidth="9.140625" defaultRowHeight="16.5" x14ac:dyDescent="0.3"/>
  <cols>
    <col min="1" max="1" width="6.85546875" style="1" bestFit="1" customWidth="1"/>
    <col min="2" max="2" width="63" style="1" customWidth="1"/>
    <col min="3" max="6" width="36.42578125" style="1" bestFit="1" customWidth="1"/>
    <col min="7" max="16384" width="9.140625" style="1"/>
  </cols>
  <sheetData>
    <row r="1" spans="1:6" x14ac:dyDescent="0.3">
      <c r="A1" s="59" t="s">
        <v>63</v>
      </c>
      <c r="B1" s="56" t="s">
        <v>66</v>
      </c>
      <c r="C1" s="60"/>
      <c r="D1" s="60"/>
      <c r="E1" s="60"/>
      <c r="F1" s="60"/>
    </row>
    <row r="2" spans="1:6" x14ac:dyDescent="0.3">
      <c r="A2" s="61"/>
      <c r="B2" s="57" t="s">
        <v>64</v>
      </c>
      <c r="C2" s="60"/>
      <c r="D2" s="60"/>
      <c r="E2" s="60"/>
      <c r="F2" s="60"/>
    </row>
    <row r="3" spans="1:6" x14ac:dyDescent="0.3">
      <c r="A3" s="62"/>
      <c r="B3" s="58" t="s">
        <v>65</v>
      </c>
      <c r="C3" s="60"/>
      <c r="D3" s="60"/>
      <c r="E3" s="60"/>
      <c r="F3" s="60"/>
    </row>
    <row r="4" spans="1:6" x14ac:dyDescent="0.3">
      <c r="A4" s="60"/>
      <c r="B4" s="60"/>
      <c r="C4" s="60"/>
      <c r="D4" s="60"/>
      <c r="E4" s="60"/>
      <c r="F4" s="60"/>
    </row>
    <row r="5" spans="1:6" x14ac:dyDescent="0.3">
      <c r="A5" s="60"/>
      <c r="B5" s="63"/>
      <c r="C5" s="64" t="s">
        <v>23</v>
      </c>
      <c r="D5" s="64" t="s">
        <v>22</v>
      </c>
      <c r="E5" s="64" t="s">
        <v>52</v>
      </c>
      <c r="F5" s="65" t="s">
        <v>24</v>
      </c>
    </row>
    <row r="6" spans="1:6" x14ac:dyDescent="0.3">
      <c r="A6" s="60"/>
      <c r="B6" s="61" t="s">
        <v>25</v>
      </c>
      <c r="C6" s="55">
        <f>'Embedded Value 31 Dec 2019'!C8</f>
        <v>36000000</v>
      </c>
      <c r="D6" s="55">
        <f>'Embedded Value 31 Dec 2019'!C9</f>
        <v>55583037.883884162</v>
      </c>
      <c r="E6" s="55">
        <f>'Embedded Value 31 Dec 2019'!C10</f>
        <v>8457338.4825944789</v>
      </c>
      <c r="F6" s="66">
        <f>'Embedded Value 31 Dec 2019'!C11</f>
        <v>100040376.36647864</v>
      </c>
    </row>
    <row r="7" spans="1:6" x14ac:dyDescent="0.3">
      <c r="A7" s="60"/>
      <c r="B7" s="61"/>
      <c r="C7" s="60"/>
      <c r="D7" s="60"/>
      <c r="E7" s="60"/>
      <c r="F7" s="67"/>
    </row>
    <row r="8" spans="1:6" x14ac:dyDescent="0.3">
      <c r="A8" s="60"/>
      <c r="B8" s="68" t="s">
        <v>21</v>
      </c>
      <c r="C8" s="60"/>
      <c r="D8" s="60"/>
      <c r="E8" s="60"/>
      <c r="F8" s="67"/>
    </row>
    <row r="9" spans="1:6" x14ac:dyDescent="0.3">
      <c r="A9" s="60"/>
      <c r="B9" s="61" t="s">
        <v>37</v>
      </c>
      <c r="C9" s="69"/>
      <c r="D9" s="70">
        <f>'Embedded Value 31 Dec 2019'!$C$9*'Key Information'!$C$13</f>
        <v>3890812.6518718917</v>
      </c>
      <c r="E9" s="70">
        <f>'Embedded Value 31 Dec 2019'!$C$10*'Key Information'!$C$13</f>
        <v>592013.69378161361</v>
      </c>
      <c r="F9" s="71">
        <f>SUM(C9:E9)</f>
        <v>4482826.3456535051</v>
      </c>
    </row>
    <row r="10" spans="1:6" ht="33" x14ac:dyDescent="0.3">
      <c r="A10" s="60"/>
      <c r="B10" s="111" t="s">
        <v>81</v>
      </c>
      <c r="C10" s="112">
        <f>'Embedded Value 31 Dec 2019'!$C$8*'Key Information'!C22- 'Embedded Value 31 Dec 2019'!$C$8*'Key Information'!$C$22*'Key Information'!$C$23*(1-'Key Information'!$C$24)</f>
        <v>982800</v>
      </c>
      <c r="D10" s="113"/>
      <c r="E10" s="113"/>
      <c r="F10" s="114">
        <f>SUM(C10:E10)</f>
        <v>982800</v>
      </c>
    </row>
    <row r="11" spans="1:6" x14ac:dyDescent="0.3">
      <c r="A11" s="60"/>
      <c r="B11" s="61" t="s">
        <v>53</v>
      </c>
      <c r="C11" s="70">
        <f>'Embedded Value 31 Dec 2019'!P18+'Embedded Value 31 Dec 2019'!N18*'Key Information'!$C$24</f>
        <v>7473680</v>
      </c>
      <c r="D11" s="70">
        <f>-'Embedded Value 31 Dec 2019'!P18</f>
        <v>-6306080</v>
      </c>
      <c r="E11" s="70">
        <f>-'Embedded Value 31 Dec 2019'!N18*'Key Information'!$C$24</f>
        <v>-1167600</v>
      </c>
      <c r="F11" s="71">
        <f>SUM(C11:E11)</f>
        <v>0</v>
      </c>
    </row>
    <row r="12" spans="1:6" x14ac:dyDescent="0.3">
      <c r="A12" s="60"/>
      <c r="B12" s="62"/>
      <c r="C12" s="72"/>
      <c r="D12" s="72"/>
      <c r="E12" s="72"/>
      <c r="F12" s="73"/>
    </row>
    <row r="13" spans="1:6" x14ac:dyDescent="0.3">
      <c r="A13" s="60"/>
      <c r="B13" s="68" t="s">
        <v>39</v>
      </c>
      <c r="C13" s="60"/>
      <c r="D13" s="60"/>
      <c r="E13" s="60"/>
      <c r="F13" s="67"/>
    </row>
    <row r="14" spans="1:6" x14ac:dyDescent="0.3">
      <c r="A14" s="60"/>
      <c r="B14" s="61" t="s">
        <v>26</v>
      </c>
      <c r="C14" s="70">
        <f>C27-C25</f>
        <v>-10000000</v>
      </c>
      <c r="D14" s="70">
        <f>D27-D25</f>
        <v>0</v>
      </c>
      <c r="E14" s="70">
        <f>E27-E25</f>
        <v>0</v>
      </c>
      <c r="F14" s="71">
        <f>SUM(C14:E14)</f>
        <v>-10000000</v>
      </c>
    </row>
    <row r="15" spans="1:6" x14ac:dyDescent="0.3">
      <c r="A15" s="60"/>
      <c r="B15" s="61" t="s">
        <v>27</v>
      </c>
      <c r="C15" s="70">
        <f t="shared" ref="C15:E16" si="0">C28-C27</f>
        <v>8000000</v>
      </c>
      <c r="D15" s="70">
        <f t="shared" si="0"/>
        <v>-8112657.7526773363</v>
      </c>
      <c r="E15" s="70">
        <f t="shared" si="0"/>
        <v>-1385690.357931233</v>
      </c>
      <c r="F15" s="71">
        <f>SUM(C15:E15)</f>
        <v>-1498348.1106085693</v>
      </c>
    </row>
    <row r="16" spans="1:6" x14ac:dyDescent="0.3">
      <c r="A16" s="60"/>
      <c r="B16" s="61" t="s">
        <v>28</v>
      </c>
      <c r="C16" s="70">
        <f t="shared" si="0"/>
        <v>8953920</v>
      </c>
      <c r="D16" s="70">
        <f t="shared" si="0"/>
        <v>-10783880.162945479</v>
      </c>
      <c r="E16" s="70">
        <f t="shared" si="0"/>
        <v>-2441894.6523908903</v>
      </c>
      <c r="F16" s="71">
        <f>SUM(C16:E16)</f>
        <v>-4271854.815336369</v>
      </c>
    </row>
    <row r="17" spans="1:6" x14ac:dyDescent="0.3">
      <c r="A17" s="60"/>
      <c r="B17" s="61"/>
      <c r="C17" s="60"/>
      <c r="D17" s="60"/>
      <c r="E17" s="60"/>
      <c r="F17" s="67"/>
    </row>
    <row r="18" spans="1:6" x14ac:dyDescent="0.3">
      <c r="A18" s="60"/>
      <c r="B18" s="61"/>
      <c r="C18" s="60"/>
      <c r="D18" s="60"/>
      <c r="E18" s="60"/>
      <c r="F18" s="67"/>
    </row>
    <row r="19" spans="1:6" x14ac:dyDescent="0.3">
      <c r="A19" s="60"/>
      <c r="B19" s="61" t="s">
        <v>34</v>
      </c>
      <c r="C19" s="70">
        <f>C6+SUM(C9:C11,C14:C16)</f>
        <v>51410400</v>
      </c>
      <c r="D19" s="70">
        <f>D6+SUM(D9:D11,D14:D16)</f>
        <v>34271232.620133236</v>
      </c>
      <c r="E19" s="70">
        <f>E6+SUM(E9:E11,E14:E16)</f>
        <v>4054167.1660539694</v>
      </c>
      <c r="F19" s="71">
        <f>F6+SUM(F9:F11,F14:F16)</f>
        <v>89735799.786187202</v>
      </c>
    </row>
    <row r="20" spans="1:6" x14ac:dyDescent="0.3">
      <c r="A20" s="60"/>
      <c r="B20" s="62"/>
      <c r="C20" s="72"/>
      <c r="D20" s="72"/>
      <c r="E20" s="72"/>
      <c r="F20" s="73"/>
    </row>
    <row r="21" spans="1:6" x14ac:dyDescent="0.3">
      <c r="A21" s="60"/>
      <c r="B21" s="60"/>
      <c r="C21" s="60"/>
      <c r="D21" s="60"/>
      <c r="E21" s="60"/>
      <c r="F21" s="60"/>
    </row>
    <row r="22" spans="1:6" x14ac:dyDescent="0.3">
      <c r="A22" s="60"/>
      <c r="B22" s="60"/>
      <c r="C22" s="60"/>
      <c r="D22" s="60"/>
      <c r="E22" s="60"/>
      <c r="F22" s="60"/>
    </row>
    <row r="23" spans="1:6" x14ac:dyDescent="0.3">
      <c r="A23" s="60"/>
      <c r="B23" s="60"/>
      <c r="C23" s="60"/>
      <c r="D23" s="60"/>
      <c r="E23" s="60"/>
      <c r="F23" s="60"/>
    </row>
    <row r="24" spans="1:6" x14ac:dyDescent="0.3">
      <c r="A24" s="60"/>
      <c r="B24" s="74" t="s">
        <v>45</v>
      </c>
      <c r="C24" s="75">
        <f>'Embedded Value 31 Dec 2019'!C8</f>
        <v>36000000</v>
      </c>
      <c r="D24" s="75">
        <f>'Embedded Value 31 Dec 2019'!C9</f>
        <v>55583037.883884162</v>
      </c>
      <c r="E24" s="75">
        <f>'Embedded Value 31 Dec 2019'!C10</f>
        <v>8457338.4825944789</v>
      </c>
      <c r="F24" s="75">
        <f>'Embedded Value 31 Dec 2019'!C11</f>
        <v>100040376.36647864</v>
      </c>
    </row>
    <row r="25" spans="1:6" x14ac:dyDescent="0.3">
      <c r="A25" s="60"/>
      <c r="B25" s="74" t="s">
        <v>46</v>
      </c>
      <c r="C25" s="75">
        <f>'Embedded Value 31 Dec 2019'!D8</f>
        <v>44456480</v>
      </c>
      <c r="D25" s="75">
        <f>'Embedded Value 31 Dec 2019'!D9</f>
        <v>53167770.535756059</v>
      </c>
      <c r="E25" s="75">
        <f>'Embedded Value 31 Dec 2019'!D10</f>
        <v>7881752.176376095</v>
      </c>
      <c r="F25" s="75">
        <f>'Embedded Value 31 Dec 2019'!D11</f>
        <v>105506002.71213214</v>
      </c>
    </row>
    <row r="26" spans="1:6" x14ac:dyDescent="0.3">
      <c r="A26" s="60"/>
      <c r="B26" s="76" t="s">
        <v>38</v>
      </c>
      <c r="C26" s="77">
        <f>C6+SUM(C9:C11)-C25</f>
        <v>0</v>
      </c>
      <c r="D26" s="77">
        <f>D6+SUM(D9:D11)-D25</f>
        <v>0</v>
      </c>
      <c r="E26" s="77">
        <f>E6+SUM(E9:E11)-E25</f>
        <v>0</v>
      </c>
      <c r="F26" s="77">
        <f>F6+SUM(F9:F11)-F25</f>
        <v>0</v>
      </c>
    </row>
    <row r="27" spans="1:6" x14ac:dyDescent="0.3">
      <c r="A27" s="60"/>
      <c r="B27" s="74" t="s">
        <v>47</v>
      </c>
      <c r="C27" s="75">
        <f>'Event 1'!D8</f>
        <v>34456480</v>
      </c>
      <c r="D27" s="75">
        <f>'Event 1'!D9</f>
        <v>53167770.535756059</v>
      </c>
      <c r="E27" s="75">
        <f>'Event 1'!D10</f>
        <v>7881752.176376095</v>
      </c>
      <c r="F27" s="75">
        <f>'Event 1'!D11</f>
        <v>95506002.712132141</v>
      </c>
    </row>
    <row r="28" spans="1:6" x14ac:dyDescent="0.3">
      <c r="A28" s="60"/>
      <c r="B28" s="74" t="s">
        <v>48</v>
      </c>
      <c r="C28" s="75">
        <f>'Event 1&amp;2'!D8</f>
        <v>42456480</v>
      </c>
      <c r="D28" s="75">
        <f>'Event 1&amp;2'!D9</f>
        <v>45055112.783078723</v>
      </c>
      <c r="E28" s="75">
        <f>'Event 1&amp;2'!D10</f>
        <v>6496061.818444862</v>
      </c>
      <c r="F28" s="75">
        <f>'Event 1&amp;2'!D11</f>
        <v>94007654.601523593</v>
      </c>
    </row>
    <row r="29" spans="1:6" x14ac:dyDescent="0.3">
      <c r="A29" s="60"/>
      <c r="B29" s="74" t="s">
        <v>49</v>
      </c>
      <c r="C29" s="75">
        <f>'Event 1&amp;2&amp;3'!D8</f>
        <v>51410400</v>
      </c>
      <c r="D29" s="75">
        <f>'Event 1&amp;2&amp;3'!D9</f>
        <v>34271232.620133244</v>
      </c>
      <c r="E29" s="75">
        <f>'Event 1&amp;2&amp;3'!D10</f>
        <v>4054167.1660539717</v>
      </c>
      <c r="F29" s="75">
        <f>'Event 1&amp;2&amp;3'!D11</f>
        <v>89735799.786187217</v>
      </c>
    </row>
    <row r="30" spans="1:6" x14ac:dyDescent="0.3">
      <c r="A30" s="60"/>
      <c r="B30" s="76" t="s">
        <v>38</v>
      </c>
      <c r="C30" s="77">
        <f>C19-C29</f>
        <v>0</v>
      </c>
      <c r="D30" s="77">
        <f>D19-D29</f>
        <v>0</v>
      </c>
      <c r="E30" s="77">
        <f>E19-E29</f>
        <v>0</v>
      </c>
      <c r="F30" s="77">
        <f>F19-F29</f>
        <v>0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Q41"/>
  <sheetViews>
    <sheetView zoomScale="70" zoomScaleNormal="70" workbookViewId="0"/>
  </sheetViews>
  <sheetFormatPr defaultColWidth="9.140625" defaultRowHeight="16.5" x14ac:dyDescent="0.3"/>
  <cols>
    <col min="1" max="1" width="6.85546875" style="1" bestFit="1" customWidth="1"/>
    <col min="2" max="2" width="37.85546875" style="1" customWidth="1"/>
    <col min="3" max="8" width="18.5703125" style="1" customWidth="1"/>
    <col min="9" max="10" width="18.5703125" style="2" customWidth="1"/>
    <col min="11" max="17" width="18.5703125" style="1" customWidth="1"/>
    <col min="18" max="16384" width="9.140625" style="1"/>
  </cols>
  <sheetData>
    <row r="1" spans="1:17" x14ac:dyDescent="0.3">
      <c r="A1" s="59" t="s">
        <v>63</v>
      </c>
      <c r="B1" s="54" t="s">
        <v>64</v>
      </c>
    </row>
    <row r="2" spans="1:17" x14ac:dyDescent="0.3">
      <c r="A2" s="28"/>
      <c r="B2" s="99" t="s">
        <v>65</v>
      </c>
    </row>
    <row r="3" spans="1:17" x14ac:dyDescent="0.3">
      <c r="A3" s="11"/>
      <c r="B3" s="101" t="s">
        <v>71</v>
      </c>
    </row>
    <row r="5" spans="1:17" x14ac:dyDescent="0.3">
      <c r="B5" s="4" t="s">
        <v>12</v>
      </c>
    </row>
    <row r="7" spans="1:17" ht="33" x14ac:dyDescent="0.3">
      <c r="B7" s="31"/>
      <c r="C7" s="81" t="s">
        <v>19</v>
      </c>
      <c r="D7" s="100" t="s">
        <v>44</v>
      </c>
    </row>
    <row r="8" spans="1:17" x14ac:dyDescent="0.3">
      <c r="B8" s="28" t="s">
        <v>23</v>
      </c>
      <c r="C8" s="90">
        <f>'Key Information'!C29-'Key Information'!C30-'Embedded Value 31 Dec 2019'!J17-$K$17</f>
        <v>36000000</v>
      </c>
      <c r="D8" s="102">
        <f>C8*(1+'Key Information'!$C$22)- C8*'Key Information'!$C$22*'Key Information'!$C$23*(1-'Key Information'!$C$24)+P18+N18*'Key Information'!$C$24-'Key Information'!$C$36</f>
        <v>34456480</v>
      </c>
    </row>
    <row r="9" spans="1:17" x14ac:dyDescent="0.3">
      <c r="B9" s="28" t="s">
        <v>22</v>
      </c>
      <c r="C9" s="90">
        <f>Q17</f>
        <v>55583037.883884162</v>
      </c>
      <c r="D9" s="90">
        <f>Q18</f>
        <v>53167770.535756059</v>
      </c>
    </row>
    <row r="10" spans="1:17" x14ac:dyDescent="0.3">
      <c r="B10" s="28" t="s">
        <v>52</v>
      </c>
      <c r="C10" s="90">
        <f>O17*'Key Information'!$C$24</f>
        <v>8457338.4825944789</v>
      </c>
      <c r="D10" s="90">
        <f>O18*'Key Information'!$C$24</f>
        <v>7881752.176376095</v>
      </c>
    </row>
    <row r="11" spans="1:17" x14ac:dyDescent="0.3">
      <c r="B11" s="11" t="s">
        <v>24</v>
      </c>
      <c r="C11" s="97">
        <f>SUM(C8:C10)</f>
        <v>100040376.36647864</v>
      </c>
      <c r="D11" s="97">
        <f>SUM(D8:D10)</f>
        <v>95506002.712132141</v>
      </c>
    </row>
    <row r="13" spans="1:17" x14ac:dyDescent="0.3">
      <c r="B13" s="4" t="s">
        <v>11</v>
      </c>
      <c r="C13" s="4"/>
    </row>
    <row r="15" spans="1:17" ht="57.6" customHeight="1" x14ac:dyDescent="0.3">
      <c r="B15" s="78" t="s">
        <v>2</v>
      </c>
      <c r="C15" s="79" t="s">
        <v>1</v>
      </c>
      <c r="D15" s="80" t="s">
        <v>3</v>
      </c>
      <c r="E15" s="80" t="s">
        <v>5</v>
      </c>
      <c r="F15" s="80" t="s">
        <v>4</v>
      </c>
      <c r="G15" s="80" t="s">
        <v>6</v>
      </c>
      <c r="H15" s="81" t="s">
        <v>15</v>
      </c>
      <c r="I15" s="80" t="s">
        <v>20</v>
      </c>
      <c r="J15" s="80" t="s">
        <v>7</v>
      </c>
      <c r="K15" s="81" t="s">
        <v>10</v>
      </c>
      <c r="L15" s="80" t="s">
        <v>8</v>
      </c>
      <c r="M15" s="81" t="s">
        <v>9</v>
      </c>
      <c r="N15" s="78" t="s">
        <v>50</v>
      </c>
      <c r="O15" s="10" t="s">
        <v>51</v>
      </c>
      <c r="P15" s="7" t="s">
        <v>54</v>
      </c>
      <c r="Q15" s="10" t="s">
        <v>55</v>
      </c>
    </row>
    <row r="16" spans="1:17" x14ac:dyDescent="0.3">
      <c r="B16" s="62"/>
      <c r="C16" s="73"/>
      <c r="D16" s="82" t="s">
        <v>0</v>
      </c>
      <c r="E16" s="82" t="s">
        <v>0</v>
      </c>
      <c r="F16" s="82" t="s">
        <v>0</v>
      </c>
      <c r="G16" s="82" t="s">
        <v>0</v>
      </c>
      <c r="H16" s="83" t="s">
        <v>0</v>
      </c>
      <c r="I16" s="82" t="s">
        <v>0</v>
      </c>
      <c r="J16" s="82" t="s">
        <v>0</v>
      </c>
      <c r="K16" s="83" t="s">
        <v>0</v>
      </c>
      <c r="L16" s="82" t="s">
        <v>0</v>
      </c>
      <c r="M16" s="83" t="s">
        <v>0</v>
      </c>
      <c r="N16" s="84" t="s">
        <v>0</v>
      </c>
      <c r="O16" s="14" t="s">
        <v>0</v>
      </c>
      <c r="P16" s="15" t="s">
        <v>0</v>
      </c>
      <c r="Q16" s="14" t="s">
        <v>0</v>
      </c>
    </row>
    <row r="17" spans="1:17" x14ac:dyDescent="0.3">
      <c r="B17" s="85">
        <v>2019</v>
      </c>
      <c r="C17" s="86">
        <v>0</v>
      </c>
      <c r="D17" s="69"/>
      <c r="E17" s="69"/>
      <c r="F17" s="87"/>
      <c r="G17" s="69"/>
      <c r="H17" s="88"/>
      <c r="I17" s="55">
        <f>800*10^6</f>
        <v>800000000</v>
      </c>
      <c r="J17" s="89">
        <f>I17</f>
        <v>800000000</v>
      </c>
      <c r="K17" s="90">
        <f>I17*'Key Information'!$C$14</f>
        <v>64000000</v>
      </c>
      <c r="L17" s="69"/>
      <c r="M17" s="88"/>
      <c r="N17" s="91"/>
      <c r="O17" s="88">
        <f>NPV('Key Information'!$C$13,'Event 1'!$N18:$N$37)</f>
        <v>12081912.117992112</v>
      </c>
      <c r="P17" s="91"/>
      <c r="Q17" s="88">
        <f>NPV('Key Information'!$C$13,'Event 1'!$P18:$P$37)</f>
        <v>55583037.883884162</v>
      </c>
    </row>
    <row r="18" spans="1:17" x14ac:dyDescent="0.3">
      <c r="A18" s="24"/>
      <c r="B18" s="85">
        <v>2020</v>
      </c>
      <c r="C18" s="86">
        <v>1</v>
      </c>
      <c r="D18" s="89">
        <f>$I17*'Key Information'!$C$15</f>
        <v>64000000</v>
      </c>
      <c r="E18" s="89">
        <f>($I17+$D18)*'Key Information'!$C$16</f>
        <v>8640000</v>
      </c>
      <c r="F18" s="89">
        <f>($I17+$D18-$E18)*'Key Information'!$C$17</f>
        <v>85536000</v>
      </c>
      <c r="G18" s="89">
        <f>$I17*'Key Information'!$C$21+'Key Information'!$C$19*(1+'Key Information'!$C$20)^($C18-1)</f>
        <v>5000000</v>
      </c>
      <c r="H18" s="90">
        <f>$K17*'Key Information'!$C$22</f>
        <v>1920000</v>
      </c>
      <c r="I18" s="89">
        <f>I17+D18-E18-F18</f>
        <v>769824000</v>
      </c>
      <c r="J18" s="89">
        <f>I18</f>
        <v>769824000</v>
      </c>
      <c r="K18" s="90">
        <f>I18*'Key Information'!$C$14</f>
        <v>61585920</v>
      </c>
      <c r="L18" s="89">
        <f>E18-G18+H18</f>
        <v>5560000</v>
      </c>
      <c r="M18" s="90">
        <f>K17-K18</f>
        <v>2414080</v>
      </c>
      <c r="N18" s="92">
        <f>L18*'Key Information'!$C$23</f>
        <v>1668000</v>
      </c>
      <c r="O18" s="90">
        <f>NPV('Key Information'!$C$13,'Event 1'!$N19:$N$37)</f>
        <v>11259645.966251565</v>
      </c>
      <c r="P18" s="92">
        <f>L18+M18-N18</f>
        <v>6306080</v>
      </c>
      <c r="Q18" s="90">
        <f>NPV('Key Information'!$C$13,'Event 1'!$P19:$P$37)</f>
        <v>53167770.535756059</v>
      </c>
    </row>
    <row r="19" spans="1:17" x14ac:dyDescent="0.3">
      <c r="A19" s="24"/>
      <c r="B19" s="85">
        <v>2021</v>
      </c>
      <c r="C19" s="86">
        <v>2</v>
      </c>
      <c r="D19" s="89">
        <f>$I18*'Key Information'!$C$15</f>
        <v>61585920</v>
      </c>
      <c r="E19" s="89">
        <f>($I18+$D19)*'Key Information'!$C$16</f>
        <v>8314099.2000000002</v>
      </c>
      <c r="F19" s="89">
        <f>($I18+$D19-$E19)*'Key Information'!$C$17</f>
        <v>82309582.079999998</v>
      </c>
      <c r="G19" s="89">
        <f>$I18*'Key Information'!$C$21+'Key Information'!$C$19*(1+'Key Information'!$C$20)^($C19-1)</f>
        <v>4879120</v>
      </c>
      <c r="H19" s="90">
        <f>$K18*'Key Information'!$C$22</f>
        <v>1847577.5999999999</v>
      </c>
      <c r="I19" s="89">
        <f t="shared" ref="I19:I37" si="0">I18+D19-E19-F19</f>
        <v>740786238.71999991</v>
      </c>
      <c r="J19" s="89">
        <f t="shared" ref="J19:J37" si="1">I19</f>
        <v>740786238.71999991</v>
      </c>
      <c r="K19" s="90">
        <f>I19*'Key Information'!$C$14</f>
        <v>59262899.097599991</v>
      </c>
      <c r="L19" s="89">
        <f t="shared" ref="L19:L37" si="2">E19-G19+H19</f>
        <v>5282556.8</v>
      </c>
      <c r="M19" s="90">
        <f t="shared" ref="M19:M37" si="3">K18-K19</f>
        <v>2323020.9024000093</v>
      </c>
      <c r="N19" s="92">
        <f>L19*'Key Information'!$C$23</f>
        <v>1584767.0399999998</v>
      </c>
      <c r="O19" s="90">
        <f>NPV('Key Information'!$C$13,'Event 1'!$N20:$N$37)</f>
        <v>10463054.143889176</v>
      </c>
      <c r="P19" s="92">
        <f t="shared" ref="P19:P37" si="4">L19+M19-N19</f>
        <v>6020810.6624000091</v>
      </c>
      <c r="Q19" s="90">
        <f>NPV('Key Information'!$C$13,'Event 1'!$P20:$P$37)</f>
        <v>50868703.810858957</v>
      </c>
    </row>
    <row r="20" spans="1:17" x14ac:dyDescent="0.3">
      <c r="A20" s="24"/>
      <c r="B20" s="85">
        <v>2022</v>
      </c>
      <c r="C20" s="86">
        <v>3</v>
      </c>
      <c r="D20" s="89">
        <f>$I19*'Key Information'!$C$15</f>
        <v>59262899.097599991</v>
      </c>
      <c r="E20" s="89">
        <f>($I19+$D20)*'Key Information'!$C$16</f>
        <v>8000491.378175999</v>
      </c>
      <c r="F20" s="89">
        <f>($I19+$D20-$E20)*'Key Information'!$C$17</f>
        <v>79204864.643942401</v>
      </c>
      <c r="G20" s="89">
        <f>$I19*'Key Information'!$C$21+'Key Information'!$C$19*(1+'Key Information'!$C$20)^($C20-1)</f>
        <v>4764831.193599999</v>
      </c>
      <c r="H20" s="90">
        <f>$K19*'Key Information'!$C$22</f>
        <v>1777886.9729279997</v>
      </c>
      <c r="I20" s="89">
        <f t="shared" si="0"/>
        <v>712843781.79548156</v>
      </c>
      <c r="J20" s="89">
        <f t="shared" si="1"/>
        <v>712843781.79548156</v>
      </c>
      <c r="K20" s="90">
        <f>I20*'Key Information'!$C$14</f>
        <v>57027502.543638527</v>
      </c>
      <c r="L20" s="89">
        <f t="shared" si="2"/>
        <v>5013547.1575039998</v>
      </c>
      <c r="M20" s="90">
        <f t="shared" si="3"/>
        <v>2235396.5539614633</v>
      </c>
      <c r="N20" s="92">
        <f>L20*'Key Information'!$C$23</f>
        <v>1504064.1472511999</v>
      </c>
      <c r="O20" s="90">
        <f>NPV('Key Information'!$C$13,'Event 1'!$N21:$N$37)</f>
        <v>9691403.7867102176</v>
      </c>
      <c r="P20" s="92">
        <f t="shared" si="4"/>
        <v>5744879.5642142631</v>
      </c>
      <c r="Q20" s="90">
        <f>NPV('Key Information'!$C$13,'Event 1'!$P21:$P$37)</f>
        <v>48684633.513404839</v>
      </c>
    </row>
    <row r="21" spans="1:17" x14ac:dyDescent="0.3">
      <c r="A21" s="24"/>
      <c r="B21" s="85">
        <v>2023</v>
      </c>
      <c r="C21" s="86">
        <v>4</v>
      </c>
      <c r="D21" s="89">
        <f>$I20*'Key Information'!$C$15</f>
        <v>57027502.543638527</v>
      </c>
      <c r="E21" s="89">
        <f>($I20+$D21)*'Key Information'!$C$16</f>
        <v>7698712.8433912015</v>
      </c>
      <c r="F21" s="89">
        <f>($I20+$D21-$E21)*'Key Information'!$C$17</f>
        <v>76217257.149572894</v>
      </c>
      <c r="G21" s="89">
        <f>$I20*'Key Information'!$C$21+'Key Information'!$C$19*(1+'Key Information'!$C$20)^($C21-1)</f>
        <v>4656945.908977408</v>
      </c>
      <c r="H21" s="90">
        <f>$K20*'Key Information'!$C$22</f>
        <v>1710825.0763091557</v>
      </c>
      <c r="I21" s="89">
        <f t="shared" si="0"/>
        <v>685955314.34615612</v>
      </c>
      <c r="J21" s="89">
        <f t="shared" si="1"/>
        <v>685955314.34615612</v>
      </c>
      <c r="K21" s="90">
        <f>I21*'Key Information'!$C$14</f>
        <v>54876425.147692494</v>
      </c>
      <c r="L21" s="89">
        <f t="shared" si="2"/>
        <v>4752592.0107229492</v>
      </c>
      <c r="M21" s="90">
        <f t="shared" si="3"/>
        <v>2151077.3959460333</v>
      </c>
      <c r="N21" s="92">
        <f>L21*'Key Information'!$C$23</f>
        <v>1425777.6032168847</v>
      </c>
      <c r="O21" s="90">
        <f>NPV('Key Information'!$C$13,'Event 1'!$N22:$N$37)</f>
        <v>8944024.4485630486</v>
      </c>
      <c r="P21" s="92">
        <f t="shared" si="4"/>
        <v>5477891.8034520978</v>
      </c>
      <c r="Q21" s="90">
        <f>NPV('Key Information'!$C$13,'Event 1'!$P22:$P$37)</f>
        <v>46614666.055891067</v>
      </c>
    </row>
    <row r="22" spans="1:17" x14ac:dyDescent="0.3">
      <c r="A22" s="24"/>
      <c r="B22" s="85">
        <v>2024</v>
      </c>
      <c r="C22" s="86">
        <v>5</v>
      </c>
      <c r="D22" s="89">
        <f>$I21*'Key Information'!$C$15</f>
        <v>54876425.147692494</v>
      </c>
      <c r="E22" s="89">
        <f>($I21+$D22)*'Key Information'!$C$16</f>
        <v>7408317.3949384857</v>
      </c>
      <c r="F22" s="89">
        <f>($I21+$D22-$E22)*'Key Information'!$C$17</f>
        <v>73342342.209891006</v>
      </c>
      <c r="G22" s="89">
        <f>$I21*'Key Information'!$C$21+'Key Information'!$C$19*(1+'Key Information'!$C$20)^($C22-1)</f>
        <v>4555285.3817307809</v>
      </c>
      <c r="H22" s="90">
        <f>$K21*'Key Information'!$C$22</f>
        <v>1646292.7544307748</v>
      </c>
      <c r="I22" s="89">
        <f t="shared" si="0"/>
        <v>660081079.88901913</v>
      </c>
      <c r="J22" s="89">
        <f t="shared" si="1"/>
        <v>660081079.88901913</v>
      </c>
      <c r="K22" s="90">
        <f>I22*'Key Information'!$C$14</f>
        <v>52806486.391121529</v>
      </c>
      <c r="L22" s="89">
        <f t="shared" si="2"/>
        <v>4499324.7676384794</v>
      </c>
      <c r="M22" s="90">
        <f t="shared" si="3"/>
        <v>2069938.7565709651</v>
      </c>
      <c r="N22" s="92">
        <f>L22*'Key Information'!$C$23</f>
        <v>1349797.4302915437</v>
      </c>
      <c r="O22" s="90">
        <f>NPV('Key Information'!$C$13,'Event 1'!$N23:$N$37)</f>
        <v>8220308.7296709167</v>
      </c>
      <c r="P22" s="92">
        <f t="shared" si="4"/>
        <v>5219466.0939179007</v>
      </c>
      <c r="Q22" s="90">
        <f>NPV('Key Information'!$C$13,'Event 1'!$P23:$P$37)</f>
        <v>44658226.585885555</v>
      </c>
    </row>
    <row r="23" spans="1:17" x14ac:dyDescent="0.3">
      <c r="A23" s="24"/>
      <c r="B23" s="85">
        <v>2025</v>
      </c>
      <c r="C23" s="86">
        <v>6</v>
      </c>
      <c r="D23" s="89">
        <f>$I22*'Key Information'!$C$15</f>
        <v>52806486.391121529</v>
      </c>
      <c r="E23" s="89">
        <f>($I22+$D23)*'Key Information'!$C$16</f>
        <v>7128875.6628014063</v>
      </c>
      <c r="F23" s="89">
        <f>($I22+$D23-$E23)*'Key Information'!$C$17</f>
        <v>70575869.061733931</v>
      </c>
      <c r="G23" s="89">
        <f>$I22*'Key Information'!$C$21+'Key Information'!$C$19*(1+'Key Information'!$C$20)^($C23-1)</f>
        <v>4459679.4737450955</v>
      </c>
      <c r="H23" s="90">
        <f>$K22*'Key Information'!$C$22</f>
        <v>1584194.5917336459</v>
      </c>
      <c r="I23" s="89">
        <f t="shared" si="0"/>
        <v>635182821.55560529</v>
      </c>
      <c r="J23" s="89">
        <f t="shared" si="1"/>
        <v>635182821.55560529</v>
      </c>
      <c r="K23" s="90">
        <f>I23*'Key Information'!$C$14</f>
        <v>50814625.724448428</v>
      </c>
      <c r="L23" s="89">
        <f t="shared" si="2"/>
        <v>4253390.7807899565</v>
      </c>
      <c r="M23" s="90">
        <f t="shared" si="3"/>
        <v>1991860.6666731015</v>
      </c>
      <c r="N23" s="92">
        <f>L23*'Key Information'!$C$23</f>
        <v>1276017.2342369868</v>
      </c>
      <c r="O23" s="90">
        <f>NPV('Key Information'!$C$13,'Event 1'!$N24:$N$37)</f>
        <v>7519713.1065108972</v>
      </c>
      <c r="P23" s="92">
        <f t="shared" si="4"/>
        <v>4969234.2132260706</v>
      </c>
      <c r="Q23" s="90">
        <f>NPV('Key Information'!$C$13,'Event 1'!$P24:$P$37)</f>
        <v>42815068.233671479</v>
      </c>
    </row>
    <row r="24" spans="1:17" x14ac:dyDescent="0.3">
      <c r="A24" s="24"/>
      <c r="B24" s="85">
        <v>2026</v>
      </c>
      <c r="C24" s="86">
        <v>7</v>
      </c>
      <c r="D24" s="89">
        <f>$I23*'Key Information'!$C$15</f>
        <v>50814625.724448428</v>
      </c>
      <c r="E24" s="89">
        <f>($I23+$D24)*'Key Information'!$C$16</f>
        <v>6859974.4728005379</v>
      </c>
      <c r="F24" s="89">
        <f>($I23+$D24-$E24)*'Key Information'!$C$17</f>
        <v>67913747.28072533</v>
      </c>
      <c r="G24" s="89">
        <f>$I23*'Key Information'!$C$21+'Key Information'!$C$19*(1+'Key Information'!$C$20)^($C24-1)</f>
        <v>4369966.4043070264</v>
      </c>
      <c r="H24" s="90">
        <f>$K23*'Key Information'!$C$22</f>
        <v>1524438.7717334528</v>
      </c>
      <c r="I24" s="89">
        <f t="shared" si="0"/>
        <v>611223725.52652788</v>
      </c>
      <c r="J24" s="89">
        <f t="shared" si="1"/>
        <v>611223725.52652788</v>
      </c>
      <c r="K24" s="90">
        <f>I24*'Key Information'!$C$14</f>
        <v>48897898.04212223</v>
      </c>
      <c r="L24" s="89">
        <f t="shared" si="2"/>
        <v>4014446.8402269641</v>
      </c>
      <c r="M24" s="90">
        <f t="shared" si="3"/>
        <v>1916727.6823261976</v>
      </c>
      <c r="N24" s="92">
        <f>L24*'Key Information'!$C$23</f>
        <v>1204334.0520680891</v>
      </c>
      <c r="O24" s="90">
        <f>NPV('Key Information'!$C$13,'Event 1'!$N25:$N$37)</f>
        <v>6841758.9718985716</v>
      </c>
      <c r="P24" s="92">
        <f t="shared" si="4"/>
        <v>4726840.4704850726</v>
      </c>
      <c r="Q24" s="90">
        <f>NPV('Key Information'!$C$13,'Event 1'!$P25:$P$37)</f>
        <v>41085282.53954342</v>
      </c>
    </row>
    <row r="25" spans="1:17" x14ac:dyDescent="0.3">
      <c r="A25" s="24"/>
      <c r="B25" s="85">
        <v>2027</v>
      </c>
      <c r="C25" s="86">
        <v>8</v>
      </c>
      <c r="D25" s="89">
        <f>$I24*'Key Information'!$C$15</f>
        <v>48897898.04212223</v>
      </c>
      <c r="E25" s="89">
        <f>($I24+$D25)*'Key Information'!$C$16</f>
        <v>6601216.2356865015</v>
      </c>
      <c r="F25" s="89">
        <f>($I24+$D25-$E25)*'Key Information'!$C$17</f>
        <v>65352040.733296365</v>
      </c>
      <c r="G25" s="89">
        <f>$I24*'Key Information'!$C$21+'Key Information'!$C$19*(1+'Key Information'!$C$20)^($C25-1)</f>
        <v>4285992.4930575099</v>
      </c>
      <c r="H25" s="90">
        <f>$K24*'Key Information'!$C$22</f>
        <v>1466936.9412636668</v>
      </c>
      <c r="I25" s="89">
        <f t="shared" si="0"/>
        <v>588168366.59966719</v>
      </c>
      <c r="J25" s="89">
        <f t="shared" si="1"/>
        <v>588168366.59966719</v>
      </c>
      <c r="K25" s="90">
        <f>I25*'Key Information'!$C$14</f>
        <v>47053469.327973373</v>
      </c>
      <c r="L25" s="89">
        <f t="shared" si="2"/>
        <v>3782160.6838926584</v>
      </c>
      <c r="M25" s="90">
        <f t="shared" si="3"/>
        <v>1844428.7141488567</v>
      </c>
      <c r="N25" s="92">
        <f>L25*'Key Information'!$C$23</f>
        <v>1134648.2051677974</v>
      </c>
      <c r="O25" s="90">
        <f>NPV('Key Information'!$C$13,'Event 1'!$N26:$N$37)</f>
        <v>6186033.8947636737</v>
      </c>
      <c r="P25" s="92">
        <f t="shared" si="4"/>
        <v>4491941.1928737173</v>
      </c>
      <c r="Q25" s="90">
        <f>NPV('Key Information'!$C$13,'Event 1'!$P26:$P$37)</f>
        <v>39469311.124437742</v>
      </c>
    </row>
    <row r="26" spans="1:17" x14ac:dyDescent="0.3">
      <c r="A26" s="24"/>
      <c r="B26" s="85">
        <v>2028</v>
      </c>
      <c r="C26" s="86">
        <v>9</v>
      </c>
      <c r="D26" s="89">
        <f>$I25*'Key Information'!$C$15</f>
        <v>47053469.327973373</v>
      </c>
      <c r="E26" s="89">
        <f>($I25+$D26)*'Key Information'!$C$16</f>
        <v>6352218.3592764055</v>
      </c>
      <c r="F26" s="89">
        <f>($I25+$D26-$E26)*'Key Information'!$C$17</f>
        <v>62886961.756836414</v>
      </c>
      <c r="G26" s="89">
        <f>$I25*'Key Information'!$C$21+'Key Information'!$C$19*(1+'Key Information'!$C$20)^($C26-1)</f>
        <v>4207611.9143859521</v>
      </c>
      <c r="H26" s="90">
        <f>$K25*'Key Information'!$C$22</f>
        <v>1411604.0798392012</v>
      </c>
      <c r="I26" s="89">
        <f t="shared" si="0"/>
        <v>565982655.81152773</v>
      </c>
      <c r="J26" s="89">
        <f t="shared" si="1"/>
        <v>565982655.81152773</v>
      </c>
      <c r="K26" s="90">
        <f>I26*'Key Information'!$C$14</f>
        <v>45278612.46492222</v>
      </c>
      <c r="L26" s="89">
        <f t="shared" si="2"/>
        <v>3556210.5247296547</v>
      </c>
      <c r="M26" s="90">
        <f t="shared" si="3"/>
        <v>1774856.8630511537</v>
      </c>
      <c r="N26" s="92">
        <f>L26*'Key Information'!$C$23</f>
        <v>1066863.1574188964</v>
      </c>
      <c r="O26" s="90">
        <f>NPV('Key Information'!$C$13,'Event 1'!$N27:$N$37)</f>
        <v>5552193.1099782335</v>
      </c>
      <c r="P26" s="92">
        <f t="shared" si="4"/>
        <v>4264204.2303619115</v>
      </c>
      <c r="Q26" s="90">
        <f>NPV('Key Information'!$C$13,'Event 1'!$P27:$P$37)</f>
        <v>37967958.672786467</v>
      </c>
    </row>
    <row r="27" spans="1:17" x14ac:dyDescent="0.3">
      <c r="A27" s="24"/>
      <c r="B27" s="85">
        <v>2029</v>
      </c>
      <c r="C27" s="86">
        <v>10</v>
      </c>
      <c r="D27" s="89">
        <f>$I26*'Key Information'!$C$15</f>
        <v>45278612.46492222</v>
      </c>
      <c r="E27" s="89">
        <f>($I26+$D27)*'Key Information'!$C$16</f>
        <v>6112612.6827644994</v>
      </c>
      <c r="F27" s="89">
        <f>($I26+$D27-$E27)*'Key Information'!$C$17</f>
        <v>60514865.559368543</v>
      </c>
      <c r="G27" s="89">
        <f>$I26*'Key Information'!$C$21+'Key Information'!$C$19*(1+'Key Information'!$C$20)^($C27-1)</f>
        <v>4134686.4628868829</v>
      </c>
      <c r="H27" s="90">
        <f>$K26*'Key Information'!$C$22</f>
        <v>1358358.3739476665</v>
      </c>
      <c r="I27" s="89">
        <f t="shared" si="0"/>
        <v>544633790.0343169</v>
      </c>
      <c r="J27" s="89">
        <f t="shared" si="1"/>
        <v>544633790.0343169</v>
      </c>
      <c r="K27" s="90">
        <f>I27*'Key Information'!$C$14</f>
        <v>43570703.202745356</v>
      </c>
      <c r="L27" s="89">
        <f t="shared" si="2"/>
        <v>3336284.593825283</v>
      </c>
      <c r="M27" s="90">
        <f t="shared" si="3"/>
        <v>1707909.2621768638</v>
      </c>
      <c r="N27" s="92">
        <f>L27*'Key Information'!$C$23</f>
        <v>1000885.3781475849</v>
      </c>
      <c r="O27" s="90">
        <f>NPV('Key Information'!$C$13,'Event 1'!$N28:$N$37)</f>
        <v>4939961.2495291261</v>
      </c>
      <c r="P27" s="92">
        <f t="shared" si="4"/>
        <v>4043308.4778545615</v>
      </c>
      <c r="Q27" s="90">
        <f>NPV('Key Information'!$C$13,'Event 1'!$P28:$P$37)</f>
        <v>36582407.302026965</v>
      </c>
    </row>
    <row r="28" spans="1:17" x14ac:dyDescent="0.3">
      <c r="A28" s="24"/>
      <c r="B28" s="85">
        <v>2030</v>
      </c>
      <c r="C28" s="86">
        <v>11</v>
      </c>
      <c r="D28" s="89">
        <f>$I27*'Key Information'!$C$15</f>
        <v>43570703.202745356</v>
      </c>
      <c r="E28" s="89">
        <f>($I27+$D28)*'Key Information'!$C$16</f>
        <v>5882044.9323706226</v>
      </c>
      <c r="F28" s="89">
        <f>($I27+$D28-$E28)*'Key Information'!$C$17</f>
        <v>58232244.830469161</v>
      </c>
      <c r="G28" s="89">
        <f>$I27*'Key Information'!$C$21+'Key Information'!$C$19*(1+'Key Information'!$C$20)^($C28-1)</f>
        <v>4067085.3295157067</v>
      </c>
      <c r="H28" s="90">
        <f>$K27*'Key Information'!$C$22</f>
        <v>1307121.0960823607</v>
      </c>
      <c r="I28" s="89">
        <f t="shared" si="0"/>
        <v>524090203.47422242</v>
      </c>
      <c r="J28" s="89">
        <f t="shared" si="1"/>
        <v>524090203.47422242</v>
      </c>
      <c r="K28" s="90">
        <f>I28*'Key Information'!$C$14</f>
        <v>41927216.277937792</v>
      </c>
      <c r="L28" s="89">
        <f t="shared" si="2"/>
        <v>3122080.6989372764</v>
      </c>
      <c r="M28" s="90">
        <f t="shared" si="3"/>
        <v>1643486.9248075634</v>
      </c>
      <c r="N28" s="92">
        <f>L28*'Key Information'!$C$23</f>
        <v>936624.20968118287</v>
      </c>
      <c r="O28" s="90">
        <f>NPV('Key Information'!$C$13,'Event 1'!$N29:$N$37)</f>
        <v>4349134.3273149831</v>
      </c>
      <c r="P28" s="92">
        <f t="shared" si="4"/>
        <v>3828943.4140636567</v>
      </c>
      <c r="Q28" s="90">
        <f>NPV('Key Information'!$C$13,'Event 1'!$P29:$P$37)</f>
        <v>35314232.399105199</v>
      </c>
    </row>
    <row r="29" spans="1:17" x14ac:dyDescent="0.3">
      <c r="A29" s="24"/>
      <c r="B29" s="85">
        <v>2031</v>
      </c>
      <c r="C29" s="86">
        <v>12</v>
      </c>
      <c r="D29" s="89">
        <f>$I28*'Key Information'!$C$15</f>
        <v>41927216.277937792</v>
      </c>
      <c r="E29" s="89">
        <f>($I28+$D29)*'Key Information'!$C$16</f>
        <v>5660174.1975216018</v>
      </c>
      <c r="F29" s="89">
        <f>($I28+$D29-$E29)*'Key Information'!$C$17</f>
        <v>56035724.555463865</v>
      </c>
      <c r="G29" s="89">
        <f>$I28*'Key Information'!$C$21+'Key Information'!$C$19*(1+'Key Information'!$C$20)^($C29-1)</f>
        <v>4004684.8880955577</v>
      </c>
      <c r="H29" s="90">
        <f>$K28*'Key Information'!$C$22</f>
        <v>1257816.4883381338</v>
      </c>
      <c r="I29" s="89">
        <f t="shared" si="0"/>
        <v>504321520.99917477</v>
      </c>
      <c r="J29" s="89">
        <f t="shared" si="1"/>
        <v>504321520.99917477</v>
      </c>
      <c r="K29" s="90">
        <f>I29*'Key Information'!$C$14</f>
        <v>40345721.67993398</v>
      </c>
      <c r="L29" s="89">
        <f t="shared" si="2"/>
        <v>2913305.7977641779</v>
      </c>
      <c r="M29" s="90">
        <f t="shared" si="3"/>
        <v>1581494.5980038121</v>
      </c>
      <c r="N29" s="92">
        <f>L29*'Key Information'!$C$23</f>
        <v>873991.73932925332</v>
      </c>
      <c r="O29" s="90">
        <f>NPV('Key Information'!$C$13,'Event 1'!$N30:$N$37)</f>
        <v>3779581.990897778</v>
      </c>
      <c r="P29" s="92">
        <f t="shared" si="4"/>
        <v>3620808.6564387372</v>
      </c>
      <c r="Q29" s="90">
        <f>NPV('Key Information'!$C$13,'Event 1'!$P30:$P$37)</f>
        <v>34165420.010603823</v>
      </c>
    </row>
    <row r="30" spans="1:17" x14ac:dyDescent="0.3">
      <c r="A30" s="24"/>
      <c r="B30" s="85">
        <v>2032</v>
      </c>
      <c r="C30" s="86">
        <v>13</v>
      </c>
      <c r="D30" s="89">
        <f>$I29*'Key Information'!$C$15</f>
        <v>40345721.67993398</v>
      </c>
      <c r="E30" s="89">
        <f>($I29+$D30)*'Key Information'!$C$16</f>
        <v>5446672.4267910877</v>
      </c>
      <c r="F30" s="89">
        <f>($I29+$D30-$E30)*'Key Information'!$C$17</f>
        <v>53922057.025231771</v>
      </c>
      <c r="G30" s="89">
        <f>$I29*'Key Information'!$C$21+'Key Information'!$C$19*(1+'Key Information'!$C$20)^($C30-1)</f>
        <v>3947368.4918420524</v>
      </c>
      <c r="H30" s="90">
        <f>$K29*'Key Information'!$C$22</f>
        <v>1210371.6503980195</v>
      </c>
      <c r="I30" s="89">
        <f t="shared" si="0"/>
        <v>485298513.22708589</v>
      </c>
      <c r="J30" s="89">
        <f t="shared" si="1"/>
        <v>485298513.22708589</v>
      </c>
      <c r="K30" s="90">
        <f>I30*'Key Information'!$C$14</f>
        <v>38823881.058166869</v>
      </c>
      <c r="L30" s="89">
        <f t="shared" si="2"/>
        <v>2709675.5853470545</v>
      </c>
      <c r="M30" s="90">
        <f t="shared" si="3"/>
        <v>1521840.6217671111</v>
      </c>
      <c r="N30" s="92">
        <f>L30*'Key Information'!$C$23</f>
        <v>812902.67560411629</v>
      </c>
      <c r="O30" s="90">
        <f>NPV('Key Information'!$C$13,'Event 1'!$N31:$N$37)</f>
        <v>3231250.0546565065</v>
      </c>
      <c r="P30" s="92">
        <f t="shared" si="4"/>
        <v>3418613.5315100495</v>
      </c>
      <c r="Q30" s="90">
        <f>NPV('Key Information'!$C$13,'Event 1'!$P31:$P$37)</f>
        <v>33138385.879836041</v>
      </c>
    </row>
    <row r="31" spans="1:17" x14ac:dyDescent="0.3">
      <c r="A31" s="24"/>
      <c r="B31" s="85">
        <v>2033</v>
      </c>
      <c r="C31" s="86">
        <v>14</v>
      </c>
      <c r="D31" s="89">
        <f>$I30*'Key Information'!$C$15</f>
        <v>38823881.058166869</v>
      </c>
      <c r="E31" s="89">
        <f>($I30+$D31)*'Key Information'!$C$16</f>
        <v>5241223.9428525278</v>
      </c>
      <c r="F31" s="89">
        <f>($I30+$D31-$E31)*'Key Information'!$C$17</f>
        <v>51888117.034240022</v>
      </c>
      <c r="G31" s="89">
        <f>$I30*'Key Information'!$C$21+'Key Information'!$C$19*(1+'Key Information'!$C$20)^($C31-1)</f>
        <v>3895026.2795869932</v>
      </c>
      <c r="H31" s="90">
        <f>$K30*'Key Information'!$C$22</f>
        <v>1164716.431745006</v>
      </c>
      <c r="I31" s="89">
        <f t="shared" si="0"/>
        <v>466993053.30816019</v>
      </c>
      <c r="J31" s="89">
        <f t="shared" si="1"/>
        <v>466993053.30816019</v>
      </c>
      <c r="K31" s="90">
        <f>I31*'Key Information'!$C$14</f>
        <v>37359444.264652818</v>
      </c>
      <c r="L31" s="89">
        <f t="shared" si="2"/>
        <v>2510914.0950105404</v>
      </c>
      <c r="M31" s="90">
        <f t="shared" si="3"/>
        <v>1464436.7935140505</v>
      </c>
      <c r="N31" s="92">
        <f>L31*'Key Information'!$C$23</f>
        <v>753274.22850316216</v>
      </c>
      <c r="O31" s="90">
        <f>NPV('Key Information'!$C$13,'Event 1'!$N32:$N$37)</f>
        <v>2704163.3299793</v>
      </c>
      <c r="P31" s="92">
        <f t="shared" si="4"/>
        <v>3222076.660021429</v>
      </c>
      <c r="Q31" s="90">
        <f>NPV('Key Information'!$C$13,'Event 1'!$P32:$P$37)</f>
        <v>32235996.231403146</v>
      </c>
    </row>
    <row r="32" spans="1:17" x14ac:dyDescent="0.3">
      <c r="A32" s="24"/>
      <c r="B32" s="85">
        <v>2034</v>
      </c>
      <c r="C32" s="86">
        <v>15</v>
      </c>
      <c r="D32" s="89">
        <f>$I31*'Key Information'!$C$15</f>
        <v>37359444.264652818</v>
      </c>
      <c r="E32" s="89">
        <f>($I31+$D32)*'Key Information'!$C$16</f>
        <v>5043524.9757281309</v>
      </c>
      <c r="F32" s="89">
        <f>($I31+$D32-$E32)*'Key Information'!$C$17</f>
        <v>49930897.259708494</v>
      </c>
      <c r="G32" s="89">
        <f>$I31*'Key Information'!$C$21+'Key Information'!$C$19*(1+'Key Information'!$C$20)^($C32-1)</f>
        <v>3847554.9913959121</v>
      </c>
      <c r="H32" s="90">
        <f>$K31*'Key Information'!$C$22</f>
        <v>1120783.3279395846</v>
      </c>
      <c r="I32" s="89">
        <f t="shared" si="0"/>
        <v>449378075.33737636</v>
      </c>
      <c r="J32" s="89">
        <f t="shared" si="1"/>
        <v>449378075.33737636</v>
      </c>
      <c r="K32" s="90">
        <f>I32*'Key Information'!$C$14</f>
        <v>35950246.026990108</v>
      </c>
      <c r="L32" s="89">
        <f t="shared" si="2"/>
        <v>2316753.3122718036</v>
      </c>
      <c r="M32" s="90">
        <f t="shared" si="3"/>
        <v>1409198.2376627102</v>
      </c>
      <c r="N32" s="92">
        <f>L32*'Key Information'!$C$23</f>
        <v>695025.99368154106</v>
      </c>
      <c r="O32" s="90">
        <f>NPV('Key Information'!$C$13,'Event 1'!$N33:$N$37)</f>
        <v>2198428.7693963102</v>
      </c>
      <c r="P32" s="92">
        <f t="shared" si="4"/>
        <v>3030925.5562529727</v>
      </c>
      <c r="Q32" s="90">
        <f>NPV('Key Information'!$C$13,'Event 1'!$P33:$P$37)</f>
        <v>31461590.411348388</v>
      </c>
    </row>
    <row r="33" spans="1:17" x14ac:dyDescent="0.3">
      <c r="A33" s="24"/>
      <c r="B33" s="85">
        <v>2035</v>
      </c>
      <c r="C33" s="86">
        <v>16</v>
      </c>
      <c r="D33" s="89">
        <f>$I32*'Key Information'!$C$15</f>
        <v>35950246.026990108</v>
      </c>
      <c r="E33" s="89">
        <f>($I32+$D33)*'Key Information'!$C$16</f>
        <v>4853283.2136436645</v>
      </c>
      <c r="F33" s="89">
        <f>($I32+$D33-$E33)*'Key Information'!$C$17</f>
        <v>48047503.815072283</v>
      </c>
      <c r="G33" s="89">
        <f>$I32*'Key Information'!$C$21+'Key Information'!$C$19*(1+'Key Information'!$C$20)^($C33-1)</f>
        <v>3804857.793287646</v>
      </c>
      <c r="H33" s="90">
        <f>$K32*'Key Information'!$C$22</f>
        <v>1078507.3808097031</v>
      </c>
      <c r="I33" s="89">
        <f t="shared" si="0"/>
        <v>432427534.3356505</v>
      </c>
      <c r="J33" s="89">
        <f t="shared" si="1"/>
        <v>432427534.3356505</v>
      </c>
      <c r="K33" s="90">
        <f>I33*'Key Information'!$C$14</f>
        <v>34594202.74685204</v>
      </c>
      <c r="L33" s="89">
        <f t="shared" si="2"/>
        <v>2126932.8011657214</v>
      </c>
      <c r="M33" s="90">
        <f t="shared" si="3"/>
        <v>1356043.2801380679</v>
      </c>
      <c r="N33" s="92">
        <f>L33*'Key Information'!$C$23</f>
        <v>638079.84034971637</v>
      </c>
      <c r="O33" s="90">
        <f>NPV('Key Information'!$C$13,'Event 1'!$N34:$N$37)</f>
        <v>1714238.9429043354</v>
      </c>
      <c r="P33" s="92">
        <f t="shared" si="4"/>
        <v>2844896.2409540731</v>
      </c>
      <c r="Q33" s="90">
        <f>NPV('Key Information'!$C$13,'Event 1'!$P34:$P$37)</f>
        <v>30819005.499188706</v>
      </c>
    </row>
    <row r="34" spans="1:17" x14ac:dyDescent="0.3">
      <c r="A34" s="24"/>
      <c r="B34" s="85">
        <v>2036</v>
      </c>
      <c r="C34" s="86">
        <v>17</v>
      </c>
      <c r="D34" s="89">
        <f>$I33*'Key Information'!$C$15</f>
        <v>34594202.74685204</v>
      </c>
      <c r="E34" s="89">
        <f>($I33+$D34)*'Key Information'!$C$16</f>
        <v>4670217.3708250253</v>
      </c>
      <c r="F34" s="89">
        <f>($I33+$D34-$E34)*'Key Information'!$C$17</f>
        <v>46235151.971167751</v>
      </c>
      <c r="G34" s="89">
        <f>$I33*'Key Information'!$C$21+'Key Information'!$C$19*(1+'Key Information'!$C$20)^($C34-1)</f>
        <v>3766844.1107770395</v>
      </c>
      <c r="H34" s="90">
        <f>$K33*'Key Information'!$C$22</f>
        <v>1037826.0824055611</v>
      </c>
      <c r="I34" s="89">
        <f t="shared" si="0"/>
        <v>416116367.74050975</v>
      </c>
      <c r="J34" s="89">
        <f t="shared" si="1"/>
        <v>416116367.74050975</v>
      </c>
      <c r="K34" s="90">
        <f>I34*'Key Information'!$C$14</f>
        <v>33289309.41924078</v>
      </c>
      <c r="L34" s="89">
        <f t="shared" si="2"/>
        <v>1941199.3424535468</v>
      </c>
      <c r="M34" s="90">
        <f t="shared" si="3"/>
        <v>1304893.3276112601</v>
      </c>
      <c r="N34" s="92">
        <f>L34*'Key Information'!$C$23</f>
        <v>582359.80273606407</v>
      </c>
      <c r="O34" s="90">
        <f>NPV('Key Information'!$C$13,'Event 1'!$N35:$N$37)</f>
        <v>1251875.8661715749</v>
      </c>
      <c r="P34" s="92">
        <f t="shared" si="4"/>
        <v>2663732.867328743</v>
      </c>
      <c r="Q34" s="90">
        <f>NPV('Key Information'!$C$13,'Event 1'!$P35:$P$37)</f>
        <v>30312603.016803179</v>
      </c>
    </row>
    <row r="35" spans="1:17" x14ac:dyDescent="0.3">
      <c r="A35" s="24"/>
      <c r="B35" s="85">
        <v>2037</v>
      </c>
      <c r="C35" s="86">
        <v>18</v>
      </c>
      <c r="D35" s="89">
        <f>$I34*'Key Information'!$C$15</f>
        <v>33289309.41924078</v>
      </c>
      <c r="E35" s="89">
        <f>($I34+$D35)*'Key Information'!$C$16</f>
        <v>4494056.7715975055</v>
      </c>
      <c r="F35" s="89">
        <f>($I34+$D35-$E35)*'Key Information'!$C$17</f>
        <v>44491162.038815305</v>
      </c>
      <c r="G35" s="89">
        <f>$I34*'Key Information'!$C$21+'Key Information'!$C$19*(1+'Key Information'!$C$20)^($C35-1)</f>
        <v>3733429.4709742991</v>
      </c>
      <c r="H35" s="90">
        <f>$K34*'Key Information'!$C$22</f>
        <v>998679.28257722338</v>
      </c>
      <c r="I35" s="89">
        <f t="shared" si="0"/>
        <v>400420458.3493377</v>
      </c>
      <c r="J35" s="89">
        <f t="shared" si="1"/>
        <v>400420458.3493377</v>
      </c>
      <c r="K35" s="90">
        <f>I35*'Key Information'!$C$14</f>
        <v>32033636.667947017</v>
      </c>
      <c r="L35" s="89">
        <f t="shared" si="2"/>
        <v>1759306.5832004298</v>
      </c>
      <c r="M35" s="90">
        <f t="shared" si="3"/>
        <v>1255672.7512937635</v>
      </c>
      <c r="N35" s="92">
        <f>L35*'Key Information'!$C$23</f>
        <v>527791.97496012889</v>
      </c>
      <c r="O35" s="90">
        <f>NPV('Key Information'!$C$13,'Event 1'!$N36:$N$37)</f>
        <v>811715.20184345637</v>
      </c>
      <c r="P35" s="92">
        <f t="shared" si="4"/>
        <v>2487187.3595340643</v>
      </c>
      <c r="Q35" s="90">
        <f>NPV('Key Information'!$C$13,'Event 1'!$P36:$P$37)</f>
        <v>29947297.868445337</v>
      </c>
    </row>
    <row r="36" spans="1:17" x14ac:dyDescent="0.3">
      <c r="A36" s="24"/>
      <c r="B36" s="85">
        <v>2038</v>
      </c>
      <c r="C36" s="86">
        <v>19</v>
      </c>
      <c r="D36" s="89">
        <f>$I35*'Key Information'!$C$15</f>
        <v>32033636.667947017</v>
      </c>
      <c r="E36" s="89">
        <f>($I35+$D36)*'Key Information'!$C$16</f>
        <v>4324540.9501728471</v>
      </c>
      <c r="F36" s="89">
        <f>($I35+$D36-$E36)*'Key Information'!$C$17</f>
        <v>42812955.406711191</v>
      </c>
      <c r="G36" s="89">
        <f>$I35*'Key Information'!$C$21+'Key Information'!$C$19*(1+'Key Information'!$C$20)^($C36-1)</f>
        <v>3704535.3529865919</v>
      </c>
      <c r="H36" s="90">
        <f>$K35*'Key Information'!$C$22</f>
        <v>961009.10003841051</v>
      </c>
      <c r="I36" s="89">
        <f t="shared" si="0"/>
        <v>385316598.66040063</v>
      </c>
      <c r="J36" s="89">
        <f t="shared" si="1"/>
        <v>385316598.66040063</v>
      </c>
      <c r="K36" s="90">
        <f>I36*'Key Information'!$C$14</f>
        <v>30825327.892832052</v>
      </c>
      <c r="L36" s="89">
        <f t="shared" si="2"/>
        <v>1581014.6972246659</v>
      </c>
      <c r="M36" s="90">
        <f t="shared" si="3"/>
        <v>1208308.7751149647</v>
      </c>
      <c r="N36" s="92">
        <f>L36*'Key Information'!$C$23</f>
        <v>474304.40916739975</v>
      </c>
      <c r="O36" s="90">
        <f>NPV('Key Information'!$C$13,'Event 1'!$N37:$N$37)</f>
        <v>394230.85680509859</v>
      </c>
      <c r="P36" s="92">
        <f t="shared" si="4"/>
        <v>2315019.063172231</v>
      </c>
      <c r="Q36" s="90">
        <f>NPV('Key Information'!$C$13,'Event 1'!$P37:$P$37)</f>
        <v>29728589.656064279</v>
      </c>
    </row>
    <row r="37" spans="1:17" x14ac:dyDescent="0.3">
      <c r="A37" s="24"/>
      <c r="B37" s="93">
        <v>2039</v>
      </c>
      <c r="C37" s="94">
        <v>20</v>
      </c>
      <c r="D37" s="95">
        <f>$I36*'Key Information'!$C$15</f>
        <v>30825327.892832052</v>
      </c>
      <c r="E37" s="95">
        <f>($I36+$D37)*'Key Information'!$C$16</f>
        <v>4161419.2655323269</v>
      </c>
      <c r="F37" s="96">
        <f>($I36+$D37-$E37)*'Key Information'!$C$18</f>
        <v>411980507.28770036</v>
      </c>
      <c r="G37" s="95">
        <f>$I36*'Key Information'!$C$21+'Key Information'!$C$19*(1+'Key Information'!$C$20)^($C37-1)</f>
        <v>3680089.0463791033</v>
      </c>
      <c r="H37" s="97">
        <f>$K36*'Key Information'!$C$22</f>
        <v>924759.83678496152</v>
      </c>
      <c r="I37" s="95">
        <f t="shared" si="0"/>
        <v>0</v>
      </c>
      <c r="J37" s="95">
        <f t="shared" si="1"/>
        <v>0</v>
      </c>
      <c r="K37" s="97">
        <f>I37*'Key Information'!$C$14</f>
        <v>0</v>
      </c>
      <c r="L37" s="95">
        <f t="shared" si="2"/>
        <v>1406090.0559381852</v>
      </c>
      <c r="M37" s="97">
        <f t="shared" si="3"/>
        <v>30825327.892832052</v>
      </c>
      <c r="N37" s="98">
        <f>L37*'Key Information'!$C$23</f>
        <v>421827.01678145555</v>
      </c>
      <c r="O37" s="97">
        <v>0</v>
      </c>
      <c r="P37" s="98">
        <f t="shared" si="4"/>
        <v>31809590.931988779</v>
      </c>
      <c r="Q37" s="97">
        <v>0</v>
      </c>
    </row>
    <row r="41" spans="1:17" x14ac:dyDescent="0.3">
      <c r="E41" s="24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Q41"/>
  <sheetViews>
    <sheetView zoomScale="70" zoomScaleNormal="70" workbookViewId="0"/>
  </sheetViews>
  <sheetFormatPr defaultColWidth="9.140625" defaultRowHeight="16.5" x14ac:dyDescent="0.3"/>
  <cols>
    <col min="1" max="1" width="6.85546875" style="1" bestFit="1" customWidth="1"/>
    <col min="2" max="2" width="37.85546875" style="1" customWidth="1"/>
    <col min="3" max="8" width="18.5703125" style="1" customWidth="1"/>
    <col min="9" max="10" width="18.5703125" style="2" customWidth="1"/>
    <col min="11" max="17" width="18.5703125" style="1" customWidth="1"/>
    <col min="18" max="16384" width="9.140625" style="1"/>
  </cols>
  <sheetData>
    <row r="1" spans="1:17" x14ac:dyDescent="0.3">
      <c r="A1" s="59" t="s">
        <v>63</v>
      </c>
      <c r="B1" s="54" t="s">
        <v>64</v>
      </c>
    </row>
    <row r="2" spans="1:17" x14ac:dyDescent="0.3">
      <c r="A2" s="28"/>
      <c r="B2" s="99" t="s">
        <v>65</v>
      </c>
    </row>
    <row r="3" spans="1:17" x14ac:dyDescent="0.3">
      <c r="A3" s="11"/>
      <c r="B3" s="101" t="s">
        <v>71</v>
      </c>
    </row>
    <row r="5" spans="1:17" x14ac:dyDescent="0.3">
      <c r="B5" s="4" t="s">
        <v>12</v>
      </c>
    </row>
    <row r="7" spans="1:17" ht="33" x14ac:dyDescent="0.3">
      <c r="B7" s="31"/>
      <c r="C7" s="81" t="s">
        <v>19</v>
      </c>
      <c r="D7" s="100" t="s">
        <v>44</v>
      </c>
    </row>
    <row r="8" spans="1:17" x14ac:dyDescent="0.3">
      <c r="B8" s="28" t="s">
        <v>23</v>
      </c>
      <c r="C8" s="90">
        <f>'Key Information'!C29-'Key Information'!C30-'Embedded Value 31 Dec 2019'!J17-$K$17</f>
        <v>36000000</v>
      </c>
      <c r="D8" s="102">
        <f>C8*(1+'Key Information'!$C$22)- C8*'Key Information'!$C$22*'Key Information'!$C$23*(1-'Key Information'!$C$24)+P18+N18*'Key Information'!$C$24-'Key Information'!$C$36</f>
        <v>42456480</v>
      </c>
    </row>
    <row r="9" spans="1:17" x14ac:dyDescent="0.3">
      <c r="B9" s="28" t="s">
        <v>22</v>
      </c>
      <c r="C9" s="90">
        <f>Q17</f>
        <v>55477750.264559552</v>
      </c>
      <c r="D9" s="90">
        <f>Q18</f>
        <v>45055112.783078723</v>
      </c>
    </row>
    <row r="10" spans="1:17" x14ac:dyDescent="0.3">
      <c r="B10" s="28" t="s">
        <v>52</v>
      </c>
      <c r="C10" s="90">
        <f>O17*'Key Information'!$C$24</f>
        <v>7162300.7649017405</v>
      </c>
      <c r="D10" s="90">
        <f>O18*'Key Information'!$C$24</f>
        <v>6496061.818444862</v>
      </c>
    </row>
    <row r="11" spans="1:17" x14ac:dyDescent="0.3">
      <c r="B11" s="11" t="s">
        <v>24</v>
      </c>
      <c r="C11" s="97">
        <f>SUM(C8:C10)</f>
        <v>98640051.029461294</v>
      </c>
      <c r="D11" s="97">
        <f>SUM(D8:D10)</f>
        <v>94007654.601523593</v>
      </c>
    </row>
    <row r="13" spans="1:17" x14ac:dyDescent="0.3">
      <c r="B13" s="4" t="s">
        <v>11</v>
      </c>
      <c r="C13" s="4"/>
    </row>
    <row r="15" spans="1:17" ht="57.6" customHeight="1" x14ac:dyDescent="0.3">
      <c r="B15" s="78" t="s">
        <v>2</v>
      </c>
      <c r="C15" s="79" t="s">
        <v>1</v>
      </c>
      <c r="D15" s="80" t="s">
        <v>3</v>
      </c>
      <c r="E15" s="80" t="s">
        <v>5</v>
      </c>
      <c r="F15" s="80" t="s">
        <v>4</v>
      </c>
      <c r="G15" s="80" t="s">
        <v>6</v>
      </c>
      <c r="H15" s="81" t="s">
        <v>15</v>
      </c>
      <c r="I15" s="80" t="s">
        <v>20</v>
      </c>
      <c r="J15" s="80" t="s">
        <v>7</v>
      </c>
      <c r="K15" s="81" t="s">
        <v>10</v>
      </c>
      <c r="L15" s="80" t="s">
        <v>8</v>
      </c>
      <c r="M15" s="81" t="s">
        <v>9</v>
      </c>
      <c r="N15" s="78" t="s">
        <v>50</v>
      </c>
      <c r="O15" s="10" t="s">
        <v>51</v>
      </c>
      <c r="P15" s="7" t="s">
        <v>54</v>
      </c>
      <c r="Q15" s="10" t="s">
        <v>55</v>
      </c>
    </row>
    <row r="16" spans="1:17" x14ac:dyDescent="0.3">
      <c r="B16" s="62"/>
      <c r="C16" s="73"/>
      <c r="D16" s="82" t="s">
        <v>0</v>
      </c>
      <c r="E16" s="82" t="s">
        <v>0</v>
      </c>
      <c r="F16" s="82" t="s">
        <v>0</v>
      </c>
      <c r="G16" s="82" t="s">
        <v>0</v>
      </c>
      <c r="H16" s="83" t="s">
        <v>0</v>
      </c>
      <c r="I16" s="82" t="s">
        <v>0</v>
      </c>
      <c r="J16" s="82" t="s">
        <v>0</v>
      </c>
      <c r="K16" s="83" t="s">
        <v>0</v>
      </c>
      <c r="L16" s="82" t="s">
        <v>0</v>
      </c>
      <c r="M16" s="83" t="s">
        <v>0</v>
      </c>
      <c r="N16" s="84" t="s">
        <v>0</v>
      </c>
      <c r="O16" s="14" t="s">
        <v>0</v>
      </c>
      <c r="P16" s="15" t="s">
        <v>0</v>
      </c>
      <c r="Q16" s="14" t="s">
        <v>0</v>
      </c>
    </row>
    <row r="17" spans="1:17" x14ac:dyDescent="0.3">
      <c r="B17" s="85">
        <v>2019</v>
      </c>
      <c r="C17" s="86">
        <v>0</v>
      </c>
      <c r="D17" s="69"/>
      <c r="E17" s="69"/>
      <c r="F17" s="87"/>
      <c r="G17" s="69"/>
      <c r="H17" s="88"/>
      <c r="I17" s="55">
        <f>800*10^6</f>
        <v>800000000</v>
      </c>
      <c r="J17" s="89">
        <f>I17</f>
        <v>800000000</v>
      </c>
      <c r="K17" s="90">
        <f>I17*'Key Information'!$C$14</f>
        <v>64000000</v>
      </c>
      <c r="L17" s="69"/>
      <c r="M17" s="88"/>
      <c r="N17" s="91"/>
      <c r="O17" s="88">
        <f>NPV('Key Information'!$C$13,'Event 1&amp;2'!$N18:$N$37)</f>
        <v>10231858.235573916</v>
      </c>
      <c r="P17" s="91"/>
      <c r="Q17" s="88">
        <f>NPV('Key Information'!$C$13,'Event 1&amp;2'!$P18:$P$37)</f>
        <v>55477750.264559552</v>
      </c>
    </row>
    <row r="18" spans="1:17" x14ac:dyDescent="0.3">
      <c r="A18" s="24"/>
      <c r="B18" s="85">
        <v>2020</v>
      </c>
      <c r="C18" s="86">
        <v>1</v>
      </c>
      <c r="D18" s="89">
        <f>$I17*'Key Information'!$C$15</f>
        <v>64000000</v>
      </c>
      <c r="E18" s="89">
        <f>($I17+$D18)*'Key Information'!$C$16</f>
        <v>8640000</v>
      </c>
      <c r="F18" s="103">
        <f>($I17+$D18-$E18)*'Key Information'!$C$17+'Key Information'!$C$38</f>
        <v>185536000</v>
      </c>
      <c r="G18" s="89">
        <f>$I17*'Key Information'!$C$21+'Key Information'!$C$19*(1+'Key Information'!$C$20)^($C18-1)</f>
        <v>5000000</v>
      </c>
      <c r="H18" s="90">
        <f>$K17*'Key Information'!$C$22</f>
        <v>1920000</v>
      </c>
      <c r="I18" s="89">
        <f>I17+D18-E18-F18</f>
        <v>669824000</v>
      </c>
      <c r="J18" s="89">
        <f>I18</f>
        <v>669824000</v>
      </c>
      <c r="K18" s="90">
        <f>I18*'Key Information'!$C$14</f>
        <v>53585920</v>
      </c>
      <c r="L18" s="89">
        <f>E18-G18+H18</f>
        <v>5560000</v>
      </c>
      <c r="M18" s="90">
        <f>K17-K18</f>
        <v>10414080</v>
      </c>
      <c r="N18" s="92">
        <f>L18*'Key Information'!$C$23</f>
        <v>1668000</v>
      </c>
      <c r="O18" s="90">
        <f>NPV('Key Information'!$C$13,'Event 1&amp;2'!$N19:$N$37)</f>
        <v>9280088.3120640889</v>
      </c>
      <c r="P18" s="92">
        <f>L18+M18-N18</f>
        <v>14306080</v>
      </c>
      <c r="Q18" s="90">
        <f>NPV('Key Information'!$C$13,'Event 1&amp;2'!$P19:$P$37)</f>
        <v>45055112.783078723</v>
      </c>
    </row>
    <row r="19" spans="1:17" x14ac:dyDescent="0.3">
      <c r="A19" s="24"/>
      <c r="B19" s="85">
        <v>2021</v>
      </c>
      <c r="C19" s="86">
        <v>2</v>
      </c>
      <c r="D19" s="89">
        <f>$I18*'Key Information'!$C$15</f>
        <v>53585920</v>
      </c>
      <c r="E19" s="89">
        <f>($I18+$D19)*'Key Information'!$C$16</f>
        <v>7234099.2000000002</v>
      </c>
      <c r="F19" s="89">
        <f>($I18+$D19-$E19)*'Key Information'!$C$17</f>
        <v>71617582.079999998</v>
      </c>
      <c r="G19" s="89">
        <f>$I18*'Key Information'!$C$21+'Key Information'!$C$19*(1+'Key Information'!$C$20)^($C19-1)</f>
        <v>4379120</v>
      </c>
      <c r="H19" s="90">
        <f>$K18*'Key Information'!$C$22</f>
        <v>1607577.5999999999</v>
      </c>
      <c r="I19" s="89">
        <f t="shared" ref="I19:I37" si="0">I18+D19-E19-F19</f>
        <v>644558238.71999991</v>
      </c>
      <c r="J19" s="89">
        <f t="shared" ref="J19:J37" si="1">I19</f>
        <v>644558238.71999991</v>
      </c>
      <c r="K19" s="90">
        <f>I19*'Key Information'!$C$14</f>
        <v>51564659.097599991</v>
      </c>
      <c r="L19" s="89">
        <f t="shared" ref="L19:L37" si="2">E19-G19+H19</f>
        <v>4462556.8</v>
      </c>
      <c r="M19" s="90">
        <f t="shared" ref="M19:M37" si="3">K18-K19</f>
        <v>2021260.9024000093</v>
      </c>
      <c r="N19" s="92">
        <f>L19*'Key Information'!$C$23</f>
        <v>1338767.0399999998</v>
      </c>
      <c r="O19" s="90">
        <f>NPV('Key Information'!$C$13,'Event 1&amp;2'!$N20:$N$37)</f>
        <v>8590927.4539085776</v>
      </c>
      <c r="P19" s="92">
        <f t="shared" ref="P19:P37" si="4">L19+M19-N19</f>
        <v>5145050.6624000091</v>
      </c>
      <c r="Q19" s="90">
        <f>NPV('Key Information'!$C$13,'Event 1&amp;2'!$P20:$P$37)</f>
        <v>43063920.01549422</v>
      </c>
    </row>
    <row r="20" spans="1:17" x14ac:dyDescent="0.3">
      <c r="A20" s="24"/>
      <c r="B20" s="85">
        <v>2022</v>
      </c>
      <c r="C20" s="86">
        <v>3</v>
      </c>
      <c r="D20" s="89">
        <f>$I19*'Key Information'!$C$15</f>
        <v>51564659.097599991</v>
      </c>
      <c r="E20" s="89">
        <f>($I19+$D20)*'Key Information'!$C$16</f>
        <v>6961228.9781759987</v>
      </c>
      <c r="F20" s="89">
        <f>($I19+$D20-$E20)*'Key Information'!$C$17</f>
        <v>68916166.883942395</v>
      </c>
      <c r="G20" s="89">
        <f>$I19*'Key Information'!$C$21+'Key Information'!$C$19*(1+'Key Information'!$C$20)^($C20-1)</f>
        <v>4283691.193599999</v>
      </c>
      <c r="H20" s="90">
        <f>$K19*'Key Information'!$C$22</f>
        <v>1546939.7729279997</v>
      </c>
      <c r="I20" s="89">
        <f t="shared" si="0"/>
        <v>620245501.95548153</v>
      </c>
      <c r="J20" s="89">
        <f t="shared" si="1"/>
        <v>620245501.95548153</v>
      </c>
      <c r="K20" s="90">
        <f>I20*'Key Information'!$C$14</f>
        <v>49619640.156438522</v>
      </c>
      <c r="L20" s="89">
        <f t="shared" si="2"/>
        <v>4224477.5575039992</v>
      </c>
      <c r="M20" s="90">
        <f t="shared" si="3"/>
        <v>1945018.9411614686</v>
      </c>
      <c r="N20" s="92">
        <f>L20*'Key Information'!$C$23</f>
        <v>1267343.2672511998</v>
      </c>
      <c r="O20" s="90">
        <f>NPV('Key Information'!$C$13,'Event 1&amp;2'!$N21:$N$37)</f>
        <v>7924949.1084309779</v>
      </c>
      <c r="P20" s="92">
        <f t="shared" si="4"/>
        <v>4902153.2314142678</v>
      </c>
      <c r="Q20" s="90">
        <f>NPV('Key Information'!$C$13,'Event 1&amp;2'!$P21:$P$37)</f>
        <v>41176241.185164563</v>
      </c>
    </row>
    <row r="21" spans="1:17" x14ac:dyDescent="0.3">
      <c r="A21" s="24"/>
      <c r="B21" s="85">
        <v>2023</v>
      </c>
      <c r="C21" s="86">
        <v>4</v>
      </c>
      <c r="D21" s="89">
        <f>$I20*'Key Information'!$C$15</f>
        <v>49619640.156438522</v>
      </c>
      <c r="E21" s="89">
        <f>($I20+$D21)*'Key Information'!$C$16</f>
        <v>6698651.4211192001</v>
      </c>
      <c r="F21" s="89">
        <f>($I20+$D21-$E21)*'Key Information'!$C$17</f>
        <v>66316649.069080085</v>
      </c>
      <c r="G21" s="89">
        <f>$I20*'Key Information'!$C$21+'Key Information'!$C$19*(1+'Key Information'!$C$20)^($C21-1)</f>
        <v>4193954.5097774076</v>
      </c>
      <c r="H21" s="90">
        <f>$K20*'Key Information'!$C$22</f>
        <v>1488589.2046931556</v>
      </c>
      <c r="I21" s="89">
        <f t="shared" si="0"/>
        <v>596849841.62172067</v>
      </c>
      <c r="J21" s="89">
        <f t="shared" si="1"/>
        <v>596849841.62172067</v>
      </c>
      <c r="K21" s="90">
        <f>I21*'Key Information'!$C$14</f>
        <v>47747987.329737656</v>
      </c>
      <c r="L21" s="89">
        <f t="shared" si="2"/>
        <v>3993286.1160349483</v>
      </c>
      <c r="M21" s="90">
        <f t="shared" si="3"/>
        <v>1871652.8267008662</v>
      </c>
      <c r="N21" s="92">
        <f>L21*'Key Information'!$C$23</f>
        <v>1197985.8348104844</v>
      </c>
      <c r="O21" s="90">
        <f>NPV('Key Information'!$C$13,'Event 1&amp;2'!$N22:$N$37)</f>
        <v>7281709.7112106625</v>
      </c>
      <c r="P21" s="92">
        <f t="shared" si="4"/>
        <v>4666953.1079253303</v>
      </c>
      <c r="Q21" s="90">
        <f>NPV('Key Information'!$C$13,'Event 1&amp;2'!$P22:$P$37)</f>
        <v>39391624.960200749</v>
      </c>
    </row>
    <row r="22" spans="1:17" x14ac:dyDescent="0.3">
      <c r="A22" s="24"/>
      <c r="B22" s="85">
        <v>2024</v>
      </c>
      <c r="C22" s="86">
        <v>5</v>
      </c>
      <c r="D22" s="89">
        <f>$I21*'Key Information'!$C$15</f>
        <v>47747987.329737656</v>
      </c>
      <c r="E22" s="89">
        <f>($I21+$D22)*'Key Information'!$C$16</f>
        <v>6445978.2895145835</v>
      </c>
      <c r="F22" s="89">
        <f>($I21+$D22-$E22)*'Key Information'!$C$17</f>
        <v>63815185.066194385</v>
      </c>
      <c r="G22" s="89">
        <f>$I21*'Key Information'!$C$21+'Key Information'!$C$19*(1+'Key Information'!$C$20)^($C22-1)</f>
        <v>4109758.0181086035</v>
      </c>
      <c r="H22" s="90">
        <f>$K21*'Key Information'!$C$22</f>
        <v>1432439.6198921297</v>
      </c>
      <c r="I22" s="89">
        <f t="shared" si="0"/>
        <v>574336665.59574938</v>
      </c>
      <c r="J22" s="89">
        <f t="shared" si="1"/>
        <v>574336665.59574938</v>
      </c>
      <c r="K22" s="90">
        <f>I22*'Key Information'!$C$14</f>
        <v>45946933.247659951</v>
      </c>
      <c r="L22" s="89">
        <f t="shared" si="2"/>
        <v>3768659.8912981097</v>
      </c>
      <c r="M22" s="90">
        <f t="shared" si="3"/>
        <v>1801054.0820777044</v>
      </c>
      <c r="N22" s="92">
        <f>L22*'Key Information'!$C$23</f>
        <v>1130597.9673894329</v>
      </c>
      <c r="O22" s="90">
        <f>NPV('Key Information'!$C$13,'Event 1&amp;2'!$N23:$N$37)</f>
        <v>6660831.4236059748</v>
      </c>
      <c r="P22" s="92">
        <f t="shared" si="4"/>
        <v>4439116.0059863813</v>
      </c>
      <c r="Q22" s="90">
        <f>NPV('Key Information'!$C$13,'Event 1&amp;2'!$P23:$P$37)</f>
        <v>37709922.701428428</v>
      </c>
    </row>
    <row r="23" spans="1:17" x14ac:dyDescent="0.3">
      <c r="A23" s="24"/>
      <c r="B23" s="85">
        <v>2025</v>
      </c>
      <c r="C23" s="86">
        <v>6</v>
      </c>
      <c r="D23" s="89">
        <f>$I22*'Key Information'!$C$15</f>
        <v>45946933.247659951</v>
      </c>
      <c r="E23" s="89">
        <f>($I22+$D23)*'Key Information'!$C$16</f>
        <v>6202835.9884340931</v>
      </c>
      <c r="F23" s="89">
        <f>($I22+$D23-$E23)*'Key Information'!$C$17</f>
        <v>61408076.285497524</v>
      </c>
      <c r="G23" s="89">
        <f>$I22*'Key Information'!$C$21+'Key Information'!$C$19*(1+'Key Information'!$C$20)^($C23-1)</f>
        <v>4030957.4022787465</v>
      </c>
      <c r="H23" s="90">
        <f>$K22*'Key Information'!$C$22</f>
        <v>1378407.9974297986</v>
      </c>
      <c r="I23" s="89">
        <f t="shared" si="0"/>
        <v>552672686.56947768</v>
      </c>
      <c r="J23" s="89">
        <f t="shared" si="1"/>
        <v>552672686.56947768</v>
      </c>
      <c r="K23" s="90">
        <f>I23*'Key Information'!$C$14</f>
        <v>44213814.925558217</v>
      </c>
      <c r="L23" s="89">
        <f t="shared" si="2"/>
        <v>3550286.583585145</v>
      </c>
      <c r="M23" s="90">
        <f t="shared" si="3"/>
        <v>1733118.3221017346</v>
      </c>
      <c r="N23" s="92">
        <f>L23*'Key Information'!$C$23</f>
        <v>1065085.9750755434</v>
      </c>
      <c r="O23" s="90">
        <f>NPV('Key Information'!$C$13,'Event 1&amp;2'!$N24:$N$37)</f>
        <v>6062003.6481828513</v>
      </c>
      <c r="P23" s="92">
        <f t="shared" si="4"/>
        <v>4218318.9306113366</v>
      </c>
      <c r="Q23" s="90">
        <f>NPV('Key Information'!$C$13,'Event 1&amp;2'!$P24:$P$37)</f>
        <v>36131298.359917074</v>
      </c>
    </row>
    <row r="24" spans="1:17" x14ac:dyDescent="0.3">
      <c r="A24" s="24"/>
      <c r="B24" s="85">
        <v>2026</v>
      </c>
      <c r="C24" s="86">
        <v>7</v>
      </c>
      <c r="D24" s="89">
        <f>$I23*'Key Information'!$C$15</f>
        <v>44213814.925558217</v>
      </c>
      <c r="E24" s="89">
        <f>($I23+$D24)*'Key Information'!$C$16</f>
        <v>5968865.0149503592</v>
      </c>
      <c r="F24" s="89">
        <f>($I23+$D24-$E24)*'Key Information'!$C$17</f>
        <v>59091763.648008555</v>
      </c>
      <c r="G24" s="89">
        <f>$I23*'Key Information'!$C$21+'Key Information'!$C$19*(1+'Key Information'!$C$20)^($C24-1)</f>
        <v>3957415.7293763887</v>
      </c>
      <c r="H24" s="90">
        <f>$K23*'Key Information'!$C$22</f>
        <v>1326414.4477667464</v>
      </c>
      <c r="I24" s="89">
        <f t="shared" si="0"/>
        <v>531825872.83207691</v>
      </c>
      <c r="J24" s="89">
        <f t="shared" si="1"/>
        <v>531825872.83207691</v>
      </c>
      <c r="K24" s="90">
        <f>I24*'Key Information'!$C$14</f>
        <v>42546069.826566152</v>
      </c>
      <c r="L24" s="89">
        <f t="shared" si="2"/>
        <v>3337863.7333407169</v>
      </c>
      <c r="M24" s="90">
        <f t="shared" si="3"/>
        <v>1667745.0989920646</v>
      </c>
      <c r="N24" s="92">
        <f>L24*'Key Information'!$C$23</f>
        <v>1001359.120002215</v>
      </c>
      <c r="O24" s="90">
        <f>NPV('Key Information'!$C$13,'Event 1&amp;2'!$N25:$N$37)</f>
        <v>5484984.7835534364</v>
      </c>
      <c r="P24" s="92">
        <f t="shared" si="4"/>
        <v>4004249.7123305667</v>
      </c>
      <c r="Q24" s="90">
        <f>NPV('Key Information'!$C$13,'Event 1&amp;2'!$P25:$P$37)</f>
        <v>34656239.532780699</v>
      </c>
    </row>
    <row r="25" spans="1:17" x14ac:dyDescent="0.3">
      <c r="A25" s="24"/>
      <c r="B25" s="85">
        <v>2027</v>
      </c>
      <c r="C25" s="86">
        <v>8</v>
      </c>
      <c r="D25" s="89">
        <f>$I24*'Key Information'!$C$15</f>
        <v>42546069.826566152</v>
      </c>
      <c r="E25" s="89">
        <f>($I24+$D25)*'Key Information'!$C$16</f>
        <v>5743719.4265864305</v>
      </c>
      <c r="F25" s="89">
        <f>($I24+$D25-$E25)*'Key Information'!$C$17</f>
        <v>56862822.323205665</v>
      </c>
      <c r="G25" s="89">
        <f>$I24*'Key Information'!$C$21+'Key Information'!$C$19*(1+'Key Information'!$C$20)^($C25-1)</f>
        <v>3889003.2295852546</v>
      </c>
      <c r="H25" s="90">
        <f>$K24*'Key Information'!$C$22</f>
        <v>1276382.0947969845</v>
      </c>
      <c r="I25" s="89">
        <f t="shared" si="0"/>
        <v>511765400.90885097</v>
      </c>
      <c r="J25" s="89">
        <f t="shared" si="1"/>
        <v>511765400.90885097</v>
      </c>
      <c r="K25" s="90">
        <f>I25*'Key Information'!$C$14</f>
        <v>40941232.072708078</v>
      </c>
      <c r="L25" s="89">
        <f t="shared" si="2"/>
        <v>3131098.2917981604</v>
      </c>
      <c r="M25" s="90">
        <f t="shared" si="3"/>
        <v>1604837.7538580745</v>
      </c>
      <c r="N25" s="92">
        <f>L25*'Key Information'!$C$23</f>
        <v>939329.48753944808</v>
      </c>
      <c r="O25" s="90">
        <f>NPV('Key Information'!$C$13,'Event 1&amp;2'!$N26:$N$37)</f>
        <v>4929604.2308627293</v>
      </c>
      <c r="P25" s="92">
        <f t="shared" si="4"/>
        <v>3796606.5581167871</v>
      </c>
      <c r="Q25" s="90">
        <f>NPV('Key Information'!$C$13,'Event 1&amp;2'!$P26:$P$37)</f>
        <v>33285569.741958573</v>
      </c>
    </row>
    <row r="26" spans="1:17" x14ac:dyDescent="0.3">
      <c r="A26" s="24"/>
      <c r="B26" s="85">
        <v>2028</v>
      </c>
      <c r="C26" s="86">
        <v>9</v>
      </c>
      <c r="D26" s="89">
        <f>$I25*'Key Information'!$C$15</f>
        <v>40941232.072708078</v>
      </c>
      <c r="E26" s="89">
        <f>($I25+$D26)*'Key Information'!$C$16</f>
        <v>5527066.3298155908</v>
      </c>
      <c r="F26" s="89">
        <f>($I25+$D26-$E26)*'Key Information'!$C$17</f>
        <v>54717956.665174343</v>
      </c>
      <c r="G26" s="89">
        <f>$I25*'Key Information'!$C$21+'Key Information'!$C$19*(1+'Key Information'!$C$20)^($C26-1)</f>
        <v>3825597.0859318711</v>
      </c>
      <c r="H26" s="90">
        <f>$K25*'Key Information'!$C$22</f>
        <v>1228236.9621812422</v>
      </c>
      <c r="I26" s="89">
        <f t="shared" si="0"/>
        <v>492461609.98656905</v>
      </c>
      <c r="J26" s="89">
        <f t="shared" si="1"/>
        <v>492461609.98656905</v>
      </c>
      <c r="K26" s="90">
        <f>I26*'Key Information'!$C$14</f>
        <v>39396928.798925526</v>
      </c>
      <c r="L26" s="89">
        <f t="shared" si="2"/>
        <v>2929706.2060649619</v>
      </c>
      <c r="M26" s="90">
        <f t="shared" si="3"/>
        <v>1544303.2737825513</v>
      </c>
      <c r="N26" s="92">
        <f>L26*'Key Information'!$C$23</f>
        <v>878911.86181948858</v>
      </c>
      <c r="O26" s="90">
        <f>NPV('Key Information'!$C$13,'Event 1&amp;2'!$N27:$N$37)</f>
        <v>4395764.6652036319</v>
      </c>
      <c r="P26" s="92">
        <f t="shared" si="4"/>
        <v>3595097.6180280247</v>
      </c>
      <c r="Q26" s="90">
        <f>NPV('Key Information'!$C$13,'Event 1&amp;2'!$P27:$P$37)</f>
        <v>32020462.005867649</v>
      </c>
    </row>
    <row r="27" spans="1:17" x14ac:dyDescent="0.3">
      <c r="A27" s="24"/>
      <c r="B27" s="85">
        <v>2029</v>
      </c>
      <c r="C27" s="86">
        <v>10</v>
      </c>
      <c r="D27" s="89">
        <f>$I26*'Key Information'!$C$15</f>
        <v>39396928.798925526</v>
      </c>
      <c r="E27" s="89">
        <f>($I26+$D27)*'Key Information'!$C$16</f>
        <v>5318585.3878549458</v>
      </c>
      <c r="F27" s="89">
        <f>($I26+$D27-$E27)*'Key Information'!$C$17</f>
        <v>52653995.339763969</v>
      </c>
      <c r="G27" s="89">
        <f>$I26*'Key Information'!$C$21+'Key Information'!$C$19*(1+'Key Information'!$C$20)^($C27-1)</f>
        <v>3767081.2337620901</v>
      </c>
      <c r="H27" s="90">
        <f>$K26*'Key Information'!$C$22</f>
        <v>1181907.8639677658</v>
      </c>
      <c r="I27" s="89">
        <f t="shared" si="0"/>
        <v>473885958.05787563</v>
      </c>
      <c r="J27" s="89">
        <f t="shared" si="1"/>
        <v>473885958.05787563</v>
      </c>
      <c r="K27" s="90">
        <f>I27*'Key Information'!$C$14</f>
        <v>37910876.644630052</v>
      </c>
      <c r="L27" s="89">
        <f t="shared" si="2"/>
        <v>2733412.0180606218</v>
      </c>
      <c r="M27" s="90">
        <f t="shared" si="3"/>
        <v>1486052.1542954743</v>
      </c>
      <c r="N27" s="92">
        <f>L27*'Key Information'!$C$23</f>
        <v>820023.60541818652</v>
      </c>
      <c r="O27" s="90">
        <f>NPV('Key Information'!$C$13,'Event 1&amp;2'!$N28:$N$37)</f>
        <v>3883444.5863497001</v>
      </c>
      <c r="P27" s="92">
        <f t="shared" si="4"/>
        <v>3399440.5669379095</v>
      </c>
      <c r="Q27" s="90">
        <f>NPV('Key Information'!$C$13,'Event 1&amp;2'!$P28:$P$37)</f>
        <v>30862453.779340476</v>
      </c>
    </row>
    <row r="28" spans="1:17" x14ac:dyDescent="0.3">
      <c r="A28" s="24"/>
      <c r="B28" s="85">
        <v>2030</v>
      </c>
      <c r="C28" s="86">
        <v>11</v>
      </c>
      <c r="D28" s="89">
        <f>$I27*'Key Information'!$C$15</f>
        <v>37910876.644630052</v>
      </c>
      <c r="E28" s="89">
        <f>($I27+$D28)*'Key Information'!$C$16</f>
        <v>5117968.3470250573</v>
      </c>
      <c r="F28" s="89">
        <f>($I27+$D28-$E28)*'Key Information'!$C$17</f>
        <v>50667886.63554807</v>
      </c>
      <c r="G28" s="89">
        <f>$I27*'Key Information'!$C$21+'Key Information'!$C$19*(1+'Key Information'!$C$20)^($C28-1)</f>
        <v>3713346.1696335003</v>
      </c>
      <c r="H28" s="90">
        <f>$K27*'Key Information'!$C$22</f>
        <v>1137326.2993389014</v>
      </c>
      <c r="I28" s="89">
        <f t="shared" si="0"/>
        <v>456010979.71993262</v>
      </c>
      <c r="J28" s="89">
        <f t="shared" si="1"/>
        <v>456010979.71993262</v>
      </c>
      <c r="K28" s="90">
        <f>I28*'Key Information'!$C$14</f>
        <v>36480878.377594613</v>
      </c>
      <c r="L28" s="89">
        <f t="shared" si="2"/>
        <v>2541948.4767304584</v>
      </c>
      <c r="M28" s="90">
        <f t="shared" si="3"/>
        <v>1429998.2670354396</v>
      </c>
      <c r="N28" s="92">
        <f>L28*'Key Information'!$C$23</f>
        <v>762584.54301913746</v>
      </c>
      <c r="O28" s="90">
        <f>NPV('Key Information'!$C$13,'Event 1&amp;2'!$N29:$N$37)</f>
        <v>3392701.1643750411</v>
      </c>
      <c r="P28" s="92">
        <f t="shared" si="4"/>
        <v>3209362.2007467607</v>
      </c>
      <c r="Q28" s="90">
        <f>NPV('Key Information'!$C$13,'Event 1&amp;2'!$P29:$P$37)</f>
        <v>29813463.34314755</v>
      </c>
    </row>
    <row r="29" spans="1:17" x14ac:dyDescent="0.3">
      <c r="A29" s="24"/>
      <c r="B29" s="85">
        <v>2031</v>
      </c>
      <c r="C29" s="86">
        <v>12</v>
      </c>
      <c r="D29" s="89">
        <f>$I28*'Key Information'!$C$15</f>
        <v>36480878.377594613</v>
      </c>
      <c r="E29" s="89">
        <f>($I28+$D29)*'Key Information'!$C$16</f>
        <v>4924918.5809752718</v>
      </c>
      <c r="F29" s="89">
        <f>($I28+$D29-$E29)*'Key Information'!$C$17</f>
        <v>48756693.951655194</v>
      </c>
      <c r="G29" s="89">
        <f>$I28*'Key Information'!$C$21+'Key Information'!$C$19*(1+'Key Information'!$C$20)^($C29-1)</f>
        <v>3664288.769324109</v>
      </c>
      <c r="H29" s="90">
        <f>$K28*'Key Information'!$C$22</f>
        <v>1094426.3513278384</v>
      </c>
      <c r="I29" s="89">
        <f t="shared" si="0"/>
        <v>438810245.5648967</v>
      </c>
      <c r="J29" s="89">
        <f t="shared" si="1"/>
        <v>438810245.5648967</v>
      </c>
      <c r="K29" s="90">
        <f>I29*'Key Information'!$C$14</f>
        <v>35104819.645191737</v>
      </c>
      <c r="L29" s="89">
        <f t="shared" si="2"/>
        <v>2355056.1629790012</v>
      </c>
      <c r="M29" s="90">
        <f t="shared" si="3"/>
        <v>1376058.732402876</v>
      </c>
      <c r="N29" s="92">
        <f>L29*'Key Information'!$C$23</f>
        <v>706516.84889370028</v>
      </c>
      <c r="O29" s="90">
        <f>NPV('Key Information'!$C$13,'Event 1&amp;2'!$N30:$N$37)</f>
        <v>2923673.3969875947</v>
      </c>
      <c r="P29" s="92">
        <f t="shared" si="4"/>
        <v>3024598.046488177</v>
      </c>
      <c r="Q29" s="90">
        <f>NPV('Key Information'!$C$13,'Event 1&amp;2'!$P30:$P$37)</f>
        <v>28875807.730679698</v>
      </c>
    </row>
    <row r="30" spans="1:17" x14ac:dyDescent="0.3">
      <c r="A30" s="24"/>
      <c r="B30" s="85">
        <v>2032</v>
      </c>
      <c r="C30" s="86">
        <v>13</v>
      </c>
      <c r="D30" s="89">
        <f>$I29*'Key Information'!$C$15</f>
        <v>35104819.645191737</v>
      </c>
      <c r="E30" s="89">
        <f>($I29+$D30)*'Key Information'!$C$16</f>
        <v>4739150.6521008844</v>
      </c>
      <c r="F30" s="89">
        <f>($I29+$D30-$E30)*'Key Information'!$C$17</f>
        <v>46917591.45579876</v>
      </c>
      <c r="G30" s="89">
        <f>$I29*'Key Information'!$C$21+'Key Information'!$C$19*(1+'Key Information'!$C$20)^($C30-1)</f>
        <v>3619812.1146706622</v>
      </c>
      <c r="H30" s="90">
        <f>$K29*'Key Information'!$C$22</f>
        <v>1053144.5893557521</v>
      </c>
      <c r="I30" s="89">
        <f t="shared" si="0"/>
        <v>422258323.10218883</v>
      </c>
      <c r="J30" s="89">
        <f t="shared" si="1"/>
        <v>422258323.10218883</v>
      </c>
      <c r="K30" s="90">
        <f>I30*'Key Information'!$C$14</f>
        <v>33780665.848175108</v>
      </c>
      <c r="L30" s="89">
        <f t="shared" si="2"/>
        <v>2172483.126785974</v>
      </c>
      <c r="M30" s="90">
        <f t="shared" si="3"/>
        <v>1324153.7970166281</v>
      </c>
      <c r="N30" s="92">
        <f>L30*'Key Information'!$C$23</f>
        <v>651744.93803579221</v>
      </c>
      <c r="O30" s="90">
        <f>NPV('Key Information'!$C$13,'Event 1&amp;2'!$N31:$N$37)</f>
        <v>2476585.5967409341</v>
      </c>
      <c r="P30" s="92">
        <f t="shared" si="4"/>
        <v>2844891.9857668099</v>
      </c>
      <c r="Q30" s="90">
        <f>NPV('Key Information'!$C$13,'Event 1&amp;2'!$P31:$P$37)</f>
        <v>28052222.286060471</v>
      </c>
    </row>
    <row r="31" spans="1:17" x14ac:dyDescent="0.3">
      <c r="A31" s="24"/>
      <c r="B31" s="85">
        <v>2033</v>
      </c>
      <c r="C31" s="86">
        <v>14</v>
      </c>
      <c r="D31" s="89">
        <f>$I30*'Key Information'!$C$15</f>
        <v>33780665.848175108</v>
      </c>
      <c r="E31" s="89">
        <f>($I30+$D31)*'Key Information'!$C$16</f>
        <v>4560389.8895036392</v>
      </c>
      <c r="F31" s="89">
        <f>($I30+$D31-$E31)*'Key Information'!$C$17</f>
        <v>45147859.906086028</v>
      </c>
      <c r="G31" s="89">
        <f>$I30*'Key Information'!$C$21+'Key Information'!$C$19*(1+'Key Information'!$C$20)^($C31-1)</f>
        <v>3579825.3289625081</v>
      </c>
      <c r="H31" s="90">
        <f>$K30*'Key Information'!$C$22</f>
        <v>1013419.9754452532</v>
      </c>
      <c r="I31" s="89">
        <f t="shared" si="0"/>
        <v>406330739.15477425</v>
      </c>
      <c r="J31" s="89">
        <f t="shared" si="1"/>
        <v>406330739.15477425</v>
      </c>
      <c r="K31" s="90">
        <f>I31*'Key Information'!$C$14</f>
        <v>32506459.132381942</v>
      </c>
      <c r="L31" s="89">
        <f t="shared" si="2"/>
        <v>1993984.5359863844</v>
      </c>
      <c r="M31" s="90">
        <f t="shared" si="3"/>
        <v>1274206.7157931663</v>
      </c>
      <c r="N31" s="92">
        <f>L31*'Key Information'!$C$23</f>
        <v>598195.36079591524</v>
      </c>
      <c r="O31" s="90">
        <f>NPV('Key Information'!$C$13,'Event 1&amp;2'!$N32:$N$37)</f>
        <v>2051751.2277168843</v>
      </c>
      <c r="P31" s="92">
        <f t="shared" si="4"/>
        <v>2669995.8909836356</v>
      </c>
      <c r="Q31" s="90">
        <f>NPV('Key Information'!$C$13,'Event 1&amp;2'!$P32:$P$37)</f>
        <v>27345881.955101077</v>
      </c>
    </row>
    <row r="32" spans="1:17" x14ac:dyDescent="0.3">
      <c r="A32" s="24"/>
      <c r="B32" s="85">
        <v>2034</v>
      </c>
      <c r="C32" s="86">
        <v>15</v>
      </c>
      <c r="D32" s="89">
        <f>$I31*'Key Information'!$C$15</f>
        <v>32506459.132381942</v>
      </c>
      <c r="E32" s="89">
        <f>($I31+$D32)*'Key Information'!$C$16</f>
        <v>4388371.9828715613</v>
      </c>
      <c r="F32" s="89">
        <f>($I31+$D32-$E32)*'Key Information'!$C$17</f>
        <v>43444882.630428463</v>
      </c>
      <c r="G32" s="89">
        <f>$I31*'Key Information'!$C$21+'Key Information'!$C$19*(1+'Key Information'!$C$20)^($C32-1)</f>
        <v>3544243.4206289826</v>
      </c>
      <c r="H32" s="90">
        <f>$K31*'Key Information'!$C$22</f>
        <v>975193.7739714582</v>
      </c>
      <c r="I32" s="89">
        <f t="shared" si="0"/>
        <v>391003943.67385614</v>
      </c>
      <c r="J32" s="89">
        <f t="shared" si="1"/>
        <v>391003943.67385614</v>
      </c>
      <c r="K32" s="90">
        <f>I32*'Key Information'!$C$14</f>
        <v>31280315.493908491</v>
      </c>
      <c r="L32" s="89">
        <f t="shared" si="2"/>
        <v>1819322.3362140369</v>
      </c>
      <c r="M32" s="90">
        <f t="shared" si="3"/>
        <v>1226143.6384734511</v>
      </c>
      <c r="N32" s="92">
        <f>L32*'Key Information'!$C$23</f>
        <v>545796.70086421107</v>
      </c>
      <c r="O32" s="90">
        <f>NPV('Key Information'!$C$13,'Event 1&amp;2'!$N33:$N$37)</f>
        <v>1649577.1127928551</v>
      </c>
      <c r="P32" s="92">
        <f t="shared" si="4"/>
        <v>2499669.2738232766</v>
      </c>
      <c r="Q32" s="90">
        <f>NPV('Key Information'!$C$13,'Event 1&amp;2'!$P33:$P$37)</f>
        <v>26760424.418134876</v>
      </c>
    </row>
    <row r="33" spans="1:17" x14ac:dyDescent="0.3">
      <c r="A33" s="24"/>
      <c r="B33" s="85">
        <v>2035</v>
      </c>
      <c r="C33" s="86">
        <v>16</v>
      </c>
      <c r="D33" s="89">
        <f>$I32*'Key Information'!$C$15</f>
        <v>31280315.493908491</v>
      </c>
      <c r="E33" s="89">
        <f>($I32+$D33)*'Key Information'!$C$16</f>
        <v>4222842.5916776462</v>
      </c>
      <c r="F33" s="89">
        <f>($I32+$D33-$E33)*'Key Information'!$C$17</f>
        <v>41806141.657608695</v>
      </c>
      <c r="G33" s="89">
        <f>$I32*'Key Information'!$C$21+'Key Information'!$C$19*(1+'Key Information'!$C$20)^($C33-1)</f>
        <v>3512987.1349700452</v>
      </c>
      <c r="H33" s="90">
        <f>$K32*'Key Information'!$C$22</f>
        <v>938409.46481725469</v>
      </c>
      <c r="I33" s="89">
        <f t="shared" si="0"/>
        <v>376255274.91847825</v>
      </c>
      <c r="J33" s="89">
        <f t="shared" si="1"/>
        <v>376255274.91847825</v>
      </c>
      <c r="K33" s="90">
        <f>I33*'Key Information'!$C$14</f>
        <v>30100421.993478261</v>
      </c>
      <c r="L33" s="89">
        <f t="shared" si="2"/>
        <v>1648264.9215248558</v>
      </c>
      <c r="M33" s="90">
        <f t="shared" si="3"/>
        <v>1179893.5004302301</v>
      </c>
      <c r="N33" s="92">
        <f>L33*'Key Information'!$C$23</f>
        <v>494479.47645745671</v>
      </c>
      <c r="O33" s="90">
        <f>NPV('Key Information'!$C$13,'Event 1&amp;2'!$N34:$N$37)</f>
        <v>1270568.0342308984</v>
      </c>
      <c r="P33" s="92">
        <f t="shared" si="4"/>
        <v>2333678.9454976292</v>
      </c>
      <c r="Q33" s="90">
        <f>NPV('Key Information'!$C$13,'Event 1&amp;2'!$P34:$P$37)</f>
        <v>26299975.181906682</v>
      </c>
    </row>
    <row r="34" spans="1:17" x14ac:dyDescent="0.3">
      <c r="A34" s="24"/>
      <c r="B34" s="85">
        <v>2036</v>
      </c>
      <c r="C34" s="86">
        <v>17</v>
      </c>
      <c r="D34" s="89">
        <f>$I33*'Key Information'!$C$15</f>
        <v>30100421.993478261</v>
      </c>
      <c r="E34" s="89">
        <f>($I33+$D34)*'Key Information'!$C$16</f>
        <v>4063556.9691195651</v>
      </c>
      <c r="F34" s="89">
        <f>($I33+$D34-$E34)*'Key Information'!$C$17</f>
        <v>40229213.994283698</v>
      </c>
      <c r="G34" s="89">
        <f>$I33*'Key Information'!$C$21+'Key Information'!$C$19*(1+'Key Information'!$C$20)^($C34-1)</f>
        <v>3485982.8136911783</v>
      </c>
      <c r="H34" s="90">
        <f>$K33*'Key Information'!$C$22</f>
        <v>903012.65980434779</v>
      </c>
      <c r="I34" s="89">
        <f t="shared" si="0"/>
        <v>362062925.94855326</v>
      </c>
      <c r="J34" s="89">
        <f t="shared" si="1"/>
        <v>362062925.94855326</v>
      </c>
      <c r="K34" s="90">
        <f>I34*'Key Information'!$C$14</f>
        <v>28965034.07588426</v>
      </c>
      <c r="L34" s="89">
        <f t="shared" si="2"/>
        <v>1480586.8152327347</v>
      </c>
      <c r="M34" s="90">
        <f t="shared" si="3"/>
        <v>1135387.9175940007</v>
      </c>
      <c r="N34" s="92">
        <f>L34*'Key Information'!$C$23</f>
        <v>444176.0445698204</v>
      </c>
      <c r="O34" s="90">
        <f>NPV('Key Information'!$C$13,'Event 1&amp;2'!$N35:$N$37)</f>
        <v>915331.75205724093</v>
      </c>
      <c r="P34" s="92">
        <f t="shared" si="4"/>
        <v>2171798.6882569147</v>
      </c>
      <c r="Q34" s="90">
        <f>NPV('Key Information'!$C$13,'Event 1&amp;2'!$P35:$P$37)</f>
        <v>25969174.75638324</v>
      </c>
    </row>
    <row r="35" spans="1:17" x14ac:dyDescent="0.3">
      <c r="A35" s="24"/>
      <c r="B35" s="85">
        <v>2037</v>
      </c>
      <c r="C35" s="86">
        <v>18</v>
      </c>
      <c r="D35" s="89">
        <f>$I34*'Key Information'!$C$15</f>
        <v>28965034.07588426</v>
      </c>
      <c r="E35" s="89">
        <f>($I34+$D35)*'Key Information'!$C$16</f>
        <v>3910279.6002443754</v>
      </c>
      <c r="F35" s="89">
        <f>($I34+$D35-$E35)*'Key Information'!$C$17</f>
        <v>38711768.042419314</v>
      </c>
      <c r="G35" s="89">
        <f>$I34*'Key Information'!$C$21+'Key Information'!$C$19*(1+'Key Information'!$C$20)^($C35-1)</f>
        <v>3463162.2620145166</v>
      </c>
      <c r="H35" s="90">
        <f>$K34*'Key Information'!$C$22</f>
        <v>868951.02227652783</v>
      </c>
      <c r="I35" s="89">
        <f t="shared" si="0"/>
        <v>348405912.38177383</v>
      </c>
      <c r="J35" s="89">
        <f t="shared" si="1"/>
        <v>348405912.38177383</v>
      </c>
      <c r="K35" s="90">
        <f>I35*'Key Information'!$C$14</f>
        <v>27872472.990541905</v>
      </c>
      <c r="L35" s="89">
        <f t="shared" si="2"/>
        <v>1316068.3605063865</v>
      </c>
      <c r="M35" s="90">
        <f t="shared" si="3"/>
        <v>1092561.0853423551</v>
      </c>
      <c r="N35" s="92">
        <f>L35*'Key Information'!$C$23</f>
        <v>394820.50815191591</v>
      </c>
      <c r="O35" s="90">
        <f>NPV('Key Information'!$C$13,'Event 1&amp;2'!$N36:$N$37)</f>
        <v>584584.46654933202</v>
      </c>
      <c r="P35" s="92">
        <f t="shared" si="4"/>
        <v>2013808.9376968257</v>
      </c>
      <c r="Q35" s="90">
        <f>NPV('Key Information'!$C$13,'Event 1&amp;2'!$P36:$P$37)</f>
        <v>25773208.051633243</v>
      </c>
    </row>
    <row r="36" spans="1:17" x14ac:dyDescent="0.3">
      <c r="A36" s="24"/>
      <c r="B36" s="85">
        <v>2038</v>
      </c>
      <c r="C36" s="86">
        <v>19</v>
      </c>
      <c r="D36" s="89">
        <f>$I35*'Key Information'!$C$15</f>
        <v>27872472.990541905</v>
      </c>
      <c r="E36" s="89">
        <f>($I35+$D36)*'Key Information'!$C$16</f>
        <v>3762783.8537231577</v>
      </c>
      <c r="F36" s="89">
        <f>($I35+$D36-$E36)*'Key Information'!$C$17</f>
        <v>37251560.151859261</v>
      </c>
      <c r="G36" s="89">
        <f>$I35*'Key Information'!$C$21+'Key Information'!$C$19*(1+'Key Information'!$C$20)^($C36-1)</f>
        <v>3444462.6231487724</v>
      </c>
      <c r="H36" s="90">
        <f>$K35*'Key Information'!$C$22</f>
        <v>836174.18971625715</v>
      </c>
      <c r="I36" s="89">
        <f t="shared" si="0"/>
        <v>335264041.36673331</v>
      </c>
      <c r="J36" s="89">
        <f t="shared" si="1"/>
        <v>335264041.36673331</v>
      </c>
      <c r="K36" s="90">
        <f>I36*'Key Information'!$C$14</f>
        <v>26821123.309338666</v>
      </c>
      <c r="L36" s="89">
        <f t="shared" si="2"/>
        <v>1154495.4202906424</v>
      </c>
      <c r="M36" s="90">
        <f t="shared" si="3"/>
        <v>1051349.6812032387</v>
      </c>
      <c r="N36" s="92">
        <f>L36*'Key Information'!$C$23</f>
        <v>346348.62608719274</v>
      </c>
      <c r="O36" s="90">
        <f>NPV('Key Information'!$C$13,'Event 1&amp;2'!$N37:$N$37)</f>
        <v>279156.7531205925</v>
      </c>
      <c r="P36" s="92">
        <f t="shared" si="4"/>
        <v>1859496.4754066884</v>
      </c>
      <c r="Q36" s="90">
        <f>NPV('Key Information'!$C$13,'Event 1&amp;2'!$P37:$P$37)</f>
        <v>25717836.139840882</v>
      </c>
    </row>
    <row r="37" spans="1:17" x14ac:dyDescent="0.3">
      <c r="A37" s="24"/>
      <c r="B37" s="93">
        <v>2039</v>
      </c>
      <c r="C37" s="94">
        <v>20</v>
      </c>
      <c r="D37" s="95">
        <f>$I36*'Key Information'!$C$15</f>
        <v>26821123.309338666</v>
      </c>
      <c r="E37" s="95">
        <f>($I36+$D37)*'Key Information'!$C$16</f>
        <v>3620851.6467607203</v>
      </c>
      <c r="F37" s="96">
        <f>($I36+$D37-$E37)*'Key Information'!$C$18</f>
        <v>358464313.0293113</v>
      </c>
      <c r="G37" s="95">
        <f>$I36*'Key Information'!$C$21+'Key Information'!$C$19*(1+'Key Information'!$C$20)^($C37-1)</f>
        <v>3429826.259910767</v>
      </c>
      <c r="H37" s="97">
        <f>$K36*'Key Information'!$C$22</f>
        <v>804633.69928016001</v>
      </c>
      <c r="I37" s="95">
        <f t="shared" si="0"/>
        <v>0</v>
      </c>
      <c r="J37" s="95">
        <f t="shared" si="1"/>
        <v>0</v>
      </c>
      <c r="K37" s="97">
        <f>I37*'Key Information'!$C$14</f>
        <v>0</v>
      </c>
      <c r="L37" s="95">
        <f t="shared" si="2"/>
        <v>995659.08613011334</v>
      </c>
      <c r="M37" s="97">
        <f t="shared" si="3"/>
        <v>26821123.309338666</v>
      </c>
      <c r="N37" s="98">
        <f>L37*'Key Information'!$C$23</f>
        <v>298697.72583903401</v>
      </c>
      <c r="O37" s="97">
        <v>0</v>
      </c>
      <c r="P37" s="98">
        <f t="shared" si="4"/>
        <v>27518084.669629745</v>
      </c>
      <c r="Q37" s="97">
        <v>0</v>
      </c>
    </row>
    <row r="41" spans="1:17" x14ac:dyDescent="0.3">
      <c r="E41" s="24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</sheetPr>
  <dimension ref="A1:Q41"/>
  <sheetViews>
    <sheetView zoomScale="70" zoomScaleNormal="70" workbookViewId="0"/>
  </sheetViews>
  <sheetFormatPr defaultColWidth="9.140625" defaultRowHeight="16.5" x14ac:dyDescent="0.3"/>
  <cols>
    <col min="1" max="1" width="6.85546875" style="1" bestFit="1" customWidth="1"/>
    <col min="2" max="2" width="37.85546875" style="1" customWidth="1"/>
    <col min="3" max="8" width="18.5703125" style="1" customWidth="1"/>
    <col min="9" max="10" width="18.5703125" style="2" customWidth="1"/>
    <col min="11" max="17" width="18.5703125" style="1" customWidth="1"/>
    <col min="18" max="16384" width="9.140625" style="1"/>
  </cols>
  <sheetData>
    <row r="1" spans="1:17" x14ac:dyDescent="0.3">
      <c r="A1" s="59" t="s">
        <v>63</v>
      </c>
      <c r="B1" s="54" t="s">
        <v>64</v>
      </c>
    </row>
    <row r="2" spans="1:17" x14ac:dyDescent="0.3">
      <c r="A2" s="28"/>
      <c r="B2" s="99" t="s">
        <v>65</v>
      </c>
    </row>
    <row r="3" spans="1:17" x14ac:dyDescent="0.3">
      <c r="A3" s="11"/>
      <c r="B3" s="101" t="s">
        <v>71</v>
      </c>
    </row>
    <row r="5" spans="1:17" x14ac:dyDescent="0.3">
      <c r="B5" s="4" t="s">
        <v>12</v>
      </c>
    </row>
    <row r="7" spans="1:17" ht="33" x14ac:dyDescent="0.3">
      <c r="B7" s="31"/>
      <c r="C7" s="81" t="s">
        <v>19</v>
      </c>
      <c r="D7" s="100" t="s">
        <v>44</v>
      </c>
    </row>
    <row r="8" spans="1:17" x14ac:dyDescent="0.3">
      <c r="B8" s="28" t="s">
        <v>23</v>
      </c>
      <c r="C8" s="90">
        <f>'Key Information'!C29-'Key Information'!C30-'Embedded Value 31 Dec 2019'!J17-$K$17</f>
        <v>36000000</v>
      </c>
      <c r="D8" s="102">
        <f>C8*(1+'Key Information'!$C$22)- C8*'Key Information'!$C$22*'Key Information'!$C$23*(1-'Key Information'!$C$24)+P18+N18*'Key Information'!$C$24-'Key Information'!$C$36</f>
        <v>51410400</v>
      </c>
    </row>
    <row r="9" spans="1:17" x14ac:dyDescent="0.3">
      <c r="B9" s="28" t="s">
        <v>22</v>
      </c>
      <c r="C9" s="90">
        <f>Q17</f>
        <v>54050123.944049761</v>
      </c>
      <c r="D9" s="90">
        <f>Q18</f>
        <v>34271232.620133244</v>
      </c>
    </row>
    <row r="10" spans="1:17" x14ac:dyDescent="0.3">
      <c r="B10" s="28" t="s">
        <v>52</v>
      </c>
      <c r="C10" s="90">
        <f>O17*'Key Information'!$C$24</f>
        <v>4597539.4075270761</v>
      </c>
      <c r="D10" s="90">
        <f>O18*'Key Information'!$C$24</f>
        <v>4054167.1660539717</v>
      </c>
    </row>
    <row r="11" spans="1:17" x14ac:dyDescent="0.3">
      <c r="B11" s="11" t="s">
        <v>24</v>
      </c>
      <c r="C11" s="97">
        <f>SUM(C8:C10)</f>
        <v>94647663.351576835</v>
      </c>
      <c r="D11" s="97">
        <f>SUM(D8:D10)</f>
        <v>89735799.786187217</v>
      </c>
    </row>
    <row r="13" spans="1:17" x14ac:dyDescent="0.3">
      <c r="B13" s="4" t="s">
        <v>11</v>
      </c>
      <c r="C13" s="4"/>
    </row>
    <row r="15" spans="1:17" ht="57.6" customHeight="1" x14ac:dyDescent="0.3">
      <c r="B15" s="78" t="s">
        <v>2</v>
      </c>
      <c r="C15" s="79" t="s">
        <v>1</v>
      </c>
      <c r="D15" s="80" t="s">
        <v>3</v>
      </c>
      <c r="E15" s="80" t="s">
        <v>5</v>
      </c>
      <c r="F15" s="80" t="s">
        <v>4</v>
      </c>
      <c r="G15" s="80" t="s">
        <v>6</v>
      </c>
      <c r="H15" s="81" t="s">
        <v>15</v>
      </c>
      <c r="I15" s="80" t="s">
        <v>20</v>
      </c>
      <c r="J15" s="80" t="s">
        <v>7</v>
      </c>
      <c r="K15" s="81" t="s">
        <v>10</v>
      </c>
      <c r="L15" s="80" t="s">
        <v>8</v>
      </c>
      <c r="M15" s="81" t="s">
        <v>9</v>
      </c>
      <c r="N15" s="78" t="s">
        <v>50</v>
      </c>
      <c r="O15" s="10" t="s">
        <v>51</v>
      </c>
      <c r="P15" s="7" t="s">
        <v>54</v>
      </c>
      <c r="Q15" s="10" t="s">
        <v>55</v>
      </c>
    </row>
    <row r="16" spans="1:17" x14ac:dyDescent="0.3">
      <c r="B16" s="62"/>
      <c r="C16" s="73"/>
      <c r="D16" s="82" t="s">
        <v>0</v>
      </c>
      <c r="E16" s="82" t="s">
        <v>0</v>
      </c>
      <c r="F16" s="82" t="s">
        <v>0</v>
      </c>
      <c r="G16" s="82" t="s">
        <v>0</v>
      </c>
      <c r="H16" s="83" t="s">
        <v>0</v>
      </c>
      <c r="I16" s="82" t="s">
        <v>0</v>
      </c>
      <c r="J16" s="82" t="s">
        <v>0</v>
      </c>
      <c r="K16" s="83" t="s">
        <v>0</v>
      </c>
      <c r="L16" s="82" t="s">
        <v>0</v>
      </c>
      <c r="M16" s="83" t="s">
        <v>0</v>
      </c>
      <c r="N16" s="84" t="s">
        <v>0</v>
      </c>
      <c r="O16" s="14" t="s">
        <v>0</v>
      </c>
      <c r="P16" s="15" t="s">
        <v>0</v>
      </c>
      <c r="Q16" s="14" t="s">
        <v>0</v>
      </c>
    </row>
    <row r="17" spans="1:17" x14ac:dyDescent="0.3">
      <c r="B17" s="85">
        <v>2019</v>
      </c>
      <c r="C17" s="86">
        <v>0</v>
      </c>
      <c r="D17" s="69"/>
      <c r="E17" s="69"/>
      <c r="F17" s="87"/>
      <c r="G17" s="69"/>
      <c r="H17" s="88"/>
      <c r="I17" s="55">
        <f>800*10^6</f>
        <v>800000000</v>
      </c>
      <c r="J17" s="89">
        <f>I17</f>
        <v>800000000</v>
      </c>
      <c r="K17" s="90">
        <f>I17*'Key Information'!$C$14</f>
        <v>64000000</v>
      </c>
      <c r="L17" s="69"/>
      <c r="M17" s="88"/>
      <c r="N17" s="91"/>
      <c r="O17" s="88">
        <f>NPV('Key Information'!$C$13,'Event 1&amp;2&amp;3'!$N18:$N$37)</f>
        <v>6567913.4393243948</v>
      </c>
      <c r="P17" s="91"/>
      <c r="Q17" s="88">
        <f>NPV('Key Information'!$C$13,'Event 1&amp;2&amp;3'!$P18:$P$37)</f>
        <v>54050123.944049761</v>
      </c>
    </row>
    <row r="18" spans="1:17" x14ac:dyDescent="0.3">
      <c r="A18" s="24"/>
      <c r="B18" s="85">
        <v>2020</v>
      </c>
      <c r="C18" s="86">
        <v>1</v>
      </c>
      <c r="D18" s="103">
        <f>$I17*'Key Information'!$C$42</f>
        <v>-80000000</v>
      </c>
      <c r="E18" s="89">
        <f>($I17+$D18)*'Key Information'!$C$16</f>
        <v>7200000</v>
      </c>
      <c r="F18" s="103">
        <f>($I17+$D18-$E18)*'Key Information'!$C$17+'Key Information'!$C$38</f>
        <v>171280000</v>
      </c>
      <c r="G18" s="89">
        <f>$I17*'Key Information'!$C$21+'Key Information'!$C$19*(1+'Key Information'!$C$20)^($C18-1)</f>
        <v>5000000</v>
      </c>
      <c r="H18" s="90">
        <f>$K17*'Key Information'!$C$22</f>
        <v>1920000</v>
      </c>
      <c r="I18" s="89">
        <f>I17+D18-E18-F18</f>
        <v>541520000</v>
      </c>
      <c r="J18" s="89">
        <f>I18</f>
        <v>541520000</v>
      </c>
      <c r="K18" s="90">
        <f>I18*'Key Information'!$C$14</f>
        <v>43321600</v>
      </c>
      <c r="L18" s="89">
        <f>E18-G18+H18</f>
        <v>4120000</v>
      </c>
      <c r="M18" s="90">
        <f>K17-K18</f>
        <v>20678400</v>
      </c>
      <c r="N18" s="92">
        <f>L18*'Key Information'!$C$23</f>
        <v>1236000</v>
      </c>
      <c r="O18" s="90">
        <f>NPV('Key Information'!$C$13,'Event 1&amp;2&amp;3'!$N19:$N$37)</f>
        <v>5791667.3800771032</v>
      </c>
      <c r="P18" s="92">
        <f>L18+M18-N18</f>
        <v>23562400</v>
      </c>
      <c r="Q18" s="90">
        <f>NPV('Key Information'!$C$13,'Event 1&amp;2&amp;3'!$P19:$P$37)</f>
        <v>34271232.620133244</v>
      </c>
    </row>
    <row r="19" spans="1:17" x14ac:dyDescent="0.3">
      <c r="A19" s="24"/>
      <c r="B19" s="85">
        <v>2021</v>
      </c>
      <c r="C19" s="86">
        <v>2</v>
      </c>
      <c r="D19" s="103">
        <f>$I18*'Key Information'!$C$43</f>
        <v>16245600</v>
      </c>
      <c r="E19" s="89">
        <f>($I18+$D19)*'Key Information'!$C$16</f>
        <v>5577656</v>
      </c>
      <c r="F19" s="89">
        <f>($I18+$D19-$E19)*'Key Information'!$C$17</f>
        <v>55218794.400000006</v>
      </c>
      <c r="G19" s="89">
        <f>$I18*'Key Information'!$C$21+'Key Information'!$C$19*(1+'Key Information'!$C$20)^($C19-1)</f>
        <v>3737600</v>
      </c>
      <c r="H19" s="90">
        <f>$K18*'Key Information'!$C$22</f>
        <v>1299648</v>
      </c>
      <c r="I19" s="89">
        <f t="shared" ref="I19:I37" si="0">I18+D19-E19-F19</f>
        <v>496969149.60000002</v>
      </c>
      <c r="J19" s="89">
        <f t="shared" ref="J19:J37" si="1">I19</f>
        <v>496969149.60000002</v>
      </c>
      <c r="K19" s="90">
        <f>I19*'Key Information'!$C$14</f>
        <v>39757531.968000002</v>
      </c>
      <c r="L19" s="89">
        <f t="shared" ref="L19:L37" si="2">E19-G19+H19</f>
        <v>3139704</v>
      </c>
      <c r="M19" s="90">
        <f t="shared" ref="M19:M37" si="3">K18-K19</f>
        <v>3564068.0319999978</v>
      </c>
      <c r="N19" s="92">
        <f>L19*'Key Information'!$C$23</f>
        <v>941911.2</v>
      </c>
      <c r="O19" s="90">
        <f>NPV('Key Information'!$C$13,'Event 1&amp;2&amp;3'!$N20:$N$37)</f>
        <v>5255172.8966824999</v>
      </c>
      <c r="P19" s="92">
        <f t="shared" ref="P19:P37" si="4">L19+M19-N19</f>
        <v>5761860.8319999976</v>
      </c>
      <c r="Q19" s="90">
        <f>NPV('Key Information'!$C$13,'Event 1&amp;2&amp;3'!$P20:$P$37)</f>
        <v>30908358.071542572</v>
      </c>
    </row>
    <row r="20" spans="1:17" x14ac:dyDescent="0.3">
      <c r="A20" s="24"/>
      <c r="B20" s="85">
        <v>2022</v>
      </c>
      <c r="C20" s="86">
        <v>3</v>
      </c>
      <c r="D20" s="103">
        <f>$I19*'Key Information'!$C$43</f>
        <v>14909074.488</v>
      </c>
      <c r="E20" s="89">
        <f>($I19+$D20)*'Key Information'!$C$16</f>
        <v>5118782.2408800004</v>
      </c>
      <c r="F20" s="89">
        <f>($I19+$D20-$E20)*'Key Information'!$C$17</f>
        <v>50675944.184712</v>
      </c>
      <c r="G20" s="89">
        <f>$I19*'Key Information'!$C$21+'Key Information'!$C$19*(1+'Key Information'!$C$20)^($C20-1)</f>
        <v>3545745.7480000001</v>
      </c>
      <c r="H20" s="90">
        <f>$K19*'Key Information'!$C$22</f>
        <v>1192725.9590400001</v>
      </c>
      <c r="I20" s="89">
        <f t="shared" si="0"/>
        <v>456083497.66240799</v>
      </c>
      <c r="J20" s="89">
        <f t="shared" si="1"/>
        <v>456083497.66240799</v>
      </c>
      <c r="K20" s="90">
        <f>I20*'Key Information'!$C$14</f>
        <v>36486679.81299264</v>
      </c>
      <c r="L20" s="89">
        <f t="shared" si="2"/>
        <v>2765762.4519200004</v>
      </c>
      <c r="M20" s="90">
        <f t="shared" si="3"/>
        <v>3270852.1550073624</v>
      </c>
      <c r="N20" s="92">
        <f>L20*'Key Information'!$C$23</f>
        <v>829728.73557600006</v>
      </c>
      <c r="O20" s="90">
        <f>NPV('Key Information'!$C$13,'Event 1&amp;2&amp;3'!$N21:$N$37)</f>
        <v>4793306.2638742747</v>
      </c>
      <c r="P20" s="92">
        <f t="shared" si="4"/>
        <v>5206885.8713513631</v>
      </c>
      <c r="Q20" s="90">
        <f>NPV('Key Information'!$C$13,'Event 1&amp;2&amp;3'!$P21:$P$37)</f>
        <v>27865057.265199196</v>
      </c>
    </row>
    <row r="21" spans="1:17" x14ac:dyDescent="0.3">
      <c r="A21" s="24"/>
      <c r="B21" s="85">
        <v>2023</v>
      </c>
      <c r="C21" s="86">
        <v>4</v>
      </c>
      <c r="D21" s="103">
        <f>$I20*'Key Information'!$C$44</f>
        <v>36486679.81299264</v>
      </c>
      <c r="E21" s="89">
        <f>($I20+$D21)*'Key Information'!$C$16</f>
        <v>4925701.7747540064</v>
      </c>
      <c r="F21" s="89">
        <f>($I20+$D21-$E21)*'Key Information'!$C$17</f>
        <v>48764447.570064664</v>
      </c>
      <c r="G21" s="89">
        <f>$I20*'Key Information'!$C$21+'Key Information'!$C$19*(1+'Key Information'!$C$20)^($C21-1)</f>
        <v>3373144.48831204</v>
      </c>
      <c r="H21" s="90">
        <f>$K20*'Key Information'!$C$22</f>
        <v>1094600.3943897791</v>
      </c>
      <c r="I21" s="89">
        <f t="shared" si="0"/>
        <v>438880028.13058197</v>
      </c>
      <c r="J21" s="89">
        <f t="shared" si="1"/>
        <v>438880028.13058197</v>
      </c>
      <c r="K21" s="90">
        <f>I21*'Key Information'!$C$14</f>
        <v>35110402.250446558</v>
      </c>
      <c r="L21" s="89">
        <f t="shared" si="2"/>
        <v>2647157.6808317453</v>
      </c>
      <c r="M21" s="90">
        <f t="shared" si="3"/>
        <v>1376277.5625460818</v>
      </c>
      <c r="N21" s="92">
        <f>L21*'Key Information'!$C$23</f>
        <v>794147.30424952356</v>
      </c>
      <c r="O21" s="90">
        <f>NPV('Key Information'!$C$13,'Event 1&amp;2&amp;3'!$N22:$N$37)</f>
        <v>4334690.3980959514</v>
      </c>
      <c r="P21" s="92">
        <f t="shared" si="4"/>
        <v>3229287.9391283034</v>
      </c>
      <c r="Q21" s="90">
        <f>NPV('Key Information'!$C$13,'Event 1&amp;2&amp;3'!$P22:$P$37)</f>
        <v>26586323.334634837</v>
      </c>
    </row>
    <row r="22" spans="1:17" x14ac:dyDescent="0.3">
      <c r="A22" s="24"/>
      <c r="B22" s="85">
        <v>2024</v>
      </c>
      <c r="C22" s="86">
        <v>5</v>
      </c>
      <c r="D22" s="103">
        <f>$I21*'Key Information'!$C$44</f>
        <v>35110402.250446558</v>
      </c>
      <c r="E22" s="89">
        <f>($I21+$D22)*'Key Information'!$C$16</f>
        <v>4739904.3038102854</v>
      </c>
      <c r="F22" s="89">
        <f>($I21+$D22-$E22)*'Key Information'!$C$17</f>
        <v>46925052.607721828</v>
      </c>
      <c r="G22" s="89">
        <f>$I21*'Key Information'!$C$21+'Key Information'!$C$19*(1+'Key Information'!$C$20)^($C22-1)</f>
        <v>3319908.9506529095</v>
      </c>
      <c r="H22" s="90">
        <f>$K21*'Key Information'!$C$22</f>
        <v>1053312.0675133967</v>
      </c>
      <c r="I22" s="89">
        <f t="shared" si="0"/>
        <v>422325473.46949643</v>
      </c>
      <c r="J22" s="89">
        <f t="shared" si="1"/>
        <v>422325473.46949643</v>
      </c>
      <c r="K22" s="90">
        <f>I22*'Key Information'!$C$14</f>
        <v>33786037.877559714</v>
      </c>
      <c r="L22" s="89">
        <f t="shared" si="2"/>
        <v>2473307.4206707729</v>
      </c>
      <c r="M22" s="90">
        <f t="shared" si="3"/>
        <v>1324364.372886844</v>
      </c>
      <c r="N22" s="92">
        <f>L22*'Key Information'!$C$23</f>
        <v>741992.22620123182</v>
      </c>
      <c r="O22" s="90">
        <f>NPV('Key Information'!$C$13,'Event 1&amp;2&amp;3'!$N23:$N$37)</f>
        <v>3896126.4997614361</v>
      </c>
      <c r="P22" s="92">
        <f t="shared" si="4"/>
        <v>3055679.5673563853</v>
      </c>
      <c r="Q22" s="90">
        <f>NPV('Key Information'!$C$13,'Event 1&amp;2&amp;3'!$P23:$P$37)</f>
        <v>25391686.40070289</v>
      </c>
    </row>
    <row r="23" spans="1:17" x14ac:dyDescent="0.3">
      <c r="A23" s="24"/>
      <c r="B23" s="85">
        <v>2025</v>
      </c>
      <c r="C23" s="86">
        <v>6</v>
      </c>
      <c r="D23" s="103">
        <f>$I22*'Key Information'!$C$44</f>
        <v>33786037.877559714</v>
      </c>
      <c r="E23" s="89">
        <f>($I22+$D23)*'Key Information'!$C$16</f>
        <v>4561115.1134705618</v>
      </c>
      <c r="F23" s="89">
        <f>($I22+$D23-$E23)*'Key Information'!$C$17</f>
        <v>45155039.623358563</v>
      </c>
      <c r="G23" s="89">
        <f>$I22*'Key Information'!$C$21+'Key Information'!$C$19*(1+'Key Information'!$C$20)^($C23-1)</f>
        <v>3270901.4416474821</v>
      </c>
      <c r="H23" s="90">
        <f>$K22*'Key Information'!$C$22</f>
        <v>1013581.1363267914</v>
      </c>
      <c r="I23" s="89">
        <f t="shared" si="0"/>
        <v>406395356.61022705</v>
      </c>
      <c r="J23" s="89">
        <f t="shared" si="1"/>
        <v>406395356.61022705</v>
      </c>
      <c r="K23" s="90">
        <f>I23*'Key Information'!$C$14</f>
        <v>32511628.528818164</v>
      </c>
      <c r="L23" s="89">
        <f t="shared" si="2"/>
        <v>2303794.808149871</v>
      </c>
      <c r="M23" s="90">
        <f t="shared" si="3"/>
        <v>1274409.34874155</v>
      </c>
      <c r="N23" s="92">
        <f>L23*'Key Information'!$C$23</f>
        <v>691138.44244496129</v>
      </c>
      <c r="O23" s="90">
        <f>NPV('Key Information'!$C$13,'Event 1&amp;2&amp;3'!$N24:$N$37)</f>
        <v>3477716.9122997755</v>
      </c>
      <c r="P23" s="92">
        <f t="shared" si="4"/>
        <v>2887065.7144464599</v>
      </c>
      <c r="Q23" s="90">
        <f>NPV('Key Information'!$C$13,'Event 1&amp;2&amp;3'!$P24:$P$37)</f>
        <v>24282038.734305631</v>
      </c>
    </row>
    <row r="24" spans="1:17" x14ac:dyDescent="0.3">
      <c r="A24" s="24"/>
      <c r="B24" s="85">
        <v>2026</v>
      </c>
      <c r="C24" s="86">
        <v>7</v>
      </c>
      <c r="D24" s="103">
        <f>$I23*'Key Information'!$C$44</f>
        <v>32511628.528818164</v>
      </c>
      <c r="E24" s="89">
        <f>($I23+$D24)*'Key Information'!$C$16</f>
        <v>4389069.8513904521</v>
      </c>
      <c r="F24" s="89">
        <f>($I23+$D24-$E24)*'Key Information'!$C$17</f>
        <v>43451791.528765477</v>
      </c>
      <c r="G24" s="89">
        <f>$I23*'Key Information'!$C$21+'Key Information'!$C$19*(1+'Key Information'!$C$20)^($C24-1)</f>
        <v>3226029.0795801352</v>
      </c>
      <c r="H24" s="90">
        <f>$K23*'Key Information'!$C$22</f>
        <v>975348.85586454486</v>
      </c>
      <c r="I24" s="89">
        <f t="shared" si="0"/>
        <v>391066123.75888926</v>
      </c>
      <c r="J24" s="89">
        <f t="shared" si="1"/>
        <v>391066123.75888926</v>
      </c>
      <c r="K24" s="90">
        <f>I24*'Key Information'!$C$14</f>
        <v>31285289.900711142</v>
      </c>
      <c r="L24" s="89">
        <f t="shared" si="2"/>
        <v>2138389.6276748618</v>
      </c>
      <c r="M24" s="90">
        <f t="shared" si="3"/>
        <v>1226338.6281070225</v>
      </c>
      <c r="N24" s="92">
        <f>L24*'Key Information'!$C$23</f>
        <v>641516.88830245857</v>
      </c>
      <c r="O24" s="90">
        <f>NPV('Key Information'!$C$13,'Event 1&amp;2&amp;3'!$N25:$N$37)</f>
        <v>3079640.2078583017</v>
      </c>
      <c r="P24" s="92">
        <f t="shared" si="4"/>
        <v>2723211.3674794259</v>
      </c>
      <c r="Q24" s="90">
        <f>NPV('Key Information'!$C$13,'Event 1&amp;2&amp;3'!$P25:$P$37)</f>
        <v>23258570.078227606</v>
      </c>
    </row>
    <row r="25" spans="1:17" x14ac:dyDescent="0.3">
      <c r="A25" s="24"/>
      <c r="B25" s="85">
        <v>2027</v>
      </c>
      <c r="C25" s="86">
        <v>8</v>
      </c>
      <c r="D25" s="103">
        <f>$I24*'Key Information'!$C$44</f>
        <v>31285289.900711142</v>
      </c>
      <c r="E25" s="89">
        <f>($I24+$D25)*'Key Information'!$C$16</f>
        <v>4223514.1365960035</v>
      </c>
      <c r="F25" s="89">
        <f>($I24+$D25-$E25)*'Key Information'!$C$17</f>
        <v>41812789.952300437</v>
      </c>
      <c r="G25" s="89">
        <f>$I24*'Key Information'!$C$21+'Key Information'!$C$19*(1+'Key Information'!$C$20)^($C25-1)</f>
        <v>3185204.4842193164</v>
      </c>
      <c r="H25" s="90">
        <f>$K24*'Key Information'!$C$22</f>
        <v>938558.6970213342</v>
      </c>
      <c r="I25" s="89">
        <f t="shared" si="0"/>
        <v>376315109.57070392</v>
      </c>
      <c r="J25" s="89">
        <f t="shared" si="1"/>
        <v>376315109.57070392</v>
      </c>
      <c r="K25" s="90">
        <f>I25*'Key Information'!$C$14</f>
        <v>30105208.765656315</v>
      </c>
      <c r="L25" s="89">
        <f t="shared" si="2"/>
        <v>1976868.3493980214</v>
      </c>
      <c r="M25" s="90">
        <f t="shared" si="3"/>
        <v>1180081.1350548267</v>
      </c>
      <c r="N25" s="92">
        <f>L25*'Key Information'!$C$23</f>
        <v>593060.50481940643</v>
      </c>
      <c r="O25" s="90">
        <f>NPV('Key Information'!$C$13,'Event 1&amp;2&amp;3'!$N26:$N$37)</f>
        <v>2702154.5175889777</v>
      </c>
      <c r="P25" s="92">
        <f t="shared" si="4"/>
        <v>2563888.9796334421</v>
      </c>
      <c r="Q25" s="90">
        <f>NPV('Key Information'!$C$13,'Event 1&amp;2&amp;3'!$P26:$P$37)</f>
        <v>22322781.004070092</v>
      </c>
    </row>
    <row r="26" spans="1:17" x14ac:dyDescent="0.3">
      <c r="A26" s="24"/>
      <c r="B26" s="85">
        <v>2028</v>
      </c>
      <c r="C26" s="86">
        <v>9</v>
      </c>
      <c r="D26" s="103">
        <f>$I25*'Key Information'!$C$44</f>
        <v>30105208.765656315</v>
      </c>
      <c r="E26" s="89">
        <f>($I25+$D26)*'Key Information'!$C$16</f>
        <v>4064203.183363602</v>
      </c>
      <c r="F26" s="89">
        <f>($I25+$D26-$E26)*'Key Information'!$C$17</f>
        <v>40235611.515299663</v>
      </c>
      <c r="G26" s="89">
        <f>$I25*'Key Information'!$C$21+'Key Information'!$C$19*(1+'Key Information'!$C$20)^($C26-1)</f>
        <v>3148345.6292411359</v>
      </c>
      <c r="H26" s="90">
        <f>$K25*'Key Information'!$C$22</f>
        <v>903156.26296968944</v>
      </c>
      <c r="I26" s="89">
        <f t="shared" si="0"/>
        <v>362120503.63769692</v>
      </c>
      <c r="J26" s="89">
        <f t="shared" si="1"/>
        <v>362120503.63769692</v>
      </c>
      <c r="K26" s="90">
        <f>I26*'Key Information'!$C$14</f>
        <v>28969640.291015755</v>
      </c>
      <c r="L26" s="89">
        <f t="shared" si="2"/>
        <v>1819013.8170921556</v>
      </c>
      <c r="M26" s="90">
        <f t="shared" si="3"/>
        <v>1135568.4746405594</v>
      </c>
      <c r="N26" s="92">
        <f>L26*'Key Information'!$C$23</f>
        <v>545704.14512764663</v>
      </c>
      <c r="O26" s="90">
        <f>NPV('Key Information'!$C$13,'Event 1&amp;2&amp;3'!$N27:$N$37)</f>
        <v>2345601.188692559</v>
      </c>
      <c r="P26" s="92">
        <f t="shared" si="4"/>
        <v>2408878.1466050684</v>
      </c>
      <c r="Q26" s="90">
        <f>NPV('Key Information'!$C$13,'Event 1&amp;2&amp;3'!$P27:$P$37)</f>
        <v>21476497.527749933</v>
      </c>
    </row>
    <row r="27" spans="1:17" x14ac:dyDescent="0.3">
      <c r="A27" s="24"/>
      <c r="B27" s="85">
        <v>2029</v>
      </c>
      <c r="C27" s="86">
        <v>10</v>
      </c>
      <c r="D27" s="103">
        <f>$I26*'Key Information'!$C$44</f>
        <v>28969640.291015755</v>
      </c>
      <c r="E27" s="89">
        <f>($I26+$D27)*'Key Information'!$C$16</f>
        <v>3910901.4392871265</v>
      </c>
      <c r="F27" s="89">
        <f>($I26+$D27-$E27)*'Key Information'!$C$17</f>
        <v>38717924.248942554</v>
      </c>
      <c r="G27" s="89">
        <f>$I26*'Key Information'!$C$21+'Key Information'!$C$19*(1+'Key Information'!$C$20)^($C27-1)</f>
        <v>3115375.7020177292</v>
      </c>
      <c r="H27" s="90">
        <f>$K26*'Key Information'!$C$22</f>
        <v>869089.2087304726</v>
      </c>
      <c r="I27" s="89">
        <f t="shared" si="0"/>
        <v>348461318.24048299</v>
      </c>
      <c r="J27" s="89">
        <f t="shared" si="1"/>
        <v>348461318.24048299</v>
      </c>
      <c r="K27" s="90">
        <f>I27*'Key Information'!$C$14</f>
        <v>27876905.459238641</v>
      </c>
      <c r="L27" s="89">
        <f t="shared" si="2"/>
        <v>1664614.9459998701</v>
      </c>
      <c r="M27" s="90">
        <f t="shared" si="3"/>
        <v>1092734.8317771144</v>
      </c>
      <c r="N27" s="92">
        <f>L27*'Key Information'!$C$23</f>
        <v>499384.48379996099</v>
      </c>
      <c r="O27" s="90">
        <f>NPV('Key Information'!$C$13,'Event 1&amp;2&amp;3'!$N28:$N$37)</f>
        <v>2010408.7881010768</v>
      </c>
      <c r="P27" s="92">
        <f t="shared" si="4"/>
        <v>2257965.2939770236</v>
      </c>
      <c r="Q27" s="90">
        <f>NPV('Key Information'!$C$13,'Event 1&amp;2&amp;3'!$P28:$P$37)</f>
        <v>20721887.060715407</v>
      </c>
    </row>
    <row r="28" spans="1:17" x14ac:dyDescent="0.3">
      <c r="A28" s="24"/>
      <c r="B28" s="85">
        <v>2030</v>
      </c>
      <c r="C28" s="86">
        <v>11</v>
      </c>
      <c r="D28" s="103">
        <f>$I27*'Key Information'!$C$44</f>
        <v>27876905.459238641</v>
      </c>
      <c r="E28" s="89">
        <f>($I27+$D28)*'Key Information'!$C$16</f>
        <v>3763382.2369972165</v>
      </c>
      <c r="F28" s="89">
        <f>($I27+$D28-$E28)*'Key Information'!$C$17</f>
        <v>37257484.146272443</v>
      </c>
      <c r="G28" s="89">
        <f>$I27*'Key Information'!$C$21+'Key Information'!$C$19*(1+'Key Information'!$C$20)^($C28-1)</f>
        <v>3086222.9705465371</v>
      </c>
      <c r="H28" s="90">
        <f>$K27*'Key Information'!$C$22</f>
        <v>836307.16377715918</v>
      </c>
      <c r="I28" s="89">
        <f t="shared" si="0"/>
        <v>335317357.31645203</v>
      </c>
      <c r="J28" s="89">
        <f t="shared" si="1"/>
        <v>335317357.31645203</v>
      </c>
      <c r="K28" s="90">
        <f>I28*'Key Information'!$C$14</f>
        <v>26825388.585316163</v>
      </c>
      <c r="L28" s="89">
        <f t="shared" si="2"/>
        <v>1513466.4302278385</v>
      </c>
      <c r="M28" s="90">
        <f t="shared" si="3"/>
        <v>1051516.8739224784</v>
      </c>
      <c r="N28" s="92">
        <f>L28*'Key Information'!$C$23</f>
        <v>454039.92906835151</v>
      </c>
      <c r="O28" s="90">
        <f>NPV('Key Information'!$C$13,'Event 1&amp;2&amp;3'!$N29:$N$37)</f>
        <v>1697097.4741998012</v>
      </c>
      <c r="P28" s="92">
        <f t="shared" si="4"/>
        <v>2110943.3750819652</v>
      </c>
      <c r="Q28" s="90">
        <f>NPV('Key Information'!$C$13,'Event 1&amp;2&amp;3'!$P29:$P$37)</f>
        <v>20061475.779883519</v>
      </c>
    </row>
    <row r="29" spans="1:17" x14ac:dyDescent="0.3">
      <c r="A29" s="24"/>
      <c r="B29" s="85">
        <v>2031</v>
      </c>
      <c r="C29" s="86">
        <v>12</v>
      </c>
      <c r="D29" s="103">
        <f>$I28*'Key Information'!$C$44</f>
        <v>26825388.585316163</v>
      </c>
      <c r="E29" s="89">
        <f>($I28+$D29)*'Key Information'!$C$16</f>
        <v>3621427.4590176824</v>
      </c>
      <c r="F29" s="89">
        <f>($I28+$D29-$E29)*'Key Information'!$C$17</f>
        <v>35852131.84427505</v>
      </c>
      <c r="G29" s="89">
        <f>$I28*'Key Information'!$C$21+'Key Information'!$C$19*(1+'Key Information'!$C$20)^($C29-1)</f>
        <v>3060820.6573067056</v>
      </c>
      <c r="H29" s="90">
        <f>$K28*'Key Information'!$C$22</f>
        <v>804761.65755948483</v>
      </c>
      <c r="I29" s="89">
        <f t="shared" si="0"/>
        <v>322669186.59847546</v>
      </c>
      <c r="J29" s="89">
        <f t="shared" si="1"/>
        <v>322669186.59847546</v>
      </c>
      <c r="K29" s="90">
        <f>I29*'Key Information'!$C$14</f>
        <v>25813534.927878037</v>
      </c>
      <c r="L29" s="89">
        <f t="shared" si="2"/>
        <v>1365368.4592704615</v>
      </c>
      <c r="M29" s="90">
        <f t="shared" si="3"/>
        <v>1011853.6574381255</v>
      </c>
      <c r="N29" s="92">
        <f>L29*'Key Information'!$C$23</f>
        <v>409610.53778113844</v>
      </c>
      <c r="O29" s="90">
        <f>NPV('Key Information'!$C$13,'Event 1&amp;2&amp;3'!$N30:$N$37)</f>
        <v>1406283.7596126494</v>
      </c>
      <c r="P29" s="92">
        <f t="shared" si="4"/>
        <v>1967611.5789274485</v>
      </c>
      <c r="Q29" s="90">
        <f>NPV('Key Information'!$C$13,'Event 1&amp;2&amp;3'!$P30:$P$37)</f>
        <v>19498167.505547918</v>
      </c>
    </row>
    <row r="30" spans="1:17" x14ac:dyDescent="0.3">
      <c r="A30" s="24"/>
      <c r="B30" s="85">
        <v>2032</v>
      </c>
      <c r="C30" s="86">
        <v>13</v>
      </c>
      <c r="D30" s="103">
        <f>$I29*'Key Information'!$C$44</f>
        <v>25813534.927878037</v>
      </c>
      <c r="E30" s="89">
        <f>($I29+$D30)*'Key Information'!$C$16</f>
        <v>3484827.2152635348</v>
      </c>
      <c r="F30" s="89">
        <f>($I29+$D30-$E30)*'Key Information'!$C$17</f>
        <v>34499789.431108996</v>
      </c>
      <c r="G30" s="89">
        <f>$I29*'Key Information'!$C$21+'Key Information'!$C$19*(1+'Key Information'!$C$20)^($C30-1)</f>
        <v>3039106.819838556</v>
      </c>
      <c r="H30" s="90">
        <f>$K29*'Key Information'!$C$22</f>
        <v>774406.04783634108</v>
      </c>
      <c r="I30" s="89">
        <f t="shared" si="0"/>
        <v>310498104.87998092</v>
      </c>
      <c r="J30" s="89">
        <f t="shared" si="1"/>
        <v>310498104.87998092</v>
      </c>
      <c r="K30" s="90">
        <f>I30*'Key Information'!$C$14</f>
        <v>24839848.390398473</v>
      </c>
      <c r="L30" s="89">
        <f t="shared" si="2"/>
        <v>1220126.4432613198</v>
      </c>
      <c r="M30" s="90">
        <f t="shared" si="3"/>
        <v>973686.53747956455</v>
      </c>
      <c r="N30" s="92">
        <f>L30*'Key Information'!$C$23</f>
        <v>366037.9329783959</v>
      </c>
      <c r="O30" s="90">
        <f>NPV('Key Information'!$C$13,'Event 1&amp;2&amp;3'!$N31:$N$37)</f>
        <v>1138685.6898071389</v>
      </c>
      <c r="P30" s="92">
        <f t="shared" si="4"/>
        <v>1827775.0477624885</v>
      </c>
      <c r="Q30" s="90">
        <f>NPV('Key Information'!$C$13,'Event 1&amp;2&amp;3'!$P31:$P$37)</f>
        <v>19035264.183173787</v>
      </c>
    </row>
    <row r="31" spans="1:17" x14ac:dyDescent="0.3">
      <c r="A31" s="24"/>
      <c r="B31" s="85">
        <v>2033</v>
      </c>
      <c r="C31" s="86">
        <v>14</v>
      </c>
      <c r="D31" s="103">
        <f>$I30*'Key Information'!$C$44</f>
        <v>24839848.390398473</v>
      </c>
      <c r="E31" s="89">
        <f>($I30+$D31)*'Key Information'!$C$16</f>
        <v>3353379.5327037945</v>
      </c>
      <c r="F31" s="89">
        <f>($I30+$D31-$E31)*'Key Information'!$C$17</f>
        <v>33198457.373767562</v>
      </c>
      <c r="G31" s="89">
        <f>$I30*'Key Information'!$C$21+'Key Information'!$C$19*(1+'Key Information'!$C$20)^($C31-1)</f>
        <v>3021024.2378514684</v>
      </c>
      <c r="H31" s="90">
        <f>$K30*'Key Information'!$C$22</f>
        <v>745195.4517119542</v>
      </c>
      <c r="I31" s="89">
        <f t="shared" si="0"/>
        <v>298786116.36390805</v>
      </c>
      <c r="J31" s="89">
        <f t="shared" si="1"/>
        <v>298786116.36390805</v>
      </c>
      <c r="K31" s="90">
        <f>I31*'Key Information'!$C$14</f>
        <v>23902889.309112646</v>
      </c>
      <c r="L31" s="89">
        <f t="shared" si="2"/>
        <v>1077550.7465642802</v>
      </c>
      <c r="M31" s="90">
        <f t="shared" si="3"/>
        <v>936959.08128582686</v>
      </c>
      <c r="N31" s="92">
        <f>L31*'Key Information'!$C$23</f>
        <v>323265.22396928404</v>
      </c>
      <c r="O31" s="90">
        <f>NPV('Key Information'!$C$13,'Event 1&amp;2&amp;3'!$N32:$N$37)</f>
        <v>895128.46412435465</v>
      </c>
      <c r="P31" s="92">
        <f t="shared" si="4"/>
        <v>1691244.6038808231</v>
      </c>
      <c r="Q31" s="90">
        <f>NPV('Key Information'!$C$13,'Event 1&amp;2&amp;3'!$P32:$P$37)</f>
        <v>18676488.072115131</v>
      </c>
    </row>
    <row r="32" spans="1:17" x14ac:dyDescent="0.3">
      <c r="A32" s="24"/>
      <c r="B32" s="85">
        <v>2034</v>
      </c>
      <c r="C32" s="86">
        <v>15</v>
      </c>
      <c r="D32" s="103">
        <f>$I31*'Key Information'!$C$44</f>
        <v>23902889.309112646</v>
      </c>
      <c r="E32" s="89">
        <f>($I31+$D32)*'Key Information'!$C$16</f>
        <v>3226890.0567302071</v>
      </c>
      <c r="F32" s="89">
        <f>($I31+$D32-$E32)*'Key Information'!$C$17</f>
        <v>31946211.561629053</v>
      </c>
      <c r="G32" s="89">
        <f>$I31*'Key Information'!$C$21+'Key Information'!$C$19*(1+'Key Information'!$C$20)^($C32-1)</f>
        <v>3006520.3066746513</v>
      </c>
      <c r="H32" s="90">
        <f>$K31*'Key Information'!$C$22</f>
        <v>717086.67927337938</v>
      </c>
      <c r="I32" s="89">
        <f t="shared" si="0"/>
        <v>287515904.05466145</v>
      </c>
      <c r="J32" s="89">
        <f t="shared" si="1"/>
        <v>287515904.05466145</v>
      </c>
      <c r="K32" s="90">
        <f>I32*'Key Information'!$C$14</f>
        <v>23001272.324372917</v>
      </c>
      <c r="L32" s="89">
        <f t="shared" si="2"/>
        <v>937456.4293289351</v>
      </c>
      <c r="M32" s="90">
        <f t="shared" si="3"/>
        <v>901616.98473972827</v>
      </c>
      <c r="N32" s="92">
        <f>L32*'Key Information'!$C$23</f>
        <v>281236.92879868054</v>
      </c>
      <c r="O32" s="90">
        <f>NPV('Key Information'!$C$13,'Event 1&amp;2&amp;3'!$N33:$N$37)</f>
        <v>676550.52781437896</v>
      </c>
      <c r="P32" s="92">
        <f t="shared" si="4"/>
        <v>1557836.4852699828</v>
      </c>
      <c r="Q32" s="90">
        <f>NPV('Key Information'!$C$13,'Event 1&amp;2&amp;3'!$P33:$P$37)</f>
        <v>18426005.751893207</v>
      </c>
    </row>
    <row r="33" spans="1:17" x14ac:dyDescent="0.3">
      <c r="A33" s="24"/>
      <c r="B33" s="85">
        <v>2035</v>
      </c>
      <c r="C33" s="86">
        <v>16</v>
      </c>
      <c r="D33" s="103">
        <f>$I32*'Key Information'!$C$44</f>
        <v>23001272.324372917</v>
      </c>
      <c r="E33" s="89">
        <f>($I32+$D33)*'Key Information'!$C$16</f>
        <v>3105171.7637903439</v>
      </c>
      <c r="F33" s="89">
        <f>($I32+$D33-$E33)*'Key Information'!$C$17</f>
        <v>30741200.461524405</v>
      </c>
      <c r="G33" s="89">
        <f>$I32*'Key Information'!$C$21+'Key Information'!$C$19*(1+'Key Information'!$C$20)^($C33-1)</f>
        <v>2995546.9368740721</v>
      </c>
      <c r="H33" s="90">
        <f>$K32*'Key Information'!$C$22</f>
        <v>690038.16973118752</v>
      </c>
      <c r="I33" s="89">
        <f t="shared" si="0"/>
        <v>276670804.1537196</v>
      </c>
      <c r="J33" s="89">
        <f t="shared" si="1"/>
        <v>276670804.1537196</v>
      </c>
      <c r="K33" s="90">
        <f>I33*'Key Information'!$C$14</f>
        <v>22133664.332297567</v>
      </c>
      <c r="L33" s="89">
        <f t="shared" si="2"/>
        <v>799662.99664745934</v>
      </c>
      <c r="M33" s="90">
        <f t="shared" si="3"/>
        <v>867607.99207535014</v>
      </c>
      <c r="N33" s="92">
        <f>L33*'Key Information'!$C$23</f>
        <v>239898.8989942378</v>
      </c>
      <c r="O33" s="90">
        <f>NPV('Key Information'!$C$13,'Event 1&amp;2&amp;3'!$N34:$N$37)</f>
        <v>484010.16576714779</v>
      </c>
      <c r="P33" s="92">
        <f t="shared" si="4"/>
        <v>1427372.0897285717</v>
      </c>
      <c r="Q33" s="90">
        <f>NPV('Key Information'!$C$13,'Event 1&amp;2&amp;3'!$P34:$P$37)</f>
        <v>18288454.064797163</v>
      </c>
    </row>
    <row r="34" spans="1:17" x14ac:dyDescent="0.3">
      <c r="A34" s="24"/>
      <c r="B34" s="85">
        <v>2036</v>
      </c>
      <c r="C34" s="86">
        <v>17</v>
      </c>
      <c r="D34" s="103">
        <f>$I33*'Key Information'!$C$44</f>
        <v>22133664.332297567</v>
      </c>
      <c r="E34" s="89">
        <f>($I33+$D34)*'Key Information'!$C$16</f>
        <v>2988044.6848601718</v>
      </c>
      <c r="F34" s="89">
        <f>($I33+$D34-$E34)*'Key Information'!$C$17</f>
        <v>29581642.380115703</v>
      </c>
      <c r="G34" s="89">
        <f>$I33*'Key Information'!$C$21+'Key Information'!$C$19*(1+'Key Information'!$C$20)^($C34-1)</f>
        <v>2988060.4598673852</v>
      </c>
      <c r="H34" s="90">
        <f>$K33*'Key Information'!$C$22</f>
        <v>664009.92996892694</v>
      </c>
      <c r="I34" s="89">
        <f t="shared" si="0"/>
        <v>266234781.42104131</v>
      </c>
      <c r="J34" s="89">
        <f t="shared" si="1"/>
        <v>266234781.42104131</v>
      </c>
      <c r="K34" s="90">
        <f>I34*'Key Information'!$C$14</f>
        <v>21298782.513683304</v>
      </c>
      <c r="L34" s="89">
        <f t="shared" si="2"/>
        <v>663994.15496171347</v>
      </c>
      <c r="M34" s="90">
        <f t="shared" si="3"/>
        <v>834881.81861426309</v>
      </c>
      <c r="N34" s="92">
        <f>L34*'Key Information'!$C$23</f>
        <v>199198.24648851404</v>
      </c>
      <c r="O34" s="90">
        <f>NPV('Key Information'!$C$13,'Event 1&amp;2&amp;3'!$N35:$N$37)</f>
        <v>318692.63088233402</v>
      </c>
      <c r="P34" s="92">
        <f t="shared" si="4"/>
        <v>1299677.7270874626</v>
      </c>
      <c r="Q34" s="90">
        <f>NPV('Key Information'!$C$13,'Event 1&amp;2&amp;3'!$P35:$P$37)</f>
        <v>18268968.122245502</v>
      </c>
    </row>
    <row r="35" spans="1:17" x14ac:dyDescent="0.3">
      <c r="A35" s="24"/>
      <c r="B35" s="85">
        <v>2037</v>
      </c>
      <c r="C35" s="86">
        <v>18</v>
      </c>
      <c r="D35" s="103">
        <f>$I34*'Key Information'!$C$44</f>
        <v>21298782.513683304</v>
      </c>
      <c r="E35" s="89">
        <f>($I34+$D35)*'Key Information'!$C$16</f>
        <v>2875335.6393472464</v>
      </c>
      <c r="F35" s="89">
        <f>($I34+$D35-$E35)*'Key Information'!$C$17</f>
        <v>28465822.829537738</v>
      </c>
      <c r="G35" s="89">
        <f>$I34*'Key Information'!$C$21+'Key Information'!$C$19*(1+'Key Information'!$C$20)^($C35-1)</f>
        <v>2984021.5393769573</v>
      </c>
      <c r="H35" s="90">
        <f>$K34*'Key Information'!$C$22</f>
        <v>638963.47541049914</v>
      </c>
      <c r="I35" s="89">
        <f t="shared" si="0"/>
        <v>256192405.46583962</v>
      </c>
      <c r="J35" s="89">
        <f t="shared" si="1"/>
        <v>256192405.46583962</v>
      </c>
      <c r="K35" s="90">
        <f>I35*'Key Information'!$C$14</f>
        <v>20495392.437267169</v>
      </c>
      <c r="L35" s="89">
        <f t="shared" si="2"/>
        <v>530277.57538078818</v>
      </c>
      <c r="M35" s="90">
        <f t="shared" si="3"/>
        <v>803390.07641613483</v>
      </c>
      <c r="N35" s="92">
        <f>L35*'Key Information'!$C$23</f>
        <v>159083.27261423646</v>
      </c>
      <c r="O35" s="90">
        <f>NPV('Key Information'!$C$13,'Event 1&amp;2&amp;3'!$N36:$N$37)</f>
        <v>181917.84242986099</v>
      </c>
      <c r="P35" s="92">
        <f t="shared" si="4"/>
        <v>1174584.3791826866</v>
      </c>
      <c r="Q35" s="90">
        <f>NPV('Key Information'!$C$13,'Event 1&amp;2&amp;3'!$P36:$P$37)</f>
        <v>18373211.51162</v>
      </c>
    </row>
    <row r="36" spans="1:17" x14ac:dyDescent="0.3">
      <c r="A36" s="24"/>
      <c r="B36" s="85">
        <v>2038</v>
      </c>
      <c r="C36" s="86">
        <v>19</v>
      </c>
      <c r="D36" s="103">
        <f>$I35*'Key Information'!$C$44</f>
        <v>20495392.437267169</v>
      </c>
      <c r="E36" s="89">
        <f>($I35+$D36)*'Key Information'!$C$16</f>
        <v>2766877.9790310683</v>
      </c>
      <c r="F36" s="89">
        <f>($I35+$D36-$E36)*'Key Information'!$C$17</f>
        <v>27392091.992407575</v>
      </c>
      <c r="G36" s="89">
        <f>$I35*'Key Information'!$C$21+'Key Information'!$C$19*(1+'Key Information'!$C$20)^($C36-1)</f>
        <v>2983395.0885691014</v>
      </c>
      <c r="H36" s="90">
        <f>$K35*'Key Information'!$C$22</f>
        <v>614861.77311801503</v>
      </c>
      <c r="I36" s="89">
        <f t="shared" si="0"/>
        <v>246528827.93166816</v>
      </c>
      <c r="J36" s="89">
        <f t="shared" si="1"/>
        <v>246528827.93166816</v>
      </c>
      <c r="K36" s="90">
        <f>I36*'Key Information'!$C$14</f>
        <v>19722306.234533455</v>
      </c>
      <c r="L36" s="89">
        <f t="shared" si="2"/>
        <v>398344.66357998189</v>
      </c>
      <c r="M36" s="90">
        <f t="shared" si="3"/>
        <v>773086.20273371413</v>
      </c>
      <c r="N36" s="92">
        <f>L36*'Key Information'!$C$23</f>
        <v>119503.39907399456</v>
      </c>
      <c r="O36" s="90">
        <f>NPV('Key Information'!$C$13,'Event 1&amp;2&amp;3'!$N37:$N$37)</f>
        <v>75148.692325956697</v>
      </c>
      <c r="P36" s="92">
        <f t="shared" si="4"/>
        <v>1051927.4672397014</v>
      </c>
      <c r="Q36" s="90">
        <f>NPV('Key Information'!$C$13,'Event 1&amp;2&amp;3'!$P37:$P$37)</f>
        <v>18607408.850193702</v>
      </c>
    </row>
    <row r="37" spans="1:17" x14ac:dyDescent="0.3">
      <c r="A37" s="24"/>
      <c r="B37" s="93">
        <v>2039</v>
      </c>
      <c r="C37" s="94">
        <v>20</v>
      </c>
      <c r="D37" s="104">
        <f>$I36*'Key Information'!$C$44</f>
        <v>19722306.234533455</v>
      </c>
      <c r="E37" s="95">
        <f>($I36+$D37)*'Key Information'!$C$16</f>
        <v>2662511.3416620162</v>
      </c>
      <c r="F37" s="96">
        <f>($I36+$D37-$E37)*'Key Information'!$C$18</f>
        <v>263588622.8245396</v>
      </c>
      <c r="G37" s="95">
        <f>$I36*'Key Information'!$C$21+'Key Information'!$C$19*(1+'Key Information'!$C$20)^($C37-1)</f>
        <v>2986150.192735441</v>
      </c>
      <c r="H37" s="97">
        <f>$K36*'Key Information'!$C$22</f>
        <v>591669.18703600368</v>
      </c>
      <c r="I37" s="95">
        <f t="shared" si="0"/>
        <v>0</v>
      </c>
      <c r="J37" s="95">
        <f t="shared" si="1"/>
        <v>0</v>
      </c>
      <c r="K37" s="97">
        <f>I37*'Key Information'!$C$14</f>
        <v>0</v>
      </c>
      <c r="L37" s="95">
        <f t="shared" si="2"/>
        <v>268030.33596257889</v>
      </c>
      <c r="M37" s="97">
        <f t="shared" si="3"/>
        <v>19722306.234533455</v>
      </c>
      <c r="N37" s="98">
        <f>L37*'Key Information'!$C$23</f>
        <v>80409.100788773663</v>
      </c>
      <c r="O37" s="97">
        <v>0</v>
      </c>
      <c r="P37" s="98">
        <f t="shared" si="4"/>
        <v>19909927.469707262</v>
      </c>
      <c r="Q37" s="97">
        <v>0</v>
      </c>
    </row>
    <row r="41" spans="1:17" x14ac:dyDescent="0.3">
      <c r="E41" s="24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Key Information</vt:lpstr>
      <vt:lpstr>Embedded Value 31 Dec 2019</vt:lpstr>
      <vt:lpstr>Analysis of Movement 2020</vt:lpstr>
      <vt:lpstr>Event 1</vt:lpstr>
      <vt:lpstr>Event 1&amp;2</vt:lpstr>
      <vt:lpstr>Event 1&amp;2&amp;3</vt:lpstr>
      <vt:lpstr>'Key Information'!OLE_LINK1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</dc:creator>
  <cp:lastModifiedBy>Krystel Rowe</cp:lastModifiedBy>
  <cp:lastPrinted>2019-02-06T13:21:15Z</cp:lastPrinted>
  <dcterms:created xsi:type="dcterms:W3CDTF">2019-01-01T11:22:09Z</dcterms:created>
  <dcterms:modified xsi:type="dcterms:W3CDTF">2019-12-03T07:11:58Z</dcterms:modified>
</cp:coreProperties>
</file>